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xl/tables/table7.xml" ContentType="application/vnd.openxmlformats-officedocument.spreadsheetml.table+xml"/>
  <Override PartName="/xl/queryTables/queryTable2.xml" ContentType="application/vnd.openxmlformats-officedocument.spreadsheetml.queryTable+xml"/>
  <Override PartName="/xl/tables/table8.xml" ContentType="application/vnd.openxmlformats-officedocument.spreadsheetml.table+xml"/>
  <Override PartName="/xl/queryTables/queryTable3.xml" ContentType="application/vnd.openxmlformats-officedocument.spreadsheetml.queryTable+xml"/>
  <Override PartName="/xl/tables/table9.xml" ContentType="application/vnd.openxmlformats-officedocument.spreadsheetml.table+xml"/>
  <Override PartName="/xl/queryTables/queryTable4.xml" ContentType="application/vnd.openxmlformats-officedocument.spreadsheetml.queryTable+xml"/>
  <Override PartName="/xl/tables/table10.xml" ContentType="application/vnd.openxmlformats-officedocument.spreadsheetml.table+xml"/>
  <Override PartName="/xl/queryTables/queryTable5.xml" ContentType="application/vnd.openxmlformats-officedocument.spreadsheetml.queryTable+xml"/>
  <Override PartName="/xl/tables/table11.xml" ContentType="application/vnd.openxmlformats-officedocument.spreadsheetml.table+xml"/>
  <Override PartName="/xl/queryTables/queryTable6.xml" ContentType="application/vnd.openxmlformats-officedocument.spreadsheetml.query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hamel\Documents\Projects\pricing_analysis\"/>
    </mc:Choice>
  </mc:AlternateContent>
  <xr:revisionPtr revIDLastSave="0" documentId="13_ncr:1_{E66716E5-9307-498D-8457-70F11AF73791}" xr6:coauthVersionLast="47" xr6:coauthVersionMax="47" xr10:uidLastSave="{00000000-0000-0000-0000-000000000000}"/>
  <bookViews>
    <workbookView xWindow="-120" yWindow="-120" windowWidth="51840" windowHeight="21120" xr2:uid="{23907ABA-B4B3-44E0-BB7D-8318A1EE0972}"/>
  </bookViews>
  <sheets>
    <sheet name="Final Candidate Output" sheetId="28" r:id="rId1"/>
    <sheet name="Competitive Analysis (Step 1)" sheetId="17" r:id="rId2"/>
    <sheet name="V1 Pricing Model (Step 2)" sheetId="19" r:id="rId3"/>
    <sheet name="V1-Based Churn Model (Step 3)" sheetId="22" r:id="rId4"/>
    <sheet name="Monte Carlo IO (4)" sheetId="26" r:id="rId5"/>
    <sheet name="Helper Ref" sheetId="23" r:id="rId6"/>
    <sheet name="Price Optimization Best Outcome" sheetId="31" r:id="rId7"/>
    <sheet name="Product Catalog Pricing RAW" sheetId="2" r:id="rId8"/>
    <sheet name="Sales Transactions RAW" sheetId="3" r:id="rId9"/>
    <sheet name="Customer Information RAW" sheetId="4" r:id="rId10"/>
    <sheet name="Competitor Pricing RAW" sheetId="18" r:id="rId11"/>
    <sheet name="Sales&amp;Customer Joined RAW" sheetId="21" r:id="rId12"/>
    <sheet name="Path" sheetId="29" r:id="rId13"/>
  </sheets>
  <definedNames>
    <definedName name="_xlnm._FilterDatabase" localSheetId="2" hidden="1">'V1 Pricing Model (Step 2)'!$A$21:$AL$71</definedName>
    <definedName name="_xlnm._FilterDatabase" localSheetId="3" hidden="1">'V1-Based Churn Model (Step 3)'!$A$38:$Z$4042</definedName>
    <definedName name="_xlcn.WorksheetConnection_Analysis_Workbook.xlsx_1_product_catalog_pricing1" hidden="1">_1_product_catalog_pricing[]</definedName>
    <definedName name="_xlcn.WorksheetConnection_Analysis_Workbook.xlsx_2_sales_transactions1" hidden="1">_2_sales_transactions[]</definedName>
    <definedName name="_xlcn.WorksheetConnection_Analysis_Workbook.xlsx_3_customer_segments1" hidden="1">_3_customer_segments[]</definedName>
    <definedName name="_xlcn.WorksheetConnection_Analysis_Workbook2.xlsx_4_competitor_pricing_1" hidden="1">_4_competitor_pricing_[]</definedName>
    <definedName name="ExternalData_1" localSheetId="9" hidden="1">'Customer Information RAW'!$A$1:$O$4002</definedName>
    <definedName name="ExternalData_1" localSheetId="6" hidden="1">'Price Optimization Best Outcome'!$A$1:$T$43</definedName>
    <definedName name="ExternalData_1" localSheetId="7" hidden="1">'Product Catalog Pricing RAW'!$A$1:$R$51</definedName>
    <definedName name="ExternalData_1" localSheetId="8" hidden="1">'Sales Transactions RAW'!$A$1:$V$1001</definedName>
    <definedName name="ExternalData_2" localSheetId="10" hidden="1">'Competitor Pricing RAW'!$A$1:$G$201</definedName>
    <definedName name="ExternalData_2" localSheetId="11" hidden="1">'Sales&amp;Customer Joined RAW'!$A$1:$AE$1001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_4_competitor_pricing_" name="_4_competitor_pricing_" connection="WorksheetConnection_Analysis_Workbook2.xlsx!_4_competitor_pricing_"/>
          <x15:modelTable id="_3_customer_segments" name="_3_customer_segments" connection="WorksheetConnection_Analysis_Workbook.xlsx!_3_customer_segments"/>
          <x15:modelTable id="_2_sales_transactions" name="_2_sales_transactions" connection="WorksheetConnection_Analysis_Workbook.xlsx!_2_sales_transactions"/>
          <x15:modelTable id="_1_product_catalog_pricing" name="_1_product_catalog_pricing" connection="WorksheetConnection_Analysis_Workbook.xlsx!_1_product_catalog_pricing"/>
          <x15:modelTable id="Calendar" name="Date" connection="Connection"/>
        </x15:modelTables>
        <x15:modelRelationships>
          <x15:modelRelationship fromTable="_2_sales_transactions" fromColumn="SKU" toTable="_1_product_catalog_pricing" toColumn="SKU"/>
          <x15:modelRelationship fromTable="_2_sales_transactions" fromColumn="Customer ID" toTable="_3_customer_segments" toColumn="Customer ID"/>
          <x15:modelRelationship fromTable="_2_sales_transactions" fromColumn="Date" toTable="Date" toColumn="Date"/>
          <x15:modelRelationship fromTable="_4_competitor_pricing_" fromColumn="SKU" toTable="_1_product_catalog_pricing" toColumn="SKU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_2_sales_transactions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26" l="1" a="1"/>
  <c r="A12" i="26"/>
  <c r="A9" i="17" a="1"/>
  <c r="A2" i="29" a="1"/>
  <c r="A2" i="29" s="1"/>
  <c r="C5" i="23" a="1"/>
  <c r="C5" i="23" s="1"/>
  <c r="C4" i="23" a="1"/>
  <c r="C4" i="23" s="1"/>
  <c r="C3" i="23" a="1"/>
  <c r="C3" i="23" s="1"/>
  <c r="C2" i="23" a="1"/>
  <c r="C2" i="23" s="1"/>
  <c r="A39" i="22" a="1"/>
  <c r="A22" i="19" a="1"/>
  <c r="A9" i="17" l="1"/>
  <c r="G23" i="19" a="1"/>
  <c r="G23" i="19" s="1"/>
  <c r="G24" i="19" a="1"/>
  <c r="G24" i="19" s="1"/>
  <c r="G25" i="19" a="1"/>
  <c r="G25" i="19" s="1"/>
  <c r="G27" i="19" a="1"/>
  <c r="G27" i="19" s="1"/>
  <c r="G28" i="19" a="1"/>
  <c r="G28" i="19" s="1"/>
  <c r="G46" i="19" a="1"/>
  <c r="G46" i="19" s="1"/>
  <c r="G52" i="19" a="1"/>
  <c r="G52" i="19" s="1"/>
  <c r="G62" i="19" a="1"/>
  <c r="G62" i="19" s="1"/>
  <c r="G70" i="19" a="1"/>
  <c r="G70" i="19" s="1"/>
  <c r="G26" i="19" a="1"/>
  <c r="G26" i="19" s="1"/>
  <c r="G45" i="19" a="1"/>
  <c r="G45" i="19" s="1"/>
  <c r="G51" i="19" a="1"/>
  <c r="G51" i="19" s="1"/>
  <c r="G63" i="19" a="1"/>
  <c r="G63" i="19" s="1"/>
  <c r="G71" i="19" a="1"/>
  <c r="G71" i="19" s="1"/>
  <c r="G29" i="19" a="1"/>
  <c r="G29" i="19" s="1"/>
  <c r="G30" i="19" a="1"/>
  <c r="G30" i="19" s="1"/>
  <c r="G33" i="19" a="1"/>
  <c r="G33" i="19" s="1"/>
  <c r="G38" i="19" a="1"/>
  <c r="G38" i="19" s="1"/>
  <c r="G41" i="19" a="1"/>
  <c r="G41" i="19" s="1"/>
  <c r="G43" i="19" a="1"/>
  <c r="G43" i="19" s="1"/>
  <c r="G48" i="19" a="1"/>
  <c r="G48" i="19" s="1"/>
  <c r="G59" i="19" a="1"/>
  <c r="G59" i="19" s="1"/>
  <c r="G65" i="19" a="1"/>
  <c r="G65" i="19" s="1"/>
  <c r="G31" i="19" a="1"/>
  <c r="G31" i="19" s="1"/>
  <c r="G32" i="19" a="1"/>
  <c r="G32" i="19" s="1"/>
  <c r="G37" i="19" a="1"/>
  <c r="G37" i="19" s="1"/>
  <c r="G40" i="19" a="1"/>
  <c r="G40" i="19" s="1"/>
  <c r="G44" i="19" a="1"/>
  <c r="G44" i="19" s="1"/>
  <c r="G50" i="19" a="1"/>
  <c r="G50" i="19" s="1"/>
  <c r="G61" i="19" a="1"/>
  <c r="G61" i="19" s="1"/>
  <c r="G69" i="19" a="1"/>
  <c r="G69" i="19" s="1"/>
  <c r="G34" i="19" a="1"/>
  <c r="G34" i="19" s="1"/>
  <c r="G35" i="19" a="1"/>
  <c r="G35" i="19" s="1"/>
  <c r="G36" i="19" a="1"/>
  <c r="G36" i="19" s="1"/>
  <c r="G39" i="19" a="1"/>
  <c r="G39" i="19" s="1"/>
  <c r="G42" i="19" a="1"/>
  <c r="G42" i="19" s="1"/>
  <c r="G47" i="19" a="1"/>
  <c r="G47" i="19" s="1"/>
  <c r="G53" i="19" a="1"/>
  <c r="G53" i="19" s="1"/>
  <c r="G64" i="19" a="1"/>
  <c r="G64" i="19" s="1"/>
  <c r="G49" i="19" a="1"/>
  <c r="G49" i="19" s="1"/>
  <c r="G68" i="19" a="1"/>
  <c r="G68" i="19" s="1"/>
  <c r="G67" i="19" a="1"/>
  <c r="G67" i="19" s="1"/>
  <c r="G54" i="19" a="1"/>
  <c r="G54" i="19" s="1"/>
  <c r="G55" i="19" a="1"/>
  <c r="G55" i="19" s="1"/>
  <c r="G56" i="19" a="1"/>
  <c r="G56" i="19" s="1"/>
  <c r="G57" i="19" a="1"/>
  <c r="G57" i="19" s="1"/>
  <c r="G58" i="19" a="1"/>
  <c r="G58" i="19" s="1"/>
  <c r="G60" i="19" a="1"/>
  <c r="G60" i="19" s="1"/>
  <c r="G66" i="19" a="1"/>
  <c r="G66" i="19" s="1"/>
  <c r="J49" i="19" a="1"/>
  <c r="J49" i="19" s="1"/>
  <c r="J69" i="19" a="1"/>
  <c r="J69" i="19" s="1"/>
  <c r="J25" i="19" a="1"/>
  <c r="J25" i="19" s="1"/>
  <c r="J29" i="19" a="1"/>
  <c r="J29" i="19" s="1"/>
  <c r="J33" i="19" a="1"/>
  <c r="J33" i="19" s="1"/>
  <c r="J38" i="19" a="1"/>
  <c r="J38" i="19" s="1"/>
  <c r="J44" i="19" a="1"/>
  <c r="J44" i="19" s="1"/>
  <c r="J50" i="19" a="1"/>
  <c r="J50" i="19" s="1"/>
  <c r="J56" i="19" a="1"/>
  <c r="J56" i="19" s="1"/>
  <c r="J61" i="19" a="1"/>
  <c r="J61" i="19" s="1"/>
  <c r="J66" i="19" a="1"/>
  <c r="J66" i="19" s="1"/>
  <c r="J34" i="19" a="1"/>
  <c r="J34" i="19" s="1"/>
  <c r="J39" i="19" a="1"/>
  <c r="J39" i="19" s="1"/>
  <c r="J45" i="19" a="1"/>
  <c r="J45" i="19" s="1"/>
  <c r="J51" i="19" a="1"/>
  <c r="J51" i="19" s="1"/>
  <c r="J57" i="19" a="1"/>
  <c r="J57" i="19" s="1"/>
  <c r="J62" i="19" a="1"/>
  <c r="J62" i="19" s="1"/>
  <c r="J67" i="19" a="1"/>
  <c r="J67" i="19" s="1"/>
  <c r="J23" i="19" a="1"/>
  <c r="J23" i="19" s="1"/>
  <c r="J27" i="19" a="1"/>
  <c r="J27" i="19" s="1"/>
  <c r="J30" i="19" a="1"/>
  <c r="J30" i="19" s="1"/>
  <c r="J35" i="19" a="1"/>
  <c r="J35" i="19" s="1"/>
  <c r="J40" i="19" a="1"/>
  <c r="J40" i="19" s="1"/>
  <c r="J46" i="19" a="1"/>
  <c r="J46" i="19" s="1"/>
  <c r="J53" i="19" a="1"/>
  <c r="J53" i="19" s="1"/>
  <c r="J58" i="19" a="1"/>
  <c r="J58" i="19" s="1"/>
  <c r="J63" i="19" a="1"/>
  <c r="J63" i="19" s="1"/>
  <c r="J70" i="19" a="1"/>
  <c r="J70" i="19" s="1"/>
  <c r="J24" i="19" a="1"/>
  <c r="J24" i="19" s="1"/>
  <c r="J28" i="19" a="1"/>
  <c r="J28" i="19" s="1"/>
  <c r="J32" i="19" a="1"/>
  <c r="J32" i="19" s="1"/>
  <c r="J37" i="19" a="1"/>
  <c r="J37" i="19" s="1"/>
  <c r="J43" i="19" a="1"/>
  <c r="J43" i="19" s="1"/>
  <c r="J48" i="19" a="1"/>
  <c r="J48" i="19" s="1"/>
  <c r="J55" i="19" a="1"/>
  <c r="J55" i="19" s="1"/>
  <c r="J60" i="19" a="1"/>
  <c r="J60" i="19" s="1"/>
  <c r="J65" i="19" a="1"/>
  <c r="J65" i="19" s="1"/>
  <c r="J41" i="19" a="1"/>
  <c r="J41" i="19" s="1"/>
  <c r="J68" i="19" a="1"/>
  <c r="J68" i="19" s="1"/>
  <c r="J52" i="19" a="1"/>
  <c r="J52" i="19" s="1"/>
  <c r="J26" i="19" a="1"/>
  <c r="J26" i="19" s="1"/>
  <c r="J31" i="19" a="1"/>
  <c r="J31" i="19" s="1"/>
  <c r="J36" i="19" a="1"/>
  <c r="J36" i="19" s="1"/>
  <c r="J42" i="19" a="1"/>
  <c r="J42" i="19" s="1"/>
  <c r="J47" i="19" a="1"/>
  <c r="J47" i="19" s="1"/>
  <c r="J54" i="19" a="1"/>
  <c r="J54" i="19" s="1"/>
  <c r="J59" i="19" a="1"/>
  <c r="J59" i="19" s="1"/>
  <c r="J64" i="19" a="1"/>
  <c r="J64" i="19" s="1"/>
  <c r="J71" i="19" a="1"/>
  <c r="J71" i="19" s="1"/>
  <c r="A39" i="22"/>
  <c r="I39" i="22" a="1"/>
  <c r="K44" i="22"/>
  <c r="K56" i="22"/>
  <c r="K68" i="22"/>
  <c r="K81" i="22"/>
  <c r="K91" i="22"/>
  <c r="K199" i="22"/>
  <c r="K335" i="22"/>
  <c r="K449" i="22"/>
  <c r="K522" i="22"/>
  <c r="K551" i="22"/>
  <c r="K98" i="22"/>
  <c r="K113" i="22"/>
  <c r="K121" i="22"/>
  <c r="K135" i="22"/>
  <c r="K149" i="22"/>
  <c r="K161" i="22"/>
  <c r="K185" i="22"/>
  <c r="K194" i="22"/>
  <c r="K220" i="22"/>
  <c r="K240" i="22"/>
  <c r="K245" i="22"/>
  <c r="K264" i="22"/>
  <c r="K319" i="22"/>
  <c r="K367" i="22"/>
  <c r="K378" i="22"/>
  <c r="K385" i="22"/>
  <c r="K420" i="22"/>
  <c r="K427" i="22"/>
  <c r="K436" i="22"/>
  <c r="K442" i="22"/>
  <c r="K463" i="22"/>
  <c r="K502" i="22"/>
  <c r="K528" i="22"/>
  <c r="K543" i="22"/>
  <c r="K569" i="22"/>
  <c r="K584" i="22"/>
  <c r="K102" i="22"/>
  <c r="K109" i="22"/>
  <c r="K129" i="22"/>
  <c r="K136" i="22"/>
  <c r="K144" i="22"/>
  <c r="K148" i="22"/>
  <c r="K152" i="22"/>
  <c r="K158" i="22"/>
  <c r="K168" i="22"/>
  <c r="K177" i="22"/>
  <c r="K181" i="22"/>
  <c r="K187" i="22"/>
  <c r="K196" i="22"/>
  <c r="K215" i="22"/>
  <c r="K230" i="22"/>
  <c r="K249" i="22"/>
  <c r="K255" i="22"/>
  <c r="K263" i="22"/>
  <c r="K273" i="22"/>
  <c r="K277" i="22"/>
  <c r="K301" i="22"/>
  <c r="K305" i="22"/>
  <c r="K331" i="22"/>
  <c r="K336" i="22"/>
  <c r="K376" i="22"/>
  <c r="K384" i="22"/>
  <c r="K388" i="22"/>
  <c r="K395" i="22"/>
  <c r="K407" i="22"/>
  <c r="K411" i="22"/>
  <c r="K421" i="22"/>
  <c r="K438" i="22"/>
  <c r="K444" i="22"/>
  <c r="K462" i="22"/>
  <c r="K467" i="22"/>
  <c r="K476" i="22"/>
  <c r="K506" i="22"/>
  <c r="K516" i="22"/>
  <c r="K523" i="22"/>
  <c r="K540" i="22"/>
  <c r="K545" i="22"/>
  <c r="K576" i="22"/>
  <c r="E39" i="22" a="1"/>
  <c r="K71" i="22"/>
  <c r="K96" i="22"/>
  <c r="K228" i="22"/>
  <c r="K281" i="22"/>
  <c r="K548" i="22"/>
  <c r="K75" i="22"/>
  <c r="K140" i="22"/>
  <c r="K154" i="22"/>
  <c r="K283" i="22"/>
  <c r="K379" i="22"/>
  <c r="K517" i="22"/>
  <c r="K541" i="22"/>
  <c r="K59" i="22"/>
  <c r="K80" i="22"/>
  <c r="K159" i="22"/>
  <c r="K276" i="22"/>
  <c r="K340" i="22"/>
  <c r="K357" i="22"/>
  <c r="K461" i="22"/>
  <c r="K486" i="22"/>
  <c r="K519" i="22"/>
  <c r="K97" i="22"/>
  <c r="K108" i="22"/>
  <c r="K116" i="22"/>
  <c r="K122" i="22"/>
  <c r="K126" i="22"/>
  <c r="K164" i="22"/>
  <c r="K173" i="22"/>
  <c r="K189" i="22"/>
  <c r="K216" i="22"/>
  <c r="K232" i="22"/>
  <c r="K247" i="22"/>
  <c r="K282" i="22"/>
  <c r="K290" i="22"/>
  <c r="K294" i="22"/>
  <c r="K303" i="22"/>
  <c r="K306" i="22"/>
  <c r="K318" i="22"/>
  <c r="K332" i="22"/>
  <c r="K353" i="22"/>
  <c r="K381" i="22"/>
  <c r="K402" i="22"/>
  <c r="K424" i="22"/>
  <c r="K448" i="22"/>
  <c r="K479" i="22"/>
  <c r="K484" i="22"/>
  <c r="K490" i="22"/>
  <c r="K494" i="22"/>
  <c r="K505" i="22"/>
  <c r="K526" i="22"/>
  <c r="K547" i="22"/>
  <c r="K562" i="22"/>
  <c r="K575" i="22"/>
  <c r="K590" i="22"/>
  <c r="K94" i="22"/>
  <c r="K103" i="22"/>
  <c r="K112" i="22"/>
  <c r="K153" i="22"/>
  <c r="K157" i="22"/>
  <c r="K165" i="22"/>
  <c r="K175" i="22"/>
  <c r="K191" i="22"/>
  <c r="K195" i="22"/>
  <c r="K197" i="22"/>
  <c r="K214" i="22"/>
  <c r="K253" i="22"/>
  <c r="K267" i="22"/>
  <c r="K297" i="22"/>
  <c r="K302" i="22"/>
  <c r="K315" i="22"/>
  <c r="K324" i="22"/>
  <c r="K333" i="22"/>
  <c r="K337" i="22"/>
  <c r="K363" i="22"/>
  <c r="K380" i="22"/>
  <c r="K399" i="22"/>
  <c r="K408" i="22"/>
  <c r="K426" i="22"/>
  <c r="K433" i="22"/>
  <c r="K440" i="22"/>
  <c r="K459" i="22"/>
  <c r="K464" i="22"/>
  <c r="K470" i="22"/>
  <c r="K508" i="22"/>
  <c r="K518" i="22"/>
  <c r="K530" i="22"/>
  <c r="K535" i="22"/>
  <c r="K546" i="22"/>
  <c r="K588" i="22"/>
  <c r="K41" i="22"/>
  <c r="K46" i="22"/>
  <c r="K50" i="22"/>
  <c r="K54" i="22"/>
  <c r="K57" i="22"/>
  <c r="K63" i="22"/>
  <c r="K69" i="22"/>
  <c r="K72" i="22"/>
  <c r="K78" i="22"/>
  <c r="K87" i="22"/>
  <c r="K92" i="22"/>
  <c r="K118" i="22"/>
  <c r="K156" i="22"/>
  <c r="K169" i="22"/>
  <c r="K184" i="22"/>
  <c r="K210" i="22"/>
  <c r="K225" i="22"/>
  <c r="K239" i="22"/>
  <c r="K252" i="22"/>
  <c r="K269" i="22"/>
  <c r="K279" i="22"/>
  <c r="K321" i="22"/>
  <c r="K325" i="22"/>
  <c r="K329" i="22"/>
  <c r="K341" i="22"/>
  <c r="K348" i="22"/>
  <c r="K359" i="22"/>
  <c r="K371" i="22"/>
  <c r="K383" i="22"/>
  <c r="K417" i="22"/>
  <c r="K445" i="22"/>
  <c r="K497" i="22"/>
  <c r="K554" i="22"/>
  <c r="K565" i="22"/>
  <c r="F39" i="22" a="1"/>
  <c r="K123" i="22"/>
  <c r="K127" i="22"/>
  <c r="K137" i="22"/>
  <c r="K146" i="22"/>
  <c r="K176" i="22"/>
  <c r="K188" i="22"/>
  <c r="K198" i="22"/>
  <c r="K206" i="22"/>
  <c r="K233" i="22"/>
  <c r="K235" i="22"/>
  <c r="K257" i="22"/>
  <c r="K280" i="22"/>
  <c r="K289" i="22"/>
  <c r="K295" i="22"/>
  <c r="K316" i="22"/>
  <c r="K327" i="22"/>
  <c r="K342" i="22"/>
  <c r="K352" i="22"/>
  <c r="K410" i="22"/>
  <c r="K447" i="22"/>
  <c r="K456" i="22"/>
  <c r="K485" i="22"/>
  <c r="K489" i="22"/>
  <c r="K504" i="22"/>
  <c r="K515" i="22"/>
  <c r="K527" i="22"/>
  <c r="K534" i="22"/>
  <c r="K539" i="22"/>
  <c r="K556" i="22"/>
  <c r="K561" i="22"/>
  <c r="K574" i="22"/>
  <c r="K583" i="22"/>
  <c r="K43" i="22"/>
  <c r="K52" i="22"/>
  <c r="K61" i="22"/>
  <c r="K64" i="22"/>
  <c r="K73" i="22"/>
  <c r="K79" i="22"/>
  <c r="K84" i="22"/>
  <c r="K101" i="22"/>
  <c r="K107" i="22"/>
  <c r="K111" i="22"/>
  <c r="K115" i="22"/>
  <c r="K124" i="22"/>
  <c r="K131" i="22"/>
  <c r="K133" i="22"/>
  <c r="K167" i="22"/>
  <c r="K190" i="22"/>
  <c r="K204" i="22"/>
  <c r="K213" i="22"/>
  <c r="K259" i="22"/>
  <c r="K266" i="22"/>
  <c r="K271" i="22"/>
  <c r="K286" i="22"/>
  <c r="K300" i="22"/>
  <c r="K309" i="22"/>
  <c r="K317" i="22"/>
  <c r="K339" i="22"/>
  <c r="K350" i="22"/>
  <c r="K356" i="22"/>
  <c r="K372" i="22"/>
  <c r="K377" i="22"/>
  <c r="K387" i="22"/>
  <c r="K404" i="22"/>
  <c r="K441" i="22"/>
  <c r="K450" i="22"/>
  <c r="K454" i="22"/>
  <c r="K475" i="22"/>
  <c r="K481" i="22"/>
  <c r="K503" i="22"/>
  <c r="K513" i="22"/>
  <c r="K532" i="22"/>
  <c r="K537" i="22"/>
  <c r="K542" i="22"/>
  <c r="K558" i="22"/>
  <c r="K130" i="22"/>
  <c r="K145" i="22"/>
  <c r="K162" i="22"/>
  <c r="K209" i="22"/>
  <c r="K224" i="22"/>
  <c r="K236" i="22"/>
  <c r="K243" i="22"/>
  <c r="K261" i="22"/>
  <c r="K285" i="22"/>
  <c r="K288" i="22"/>
  <c r="K293" i="22"/>
  <c r="K311" i="22"/>
  <c r="K322" i="22"/>
  <c r="K361" i="22"/>
  <c r="K364" i="22"/>
  <c r="K391" i="22"/>
  <c r="K398" i="22"/>
  <c r="K401" i="22"/>
  <c r="K414" i="22"/>
  <c r="K457" i="22"/>
  <c r="K512" i="22"/>
  <c r="K525" i="22"/>
  <c r="K533" i="22"/>
  <c r="K544" i="22"/>
  <c r="K549" i="22"/>
  <c r="K568" i="22"/>
  <c r="K578" i="22"/>
  <c r="K586" i="22"/>
  <c r="K42" i="22"/>
  <c r="K48" i="22"/>
  <c r="K51" i="22"/>
  <c r="K55" i="22"/>
  <c r="K65" i="22"/>
  <c r="K70" i="22"/>
  <c r="K74" i="22"/>
  <c r="K82" i="22"/>
  <c r="K90" i="22"/>
  <c r="K100" i="22"/>
  <c r="K106" i="22"/>
  <c r="K120" i="22"/>
  <c r="K138" i="22"/>
  <c r="K143" i="22"/>
  <c r="K166" i="22"/>
  <c r="K180" i="22"/>
  <c r="K183" i="22"/>
  <c r="K212" i="22"/>
  <c r="K221" i="22"/>
  <c r="K227" i="22"/>
  <c r="K254" i="22"/>
  <c r="K260" i="22"/>
  <c r="K299" i="22"/>
  <c r="K314" i="22"/>
  <c r="K346" i="22"/>
  <c r="K375" i="22"/>
  <c r="K382" i="22"/>
  <c r="K390" i="22"/>
  <c r="K394" i="22"/>
  <c r="K413" i="22"/>
  <c r="K416" i="22"/>
  <c r="K430" i="22"/>
  <c r="K439" i="22"/>
  <c r="K452" i="22"/>
  <c r="K469" i="22"/>
  <c r="K480" i="22"/>
  <c r="K488" i="22"/>
  <c r="K493" i="22"/>
  <c r="K498" i="22"/>
  <c r="K510" i="22"/>
  <c r="K550" i="22"/>
  <c r="K555" i="22"/>
  <c r="K571" i="22"/>
  <c r="K582" i="22"/>
  <c r="K585" i="22"/>
  <c r="K60" i="22"/>
  <c r="K67" i="22"/>
  <c r="K77" i="22"/>
  <c r="K85" i="22"/>
  <c r="K99" i="22"/>
  <c r="K105" i="22"/>
  <c r="K119" i="22"/>
  <c r="K128" i="22"/>
  <c r="K132" i="22"/>
  <c r="K139" i="22"/>
  <c r="K178" i="22"/>
  <c r="K182" i="22"/>
  <c r="K201" i="22"/>
  <c r="K211" i="22"/>
  <c r="K218" i="22"/>
  <c r="K223" i="22"/>
  <c r="K229" i="22"/>
  <c r="K251" i="22"/>
  <c r="K274" i="22"/>
  <c r="K310" i="22"/>
  <c r="K343" i="22"/>
  <c r="K374" i="22"/>
  <c r="K392" i="22"/>
  <c r="K403" i="22"/>
  <c r="K409" i="22"/>
  <c r="K412" i="22"/>
  <c r="K423" i="22"/>
  <c r="K434" i="22"/>
  <c r="K455" i="22"/>
  <c r="K458" i="22"/>
  <c r="K468" i="22"/>
  <c r="K472" i="22"/>
  <c r="K478" i="22"/>
  <c r="K487" i="22"/>
  <c r="K491" i="22"/>
  <c r="K495" i="22"/>
  <c r="K501" i="22"/>
  <c r="K509" i="22"/>
  <c r="K552" i="22"/>
  <c r="K566" i="22"/>
  <c r="K581" i="22"/>
  <c r="C39" i="22" a="1"/>
  <c r="K141" i="22"/>
  <c r="K150" i="22"/>
  <c r="K163" i="22"/>
  <c r="K202" i="22"/>
  <c r="K207" i="22"/>
  <c r="K222" i="22"/>
  <c r="K238" i="22"/>
  <c r="K241" i="22"/>
  <c r="K244" i="22"/>
  <c r="K284" i="22"/>
  <c r="K292" i="22"/>
  <c r="K296" i="22"/>
  <c r="K312" i="22"/>
  <c r="K326" i="22"/>
  <c r="K334" i="22"/>
  <c r="K351" i="22"/>
  <c r="K360" i="22"/>
  <c r="K366" i="22"/>
  <c r="K397" i="22"/>
  <c r="K400" i="22"/>
  <c r="K405" i="22"/>
  <c r="K419" i="22"/>
  <c r="K428" i="22"/>
  <c r="K432" i="22"/>
  <c r="K446" i="22"/>
  <c r="K473" i="22"/>
  <c r="K477" i="22"/>
  <c r="K507" i="22"/>
  <c r="K524" i="22"/>
  <c r="K564" i="22"/>
  <c r="K572" i="22"/>
  <c r="K580" i="22"/>
  <c r="K587" i="22"/>
  <c r="G39" i="22" a="1"/>
  <c r="K110" i="22"/>
  <c r="K142" i="22"/>
  <c r="K151" i="22"/>
  <c r="K172" i="22"/>
  <c r="K179" i="22"/>
  <c r="K193" i="22"/>
  <c r="K200" i="22"/>
  <c r="K205" i="22"/>
  <c r="K226" i="22"/>
  <c r="K231" i="22"/>
  <c r="K248" i="22"/>
  <c r="K278" i="22"/>
  <c r="K291" i="22"/>
  <c r="K298" i="22"/>
  <c r="K320" i="22"/>
  <c r="K347" i="22"/>
  <c r="K354" i="22"/>
  <c r="K365" i="22"/>
  <c r="K370" i="22"/>
  <c r="K386" i="22"/>
  <c r="K389" i="22"/>
  <c r="K393" i="22"/>
  <c r="K415" i="22"/>
  <c r="K435" i="22"/>
  <c r="K453" i="22"/>
  <c r="K460" i="22"/>
  <c r="K466" i="22"/>
  <c r="K471" i="22"/>
  <c r="K492" i="22"/>
  <c r="K511" i="22"/>
  <c r="K521" i="22"/>
  <c r="K553" i="22"/>
  <c r="K560" i="22"/>
  <c r="K567" i="22"/>
  <c r="K577" i="22"/>
  <c r="K589" i="22"/>
  <c r="H39" i="22" a="1"/>
  <c r="K40" i="22"/>
  <c r="K45" i="22"/>
  <c r="K47" i="22"/>
  <c r="K49" i="22"/>
  <c r="K53" i="22"/>
  <c r="K58" i="22"/>
  <c r="K62" i="22"/>
  <c r="K66" i="22"/>
  <c r="K76" i="22"/>
  <c r="K83" i="22"/>
  <c r="K86" i="22"/>
  <c r="K89" i="22"/>
  <c r="K104" i="22"/>
  <c r="K134" i="22"/>
  <c r="K147" i="22"/>
  <c r="K160" i="22"/>
  <c r="K203" i="22"/>
  <c r="K217" i="22"/>
  <c r="K246" i="22"/>
  <c r="K258" i="22"/>
  <c r="K275" i="22"/>
  <c r="K307" i="22"/>
  <c r="K344" i="22"/>
  <c r="K362" i="22"/>
  <c r="K368" i="22"/>
  <c r="K418" i="22"/>
  <c r="K425" i="22"/>
  <c r="K429" i="22"/>
  <c r="K437" i="22"/>
  <c r="K483" i="22"/>
  <c r="K496" i="22"/>
  <c r="K529" i="22"/>
  <c r="K538" i="22"/>
  <c r="K559" i="22"/>
  <c r="K570" i="22"/>
  <c r="K579" i="22"/>
  <c r="D39" i="22" a="1"/>
  <c r="K88" i="22"/>
  <c r="K93" i="22"/>
  <c r="K125" i="22"/>
  <c r="K155" i="22"/>
  <c r="K171" i="22"/>
  <c r="K192" i="22"/>
  <c r="K208" i="22"/>
  <c r="K219" i="22"/>
  <c r="K237" i="22"/>
  <c r="K242" i="22"/>
  <c r="K250" i="22"/>
  <c r="K256" i="22"/>
  <c r="K265" i="22"/>
  <c r="K270" i="22"/>
  <c r="K304" i="22"/>
  <c r="K313" i="22"/>
  <c r="K323" i="22"/>
  <c r="K328" i="22"/>
  <c r="K330" i="22"/>
  <c r="K349" i="22"/>
  <c r="K358" i="22"/>
  <c r="K369" i="22"/>
  <c r="K396" i="22"/>
  <c r="K422" i="22"/>
  <c r="K443" i="22"/>
  <c r="K499" i="22"/>
  <c r="K531" i="22"/>
  <c r="K557" i="22"/>
  <c r="K95" i="22"/>
  <c r="K114" i="22"/>
  <c r="K117" i="22"/>
  <c r="K170" i="22"/>
  <c r="K174" i="22"/>
  <c r="K186" i="22"/>
  <c r="K234" i="22"/>
  <c r="K262" i="22"/>
  <c r="K268" i="22"/>
  <c r="K272" i="22"/>
  <c r="K287" i="22"/>
  <c r="K308" i="22"/>
  <c r="K338" i="22"/>
  <c r="K345" i="22"/>
  <c r="K355" i="22"/>
  <c r="K373" i="22"/>
  <c r="K406" i="22"/>
  <c r="K431" i="22"/>
  <c r="K451" i="22"/>
  <c r="K465" i="22"/>
  <c r="K474" i="22"/>
  <c r="K482" i="22"/>
  <c r="K500" i="22"/>
  <c r="K514" i="22"/>
  <c r="K520" i="22"/>
  <c r="K536" i="22"/>
  <c r="K563" i="22"/>
  <c r="K573" i="22"/>
  <c r="V10" i="17" a="1"/>
  <c r="W10" i="17"/>
  <c r="W11" i="17"/>
  <c r="W12" i="17"/>
  <c r="W13" i="17"/>
  <c r="W14" i="17"/>
  <c r="W15" i="17"/>
  <c r="W16" i="17"/>
  <c r="W17" i="17"/>
  <c r="W18" i="17"/>
  <c r="W19" i="17"/>
  <c r="W88" i="17"/>
  <c r="W94" i="17"/>
  <c r="W97" i="17"/>
  <c r="W101" i="17"/>
  <c r="W103" i="17"/>
  <c r="W107" i="17"/>
  <c r="W111" i="17"/>
  <c r="W115" i="17"/>
  <c r="W119" i="17"/>
  <c r="W121" i="17"/>
  <c r="W129" i="17"/>
  <c r="W135" i="17"/>
  <c r="W143" i="17"/>
  <c r="W151" i="17"/>
  <c r="W156" i="17"/>
  <c r="W162" i="17"/>
  <c r="W173" i="17"/>
  <c r="W180" i="17"/>
  <c r="W191" i="17"/>
  <c r="W201" i="17"/>
  <c r="W20" i="17"/>
  <c r="W21" i="17"/>
  <c r="W22" i="17"/>
  <c r="W23" i="17"/>
  <c r="W24" i="17"/>
  <c r="W25" i="17"/>
  <c r="W26" i="17"/>
  <c r="W27" i="17"/>
  <c r="W28" i="17"/>
  <c r="W29" i="17"/>
  <c r="W30" i="17"/>
  <c r="W55" i="17"/>
  <c r="W59" i="17"/>
  <c r="W64" i="17"/>
  <c r="W68" i="17"/>
  <c r="W71" i="17"/>
  <c r="W78" i="17"/>
  <c r="W82" i="17"/>
  <c r="W92" i="17"/>
  <c r="W99" i="17"/>
  <c r="W104" i="17"/>
  <c r="W108" i="17"/>
  <c r="W116" i="17"/>
  <c r="W124" i="17"/>
  <c r="W128" i="17"/>
  <c r="W134" i="17"/>
  <c r="W140" i="17"/>
  <c r="W144" i="17"/>
  <c r="W152" i="17"/>
  <c r="W160" i="17"/>
  <c r="W168" i="17"/>
  <c r="W174" i="17"/>
  <c r="W184" i="17"/>
  <c r="W188" i="17"/>
  <c r="W200" i="17"/>
  <c r="W31" i="17"/>
  <c r="W32" i="17"/>
  <c r="W33" i="17"/>
  <c r="W34" i="17"/>
  <c r="W35" i="17"/>
  <c r="W36" i="17"/>
  <c r="W37" i="17"/>
  <c r="W38" i="17"/>
  <c r="W39" i="17"/>
  <c r="W40" i="17"/>
  <c r="W50" i="17"/>
  <c r="W56" i="17"/>
  <c r="W58" i="17"/>
  <c r="W63" i="17"/>
  <c r="W67" i="17"/>
  <c r="W72" i="17"/>
  <c r="W75" i="17"/>
  <c r="W80" i="17"/>
  <c r="W84" i="17"/>
  <c r="W87" i="17"/>
  <c r="W90" i="17"/>
  <c r="W105" i="17"/>
  <c r="W110" i="17"/>
  <c r="W113" i="17"/>
  <c r="W120" i="17"/>
  <c r="W126" i="17"/>
  <c r="W132" i="17"/>
  <c r="W138" i="17"/>
  <c r="W141" i="17"/>
  <c r="W147" i="17"/>
  <c r="W157" i="17"/>
  <c r="W165" i="17"/>
  <c r="W171" i="17"/>
  <c r="W176" i="17"/>
  <c r="W179" i="17"/>
  <c r="W183" i="17"/>
  <c r="W187" i="17"/>
  <c r="W190" i="17"/>
  <c r="W198" i="17"/>
  <c r="W206" i="17"/>
  <c r="U10" i="17" a="1"/>
  <c r="W41" i="17"/>
  <c r="W42" i="17"/>
  <c r="W43" i="17"/>
  <c r="W44" i="17"/>
  <c r="W45" i="17"/>
  <c r="W46" i="17"/>
  <c r="W47" i="17"/>
  <c r="W48" i="17"/>
  <c r="W49" i="17"/>
  <c r="W53" i="17"/>
  <c r="W57" i="17"/>
  <c r="W60" i="17"/>
  <c r="W65" i="17"/>
  <c r="W69" i="17"/>
  <c r="W73" i="17"/>
  <c r="W76" i="17"/>
  <c r="W83" i="17"/>
  <c r="W89" i="17"/>
  <c r="W95" i="17"/>
  <c r="W102" i="17"/>
  <c r="W106" i="17"/>
  <c r="W112" i="17"/>
  <c r="W117" i="17"/>
  <c r="W125" i="17"/>
  <c r="W131" i="17"/>
  <c r="W137" i="17"/>
  <c r="W142" i="17"/>
  <c r="W146" i="17"/>
  <c r="W150" i="17"/>
  <c r="W153" i="17"/>
  <c r="W161" i="17"/>
  <c r="W167" i="17"/>
  <c r="W172" i="17"/>
  <c r="W177" i="17"/>
  <c r="W182" i="17"/>
  <c r="W186" i="17"/>
  <c r="W189" i="17"/>
  <c r="W195" i="17"/>
  <c r="W204" i="17"/>
  <c r="W208" i="17"/>
  <c r="W51" i="17"/>
  <c r="W52" i="17"/>
  <c r="W54" i="17"/>
  <c r="W62" i="17"/>
  <c r="W66" i="17"/>
  <c r="W70" i="17"/>
  <c r="W74" i="17"/>
  <c r="W77" i="17"/>
  <c r="W81" i="17"/>
  <c r="W85" i="17"/>
  <c r="W91" i="17"/>
  <c r="W96" i="17"/>
  <c r="W100" i="17"/>
  <c r="W114" i="17"/>
  <c r="W122" i="17"/>
  <c r="W127" i="17"/>
  <c r="W133" i="17"/>
  <c r="W139" i="17"/>
  <c r="W145" i="17"/>
  <c r="W149" i="17"/>
  <c r="W155" i="17"/>
  <c r="W159" i="17"/>
  <c r="W164" i="17"/>
  <c r="W169" i="17"/>
  <c r="W194" i="17"/>
  <c r="W197" i="17"/>
  <c r="W202" i="17"/>
  <c r="W205" i="17"/>
  <c r="W209" i="17"/>
  <c r="W61" i="17"/>
  <c r="W79" i="17"/>
  <c r="W86" i="17"/>
  <c r="W93" i="17"/>
  <c r="W98" i="17"/>
  <c r="W109" i="17"/>
  <c r="W118" i="17"/>
  <c r="W123" i="17"/>
  <c r="W130" i="17"/>
  <c r="W136" i="17"/>
  <c r="W148" i="17"/>
  <c r="W154" i="17"/>
  <c r="W158" i="17"/>
  <c r="W163" i="17"/>
  <c r="W166" i="17"/>
  <c r="W170" i="17"/>
  <c r="W175" i="17"/>
  <c r="W178" i="17"/>
  <c r="W181" i="17"/>
  <c r="W193" i="17"/>
  <c r="W196" i="17"/>
  <c r="W199" i="17"/>
  <c r="W203" i="17"/>
  <c r="W207" i="17"/>
  <c r="W185" i="17"/>
  <c r="W192" i="17"/>
  <c r="R10" i="17" a="1"/>
  <c r="H10" i="17" a="1"/>
  <c r="A22" i="19"/>
  <c r="N22" i="19" a="1"/>
  <c r="AF10" i="17" a="1"/>
  <c r="Z10" i="17" a="1"/>
  <c r="Y10" i="17" a="1"/>
  <c r="S10" i="17" a="1"/>
  <c r="N10" i="17" a="1"/>
  <c r="Q10" i="17" a="1"/>
  <c r="P10" i="17" a="1"/>
  <c r="O10" i="17" a="1"/>
  <c r="L10" i="17" a="1"/>
  <c r="K10" i="17" a="1"/>
  <c r="J10" i="17" a="1"/>
  <c r="S10" i="17" l="1"/>
  <c r="U10" i="17"/>
  <c r="Q10" i="17"/>
  <c r="H10" i="17"/>
  <c r="O10" i="17"/>
  <c r="Z10" i="17"/>
  <c r="V10" i="17"/>
  <c r="X10" i="17" s="1" a="1"/>
  <c r="AF10" i="17"/>
  <c r="P10" i="17"/>
  <c r="F22" i="19" s="1" a="1"/>
  <c r="F22" i="19" s="1"/>
  <c r="F23" i="19" a="1"/>
  <c r="F23" i="19" s="1"/>
  <c r="H23" i="19" s="1"/>
  <c r="F24" i="19" a="1"/>
  <c r="F24" i="19" s="1"/>
  <c r="H24" i="19" s="1"/>
  <c r="F25" i="19" a="1"/>
  <c r="F25" i="19" s="1"/>
  <c r="H25" i="19" s="1"/>
  <c r="F26" i="19" a="1"/>
  <c r="F26" i="19" s="1"/>
  <c r="H26" i="19" s="1"/>
  <c r="F27" i="19" a="1"/>
  <c r="F27" i="19" s="1"/>
  <c r="H27" i="19" s="1"/>
  <c r="F28" i="19" a="1"/>
  <c r="F28" i="19" s="1"/>
  <c r="H28" i="19" s="1"/>
  <c r="F29" i="19" a="1"/>
  <c r="F29" i="19" s="1"/>
  <c r="H29" i="19" s="1"/>
  <c r="F30" i="19" a="1"/>
  <c r="F30" i="19" s="1"/>
  <c r="H30" i="19" s="1"/>
  <c r="F31" i="19" a="1"/>
  <c r="F31" i="19" s="1"/>
  <c r="H31" i="19" s="1"/>
  <c r="F32" i="19" a="1"/>
  <c r="F32" i="19" s="1"/>
  <c r="H32" i="19" s="1"/>
  <c r="F33" i="19" a="1"/>
  <c r="F33" i="19" s="1"/>
  <c r="H33" i="19" s="1"/>
  <c r="F34" i="19" a="1"/>
  <c r="F34" i="19" s="1"/>
  <c r="H34" i="19" s="1"/>
  <c r="F35" i="19" a="1"/>
  <c r="F35" i="19" s="1"/>
  <c r="H35" i="19" s="1"/>
  <c r="F36" i="19" a="1"/>
  <c r="F36" i="19" s="1"/>
  <c r="H36" i="19" s="1"/>
  <c r="F37" i="19" a="1"/>
  <c r="F37" i="19" s="1"/>
  <c r="H37" i="19" s="1"/>
  <c r="F38" i="19" a="1"/>
  <c r="F38" i="19" s="1"/>
  <c r="H38" i="19" s="1"/>
  <c r="F39" i="19" a="1"/>
  <c r="F39" i="19" s="1"/>
  <c r="H39" i="19" s="1"/>
  <c r="F40" i="19" a="1"/>
  <c r="F40" i="19" s="1"/>
  <c r="H40" i="19" s="1"/>
  <c r="F41" i="19" a="1"/>
  <c r="F41" i="19" s="1"/>
  <c r="H41" i="19" s="1"/>
  <c r="F42" i="19" a="1"/>
  <c r="F42" i="19" s="1"/>
  <c r="H42" i="19" s="1"/>
  <c r="F43" i="19" a="1"/>
  <c r="F43" i="19" s="1"/>
  <c r="H43" i="19" s="1"/>
  <c r="F44" i="19" a="1"/>
  <c r="F44" i="19" s="1"/>
  <c r="H44" i="19" s="1"/>
  <c r="F45" i="19" a="1"/>
  <c r="F45" i="19" s="1"/>
  <c r="H45" i="19" s="1"/>
  <c r="F46" i="19" a="1"/>
  <c r="F46" i="19" s="1"/>
  <c r="H46" i="19" s="1"/>
  <c r="F47" i="19" a="1"/>
  <c r="F47" i="19" s="1"/>
  <c r="H47" i="19" s="1"/>
  <c r="F48" i="19" a="1"/>
  <c r="F48" i="19" s="1"/>
  <c r="H48" i="19" s="1"/>
  <c r="F49" i="19" a="1"/>
  <c r="F49" i="19" s="1"/>
  <c r="H49" i="19" s="1"/>
  <c r="F50" i="19" a="1"/>
  <c r="F50" i="19" s="1"/>
  <c r="H50" i="19" s="1"/>
  <c r="F51" i="19" a="1"/>
  <c r="F51" i="19" s="1"/>
  <c r="H51" i="19" s="1"/>
  <c r="F52" i="19" a="1"/>
  <c r="F52" i="19" s="1"/>
  <c r="H52" i="19" s="1"/>
  <c r="F53" i="19" a="1"/>
  <c r="F53" i="19" s="1"/>
  <c r="H53" i="19" s="1"/>
  <c r="F54" i="19" a="1"/>
  <c r="F54" i="19" s="1"/>
  <c r="H54" i="19" s="1"/>
  <c r="F55" i="19" a="1"/>
  <c r="F55" i="19" s="1"/>
  <c r="H55" i="19" s="1"/>
  <c r="F56" i="19" a="1"/>
  <c r="F56" i="19" s="1"/>
  <c r="H56" i="19" s="1"/>
  <c r="F57" i="19" a="1"/>
  <c r="F57" i="19" s="1"/>
  <c r="H57" i="19" s="1"/>
  <c r="F58" i="19" a="1"/>
  <c r="F58" i="19" s="1"/>
  <c r="H58" i="19" s="1"/>
  <c r="F59" i="19" a="1"/>
  <c r="F59" i="19" s="1"/>
  <c r="H59" i="19" s="1"/>
  <c r="F60" i="19" a="1"/>
  <c r="F60" i="19" s="1"/>
  <c r="H60" i="19" s="1"/>
  <c r="F61" i="19" a="1"/>
  <c r="F61" i="19" s="1"/>
  <c r="H61" i="19" s="1"/>
  <c r="F62" i="19" a="1"/>
  <c r="F62" i="19" s="1"/>
  <c r="H62" i="19" s="1"/>
  <c r="F63" i="19" a="1"/>
  <c r="F63" i="19" s="1"/>
  <c r="H63" i="19" s="1"/>
  <c r="F64" i="19" a="1"/>
  <c r="F64" i="19" s="1"/>
  <c r="H64" i="19" s="1"/>
  <c r="F65" i="19" a="1"/>
  <c r="F65" i="19" s="1"/>
  <c r="H65" i="19" s="1"/>
  <c r="F66" i="19" a="1"/>
  <c r="F66" i="19" s="1"/>
  <c r="H66" i="19" s="1"/>
  <c r="F67" i="19" a="1"/>
  <c r="F67" i="19" s="1"/>
  <c r="H67" i="19" s="1"/>
  <c r="F68" i="19" a="1"/>
  <c r="F68" i="19" s="1"/>
  <c r="H68" i="19" s="1"/>
  <c r="F69" i="19" a="1"/>
  <c r="F69" i="19" s="1"/>
  <c r="H69" i="19" s="1"/>
  <c r="F70" i="19" a="1"/>
  <c r="F70" i="19" s="1"/>
  <c r="H70" i="19" s="1"/>
  <c r="F71" i="19" a="1"/>
  <c r="F71" i="19" s="1"/>
  <c r="H71" i="19" s="1"/>
  <c r="B39" i="22" a="1"/>
  <c r="G22" i="19" a="1"/>
  <c r="G22" i="19" s="1"/>
  <c r="J22" i="19" a="1"/>
  <c r="J22" i="19" s="1"/>
  <c r="R10" i="17"/>
  <c r="B22" i="19" a="1"/>
  <c r="B22" i="19" s="1"/>
  <c r="I39" i="22"/>
  <c r="E39" i="22"/>
  <c r="C39" i="22"/>
  <c r="D39" i="22"/>
  <c r="K39" i="22"/>
  <c r="F39" i="22"/>
  <c r="R39" i="22" s="1" a="1"/>
  <c r="G39" i="22"/>
  <c r="S39" i="22" s="1" a="1"/>
  <c r="H39" i="22"/>
  <c r="T39" i="22" s="1" a="1"/>
  <c r="I88" i="17"/>
  <c r="I105" i="17"/>
  <c r="I115" i="17"/>
  <c r="I118" i="17"/>
  <c r="I122" i="17"/>
  <c r="I126" i="17"/>
  <c r="I136" i="17"/>
  <c r="I143" i="17"/>
  <c r="I148" i="17"/>
  <c r="I157" i="17"/>
  <c r="I172" i="17"/>
  <c r="I175" i="17"/>
  <c r="I179" i="17"/>
  <c r="I187" i="17"/>
  <c r="I17" i="17"/>
  <c r="I28" i="17"/>
  <c r="I36" i="17"/>
  <c r="I41" i="17"/>
  <c r="I44" i="17"/>
  <c r="I46" i="17"/>
  <c r="I50" i="17"/>
  <c r="I55" i="17"/>
  <c r="I62" i="17"/>
  <c r="I66" i="17"/>
  <c r="I75" i="17"/>
  <c r="I79" i="17"/>
  <c r="I82" i="17"/>
  <c r="I86" i="17"/>
  <c r="I89" i="17"/>
  <c r="I94" i="17"/>
  <c r="I97" i="17"/>
  <c r="I101" i="17"/>
  <c r="I106" i="17"/>
  <c r="I110" i="17"/>
  <c r="I112" i="17"/>
  <c r="I121" i="17"/>
  <c r="I125" i="17"/>
  <c r="I129" i="17"/>
  <c r="I132" i="17"/>
  <c r="I134" i="17"/>
  <c r="I141" i="17"/>
  <c r="I151" i="17"/>
  <c r="I156" i="17"/>
  <c r="I165" i="17"/>
  <c r="I170" i="17"/>
  <c r="I174" i="17"/>
  <c r="I176" i="17"/>
  <c r="I181" i="17"/>
  <c r="I186" i="17"/>
  <c r="I189" i="17"/>
  <c r="I192" i="17"/>
  <c r="I197" i="17"/>
  <c r="I13" i="17"/>
  <c r="I14" i="17"/>
  <c r="I16" i="17"/>
  <c r="I20" i="17"/>
  <c r="I23" i="17"/>
  <c r="I27" i="17"/>
  <c r="I30" i="17"/>
  <c r="I33" i="17"/>
  <c r="I42" i="17"/>
  <c r="I47" i="17"/>
  <c r="I53" i="17"/>
  <c r="I56" i="17"/>
  <c r="I58" i="17"/>
  <c r="I60" i="17"/>
  <c r="I64" i="17"/>
  <c r="I69" i="17"/>
  <c r="I73" i="17"/>
  <c r="I78" i="17"/>
  <c r="I83" i="17"/>
  <c r="I93" i="17"/>
  <c r="I95" i="17"/>
  <c r="I98" i="17"/>
  <c r="I102" i="17"/>
  <c r="I107" i="17"/>
  <c r="I111" i="17"/>
  <c r="I116" i="17"/>
  <c r="I120" i="17"/>
  <c r="I123" i="17"/>
  <c r="I127" i="17"/>
  <c r="I130" i="17"/>
  <c r="I133" i="17"/>
  <c r="I140" i="17"/>
  <c r="I144" i="17"/>
  <c r="I147" i="17"/>
  <c r="I152" i="17"/>
  <c r="I155" i="17"/>
  <c r="I160" i="17"/>
  <c r="I164" i="17"/>
  <c r="I168" i="17"/>
  <c r="I171" i="17"/>
  <c r="I178" i="17"/>
  <c r="I184" i="17"/>
  <c r="I194" i="17"/>
  <c r="I12" i="17"/>
  <c r="I15" i="17"/>
  <c r="I19" i="17"/>
  <c r="I21" i="17"/>
  <c r="I24" i="17"/>
  <c r="I26" i="17"/>
  <c r="I29" i="17"/>
  <c r="I32" i="17"/>
  <c r="I35" i="17"/>
  <c r="I38" i="17"/>
  <c r="I40" i="17"/>
  <c r="I48" i="17"/>
  <c r="I52" i="17"/>
  <c r="I57" i="17"/>
  <c r="I61" i="17"/>
  <c r="I65" i="17"/>
  <c r="I68" i="17"/>
  <c r="I70" i="17"/>
  <c r="I72" i="17"/>
  <c r="I76" i="17"/>
  <c r="I80" i="17"/>
  <c r="I84" i="17"/>
  <c r="I87" i="17"/>
  <c r="I91" i="17"/>
  <c r="I96" i="17"/>
  <c r="I100" i="17"/>
  <c r="I103" i="17"/>
  <c r="I109" i="17"/>
  <c r="I114" i="17"/>
  <c r="I117" i="17"/>
  <c r="I124" i="17"/>
  <c r="I128" i="17"/>
  <c r="I137" i="17"/>
  <c r="I146" i="17"/>
  <c r="I149" i="17"/>
  <c r="I159" i="17"/>
  <c r="I163" i="17"/>
  <c r="I167" i="17"/>
  <c r="I182" i="17"/>
  <c r="I190" i="17"/>
  <c r="I193" i="17"/>
  <c r="I198" i="17"/>
  <c r="I11" i="17"/>
  <c r="I18" i="17"/>
  <c r="I22" i="17"/>
  <c r="I25" i="17"/>
  <c r="I31" i="17"/>
  <c r="I34" i="17"/>
  <c r="I37" i="17"/>
  <c r="I39" i="17"/>
  <c r="I43" i="17"/>
  <c r="I45" i="17"/>
  <c r="I49" i="17"/>
  <c r="I51" i="17"/>
  <c r="I54" i="17"/>
  <c r="I59" i="17"/>
  <c r="I63" i="17"/>
  <c r="I67" i="17"/>
  <c r="I71" i="17"/>
  <c r="I74" i="17"/>
  <c r="I77" i="17"/>
  <c r="I81" i="17"/>
  <c r="I85" i="17"/>
  <c r="I90" i="17"/>
  <c r="I92" i="17"/>
  <c r="I99" i="17"/>
  <c r="I104" i="17"/>
  <c r="I108" i="17"/>
  <c r="I113" i="17"/>
  <c r="I119" i="17"/>
  <c r="I131" i="17"/>
  <c r="I135" i="17"/>
  <c r="I139" i="17"/>
  <c r="I142" i="17"/>
  <c r="I145" i="17"/>
  <c r="I150" i="17"/>
  <c r="I154" i="17"/>
  <c r="I158" i="17"/>
  <c r="I162" i="17"/>
  <c r="I166" i="17"/>
  <c r="I173" i="17"/>
  <c r="I177" i="17"/>
  <c r="I183" i="17"/>
  <c r="I185" i="17"/>
  <c r="I195" i="17"/>
  <c r="I138" i="17"/>
  <c r="I153" i="17"/>
  <c r="I161" i="17"/>
  <c r="I169" i="17"/>
  <c r="I180" i="17"/>
  <c r="I188" i="17"/>
  <c r="I191" i="17"/>
  <c r="I196" i="17"/>
  <c r="I199" i="17"/>
  <c r="I200" i="17"/>
  <c r="I201" i="17"/>
  <c r="I202" i="17"/>
  <c r="I203" i="17"/>
  <c r="I204" i="17"/>
  <c r="I205" i="17"/>
  <c r="I206" i="17"/>
  <c r="I207" i="17"/>
  <c r="I208" i="17"/>
  <c r="I209" i="17"/>
  <c r="N22" i="19"/>
  <c r="Y10" i="17"/>
  <c r="AD10" i="17" a="1"/>
  <c r="AB10" i="17" a="1"/>
  <c r="N10" i="17"/>
  <c r="M22" i="19" a="1"/>
  <c r="L10" i="17"/>
  <c r="E22" i="19" a="1"/>
  <c r="K10" i="17"/>
  <c r="D22" i="19" a="1"/>
  <c r="J10" i="17"/>
  <c r="C22" i="19" s="1" a="1"/>
  <c r="T10" i="17" l="1" a="1"/>
  <c r="AB10" i="17"/>
  <c r="AD10" i="17"/>
  <c r="B39" i="22"/>
  <c r="Q156" i="22" a="1"/>
  <c r="Q156" i="22" s="1"/>
  <c r="Q157" i="22" a="1"/>
  <c r="Q157" i="22" s="1"/>
  <c r="Q158" i="22" a="1"/>
  <c r="Q158" i="22" s="1"/>
  <c r="Q159" i="22" a="1"/>
  <c r="Q159" i="22" s="1"/>
  <c r="Q160" i="22" a="1"/>
  <c r="Q160" i="22" s="1"/>
  <c r="Q161" i="22" a="1"/>
  <c r="Q161" i="22" s="1"/>
  <c r="Q162" i="22" a="1"/>
  <c r="Q162" i="22" s="1"/>
  <c r="Q163" i="22" a="1"/>
  <c r="Q163" i="22" s="1"/>
  <c r="Q164" i="22" a="1"/>
  <c r="Q164" i="22" s="1"/>
  <c r="Q165" i="22" a="1"/>
  <c r="Q165" i="22" s="1"/>
  <c r="Q166" i="22" a="1"/>
  <c r="Q166" i="22" s="1"/>
  <c r="Q167" i="22" a="1"/>
  <c r="Q167" i="22" s="1"/>
  <c r="Q168" i="22" a="1"/>
  <c r="Q168" i="22" s="1"/>
  <c r="Q169" i="22" a="1"/>
  <c r="Q169" i="22" s="1"/>
  <c r="Q170" i="22" a="1"/>
  <c r="Q170" i="22" s="1"/>
  <c r="Q171" i="22" a="1"/>
  <c r="Q171" i="22" s="1"/>
  <c r="Q172" i="22" a="1"/>
  <c r="Q172" i="22" s="1"/>
  <c r="Q173" i="22" a="1"/>
  <c r="Q173" i="22" s="1"/>
  <c r="Q174" i="22" a="1"/>
  <c r="Q174" i="22" s="1"/>
  <c r="Q175" i="22" a="1"/>
  <c r="Q175" i="22" s="1"/>
  <c r="Q176" i="22" a="1"/>
  <c r="Q176" i="22" s="1"/>
  <c r="Q177" i="22" a="1"/>
  <c r="Q177" i="22" s="1"/>
  <c r="Q178" i="22" a="1"/>
  <c r="Q178" i="22" s="1"/>
  <c r="Q179" i="22" a="1"/>
  <c r="Q179" i="22" s="1"/>
  <c r="Q180" i="22" a="1"/>
  <c r="Q180" i="22" s="1"/>
  <c r="Q181" i="22" a="1"/>
  <c r="Q181" i="22" s="1"/>
  <c r="Q182" i="22" a="1"/>
  <c r="Q182" i="22" s="1"/>
  <c r="Q183" i="22" a="1"/>
  <c r="Q183" i="22" s="1"/>
  <c r="Q184" i="22" a="1"/>
  <c r="Q184" i="22" s="1"/>
  <c r="Q185" i="22" a="1"/>
  <c r="Q185" i="22" s="1"/>
  <c r="Q186" i="22" a="1"/>
  <c r="Q186" i="22" s="1"/>
  <c r="Q187" i="22" a="1"/>
  <c r="Q187" i="22" s="1"/>
  <c r="Q188" i="22" a="1"/>
  <c r="Q188" i="22" s="1"/>
  <c r="Q189" i="22" a="1"/>
  <c r="Q189" i="22" s="1"/>
  <c r="Q190" i="22" a="1"/>
  <c r="Q190" i="22" s="1"/>
  <c r="Q191" i="22" a="1"/>
  <c r="Q191" i="22" s="1"/>
  <c r="Q192" i="22" a="1"/>
  <c r="Q192" i="22" s="1"/>
  <c r="Q193" i="22" a="1"/>
  <c r="Q193" i="22" s="1"/>
  <c r="Q194" i="22" a="1"/>
  <c r="Q194" i="22" s="1"/>
  <c r="Q195" i="22" a="1"/>
  <c r="Q195" i="22" s="1"/>
  <c r="Q196" i="22" a="1"/>
  <c r="Q196" i="22" s="1"/>
  <c r="Q197" i="22" a="1"/>
  <c r="Q197" i="22" s="1"/>
  <c r="Q198" i="22" a="1"/>
  <c r="Q198" i="22" s="1"/>
  <c r="Q199" i="22" a="1"/>
  <c r="Q199" i="22" s="1"/>
  <c r="Q200" i="22" a="1"/>
  <c r="Q200" i="22" s="1"/>
  <c r="Q201" i="22" a="1"/>
  <c r="Q201" i="22" s="1"/>
  <c r="Q202" i="22" a="1"/>
  <c r="Q202" i="22" s="1"/>
  <c r="Q203" i="22" a="1"/>
  <c r="Q203" i="22" s="1"/>
  <c r="Q204" i="22" a="1"/>
  <c r="Q204" i="22" s="1"/>
  <c r="Q205" i="22" a="1"/>
  <c r="Q205" i="22" s="1"/>
  <c r="Q206" i="22" a="1"/>
  <c r="Q206" i="22" s="1"/>
  <c r="Q207" i="22" a="1"/>
  <c r="Q207" i="22" s="1"/>
  <c r="Q208" i="22" a="1"/>
  <c r="Q208" i="22" s="1"/>
  <c r="Q209" i="22" a="1"/>
  <c r="Q209" i="22" s="1"/>
  <c r="Q210" i="22" a="1"/>
  <c r="Q210" i="22" s="1"/>
  <c r="Q211" i="22" a="1"/>
  <c r="Q211" i="22" s="1"/>
  <c r="Q212" i="22" a="1"/>
  <c r="Q212" i="22" s="1"/>
  <c r="Q213" i="22" a="1"/>
  <c r="Q213" i="22" s="1"/>
  <c r="Q214" i="22" a="1"/>
  <c r="Q214" i="22" s="1"/>
  <c r="Q215" i="22" a="1"/>
  <c r="Q215" i="22" s="1"/>
  <c r="Q216" i="22" a="1"/>
  <c r="Q216" i="22" s="1"/>
  <c r="Q446" i="22" a="1"/>
  <c r="Q446" i="22" s="1"/>
  <c r="Q456" i="22" a="1"/>
  <c r="Q456" i="22" s="1"/>
  <c r="Q217" i="22" a="1"/>
  <c r="Q217" i="22" s="1"/>
  <c r="Q218" i="22" a="1"/>
  <c r="Q218" i="22" s="1"/>
  <c r="Q219" i="22" a="1"/>
  <c r="Q219" i="22" s="1"/>
  <c r="Q220" i="22" a="1"/>
  <c r="Q220" i="22" s="1"/>
  <c r="Q221" i="22" a="1"/>
  <c r="Q221" i="22" s="1"/>
  <c r="Q222" i="22" a="1"/>
  <c r="Q222" i="22" s="1"/>
  <c r="Q223" i="22" a="1"/>
  <c r="Q223" i="22" s="1"/>
  <c r="Q224" i="22" a="1"/>
  <c r="Q224" i="22" s="1"/>
  <c r="Q225" i="22" a="1"/>
  <c r="Q225" i="22" s="1"/>
  <c r="Q226" i="22" a="1"/>
  <c r="Q226" i="22" s="1"/>
  <c r="Q227" i="22" a="1"/>
  <c r="Q227" i="22" s="1"/>
  <c r="Q228" i="22" a="1"/>
  <c r="Q228" i="22" s="1"/>
  <c r="Q229" i="22" a="1"/>
  <c r="Q229" i="22" s="1"/>
  <c r="Q230" i="22" a="1"/>
  <c r="Q230" i="22" s="1"/>
  <c r="Q231" i="22" a="1"/>
  <c r="Q231" i="22" s="1"/>
  <c r="Q232" i="22" a="1"/>
  <c r="Q232" i="22" s="1"/>
  <c r="Q233" i="22" a="1"/>
  <c r="Q233" i="22" s="1"/>
  <c r="Q234" i="22" a="1"/>
  <c r="Q234" i="22" s="1"/>
  <c r="Q235" i="22" a="1"/>
  <c r="Q235" i="22" s="1"/>
  <c r="Q236" i="22" a="1"/>
  <c r="Q236" i="22" s="1"/>
  <c r="Q237" i="22" a="1"/>
  <c r="Q237" i="22" s="1"/>
  <c r="Q238" i="22" a="1"/>
  <c r="Q238" i="22" s="1"/>
  <c r="Q239" i="22" a="1"/>
  <c r="Q239" i="22" s="1"/>
  <c r="Q240" i="22" a="1"/>
  <c r="Q240" i="22" s="1"/>
  <c r="Q241" i="22" a="1"/>
  <c r="Q241" i="22" s="1"/>
  <c r="Q242" i="22" a="1"/>
  <c r="Q242" i="22" s="1"/>
  <c r="Q243" i="22" a="1"/>
  <c r="Q243" i="22" s="1"/>
  <c r="Q244" i="22" a="1"/>
  <c r="Q244" i="22" s="1"/>
  <c r="Q245" i="22" a="1"/>
  <c r="Q245" i="22" s="1"/>
  <c r="Q246" i="22" a="1"/>
  <c r="Q246" i="22" s="1"/>
  <c r="Q247" i="22" a="1"/>
  <c r="Q247" i="22" s="1"/>
  <c r="Q248" i="22" a="1"/>
  <c r="Q248" i="22" s="1"/>
  <c r="Q249" i="22" a="1"/>
  <c r="Q249" i="22" s="1"/>
  <c r="Q250" i="22" a="1"/>
  <c r="Q250" i="22" s="1"/>
  <c r="Q251" i="22" a="1"/>
  <c r="Q251" i="22" s="1"/>
  <c r="Q252" i="22" a="1"/>
  <c r="Q252" i="22" s="1"/>
  <c r="Q253" i="22" a="1"/>
  <c r="Q253" i="22" s="1"/>
  <c r="Q254" i="22" a="1"/>
  <c r="Q254" i="22" s="1"/>
  <c r="Q255" i="22" a="1"/>
  <c r="Q255" i="22" s="1"/>
  <c r="Q256" i="22" a="1"/>
  <c r="Q256" i="22" s="1"/>
  <c r="Q257" i="22" a="1"/>
  <c r="Q257" i="22" s="1"/>
  <c r="Q258" i="22" a="1"/>
  <c r="Q258" i="22" s="1"/>
  <c r="Q259" i="22" a="1"/>
  <c r="Q259" i="22" s="1"/>
  <c r="Q260" i="22" a="1"/>
  <c r="Q260" i="22" s="1"/>
  <c r="Q261" i="22" a="1"/>
  <c r="Q261" i="22" s="1"/>
  <c r="Q262" i="22" a="1"/>
  <c r="Q262" i="22" s="1"/>
  <c r="Q263" i="22" a="1"/>
  <c r="Q263" i="22" s="1"/>
  <c r="Q264" i="22" a="1"/>
  <c r="Q264" i="22" s="1"/>
  <c r="Q265" i="22" a="1"/>
  <c r="Q265" i="22" s="1"/>
  <c r="Q266" i="22" a="1"/>
  <c r="Q266" i="22" s="1"/>
  <c r="Q267" i="22" a="1"/>
  <c r="Q267" i="22" s="1"/>
  <c r="Q268" i="22" a="1"/>
  <c r="Q268" i="22" s="1"/>
  <c r="Q269" i="22" a="1"/>
  <c r="Q269" i="22" s="1"/>
  <c r="Q270" i="22" a="1"/>
  <c r="Q270" i="22" s="1"/>
  <c r="Q271" i="22" a="1"/>
  <c r="Q271" i="22" s="1"/>
  <c r="Q272" i="22" a="1"/>
  <c r="Q272" i="22" s="1"/>
  <c r="Q273" i="22" a="1"/>
  <c r="Q273" i="22" s="1"/>
  <c r="Q274" i="22" a="1"/>
  <c r="Q274" i="22" s="1"/>
  <c r="Q275" i="22" a="1"/>
  <c r="Q275" i="22" s="1"/>
  <c r="Q276" i="22" a="1"/>
  <c r="Q276" i="22" s="1"/>
  <c r="Q277" i="22" a="1"/>
  <c r="Q277" i="22" s="1"/>
  <c r="Q379" i="22" a="1"/>
  <c r="Q379" i="22" s="1"/>
  <c r="Q381" i="22" a="1"/>
  <c r="Q381" i="22" s="1"/>
  <c r="Q382" i="22" a="1"/>
  <c r="Q382" i="22" s="1"/>
  <c r="Q384" i="22" a="1"/>
  <c r="Q384" i="22" s="1"/>
  <c r="Q386" i="22" a="1"/>
  <c r="Q386" i="22" s="1"/>
  <c r="Q387" i="22" a="1"/>
  <c r="Q387" i="22" s="1"/>
  <c r="Q389" i="22" a="1"/>
  <c r="Q389" i="22" s="1"/>
  <c r="Q392" i="22" a="1"/>
  <c r="Q392" i="22" s="1"/>
  <c r="Q394" i="22" a="1"/>
  <c r="Q394" i="22" s="1"/>
  <c r="Q398" i="22" a="1"/>
  <c r="Q398" i="22" s="1"/>
  <c r="Q400" i="22" a="1"/>
  <c r="Q400" i="22" s="1"/>
  <c r="Q401" i="22" a="1"/>
  <c r="Q401" i="22" s="1"/>
  <c r="Q403" i="22" a="1"/>
  <c r="Q403" i="22" s="1"/>
  <c r="Q405" i="22" a="1"/>
  <c r="Q405" i="22" s="1"/>
  <c r="Q407" i="22" a="1"/>
  <c r="Q407" i="22" s="1"/>
  <c r="Q409" i="22" a="1"/>
  <c r="Q409" i="22" s="1"/>
  <c r="Q411" i="22" a="1"/>
  <c r="Q411" i="22" s="1"/>
  <c r="Q413" i="22" a="1"/>
  <c r="Q413" i="22" s="1"/>
  <c r="Q415" i="22" a="1"/>
  <c r="Q415" i="22" s="1"/>
  <c r="Q417" i="22" a="1"/>
  <c r="Q417" i="22" s="1"/>
  <c r="Q418" i="22" a="1"/>
  <c r="Q418" i="22" s="1"/>
  <c r="Q420" i="22" a="1"/>
  <c r="Q420" i="22" s="1"/>
  <c r="Q421" i="22" a="1"/>
  <c r="Q421" i="22" s="1"/>
  <c r="Q424" i="22" a="1"/>
  <c r="Q424" i="22" s="1"/>
  <c r="Q426" i="22" a="1"/>
  <c r="Q426" i="22" s="1"/>
  <c r="Q451" i="22" a="1"/>
  <c r="Q451" i="22" s="1"/>
  <c r="Q459" i="22" a="1"/>
  <c r="Q459" i="22" s="1"/>
  <c r="P545" i="22" a="1"/>
  <c r="P545" i="22" s="1"/>
  <c r="Q278" i="22" a="1"/>
  <c r="Q278" i="22" s="1"/>
  <c r="Q279" i="22" a="1"/>
  <c r="Q279" i="22" s="1"/>
  <c r="Q280" i="22" a="1"/>
  <c r="Q280" i="22" s="1"/>
  <c r="Q281" i="22" a="1"/>
  <c r="Q281" i="22" s="1"/>
  <c r="Q282" i="22" a="1"/>
  <c r="Q282" i="22" s="1"/>
  <c r="Q283" i="22" a="1"/>
  <c r="Q283" i="22" s="1"/>
  <c r="Q284" i="22" a="1"/>
  <c r="Q284" i="22" s="1"/>
  <c r="Q285" i="22" a="1"/>
  <c r="Q285" i="22" s="1"/>
  <c r="Q286" i="22" a="1"/>
  <c r="Q286" i="22" s="1"/>
  <c r="Q287" i="22" a="1"/>
  <c r="Q287" i="22" s="1"/>
  <c r="Q288" i="22" a="1"/>
  <c r="Q288" i="22" s="1"/>
  <c r="Q289" i="22" a="1"/>
  <c r="Q289" i="22" s="1"/>
  <c r="Q290" i="22" a="1"/>
  <c r="Q290" i="22" s="1"/>
  <c r="Q291" i="22" a="1"/>
  <c r="Q291" i="22" s="1"/>
  <c r="Q292" i="22" a="1"/>
  <c r="Q292" i="22" s="1"/>
  <c r="Q293" i="22" a="1"/>
  <c r="Q293" i="22" s="1"/>
  <c r="Q294" i="22" a="1"/>
  <c r="Q294" i="22" s="1"/>
  <c r="Q295" i="22" a="1"/>
  <c r="Q295" i="22" s="1"/>
  <c r="Q296" i="22" a="1"/>
  <c r="Q296" i="22" s="1"/>
  <c r="Q297" i="22" a="1"/>
  <c r="Q297" i="22" s="1"/>
  <c r="Q298" i="22" a="1"/>
  <c r="Q298" i="22" s="1"/>
  <c r="Q299" i="22" a="1"/>
  <c r="Q299" i="22" s="1"/>
  <c r="Q300" i="22" a="1"/>
  <c r="Q300" i="22" s="1"/>
  <c r="Q301" i="22" a="1"/>
  <c r="Q301" i="22" s="1"/>
  <c r="Q302" i="22" a="1"/>
  <c r="Q302" i="22" s="1"/>
  <c r="Q303" i="22" a="1"/>
  <c r="Q303" i="22" s="1"/>
  <c r="Q304" i="22" a="1"/>
  <c r="Q304" i="22" s="1"/>
  <c r="Q305" i="22" a="1"/>
  <c r="Q305" i="22" s="1"/>
  <c r="Q306" i="22" a="1"/>
  <c r="Q306" i="22" s="1"/>
  <c r="Q307" i="22" a="1"/>
  <c r="Q307" i="22" s="1"/>
  <c r="Q308" i="22" a="1"/>
  <c r="Q308" i="22" s="1"/>
  <c r="Q309" i="22" a="1"/>
  <c r="Q309" i="22" s="1"/>
  <c r="Q310" i="22" a="1"/>
  <c r="Q310" i="22" s="1"/>
  <c r="Q311" i="22" a="1"/>
  <c r="Q311" i="22" s="1"/>
  <c r="Q312" i="22" a="1"/>
  <c r="Q312" i="22" s="1"/>
  <c r="Q313" i="22" a="1"/>
  <c r="Q313" i="22" s="1"/>
  <c r="Q314" i="22" a="1"/>
  <c r="Q314" i="22" s="1"/>
  <c r="Q315" i="22" a="1"/>
  <c r="Q315" i="22" s="1"/>
  <c r="Q316" i="22" a="1"/>
  <c r="Q316" i="22" s="1"/>
  <c r="Q317" i="22" a="1"/>
  <c r="Q317" i="22" s="1"/>
  <c r="Q318" i="22" a="1"/>
  <c r="Q318" i="22" s="1"/>
  <c r="Q319" i="22" a="1"/>
  <c r="Q319" i="22" s="1"/>
  <c r="Q320" i="22" a="1"/>
  <c r="Q320" i="22" s="1"/>
  <c r="Q321" i="22" a="1"/>
  <c r="Q321" i="22" s="1"/>
  <c r="Q322" i="22" a="1"/>
  <c r="Q322" i="22" s="1"/>
  <c r="Q323" i="22" a="1"/>
  <c r="Q323" i="22" s="1"/>
  <c r="Q324" i="22" a="1"/>
  <c r="Q324" i="22" s="1"/>
  <c r="Q325" i="22" a="1"/>
  <c r="Q325" i="22" s="1"/>
  <c r="Q326" i="22" a="1"/>
  <c r="Q326" i="22" s="1"/>
  <c r="Q327" i="22" a="1"/>
  <c r="Q327" i="22" s="1"/>
  <c r="Q328" i="22" a="1"/>
  <c r="Q328" i="22" s="1"/>
  <c r="Q329" i="22" a="1"/>
  <c r="Q329" i="22" s="1"/>
  <c r="Q330" i="22" a="1"/>
  <c r="Q330" i="22" s="1"/>
  <c r="Q331" i="22" a="1"/>
  <c r="Q331" i="22" s="1"/>
  <c r="Q332" i="22" a="1"/>
  <c r="Q332" i="22" s="1"/>
  <c r="Q333" i="22" a="1"/>
  <c r="Q333" i="22" s="1"/>
  <c r="Q334" i="22" a="1"/>
  <c r="Q334" i="22" s="1"/>
  <c r="Q335" i="22" a="1"/>
  <c r="Q335" i="22" s="1"/>
  <c r="Q336" i="22" a="1"/>
  <c r="Q336" i="22" s="1"/>
  <c r="Q337" i="22" a="1"/>
  <c r="Q337" i="22" s="1"/>
  <c r="Q338" i="22" a="1"/>
  <c r="Q338" i="22" s="1"/>
  <c r="Q339" i="22" a="1"/>
  <c r="Q339" i="22" s="1"/>
  <c r="Q340" i="22" a="1"/>
  <c r="Q340" i="22" s="1"/>
  <c r="Q341" i="22" a="1"/>
  <c r="Q341" i="22" s="1"/>
  <c r="Q342" i="22" a="1"/>
  <c r="Q342" i="22" s="1"/>
  <c r="Q343" i="22" a="1"/>
  <c r="Q343" i="22" s="1"/>
  <c r="Q344" i="22" a="1"/>
  <c r="Q344" i="22" s="1"/>
  <c r="Q345" i="22" a="1"/>
  <c r="Q345" i="22" s="1"/>
  <c r="Q346" i="22" a="1"/>
  <c r="Q346" i="22" s="1"/>
  <c r="Q347" i="22" a="1"/>
  <c r="Q347" i="22" s="1"/>
  <c r="Q348" i="22" a="1"/>
  <c r="Q348" i="22" s="1"/>
  <c r="Q349" i="22" a="1"/>
  <c r="Q349" i="22" s="1"/>
  <c r="Q350" i="22" a="1"/>
  <c r="Q350" i="22" s="1"/>
  <c r="Q351" i="22" a="1"/>
  <c r="Q351" i="22" s="1"/>
  <c r="Q352" i="22" a="1"/>
  <c r="Q352" i="22" s="1"/>
  <c r="Q353" i="22" a="1"/>
  <c r="Q353" i="22" s="1"/>
  <c r="Q354" i="22" a="1"/>
  <c r="Q354" i="22" s="1"/>
  <c r="Q355" i="22" a="1"/>
  <c r="Q355" i="22" s="1"/>
  <c r="Q356" i="22" a="1"/>
  <c r="Q356" i="22" s="1"/>
  <c r="Q357" i="22" a="1"/>
  <c r="Q357" i="22" s="1"/>
  <c r="Q358" i="22" a="1"/>
  <c r="Q358" i="22" s="1"/>
  <c r="Q359" i="22" a="1"/>
  <c r="Q359" i="22" s="1"/>
  <c r="Q360" i="22" a="1"/>
  <c r="Q360" i="22" s="1"/>
  <c r="Q361" i="22" a="1"/>
  <c r="Q361" i="22" s="1"/>
  <c r="Q362" i="22" a="1"/>
  <c r="Q362" i="22" s="1"/>
  <c r="Q363" i="22" a="1"/>
  <c r="Q363" i="22" s="1"/>
  <c r="Q364" i="22" a="1"/>
  <c r="Q364" i="22" s="1"/>
  <c r="Q365" i="22" a="1"/>
  <c r="Q365" i="22" s="1"/>
  <c r="Q366" i="22" a="1"/>
  <c r="Q366" i="22" s="1"/>
  <c r="Q367" i="22" a="1"/>
  <c r="Q367" i="22" s="1"/>
  <c r="Q368" i="22" a="1"/>
  <c r="Q368" i="22" s="1"/>
  <c r="Q369" i="22" a="1"/>
  <c r="Q369" i="22" s="1"/>
  <c r="Q370" i="22" a="1"/>
  <c r="Q370" i="22" s="1"/>
  <c r="Q371" i="22" a="1"/>
  <c r="Q371" i="22" s="1"/>
  <c r="Q372" i="22" a="1"/>
  <c r="Q372" i="22" s="1"/>
  <c r="Q373" i="22" a="1"/>
  <c r="Q373" i="22" s="1"/>
  <c r="Q374" i="22" a="1"/>
  <c r="Q374" i="22" s="1"/>
  <c r="Q375" i="22" a="1"/>
  <c r="Q375" i="22" s="1"/>
  <c r="Q376" i="22" a="1"/>
  <c r="Q376" i="22" s="1"/>
  <c r="Q377" i="22" a="1"/>
  <c r="Q377" i="22" s="1"/>
  <c r="Q378" i="22" a="1"/>
  <c r="Q378" i="22" s="1"/>
  <c r="Q380" i="22" a="1"/>
  <c r="Q380" i="22" s="1"/>
  <c r="Q383" i="22" a="1"/>
  <c r="Q383" i="22" s="1"/>
  <c r="Q385" i="22" a="1"/>
  <c r="Q385" i="22" s="1"/>
  <c r="Q388" i="22" a="1"/>
  <c r="Q388" i="22" s="1"/>
  <c r="Q390" i="22" a="1"/>
  <c r="Q390" i="22" s="1"/>
  <c r="Q391" i="22" a="1"/>
  <c r="Q391" i="22" s="1"/>
  <c r="Q393" i="22" a="1"/>
  <c r="Q393" i="22" s="1"/>
  <c r="Q395" i="22" a="1"/>
  <c r="Q395" i="22" s="1"/>
  <c r="Q396" i="22" a="1"/>
  <c r="Q396" i="22" s="1"/>
  <c r="Q397" i="22" a="1"/>
  <c r="Q397" i="22" s="1"/>
  <c r="Q399" i="22" a="1"/>
  <c r="Q399" i="22" s="1"/>
  <c r="Q402" i="22" a="1"/>
  <c r="Q402" i="22" s="1"/>
  <c r="Q404" i="22" a="1"/>
  <c r="Q404" i="22" s="1"/>
  <c r="Q406" i="22" a="1"/>
  <c r="Q406" i="22" s="1"/>
  <c r="Q408" i="22" a="1"/>
  <c r="Q408" i="22" s="1"/>
  <c r="Q410" i="22" a="1"/>
  <c r="Q410" i="22" s="1"/>
  <c r="Q412" i="22" a="1"/>
  <c r="Q412" i="22" s="1"/>
  <c r="Q414" i="22" a="1"/>
  <c r="Q414" i="22" s="1"/>
  <c r="Q416" i="22" a="1"/>
  <c r="Q416" i="22" s="1"/>
  <c r="Q419" i="22" a="1"/>
  <c r="Q419" i="22" s="1"/>
  <c r="Q422" i="22" a="1"/>
  <c r="Q422" i="22" s="1"/>
  <c r="Q423" i="22" a="1"/>
  <c r="Q423" i="22" s="1"/>
  <c r="Q425" i="22" a="1"/>
  <c r="Q425" i="22" s="1"/>
  <c r="Q427" i="22" a="1"/>
  <c r="Q427" i="22" s="1"/>
  <c r="Q428" i="22" a="1"/>
  <c r="Q428" i="22" s="1"/>
  <c r="Q429" i="22" a="1"/>
  <c r="Q429" i="22" s="1"/>
  <c r="Q430" i="22" a="1"/>
  <c r="Q430" i="22" s="1"/>
  <c r="Q431" i="22" a="1"/>
  <c r="Q431" i="22" s="1"/>
  <c r="Q432" i="22" a="1"/>
  <c r="Q432" i="22" s="1"/>
  <c r="Q433" i="22" a="1"/>
  <c r="Q433" i="22" s="1"/>
  <c r="Q434" i="22" a="1"/>
  <c r="Q434" i="22" s="1"/>
  <c r="Q435" i="22" a="1"/>
  <c r="Q435" i="22" s="1"/>
  <c r="Q436" i="22" a="1"/>
  <c r="Q436" i="22" s="1"/>
  <c r="Q437" i="22" a="1"/>
  <c r="Q437" i="22" s="1"/>
  <c r="Q438" i="22" a="1"/>
  <c r="Q438" i="22" s="1"/>
  <c r="Q439" i="22" a="1"/>
  <c r="Q439" i="22" s="1"/>
  <c r="Q440" i="22" a="1"/>
  <c r="Q440" i="22" s="1"/>
  <c r="Q441" i="22" a="1"/>
  <c r="Q441" i="22" s="1"/>
  <c r="Q442" i="22" a="1"/>
  <c r="Q442" i="22" s="1"/>
  <c r="Q443" i="22" a="1"/>
  <c r="Q443" i="22" s="1"/>
  <c r="Q444" i="22" a="1"/>
  <c r="Q444" i="22" s="1"/>
  <c r="Q445" i="22" a="1"/>
  <c r="Q445" i="22" s="1"/>
  <c r="Q447" i="22" a="1"/>
  <c r="Q447" i="22" s="1"/>
  <c r="Q448" i="22" a="1"/>
  <c r="Q448" i="22" s="1"/>
  <c r="Q449" i="22" a="1"/>
  <c r="Q449" i="22" s="1"/>
  <c r="Q450" i="22" a="1"/>
  <c r="Q450" i="22" s="1"/>
  <c r="Q458" i="22" a="1"/>
  <c r="Q458" i="22" s="1"/>
  <c r="Q462" i="22" a="1"/>
  <c r="Q462" i="22" s="1"/>
  <c r="Q463" i="22" a="1"/>
  <c r="Q463" i="22" s="1"/>
  <c r="Q464" i="22" a="1"/>
  <c r="Q464" i="22" s="1"/>
  <c r="Q465" i="22" a="1"/>
  <c r="Q465" i="22" s="1"/>
  <c r="Q466" i="22" a="1"/>
  <c r="Q466" i="22" s="1"/>
  <c r="Q467" i="22" a="1"/>
  <c r="Q467" i="22" s="1"/>
  <c r="Q468" i="22" a="1"/>
  <c r="Q468" i="22" s="1"/>
  <c r="Q469" i="22" a="1"/>
  <c r="Q469" i="22" s="1"/>
  <c r="Q470" i="22" a="1"/>
  <c r="Q470" i="22" s="1"/>
  <c r="Q471" i="22" a="1"/>
  <c r="Q471" i="22" s="1"/>
  <c r="Q472" i="22" a="1"/>
  <c r="Q472" i="22" s="1"/>
  <c r="Q473" i="22" a="1"/>
  <c r="Q473" i="22" s="1"/>
  <c r="Q474" i="22" a="1"/>
  <c r="Q474" i="22" s="1"/>
  <c r="Q475" i="22" a="1"/>
  <c r="Q475" i="22" s="1"/>
  <c r="Q476" i="22" a="1"/>
  <c r="Q476" i="22" s="1"/>
  <c r="Q477" i="22" a="1"/>
  <c r="Q477" i="22" s="1"/>
  <c r="Q478" i="22" a="1"/>
  <c r="Q478" i="22" s="1"/>
  <c r="Q479" i="22" a="1"/>
  <c r="Q479" i="22" s="1"/>
  <c r="Q480" i="22" a="1"/>
  <c r="Q480" i="22" s="1"/>
  <c r="Q481" i="22" a="1"/>
  <c r="Q481" i="22" s="1"/>
  <c r="Q482" i="22" a="1"/>
  <c r="Q482" i="22" s="1"/>
  <c r="Q483" i="22" a="1"/>
  <c r="Q483" i="22" s="1"/>
  <c r="Q484" i="22" a="1"/>
  <c r="Q484" i="22" s="1"/>
  <c r="Q485" i="22" a="1"/>
  <c r="Q485" i="22" s="1"/>
  <c r="Q486" i="22" a="1"/>
  <c r="Q486" i="22" s="1"/>
  <c r="Q487" i="22" a="1"/>
  <c r="Q487" i="22" s="1"/>
  <c r="Q488" i="22" a="1"/>
  <c r="Q488" i="22" s="1"/>
  <c r="Q489" i="22" a="1"/>
  <c r="Q489" i="22" s="1"/>
  <c r="Q490" i="22" a="1"/>
  <c r="Q490" i="22" s="1"/>
  <c r="Q491" i="22" a="1"/>
  <c r="Q491" i="22" s="1"/>
  <c r="Q492" i="22" a="1"/>
  <c r="Q492" i="22" s="1"/>
  <c r="Q493" i="22" a="1"/>
  <c r="Q493" i="22" s="1"/>
  <c r="Q494" i="22" a="1"/>
  <c r="Q494" i="22" s="1"/>
  <c r="Q495" i="22" a="1"/>
  <c r="Q495" i="22" s="1"/>
  <c r="Q496" i="22" a="1"/>
  <c r="Q496" i="22" s="1"/>
  <c r="Q497" i="22" a="1"/>
  <c r="Q497" i="22" s="1"/>
  <c r="Q498" i="22" a="1"/>
  <c r="Q498" i="22" s="1"/>
  <c r="Q499" i="22" a="1"/>
  <c r="Q499" i="22" s="1"/>
  <c r="Q500" i="22" a="1"/>
  <c r="Q500" i="22" s="1"/>
  <c r="Q501" i="22" a="1"/>
  <c r="Q501" i="22" s="1"/>
  <c r="Q502" i="22" a="1"/>
  <c r="Q502" i="22" s="1"/>
  <c r="Q503" i="22" a="1"/>
  <c r="Q503" i="22" s="1"/>
  <c r="Q504" i="22" a="1"/>
  <c r="Q504" i="22" s="1"/>
  <c r="Q505" i="22" a="1"/>
  <c r="Q505" i="22" s="1"/>
  <c r="Q506" i="22" a="1"/>
  <c r="Q506" i="22" s="1"/>
  <c r="Q507" i="22" a="1"/>
  <c r="Q507" i="22" s="1"/>
  <c r="Q508" i="22" a="1"/>
  <c r="Q508" i="22" s="1"/>
  <c r="Q509" i="22" a="1"/>
  <c r="Q509" i="22" s="1"/>
  <c r="Q510" i="22" a="1"/>
  <c r="Q510" i="22" s="1"/>
  <c r="Q511" i="22" a="1"/>
  <c r="Q511" i="22" s="1"/>
  <c r="Q512" i="22" a="1"/>
  <c r="Q512" i="22" s="1"/>
  <c r="Q513" i="22" a="1"/>
  <c r="Q513" i="22" s="1"/>
  <c r="Q514" i="22" a="1"/>
  <c r="Q514" i="22" s="1"/>
  <c r="Q515" i="22" a="1"/>
  <c r="Q515" i="22" s="1"/>
  <c r="Q516" i="22" a="1"/>
  <c r="Q516" i="22" s="1"/>
  <c r="Q517" i="22" a="1"/>
  <c r="Q517" i="22" s="1"/>
  <c r="Q518" i="22" a="1"/>
  <c r="Q518" i="22" s="1"/>
  <c r="Q519" i="22" a="1"/>
  <c r="Q519" i="22" s="1"/>
  <c r="Q520" i="22" a="1"/>
  <c r="Q520" i="22" s="1"/>
  <c r="Q521" i="22" a="1"/>
  <c r="Q521" i="22" s="1"/>
  <c r="Q522" i="22" a="1"/>
  <c r="Q522" i="22" s="1"/>
  <c r="Q523" i="22" a="1"/>
  <c r="Q523" i="22" s="1"/>
  <c r="Q524" i="22" a="1"/>
  <c r="Q524" i="22" s="1"/>
  <c r="Q525" i="22" a="1"/>
  <c r="Q525" i="22" s="1"/>
  <c r="Q526" i="22" a="1"/>
  <c r="Q526" i="22" s="1"/>
  <c r="Q527" i="22" a="1"/>
  <c r="Q527" i="22" s="1"/>
  <c r="Q528" i="22" a="1"/>
  <c r="Q528" i="22" s="1"/>
  <c r="Q529" i="22" a="1"/>
  <c r="Q529" i="22" s="1"/>
  <c r="Q530" i="22" a="1"/>
  <c r="Q530" i="22" s="1"/>
  <c r="Q531" i="22" a="1"/>
  <c r="Q531" i="22" s="1"/>
  <c r="Q532" i="22" a="1"/>
  <c r="Q532" i="22" s="1"/>
  <c r="Q533" i="22" a="1"/>
  <c r="Q533" i="22" s="1"/>
  <c r="Q534" i="22" a="1"/>
  <c r="Q534" i="22" s="1"/>
  <c r="Q535" i="22" a="1"/>
  <c r="Q535" i="22" s="1"/>
  <c r="Q536" i="22" a="1"/>
  <c r="Q536" i="22" s="1"/>
  <c r="Q537" i="22" a="1"/>
  <c r="Q537" i="22" s="1"/>
  <c r="Q538" i="22" a="1"/>
  <c r="Q538" i="22" s="1"/>
  <c r="Q539" i="22" a="1"/>
  <c r="Q539" i="22" s="1"/>
  <c r="Q540" i="22" a="1"/>
  <c r="Q540" i="22" s="1"/>
  <c r="Q541" i="22" a="1"/>
  <c r="Q541" i="22" s="1"/>
  <c r="Q542" i="22" a="1"/>
  <c r="Q542" i="22" s="1"/>
  <c r="Q543" i="22" a="1"/>
  <c r="Q543" i="22" s="1"/>
  <c r="Q544" i="22" a="1"/>
  <c r="Q544" i="22" s="1"/>
  <c r="Q545" i="22" a="1"/>
  <c r="Q545" i="22" s="1"/>
  <c r="Q546" i="22" a="1"/>
  <c r="Q546" i="22" s="1"/>
  <c r="Q547" i="22" a="1"/>
  <c r="Q547" i="22" s="1"/>
  <c r="Q548" i="22" a="1"/>
  <c r="Q548" i="22" s="1"/>
  <c r="Q549" i="22" a="1"/>
  <c r="Q549" i="22" s="1"/>
  <c r="Q550" i="22" a="1"/>
  <c r="Q550" i="22" s="1"/>
  <c r="Q551" i="22" a="1"/>
  <c r="Q551" i="22" s="1"/>
  <c r="Q552" i="22" a="1"/>
  <c r="Q552" i="22" s="1"/>
  <c r="Q554" i="22" a="1"/>
  <c r="Q554" i="22" s="1"/>
  <c r="Q555" i="22" a="1"/>
  <c r="Q555" i="22" s="1"/>
  <c r="Q557" i="22" a="1"/>
  <c r="Q557" i="22" s="1"/>
  <c r="Q558" i="22" a="1"/>
  <c r="Q558" i="22" s="1"/>
  <c r="Q560" i="22" a="1"/>
  <c r="Q560" i="22" s="1"/>
  <c r="Q562" i="22" a="1"/>
  <c r="Q562" i="22" s="1"/>
  <c r="Q564" i="22" a="1"/>
  <c r="Q564" i="22" s="1"/>
  <c r="Q566" i="22" a="1"/>
  <c r="Q566" i="22" s="1"/>
  <c r="Q568" i="22" a="1"/>
  <c r="Q568" i="22" s="1"/>
  <c r="Q570" i="22" a="1"/>
  <c r="Q570" i="22" s="1"/>
  <c r="Q571" i="22" a="1"/>
  <c r="Q571" i="22" s="1"/>
  <c r="Q574" i="22" a="1"/>
  <c r="Q574" i="22" s="1"/>
  <c r="Q577" i="22" a="1"/>
  <c r="Q577" i="22" s="1"/>
  <c r="Q579" i="22" a="1"/>
  <c r="Q579" i="22" s="1"/>
  <c r="Q580" i="22" a="1"/>
  <c r="Q580" i="22" s="1"/>
  <c r="Q582" i="22" a="1"/>
  <c r="Q582" i="22" s="1"/>
  <c r="Q132" i="22" a="1"/>
  <c r="Q132" i="22" s="1"/>
  <c r="Q86" i="22" a="1"/>
  <c r="Q86" i="22" s="1"/>
  <c r="Q120" i="22" a="1"/>
  <c r="Q120" i="22" s="1"/>
  <c r="Q46" i="22" a="1"/>
  <c r="Q46" i="22" s="1"/>
  <c r="Q77" i="22" a="1"/>
  <c r="Q77" i="22" s="1"/>
  <c r="Q119" i="22" a="1"/>
  <c r="Q119" i="22" s="1"/>
  <c r="Q58" i="22" a="1"/>
  <c r="Q58" i="22" s="1"/>
  <c r="Q101" i="22" a="1"/>
  <c r="Q101" i="22" s="1"/>
  <c r="Q122" i="22" a="1"/>
  <c r="Q122" i="22" s="1"/>
  <c r="Q60" i="22" a="1"/>
  <c r="Q60" i="22" s="1"/>
  <c r="Q88" i="22" a="1"/>
  <c r="Q88" i="22" s="1"/>
  <c r="Q41" i="22" a="1"/>
  <c r="Q41" i="22" s="1"/>
  <c r="Q49" i="22" a="1"/>
  <c r="Q49" i="22" s="1"/>
  <c r="Q93" i="22" a="1"/>
  <c r="Q93" i="22" s="1"/>
  <c r="Q116" i="22" a="1"/>
  <c r="Q116" i="22" s="1"/>
  <c r="Q91" i="22" a="1"/>
  <c r="Q91" i="22" s="1"/>
  <c r="P589" i="22" a="1"/>
  <c r="P589" i="22" s="1"/>
  <c r="P586" i="22" a="1"/>
  <c r="P586" i="22" s="1"/>
  <c r="P583" i="22" a="1"/>
  <c r="P583" i="22" s="1"/>
  <c r="P581" i="22" a="1"/>
  <c r="P581" i="22" s="1"/>
  <c r="P577" i="22" a="1"/>
  <c r="P577" i="22" s="1"/>
  <c r="P575" i="22" a="1"/>
  <c r="P575" i="22" s="1"/>
  <c r="P573" i="22" a="1"/>
  <c r="P573" i="22" s="1"/>
  <c r="P571" i="22" a="1"/>
  <c r="P571" i="22" s="1"/>
  <c r="P568" i="22" a="1"/>
  <c r="P568" i="22" s="1"/>
  <c r="P564" i="22" a="1"/>
  <c r="P564" i="22" s="1"/>
  <c r="P562" i="22" a="1"/>
  <c r="P562" i="22" s="1"/>
  <c r="P559" i="22" a="1"/>
  <c r="P559" i="22" s="1"/>
  <c r="P556" i="22" a="1"/>
  <c r="P556" i="22" s="1"/>
  <c r="P553" i="22" a="1"/>
  <c r="P553" i="22" s="1"/>
  <c r="P549" i="22" a="1"/>
  <c r="P549" i="22" s="1"/>
  <c r="P547" i="22" a="1"/>
  <c r="P547" i="22" s="1"/>
  <c r="P543" i="22" a="1"/>
  <c r="P543" i="22" s="1"/>
  <c r="Q553" i="22" a="1"/>
  <c r="Q553" i="22" s="1"/>
  <c r="Q556" i="22" a="1"/>
  <c r="Q556" i="22" s="1"/>
  <c r="Q559" i="22" a="1"/>
  <c r="Q559" i="22" s="1"/>
  <c r="Q561" i="22" a="1"/>
  <c r="Q561" i="22" s="1"/>
  <c r="Q563" i="22" a="1"/>
  <c r="Q563" i="22" s="1"/>
  <c r="Q565" i="22" a="1"/>
  <c r="Q565" i="22" s="1"/>
  <c r="Q567" i="22" a="1"/>
  <c r="Q567" i="22" s="1"/>
  <c r="Q569" i="22" a="1"/>
  <c r="Q569" i="22" s="1"/>
  <c r="Q572" i="22" a="1"/>
  <c r="Q572" i="22" s="1"/>
  <c r="Q573" i="22" a="1"/>
  <c r="Q573" i="22" s="1"/>
  <c r="Q575" i="22" a="1"/>
  <c r="Q575" i="22" s="1"/>
  <c r="Q576" i="22" a="1"/>
  <c r="Q576" i="22" s="1"/>
  <c r="Q578" i="22" a="1"/>
  <c r="Q578" i="22" s="1"/>
  <c r="Q581" i="22" a="1"/>
  <c r="Q581" i="22" s="1"/>
  <c r="Q583" i="22" a="1"/>
  <c r="Q583" i="22" s="1"/>
  <c r="Q50" i="22" a="1"/>
  <c r="Q50" i="22" s="1"/>
  <c r="Q130" i="22" a="1"/>
  <c r="Q130" i="22" s="1"/>
  <c r="Q56" i="22" a="1"/>
  <c r="Q56" i="22" s="1"/>
  <c r="Q92" i="22" a="1"/>
  <c r="Q92" i="22" s="1"/>
  <c r="Q45" i="22" a="1"/>
  <c r="Q45" i="22" s="1"/>
  <c r="Q82" i="22" a="1"/>
  <c r="Q82" i="22" s="1"/>
  <c r="Q112" i="22" a="1"/>
  <c r="Q112" i="22" s="1"/>
  <c r="Q114" i="22" a="1"/>
  <c r="Q114" i="22" s="1"/>
  <c r="Q126" i="22" a="1"/>
  <c r="Q126" i="22" s="1"/>
  <c r="Q127" i="22" a="1"/>
  <c r="Q127" i="22" s="1"/>
  <c r="Q131" i="22" a="1"/>
  <c r="Q131" i="22" s="1"/>
  <c r="Q74" i="22" a="1"/>
  <c r="Q74" i="22" s="1"/>
  <c r="Q104" i="22" a="1"/>
  <c r="Q104" i="22" s="1"/>
  <c r="Q94" i="22" a="1"/>
  <c r="Q94" i="22" s="1"/>
  <c r="Q135" i="22" a="1"/>
  <c r="Q135" i="22" s="1"/>
  <c r="P587" i="22" a="1"/>
  <c r="P587" i="22" s="1"/>
  <c r="P585" i="22" a="1"/>
  <c r="P585" i="22" s="1"/>
  <c r="P582" i="22" a="1"/>
  <c r="P582" i="22" s="1"/>
  <c r="P579" i="22" a="1"/>
  <c r="P579" i="22" s="1"/>
  <c r="P578" i="22" a="1"/>
  <c r="P578" i="22" s="1"/>
  <c r="P574" i="22" a="1"/>
  <c r="P574" i="22" s="1"/>
  <c r="P570" i="22" a="1"/>
  <c r="P570" i="22" s="1"/>
  <c r="P566" i="22" a="1"/>
  <c r="P566" i="22" s="1"/>
  <c r="P561" i="22" a="1"/>
  <c r="P561" i="22" s="1"/>
  <c r="P560" i="22" a="1"/>
  <c r="P560" i="22" s="1"/>
  <c r="P557" i="22" a="1"/>
  <c r="P557" i="22" s="1"/>
  <c r="P554" i="22" a="1"/>
  <c r="P554" i="22" s="1"/>
  <c r="P551" i="22" a="1"/>
  <c r="P551" i="22" s="1"/>
  <c r="P546" i="22" a="1"/>
  <c r="P546" i="22" s="1"/>
  <c r="Q584" i="22" a="1"/>
  <c r="Q584" i="22" s="1"/>
  <c r="Q585" i="22" a="1"/>
  <c r="Q585" i="22" s="1"/>
  <c r="Q586" i="22" a="1"/>
  <c r="Q586" i="22" s="1"/>
  <c r="Q587" i="22" a="1"/>
  <c r="Q587" i="22" s="1"/>
  <c r="Q588" i="22" a="1"/>
  <c r="Q588" i="22" s="1"/>
  <c r="Q589" i="22" a="1"/>
  <c r="Q589" i="22" s="1"/>
  <c r="Q590" i="22" a="1"/>
  <c r="Q590" i="22" s="1"/>
  <c r="Q48" i="22" a="1"/>
  <c r="Q48" i="22" s="1"/>
  <c r="Q68" i="22" a="1"/>
  <c r="Q68" i="22" s="1"/>
  <c r="Q85" i="22" a="1"/>
  <c r="Q85" i="22" s="1"/>
  <c r="Q97" i="22" a="1"/>
  <c r="Q97" i="22" s="1"/>
  <c r="Q108" i="22" a="1"/>
  <c r="Q108" i="22" s="1"/>
  <c r="Q121" i="22" a="1"/>
  <c r="Q121" i="22" s="1"/>
  <c r="Q125" i="22" a="1"/>
  <c r="Q125" i="22" s="1"/>
  <c r="Q128" i="22" a="1"/>
  <c r="Q128" i="22" s="1"/>
  <c r="Q78" i="22" a="1"/>
  <c r="Q78" i="22" s="1"/>
  <c r="Q118" i="22" a="1"/>
  <c r="Q118" i="22" s="1"/>
  <c r="Q123" i="22" a="1"/>
  <c r="Q123" i="22" s="1"/>
  <c r="Q51" i="22" a="1"/>
  <c r="Q51" i="22" s="1"/>
  <c r="Q79" i="22" a="1"/>
  <c r="Q79" i="22" s="1"/>
  <c r="Q95" i="22" a="1"/>
  <c r="Q95" i="22" s="1"/>
  <c r="Q53" i="22" a="1"/>
  <c r="Q53" i="22" s="1"/>
  <c r="Q90" i="22" a="1"/>
  <c r="Q90" i="22" s="1"/>
  <c r="Q138" i="22" a="1"/>
  <c r="Q138" i="22" s="1"/>
  <c r="Q62" i="22" a="1"/>
  <c r="Q62" i="22" s="1"/>
  <c r="Q111" i="22" a="1"/>
  <c r="Q111" i="22" s="1"/>
  <c r="Q63" i="22" a="1"/>
  <c r="Q63" i="22" s="1"/>
  <c r="Q98" i="22" a="1"/>
  <c r="Q98" i="22" s="1"/>
  <c r="Q67" i="22" a="1"/>
  <c r="Q67" i="22" s="1"/>
  <c r="Q72" i="22" a="1"/>
  <c r="Q72" i="22" s="1"/>
  <c r="P590" i="22" a="1"/>
  <c r="P590" i="22" s="1"/>
  <c r="P588" i="22" a="1"/>
  <c r="P588" i="22" s="1"/>
  <c r="P584" i="22" a="1"/>
  <c r="P584" i="22" s="1"/>
  <c r="P580" i="22" a="1"/>
  <c r="P580" i="22" s="1"/>
  <c r="P576" i="22" a="1"/>
  <c r="P576" i="22" s="1"/>
  <c r="P572" i="22" a="1"/>
  <c r="P572" i="22" s="1"/>
  <c r="P569" i="22" a="1"/>
  <c r="P569" i="22" s="1"/>
  <c r="P567" i="22" a="1"/>
  <c r="P567" i="22" s="1"/>
  <c r="P565" i="22" a="1"/>
  <c r="P565" i="22" s="1"/>
  <c r="P563" i="22" a="1"/>
  <c r="P563" i="22" s="1"/>
  <c r="P558" i="22" a="1"/>
  <c r="P558" i="22" s="1"/>
  <c r="P555" i="22" a="1"/>
  <c r="P555" i="22" s="1"/>
  <c r="P552" i="22" a="1"/>
  <c r="P552" i="22" s="1"/>
  <c r="P550" i="22" a="1"/>
  <c r="P550" i="22" s="1"/>
  <c r="P548" i="22" a="1"/>
  <c r="P548" i="22" s="1"/>
  <c r="P544" i="22" a="1"/>
  <c r="P544" i="22" s="1"/>
  <c r="Q55" i="22" a="1"/>
  <c r="Q55" i="22" s="1"/>
  <c r="Q69" i="22" a="1"/>
  <c r="Q69" i="22" s="1"/>
  <c r="Q75" i="22" a="1"/>
  <c r="Q75" i="22" s="1"/>
  <c r="Q87" i="22" a="1"/>
  <c r="Q87" i="22" s="1"/>
  <c r="Q109" i="22" a="1"/>
  <c r="Q109" i="22" s="1"/>
  <c r="Q117" i="22" a="1"/>
  <c r="Q117" i="22" s="1"/>
  <c r="Q43" i="22" a="1"/>
  <c r="Q43" i="22" s="1"/>
  <c r="Q65" i="22" a="1"/>
  <c r="Q65" i="22" s="1"/>
  <c r="Q73" i="22" a="1"/>
  <c r="Q73" i="22" s="1"/>
  <c r="Q124" i="22" a="1"/>
  <c r="Q124" i="22" s="1"/>
  <c r="P541" i="22" a="1"/>
  <c r="P541" i="22" s="1"/>
  <c r="P540" i="22" a="1"/>
  <c r="P540" i="22" s="1"/>
  <c r="P539" i="22" a="1"/>
  <c r="P539" i="22" s="1"/>
  <c r="P538" i="22" a="1"/>
  <c r="P538" i="22" s="1"/>
  <c r="P537" i="22" a="1"/>
  <c r="P537" i="22" s="1"/>
  <c r="P536" i="22" a="1"/>
  <c r="P536" i="22" s="1"/>
  <c r="P535" i="22" a="1"/>
  <c r="P535" i="22" s="1"/>
  <c r="P534" i="22" a="1"/>
  <c r="P534" i="22" s="1"/>
  <c r="P533" i="22" a="1"/>
  <c r="P533" i="22" s="1"/>
  <c r="P532" i="22" a="1"/>
  <c r="P532" i="22" s="1"/>
  <c r="P531" i="22" a="1"/>
  <c r="P531" i="22" s="1"/>
  <c r="P530" i="22" a="1"/>
  <c r="P530" i="22" s="1"/>
  <c r="P529" i="22" a="1"/>
  <c r="P529" i="22" s="1"/>
  <c r="P528" i="22" a="1"/>
  <c r="P528" i="22" s="1"/>
  <c r="P527" i="22" a="1"/>
  <c r="P527" i="22" s="1"/>
  <c r="P526" i="22" a="1"/>
  <c r="P526" i="22" s="1"/>
  <c r="P525" i="22" a="1"/>
  <c r="P525" i="22" s="1"/>
  <c r="P524" i="22" a="1"/>
  <c r="P524" i="22" s="1"/>
  <c r="P523" i="22" a="1"/>
  <c r="P523" i="22" s="1"/>
  <c r="P522" i="22" a="1"/>
  <c r="P522" i="22" s="1"/>
  <c r="P521" i="22" a="1"/>
  <c r="P521" i="22" s="1"/>
  <c r="P520" i="22" a="1"/>
  <c r="P520" i="22" s="1"/>
  <c r="P519" i="22" a="1"/>
  <c r="P519" i="22" s="1"/>
  <c r="P518" i="22" a="1"/>
  <c r="P518" i="22" s="1"/>
  <c r="P517" i="22" a="1"/>
  <c r="P517" i="22" s="1"/>
  <c r="P516" i="22" a="1"/>
  <c r="P516" i="22" s="1"/>
  <c r="P515" i="22" a="1"/>
  <c r="P515" i="22" s="1"/>
  <c r="P514" i="22" a="1"/>
  <c r="P514" i="22" s="1"/>
  <c r="P513" i="22" a="1"/>
  <c r="P513" i="22" s="1"/>
  <c r="P512" i="22" a="1"/>
  <c r="P512" i="22" s="1"/>
  <c r="P511" i="22" a="1"/>
  <c r="P511" i="22" s="1"/>
  <c r="P510" i="22" a="1"/>
  <c r="P510" i="22" s="1"/>
  <c r="P509" i="22" a="1"/>
  <c r="P509" i="22" s="1"/>
  <c r="P508" i="22" a="1"/>
  <c r="P508" i="22" s="1"/>
  <c r="P507" i="22" a="1"/>
  <c r="P507" i="22" s="1"/>
  <c r="P506" i="22" a="1"/>
  <c r="P506" i="22" s="1"/>
  <c r="P505" i="22" a="1"/>
  <c r="P505" i="22" s="1"/>
  <c r="P504" i="22" a="1"/>
  <c r="P504" i="22" s="1"/>
  <c r="P503" i="22" a="1"/>
  <c r="P503" i="22" s="1"/>
  <c r="P502" i="22" a="1"/>
  <c r="P502" i="22" s="1"/>
  <c r="P501" i="22" a="1"/>
  <c r="P501" i="22" s="1"/>
  <c r="P500" i="22" a="1"/>
  <c r="P500" i="22" s="1"/>
  <c r="P499" i="22" a="1"/>
  <c r="P499" i="22" s="1"/>
  <c r="P498" i="22" a="1"/>
  <c r="P498" i="22" s="1"/>
  <c r="P497" i="22" a="1"/>
  <c r="P497" i="22" s="1"/>
  <c r="P496" i="22" a="1"/>
  <c r="P496" i="22" s="1"/>
  <c r="P495" i="22" a="1"/>
  <c r="P495" i="22" s="1"/>
  <c r="P494" i="22" a="1"/>
  <c r="P494" i="22" s="1"/>
  <c r="P493" i="22" a="1"/>
  <c r="P493" i="22" s="1"/>
  <c r="P492" i="22" a="1"/>
  <c r="P492" i="22" s="1"/>
  <c r="P491" i="22" a="1"/>
  <c r="P491" i="22" s="1"/>
  <c r="P490" i="22" a="1"/>
  <c r="P490" i="22" s="1"/>
  <c r="P489" i="22" a="1"/>
  <c r="P489" i="22" s="1"/>
  <c r="P488" i="22" a="1"/>
  <c r="P488" i="22" s="1"/>
  <c r="P487" i="22" a="1"/>
  <c r="P487" i="22" s="1"/>
  <c r="P486" i="22" a="1"/>
  <c r="P486" i="22" s="1"/>
  <c r="P485" i="22" a="1"/>
  <c r="P485" i="22" s="1"/>
  <c r="P484" i="22" a="1"/>
  <c r="P484" i="22" s="1"/>
  <c r="P483" i="22" a="1"/>
  <c r="P483" i="22" s="1"/>
  <c r="P482" i="22" a="1"/>
  <c r="P482" i="22" s="1"/>
  <c r="P481" i="22" a="1"/>
  <c r="P481" i="22" s="1"/>
  <c r="Q96" i="22" a="1"/>
  <c r="Q96" i="22" s="1"/>
  <c r="Q64" i="22" a="1"/>
  <c r="Q64" i="22" s="1"/>
  <c r="Q103" i="22" a="1"/>
  <c r="Q103" i="22" s="1"/>
  <c r="Q54" i="22" a="1"/>
  <c r="Q54" i="22" s="1"/>
  <c r="Q52" i="22" a="1"/>
  <c r="Q52" i="22" s="1"/>
  <c r="Q137" i="22" a="1"/>
  <c r="Q137" i="22" s="1"/>
  <c r="Q146" i="22" a="1"/>
  <c r="Q146" i="22" s="1"/>
  <c r="Q460" i="22" a="1"/>
  <c r="Q460" i="22" s="1"/>
  <c r="P480" i="22" a="1"/>
  <c r="P480" i="22" s="1"/>
  <c r="P479" i="22" a="1"/>
  <c r="P479" i="22" s="1"/>
  <c r="P478" i="22" a="1"/>
  <c r="P478" i="22" s="1"/>
  <c r="P477" i="22" a="1"/>
  <c r="P477" i="22" s="1"/>
  <c r="P476" i="22" a="1"/>
  <c r="P476" i="22" s="1"/>
  <c r="P475" i="22" a="1"/>
  <c r="P475" i="22" s="1"/>
  <c r="P474" i="22" a="1"/>
  <c r="P474" i="22" s="1"/>
  <c r="P473" i="22" a="1"/>
  <c r="P473" i="22" s="1"/>
  <c r="P472" i="22" a="1"/>
  <c r="P472" i="22" s="1"/>
  <c r="P471" i="22" a="1"/>
  <c r="P471" i="22" s="1"/>
  <c r="P470" i="22" a="1"/>
  <c r="P470" i="22" s="1"/>
  <c r="P469" i="22" a="1"/>
  <c r="P469" i="22" s="1"/>
  <c r="P468" i="22" a="1"/>
  <c r="P468" i="22" s="1"/>
  <c r="P467" i="22" a="1"/>
  <c r="P467" i="22" s="1"/>
  <c r="P466" i="22" a="1"/>
  <c r="P466" i="22" s="1"/>
  <c r="P465" i="22" a="1"/>
  <c r="P465" i="22" s="1"/>
  <c r="P464" i="22" a="1"/>
  <c r="P464" i="22" s="1"/>
  <c r="P463" i="22" a="1"/>
  <c r="P463" i="22" s="1"/>
  <c r="P462" i="22" a="1"/>
  <c r="P462" i="22" s="1"/>
  <c r="P461" i="22" a="1"/>
  <c r="P461" i="22" s="1"/>
  <c r="P460" i="22" a="1"/>
  <c r="P460" i="22" s="1"/>
  <c r="P459" i="22" a="1"/>
  <c r="P459" i="22" s="1"/>
  <c r="P458" i="22" a="1"/>
  <c r="P458" i="22" s="1"/>
  <c r="P457" i="22" a="1"/>
  <c r="P457" i="22" s="1"/>
  <c r="P456" i="22" a="1"/>
  <c r="P456" i="22" s="1"/>
  <c r="P455" i="22" a="1"/>
  <c r="P455" i="22" s="1"/>
  <c r="P454" i="22" a="1"/>
  <c r="P454" i="22" s="1"/>
  <c r="P453" i="22" a="1"/>
  <c r="P453" i="22" s="1"/>
  <c r="P452" i="22" a="1"/>
  <c r="P452" i="22" s="1"/>
  <c r="P451" i="22" a="1"/>
  <c r="P451" i="22" s="1"/>
  <c r="P450" i="22" a="1"/>
  <c r="P450" i="22" s="1"/>
  <c r="P449" i="22" a="1"/>
  <c r="P449" i="22" s="1"/>
  <c r="P448" i="22" a="1"/>
  <c r="P448" i="22" s="1"/>
  <c r="P447" i="22" a="1"/>
  <c r="P447" i="22" s="1"/>
  <c r="P446" i="22" a="1"/>
  <c r="P446" i="22" s="1"/>
  <c r="P445" i="22" a="1"/>
  <c r="P445" i="22" s="1"/>
  <c r="P444" i="22" a="1"/>
  <c r="P444" i="22" s="1"/>
  <c r="P443" i="22" a="1"/>
  <c r="P443" i="22" s="1"/>
  <c r="P442" i="22" a="1"/>
  <c r="P442" i="22" s="1"/>
  <c r="P441" i="22" a="1"/>
  <c r="P441" i="22" s="1"/>
  <c r="P440" i="22" a="1"/>
  <c r="P440" i="22" s="1"/>
  <c r="P439" i="22" a="1"/>
  <c r="P439" i="22" s="1"/>
  <c r="P438" i="22" a="1"/>
  <c r="P438" i="22" s="1"/>
  <c r="P437" i="22" a="1"/>
  <c r="P437" i="22" s="1"/>
  <c r="P436" i="22" a="1"/>
  <c r="P436" i="22" s="1"/>
  <c r="P435" i="22" a="1"/>
  <c r="P435" i="22" s="1"/>
  <c r="P434" i="22" a="1"/>
  <c r="P434" i="22" s="1"/>
  <c r="P433" i="22" a="1"/>
  <c r="P433" i="22" s="1"/>
  <c r="P432" i="22" a="1"/>
  <c r="P432" i="22" s="1"/>
  <c r="P431" i="22" a="1"/>
  <c r="P431" i="22" s="1"/>
  <c r="P430" i="22" a="1"/>
  <c r="P430" i="22" s="1"/>
  <c r="P429" i="22" a="1"/>
  <c r="P429" i="22" s="1"/>
  <c r="P428" i="22" a="1"/>
  <c r="P428" i="22" s="1"/>
  <c r="P427" i="22" a="1"/>
  <c r="P427" i="22" s="1"/>
  <c r="P426" i="22" a="1"/>
  <c r="P426" i="22" s="1"/>
  <c r="P425" i="22" a="1"/>
  <c r="P425" i="22" s="1"/>
  <c r="P424" i="22" a="1"/>
  <c r="P424" i="22" s="1"/>
  <c r="P423" i="22" a="1"/>
  <c r="P423" i="22" s="1"/>
  <c r="P422" i="22" a="1"/>
  <c r="P422" i="22" s="1"/>
  <c r="P421" i="22" a="1"/>
  <c r="P421" i="22" s="1"/>
  <c r="P420" i="22" a="1"/>
  <c r="P420" i="22" s="1"/>
  <c r="P419" i="22" a="1"/>
  <c r="P419" i="22" s="1"/>
  <c r="P418" i="22" a="1"/>
  <c r="P418" i="22" s="1"/>
  <c r="P417" i="22" a="1"/>
  <c r="P417" i="22" s="1"/>
  <c r="P416" i="22" a="1"/>
  <c r="P416" i="22" s="1"/>
  <c r="P415" i="22" a="1"/>
  <c r="P415" i="22" s="1"/>
  <c r="P414" i="22" a="1"/>
  <c r="P414" i="22" s="1"/>
  <c r="P413" i="22" a="1"/>
  <c r="P413" i="22" s="1"/>
  <c r="P412" i="22" a="1"/>
  <c r="P412" i="22" s="1"/>
  <c r="P411" i="22" a="1"/>
  <c r="P411" i="22" s="1"/>
  <c r="P410" i="22" a="1"/>
  <c r="P410" i="22" s="1"/>
  <c r="P409" i="22" a="1"/>
  <c r="P409" i="22" s="1"/>
  <c r="P408" i="22" a="1"/>
  <c r="P408" i="22" s="1"/>
  <c r="P407" i="22" a="1"/>
  <c r="P407" i="22" s="1"/>
  <c r="P406" i="22" a="1"/>
  <c r="P406" i="22" s="1"/>
  <c r="P405" i="22" a="1"/>
  <c r="P405" i="22" s="1"/>
  <c r="P404" i="22" a="1"/>
  <c r="P404" i="22" s="1"/>
  <c r="P403" i="22" a="1"/>
  <c r="P403" i="22" s="1"/>
  <c r="P402" i="22" a="1"/>
  <c r="P402" i="22" s="1"/>
  <c r="P401" i="22" a="1"/>
  <c r="P401" i="22" s="1"/>
  <c r="P400" i="22" a="1"/>
  <c r="P400" i="22" s="1"/>
  <c r="P399" i="22" a="1"/>
  <c r="P399" i="22" s="1"/>
  <c r="P398" i="22" a="1"/>
  <c r="P398" i="22" s="1"/>
  <c r="P397" i="22" a="1"/>
  <c r="P397" i="22" s="1"/>
  <c r="P396" i="22" a="1"/>
  <c r="P396" i="22" s="1"/>
  <c r="P395" i="22" a="1"/>
  <c r="P395" i="22" s="1"/>
  <c r="P389" i="22" a="1"/>
  <c r="P389" i="22" s="1"/>
  <c r="P387" i="22" a="1"/>
  <c r="P387" i="22" s="1"/>
  <c r="P385" i="22" a="1"/>
  <c r="P385" i="22" s="1"/>
  <c r="P383" i="22" a="1"/>
  <c r="P383" i="22" s="1"/>
  <c r="P380" i="22" a="1"/>
  <c r="P380" i="22" s="1"/>
  <c r="P378" i="22" a="1"/>
  <c r="P378" i="22" s="1"/>
  <c r="P376" i="22" a="1"/>
  <c r="P376" i="22" s="1"/>
  <c r="P375" i="22" a="1"/>
  <c r="P375" i="22" s="1"/>
  <c r="P373" i="22" a="1"/>
  <c r="P373" i="22" s="1"/>
  <c r="P370" i="22" a="1"/>
  <c r="P370" i="22" s="1"/>
  <c r="P369" i="22" a="1"/>
  <c r="P369" i="22" s="1"/>
  <c r="P367" i="22" a="1"/>
  <c r="P367" i="22" s="1"/>
  <c r="P365" i="22" a="1"/>
  <c r="P365" i="22" s="1"/>
  <c r="P363" i="22" a="1"/>
  <c r="P363" i="22" s="1"/>
  <c r="P362" i="22" a="1"/>
  <c r="P362" i="22" s="1"/>
  <c r="P360" i="22" a="1"/>
  <c r="P360" i="22" s="1"/>
  <c r="P359" i="22" a="1"/>
  <c r="P359" i="22" s="1"/>
  <c r="Q83" i="22" a="1"/>
  <c r="Q83" i="22" s="1"/>
  <c r="Q113" i="22" a="1"/>
  <c r="Q113" i="22" s="1"/>
  <c r="Q71" i="22" a="1"/>
  <c r="Q71" i="22" s="1"/>
  <c r="Q100" i="22" a="1"/>
  <c r="Q100" i="22" s="1"/>
  <c r="Q57" i="22" a="1"/>
  <c r="Q57" i="22" s="1"/>
  <c r="Q70" i="22" a="1"/>
  <c r="Q70" i="22" s="1"/>
  <c r="Q102" i="22" a="1"/>
  <c r="Q102" i="22" s="1"/>
  <c r="Q129" i="22" a="1"/>
  <c r="Q129" i="22" s="1"/>
  <c r="Q76" i="22" a="1"/>
  <c r="Q76" i="22" s="1"/>
  <c r="Q99" i="22" a="1"/>
  <c r="Q99" i="22" s="1"/>
  <c r="Q140" i="22" a="1"/>
  <c r="Q140" i="22" s="1"/>
  <c r="Q143" i="22" a="1"/>
  <c r="Q143" i="22" s="1"/>
  <c r="Q149" i="22" a="1"/>
  <c r="Q149" i="22" s="1"/>
  <c r="Q154" i="22" a="1"/>
  <c r="Q154" i="22" s="1"/>
  <c r="Q452" i="22" a="1"/>
  <c r="Q452" i="22" s="1"/>
  <c r="Q454" i="22" a="1"/>
  <c r="Q454" i="22" s="1"/>
  <c r="Q461" i="22" a="1"/>
  <c r="Q461" i="22" s="1"/>
  <c r="P394" i="22" a="1"/>
  <c r="P394" i="22" s="1"/>
  <c r="P393" i="22" a="1"/>
  <c r="P393" i="22" s="1"/>
  <c r="P392" i="22" a="1"/>
  <c r="P392" i="22" s="1"/>
  <c r="P391" i="22" a="1"/>
  <c r="P391" i="22" s="1"/>
  <c r="P390" i="22" a="1"/>
  <c r="P390" i="22" s="1"/>
  <c r="P388" i="22" a="1"/>
  <c r="P388" i="22" s="1"/>
  <c r="P386" i="22" a="1"/>
  <c r="P386" i="22" s="1"/>
  <c r="P384" i="22" a="1"/>
  <c r="P384" i="22" s="1"/>
  <c r="P382" i="22" a="1"/>
  <c r="P382" i="22" s="1"/>
  <c r="P381" i="22" a="1"/>
  <c r="P381" i="22" s="1"/>
  <c r="P379" i="22" a="1"/>
  <c r="P379" i="22" s="1"/>
  <c r="P377" i="22" a="1"/>
  <c r="P377" i="22" s="1"/>
  <c r="P374" i="22" a="1"/>
  <c r="P374" i="22" s="1"/>
  <c r="P372" i="22" a="1"/>
  <c r="P372" i="22" s="1"/>
  <c r="P371" i="22" a="1"/>
  <c r="P371" i="22" s="1"/>
  <c r="P368" i="22" a="1"/>
  <c r="P368" i="22" s="1"/>
  <c r="P366" i="22" a="1"/>
  <c r="P366" i="22" s="1"/>
  <c r="P364" i="22" a="1"/>
  <c r="P364" i="22" s="1"/>
  <c r="P361" i="22" a="1"/>
  <c r="P361" i="22" s="1"/>
  <c r="P358" i="22" a="1"/>
  <c r="P358" i="22" s="1"/>
  <c r="P357" i="22" a="1"/>
  <c r="P357" i="22" s="1"/>
  <c r="P356" i="22" a="1"/>
  <c r="P356" i="22" s="1"/>
  <c r="P355" i="22" a="1"/>
  <c r="P355" i="22" s="1"/>
  <c r="P354" i="22" a="1"/>
  <c r="P354" i="22" s="1"/>
  <c r="P353" i="22" a="1"/>
  <c r="P353" i="22" s="1"/>
  <c r="P352" i="22" a="1"/>
  <c r="P352" i="22" s="1"/>
  <c r="P351" i="22" a="1"/>
  <c r="P351" i="22" s="1"/>
  <c r="P350" i="22" a="1"/>
  <c r="P350" i="22" s="1"/>
  <c r="P349" i="22" a="1"/>
  <c r="P349" i="22" s="1"/>
  <c r="P348" i="22" a="1"/>
  <c r="P348" i="22" s="1"/>
  <c r="P347" i="22" a="1"/>
  <c r="P347" i="22" s="1"/>
  <c r="P346" i="22" a="1"/>
  <c r="P346" i="22" s="1"/>
  <c r="P345" i="22" a="1"/>
  <c r="P345" i="22" s="1"/>
  <c r="P344" i="22" a="1"/>
  <c r="P344" i="22" s="1"/>
  <c r="P343" i="22" a="1"/>
  <c r="P343" i="22" s="1"/>
  <c r="P342" i="22" a="1"/>
  <c r="P342" i="22" s="1"/>
  <c r="P341" i="22" a="1"/>
  <c r="P341" i="22" s="1"/>
  <c r="P340" i="22" a="1"/>
  <c r="P340" i="22" s="1"/>
  <c r="P339" i="22" a="1"/>
  <c r="P339" i="22" s="1"/>
  <c r="P338" i="22" a="1"/>
  <c r="P338" i="22" s="1"/>
  <c r="P337" i="22" a="1"/>
  <c r="P337" i="22" s="1"/>
  <c r="P336" i="22" a="1"/>
  <c r="P336" i="22" s="1"/>
  <c r="P335" i="22" a="1"/>
  <c r="P335" i="22" s="1"/>
  <c r="P334" i="22" a="1"/>
  <c r="P334" i="22" s="1"/>
  <c r="P333" i="22" a="1"/>
  <c r="P333" i="22" s="1"/>
  <c r="P332" i="22" a="1"/>
  <c r="P332" i="22" s="1"/>
  <c r="P331" i="22" a="1"/>
  <c r="P331" i="22" s="1"/>
  <c r="P330" i="22" a="1"/>
  <c r="P330" i="22" s="1"/>
  <c r="P329" i="22" a="1"/>
  <c r="P329" i="22" s="1"/>
  <c r="P328" i="22" a="1"/>
  <c r="P328" i="22" s="1"/>
  <c r="P327" i="22" a="1"/>
  <c r="P327" i="22" s="1"/>
  <c r="P326" i="22" a="1"/>
  <c r="P326" i="22" s="1"/>
  <c r="P325" i="22" a="1"/>
  <c r="P325" i="22" s="1"/>
  <c r="P324" i="22" a="1"/>
  <c r="P324" i="22" s="1"/>
  <c r="P323" i="22" a="1"/>
  <c r="P323" i="22" s="1"/>
  <c r="P322" i="22" a="1"/>
  <c r="P322" i="22" s="1"/>
  <c r="P321" i="22" a="1"/>
  <c r="P321" i="22" s="1"/>
  <c r="P320" i="22" a="1"/>
  <c r="P320" i="22" s="1"/>
  <c r="P319" i="22" a="1"/>
  <c r="P319" i="22" s="1"/>
  <c r="P318" i="22" a="1"/>
  <c r="P318" i="22" s="1"/>
  <c r="P317" i="22" a="1"/>
  <c r="P317" i="22" s="1"/>
  <c r="P316" i="22" a="1"/>
  <c r="P316" i="22" s="1"/>
  <c r="P315" i="22" a="1"/>
  <c r="P315" i="22" s="1"/>
  <c r="P314" i="22" a="1"/>
  <c r="P314" i="22" s="1"/>
  <c r="P313" i="22" a="1"/>
  <c r="P313" i="22" s="1"/>
  <c r="P312" i="22" a="1"/>
  <c r="P312" i="22" s="1"/>
  <c r="P311" i="22" a="1"/>
  <c r="P311" i="22" s="1"/>
  <c r="P310" i="22" a="1"/>
  <c r="P310" i="22" s="1"/>
  <c r="P309" i="22" a="1"/>
  <c r="P309" i="22" s="1"/>
  <c r="P308" i="22" a="1"/>
  <c r="P308" i="22" s="1"/>
  <c r="P307" i="22" a="1"/>
  <c r="P307" i="22" s="1"/>
  <c r="P306" i="22" a="1"/>
  <c r="P306" i="22" s="1"/>
  <c r="P305" i="22" a="1"/>
  <c r="P305" i="22" s="1"/>
  <c r="P304" i="22" a="1"/>
  <c r="P304" i="22" s="1"/>
  <c r="P303" i="22" a="1"/>
  <c r="P303" i="22" s="1"/>
  <c r="P302" i="22" a="1"/>
  <c r="P302" i="22" s="1"/>
  <c r="P301" i="22" a="1"/>
  <c r="P301" i="22" s="1"/>
  <c r="P300" i="22" a="1"/>
  <c r="P300" i="22" s="1"/>
  <c r="P299" i="22" a="1"/>
  <c r="P299" i="22" s="1"/>
  <c r="P298" i="22" a="1"/>
  <c r="P298" i="22" s="1"/>
  <c r="P297" i="22" a="1"/>
  <c r="P297" i="22" s="1"/>
  <c r="P295" i="22" a="1"/>
  <c r="P295" i="22" s="1"/>
  <c r="P294" i="22" a="1"/>
  <c r="P294" i="22" s="1"/>
  <c r="P293" i="22" a="1"/>
  <c r="P293" i="22" s="1"/>
  <c r="P292" i="22" a="1"/>
  <c r="P292" i="22" s="1"/>
  <c r="P291" i="22" a="1"/>
  <c r="P291" i="22" s="1"/>
  <c r="P290" i="22" a="1"/>
  <c r="P290" i="22" s="1"/>
  <c r="P288" i="22" a="1"/>
  <c r="P288" i="22" s="1"/>
  <c r="P286" i="22" a="1"/>
  <c r="P286" i="22" s="1"/>
  <c r="P285" i="22" a="1"/>
  <c r="P285" i="22" s="1"/>
  <c r="P284" i="22" a="1"/>
  <c r="P284" i="22" s="1"/>
  <c r="P282" i="22" a="1"/>
  <c r="P282" i="22" s="1"/>
  <c r="P281" i="22" a="1"/>
  <c r="P281" i="22" s="1"/>
  <c r="P279" i="22" a="1"/>
  <c r="P279" i="22" s="1"/>
  <c r="P276" i="22" a="1"/>
  <c r="P276" i="22" s="1"/>
  <c r="P275" i="22" a="1"/>
  <c r="P275" i="22" s="1"/>
  <c r="P273" i="22" a="1"/>
  <c r="P273" i="22" s="1"/>
  <c r="P271" i="22" a="1"/>
  <c r="P271" i="22" s="1"/>
  <c r="P269" i="22" a="1"/>
  <c r="P269" i="22" s="1"/>
  <c r="P268" i="22" a="1"/>
  <c r="P268" i="22" s="1"/>
  <c r="P266" i="22" a="1"/>
  <c r="P266" i="22" s="1"/>
  <c r="P265" i="22" a="1"/>
  <c r="P265" i="22" s="1"/>
  <c r="P263" i="22" a="1"/>
  <c r="P263" i="22" s="1"/>
  <c r="P262" i="22" a="1"/>
  <c r="P262" i="22" s="1"/>
  <c r="P259" i="22" a="1"/>
  <c r="P259" i="22" s="1"/>
  <c r="P257" i="22" a="1"/>
  <c r="P257" i="22" s="1"/>
  <c r="P237" i="22" a="1"/>
  <c r="P237" i="22" s="1"/>
  <c r="P127" i="22" a="1"/>
  <c r="P127" i="22" s="1"/>
  <c r="P123" i="22" a="1"/>
  <c r="P123" i="22" s="1"/>
  <c r="P120" i="22" a="1"/>
  <c r="P120" i="22" s="1"/>
  <c r="P119" i="22" a="1"/>
  <c r="P119" i="22" s="1"/>
  <c r="P114" i="22" a="1"/>
  <c r="P114" i="22" s="1"/>
  <c r="P88" i="22" a="1"/>
  <c r="P88" i="22" s="1"/>
  <c r="P84" i="22" a="1"/>
  <c r="P84" i="22" s="1"/>
  <c r="P78" i="22" a="1"/>
  <c r="P78" i="22" s="1"/>
  <c r="P74" i="22" a="1"/>
  <c r="P74" i="22" s="1"/>
  <c r="P70" i="22" a="1"/>
  <c r="P70" i="22" s="1"/>
  <c r="P68" i="22" a="1"/>
  <c r="P68" i="22" s="1"/>
  <c r="P61" i="22" a="1"/>
  <c r="P61" i="22" s="1"/>
  <c r="P57" i="22" a="1"/>
  <c r="P57" i="22" s="1"/>
  <c r="P55" i="22" a="1"/>
  <c r="P55" i="22" s="1"/>
  <c r="P296" i="22" a="1"/>
  <c r="P296" i="22" s="1"/>
  <c r="P289" i="22" a="1"/>
  <c r="P289" i="22" s="1"/>
  <c r="P287" i="22" a="1"/>
  <c r="P287" i="22" s="1"/>
  <c r="P283" i="22" a="1"/>
  <c r="P283" i="22" s="1"/>
  <c r="P280" i="22" a="1"/>
  <c r="P280" i="22" s="1"/>
  <c r="P278" i="22" a="1"/>
  <c r="P278" i="22" s="1"/>
  <c r="P277" i="22" a="1"/>
  <c r="P277" i="22" s="1"/>
  <c r="P274" i="22" a="1"/>
  <c r="P274" i="22" s="1"/>
  <c r="P272" i="22" a="1"/>
  <c r="P272" i="22" s="1"/>
  <c r="P270" i="22" a="1"/>
  <c r="P270" i="22" s="1"/>
  <c r="P267" i="22" a="1"/>
  <c r="P267" i="22" s="1"/>
  <c r="P264" i="22" a="1"/>
  <c r="P264" i="22" s="1"/>
  <c r="P261" i="22" a="1"/>
  <c r="P261" i="22" s="1"/>
  <c r="P260" i="22" a="1"/>
  <c r="P260" i="22" s="1"/>
  <c r="P258" i="22" a="1"/>
  <c r="P258" i="22" s="1"/>
  <c r="P256" i="22" a="1"/>
  <c r="P256" i="22" s="1"/>
  <c r="P255" i="22" a="1"/>
  <c r="P255" i="22" s="1"/>
  <c r="P254" i="22" a="1"/>
  <c r="P254" i="22" s="1"/>
  <c r="P253" i="22" a="1"/>
  <c r="P253" i="22" s="1"/>
  <c r="P252" i="22" a="1"/>
  <c r="P252" i="22" s="1"/>
  <c r="P251" i="22" a="1"/>
  <c r="P251" i="22" s="1"/>
  <c r="P250" i="22" a="1"/>
  <c r="P250" i="22" s="1"/>
  <c r="P249" i="22" a="1"/>
  <c r="P249" i="22" s="1"/>
  <c r="P248" i="22" a="1"/>
  <c r="P248" i="22" s="1"/>
  <c r="P247" i="22" a="1"/>
  <c r="P247" i="22" s="1"/>
  <c r="P246" i="22" a="1"/>
  <c r="P246" i="22" s="1"/>
  <c r="P245" i="22" a="1"/>
  <c r="P245" i="22" s="1"/>
  <c r="P244" i="22" a="1"/>
  <c r="P244" i="22" s="1"/>
  <c r="P243" i="22" a="1"/>
  <c r="P243" i="22" s="1"/>
  <c r="P242" i="22" a="1"/>
  <c r="P242" i="22" s="1"/>
  <c r="P241" i="22" a="1"/>
  <c r="P241" i="22" s="1"/>
  <c r="P240" i="22" a="1"/>
  <c r="P240" i="22" s="1"/>
  <c r="P239" i="22" a="1"/>
  <c r="P239" i="22" s="1"/>
  <c r="P238" i="22" a="1"/>
  <c r="P238" i="22" s="1"/>
  <c r="P236" i="22" a="1"/>
  <c r="P236" i="22" s="1"/>
  <c r="P128" i="22" a="1"/>
  <c r="P128" i="22" s="1"/>
  <c r="P125" i="22" a="1"/>
  <c r="P125" i="22" s="1"/>
  <c r="P122" i="22" a="1"/>
  <c r="P122" i="22" s="1"/>
  <c r="P118" i="22" a="1"/>
  <c r="P118" i="22" s="1"/>
  <c r="P115" i="22" a="1"/>
  <c r="P115" i="22" s="1"/>
  <c r="P87" i="22" a="1"/>
  <c r="P87" i="22" s="1"/>
  <c r="P83" i="22" a="1"/>
  <c r="P83" i="22" s="1"/>
  <c r="P81" i="22" a="1"/>
  <c r="P81" i="22" s="1"/>
  <c r="P77" i="22" a="1"/>
  <c r="P77" i="22" s="1"/>
  <c r="P71" i="22" a="1"/>
  <c r="P71" i="22" s="1"/>
  <c r="P69" i="22" a="1"/>
  <c r="P69" i="22" s="1"/>
  <c r="P63" i="22" a="1"/>
  <c r="P63" i="22" s="1"/>
  <c r="P58" i="22" a="1"/>
  <c r="P58" i="22" s="1"/>
  <c r="P53" i="22" a="1"/>
  <c r="P53" i="22" s="1"/>
  <c r="P235" i="22" a="1"/>
  <c r="P235" i="22" s="1"/>
  <c r="P234" i="22" a="1"/>
  <c r="P234" i="22" s="1"/>
  <c r="P233" i="22" a="1"/>
  <c r="P233" i="22" s="1"/>
  <c r="P232" i="22" a="1"/>
  <c r="P232" i="22" s="1"/>
  <c r="P231" i="22" a="1"/>
  <c r="P231" i="22" s="1"/>
  <c r="P230" i="22" a="1"/>
  <c r="P230" i="22" s="1"/>
  <c r="P229" i="22" a="1"/>
  <c r="P229" i="22" s="1"/>
  <c r="P228" i="22" a="1"/>
  <c r="P228" i="22" s="1"/>
  <c r="P227" i="22" a="1"/>
  <c r="P227" i="22" s="1"/>
  <c r="P226" i="22" a="1"/>
  <c r="P226" i="22" s="1"/>
  <c r="P225" i="22" a="1"/>
  <c r="P225" i="22" s="1"/>
  <c r="P224" i="22" a="1"/>
  <c r="P224" i="22" s="1"/>
  <c r="P223" i="22" a="1"/>
  <c r="P223" i="22" s="1"/>
  <c r="P222" i="22" a="1"/>
  <c r="P222" i="22" s="1"/>
  <c r="P221" i="22" a="1"/>
  <c r="P221" i="22" s="1"/>
  <c r="P220" i="22" a="1"/>
  <c r="P220" i="22" s="1"/>
  <c r="P219" i="22" a="1"/>
  <c r="P219" i="22" s="1"/>
  <c r="P218" i="22" a="1"/>
  <c r="P218" i="22" s="1"/>
  <c r="P217" i="22" a="1"/>
  <c r="P217" i="22" s="1"/>
  <c r="P216" i="22" a="1"/>
  <c r="P216" i="22" s="1"/>
  <c r="P215" i="22" a="1"/>
  <c r="P215" i="22" s="1"/>
  <c r="P214" i="22" a="1"/>
  <c r="P214" i="22" s="1"/>
  <c r="P213" i="22" a="1"/>
  <c r="P213" i="22" s="1"/>
  <c r="P212" i="22" a="1"/>
  <c r="P212" i="22" s="1"/>
  <c r="P211" i="22" a="1"/>
  <c r="P211" i="22" s="1"/>
  <c r="P210" i="22" a="1"/>
  <c r="P210" i="22" s="1"/>
  <c r="P209" i="22" a="1"/>
  <c r="P209" i="22" s="1"/>
  <c r="P208" i="22" a="1"/>
  <c r="P208" i="22" s="1"/>
  <c r="P207" i="22" a="1"/>
  <c r="P207" i="22" s="1"/>
  <c r="P206" i="22" a="1"/>
  <c r="P206" i="22" s="1"/>
  <c r="P205" i="22" a="1"/>
  <c r="P205" i="22" s="1"/>
  <c r="P204" i="22" a="1"/>
  <c r="P204" i="22" s="1"/>
  <c r="P203" i="22" a="1"/>
  <c r="P203" i="22" s="1"/>
  <c r="P202" i="22" a="1"/>
  <c r="P202" i="22" s="1"/>
  <c r="P201" i="22" a="1"/>
  <c r="P201" i="22" s="1"/>
  <c r="P200" i="22" a="1"/>
  <c r="P200" i="22" s="1"/>
  <c r="P199" i="22" a="1"/>
  <c r="P199" i="22" s="1"/>
  <c r="P198" i="22" a="1"/>
  <c r="P198" i="22" s="1"/>
  <c r="P197" i="22" a="1"/>
  <c r="P197" i="22" s="1"/>
  <c r="P196" i="22" a="1"/>
  <c r="P196" i="22" s="1"/>
  <c r="P195" i="22" a="1"/>
  <c r="P195" i="22" s="1"/>
  <c r="P194" i="22" a="1"/>
  <c r="P194" i="22" s="1"/>
  <c r="P193" i="22" a="1"/>
  <c r="P193" i="22" s="1"/>
  <c r="P192" i="22" a="1"/>
  <c r="P192" i="22" s="1"/>
  <c r="P191" i="22" a="1"/>
  <c r="P191" i="22" s="1"/>
  <c r="P190" i="22" a="1"/>
  <c r="P190" i="22" s="1"/>
  <c r="P189" i="22" a="1"/>
  <c r="P189" i="22" s="1"/>
  <c r="P188" i="22" a="1"/>
  <c r="P188" i="22" s="1"/>
  <c r="P187" i="22" a="1"/>
  <c r="P187" i="22" s="1"/>
  <c r="P186" i="22" a="1"/>
  <c r="P186" i="22" s="1"/>
  <c r="P185" i="22" a="1"/>
  <c r="P185" i="22" s="1"/>
  <c r="P184" i="22" a="1"/>
  <c r="P184" i="22" s="1"/>
  <c r="P183" i="22" a="1"/>
  <c r="P183" i="22" s="1"/>
  <c r="P182" i="22" a="1"/>
  <c r="P182" i="22" s="1"/>
  <c r="P181" i="22" a="1"/>
  <c r="P181" i="22" s="1"/>
  <c r="P180" i="22" a="1"/>
  <c r="P180" i="22" s="1"/>
  <c r="P179" i="22" a="1"/>
  <c r="P179" i="22" s="1"/>
  <c r="P178" i="22" a="1"/>
  <c r="P178" i="22" s="1"/>
  <c r="P177" i="22" a="1"/>
  <c r="P177" i="22" s="1"/>
  <c r="P176" i="22" a="1"/>
  <c r="P176" i="22" s="1"/>
  <c r="P175" i="22" a="1"/>
  <c r="P175" i="22" s="1"/>
  <c r="P174" i="22" a="1"/>
  <c r="P174" i="22" s="1"/>
  <c r="P173" i="22" a="1"/>
  <c r="P173" i="22" s="1"/>
  <c r="P172" i="22" a="1"/>
  <c r="P172" i="22" s="1"/>
  <c r="P171" i="22" a="1"/>
  <c r="P171" i="22" s="1"/>
  <c r="P170" i="22" a="1"/>
  <c r="P170" i="22" s="1"/>
  <c r="P169" i="22" a="1"/>
  <c r="P169" i="22" s="1"/>
  <c r="P168" i="22" a="1"/>
  <c r="P168" i="22" s="1"/>
  <c r="P167" i="22" a="1"/>
  <c r="P167" i="22" s="1"/>
  <c r="P166" i="22" a="1"/>
  <c r="P166" i="22" s="1"/>
  <c r="P165" i="22" a="1"/>
  <c r="P165" i="22" s="1"/>
  <c r="P164" i="22" a="1"/>
  <c r="P164" i="22" s="1"/>
  <c r="P163" i="22" a="1"/>
  <c r="P163" i="22" s="1"/>
  <c r="P162" i="22" a="1"/>
  <c r="P162" i="22" s="1"/>
  <c r="P161" i="22" a="1"/>
  <c r="P161" i="22" s="1"/>
  <c r="P160" i="22" a="1"/>
  <c r="P160" i="22" s="1"/>
  <c r="P159" i="22" a="1"/>
  <c r="P159" i="22" s="1"/>
  <c r="P158" i="22" a="1"/>
  <c r="P158" i="22" s="1"/>
  <c r="P157" i="22" a="1"/>
  <c r="P157" i="22" s="1"/>
  <c r="P156" i="22" a="1"/>
  <c r="P156" i="22" s="1"/>
  <c r="P155" i="22" a="1"/>
  <c r="P155" i="22" s="1"/>
  <c r="P154" i="22" a="1"/>
  <c r="P154" i="22" s="1"/>
  <c r="P153" i="22" a="1"/>
  <c r="P153" i="22" s="1"/>
  <c r="P152" i="22" a="1"/>
  <c r="P152" i="22" s="1"/>
  <c r="P151" i="22" a="1"/>
  <c r="P151" i="22" s="1"/>
  <c r="P150" i="22" a="1"/>
  <c r="P150" i="22" s="1"/>
  <c r="P149" i="22" a="1"/>
  <c r="P149" i="22" s="1"/>
  <c r="P148" i="22" a="1"/>
  <c r="P148" i="22" s="1"/>
  <c r="P147" i="22" a="1"/>
  <c r="P147" i="22" s="1"/>
  <c r="P146" i="22" a="1"/>
  <c r="P146" i="22" s="1"/>
  <c r="P145" i="22" a="1"/>
  <c r="P145" i="22" s="1"/>
  <c r="P144" i="22" a="1"/>
  <c r="P144" i="22" s="1"/>
  <c r="P143" i="22" a="1"/>
  <c r="P143" i="22" s="1"/>
  <c r="P142" i="22" a="1"/>
  <c r="P142" i="22" s="1"/>
  <c r="P141" i="22" a="1"/>
  <c r="P141" i="22" s="1"/>
  <c r="P140" i="22" a="1"/>
  <c r="P140" i="22" s="1"/>
  <c r="P139" i="22" a="1"/>
  <c r="P139" i="22" s="1"/>
  <c r="P138" i="22" a="1"/>
  <c r="P138" i="22" s="1"/>
  <c r="P137" i="22" a="1"/>
  <c r="P137" i="22" s="1"/>
  <c r="P136" i="22" a="1"/>
  <c r="P136" i="22" s="1"/>
  <c r="P135" i="22" a="1"/>
  <c r="P135" i="22" s="1"/>
  <c r="P134" i="22" a="1"/>
  <c r="P134" i="22" s="1"/>
  <c r="P133" i="22" a="1"/>
  <c r="P133" i="22" s="1"/>
  <c r="P132" i="22" a="1"/>
  <c r="P132" i="22" s="1"/>
  <c r="P131" i="22" a="1"/>
  <c r="P131" i="22" s="1"/>
  <c r="P130" i="22" a="1"/>
  <c r="P130" i="22" s="1"/>
  <c r="P129" i="22" a="1"/>
  <c r="P129" i="22" s="1"/>
  <c r="P126" i="22" a="1"/>
  <c r="P126" i="22" s="1"/>
  <c r="P124" i="22" a="1"/>
  <c r="P124" i="22" s="1"/>
  <c r="P121" i="22" a="1"/>
  <c r="P121" i="22" s="1"/>
  <c r="P117" i="22" a="1"/>
  <c r="P117" i="22" s="1"/>
  <c r="P116" i="22" a="1"/>
  <c r="P116" i="22" s="1"/>
  <c r="P90" i="22" a="1"/>
  <c r="P90" i="22" s="1"/>
  <c r="P86" i="22" a="1"/>
  <c r="P86" i="22" s="1"/>
  <c r="P80" i="22" a="1"/>
  <c r="P80" i="22" s="1"/>
  <c r="P76" i="22" a="1"/>
  <c r="P76" i="22" s="1"/>
  <c r="P73" i="22" a="1"/>
  <c r="P73" i="22" s="1"/>
  <c r="P72" i="22" a="1"/>
  <c r="P72" i="22" s="1"/>
  <c r="P66" i="22" a="1"/>
  <c r="P66" i="22" s="1"/>
  <c r="P62" i="22" a="1"/>
  <c r="P62" i="22" s="1"/>
  <c r="P59" i="22" a="1"/>
  <c r="P59" i="22" s="1"/>
  <c r="P56" i="22" a="1"/>
  <c r="P56" i="22" s="1"/>
  <c r="P52" i="22" a="1"/>
  <c r="P52" i="22" s="1"/>
  <c r="Q44" i="22" a="1"/>
  <c r="Q44" i="22" s="1"/>
  <c r="Q133" i="22" a="1"/>
  <c r="Q133" i="22" s="1"/>
  <c r="Q47" i="22" a="1"/>
  <c r="Q47" i="22" s="1"/>
  <c r="Q81" i="22" a="1"/>
  <c r="Q81" i="22" s="1"/>
  <c r="Q61" i="22" a="1"/>
  <c r="Q61" i="22" s="1"/>
  <c r="Q89" i="22" a="1"/>
  <c r="Q89" i="22" s="1"/>
  <c r="Q110" i="22" a="1"/>
  <c r="Q110" i="22" s="1"/>
  <c r="Q66" i="22" a="1"/>
  <c r="Q66" i="22" s="1"/>
  <c r="Q136" i="22" a="1"/>
  <c r="Q136" i="22" s="1"/>
  <c r="Q84" i="22" a="1"/>
  <c r="Q84" i="22" s="1"/>
  <c r="Q139" i="22" a="1"/>
  <c r="Q139" i="22" s="1"/>
  <c r="Q142" i="22" a="1"/>
  <c r="Q142" i="22" s="1"/>
  <c r="Q144" i="22" a="1"/>
  <c r="Q144" i="22" s="1"/>
  <c r="Q147" i="22" a="1"/>
  <c r="Q147" i="22" s="1"/>
  <c r="Q151" i="22" a="1"/>
  <c r="Q151" i="22" s="1"/>
  <c r="Q152" i="22" a="1"/>
  <c r="Q152" i="22" s="1"/>
  <c r="Q155" i="22" a="1"/>
  <c r="Q155" i="22" s="1"/>
  <c r="Q457" i="22" a="1"/>
  <c r="Q457" i="22" s="1"/>
  <c r="P542" i="22" a="1"/>
  <c r="P542" i="22" s="1"/>
  <c r="P65" i="22" a="1"/>
  <c r="P65" i="22" s="1"/>
  <c r="P113" i="22" a="1"/>
  <c r="P113" i="22" s="1"/>
  <c r="P112" i="22" a="1"/>
  <c r="P112" i="22" s="1"/>
  <c r="P111" i="22" a="1"/>
  <c r="P111" i="22" s="1"/>
  <c r="P110" i="22" a="1"/>
  <c r="P110" i="22" s="1"/>
  <c r="P109" i="22" a="1"/>
  <c r="P109" i="22" s="1"/>
  <c r="P108" i="22" a="1"/>
  <c r="P108" i="22" s="1"/>
  <c r="P107" i="22" a="1"/>
  <c r="P107" i="22" s="1"/>
  <c r="P106" i="22" a="1"/>
  <c r="P106" i="22" s="1"/>
  <c r="P105" i="22" a="1"/>
  <c r="P105" i="22" s="1"/>
  <c r="P104" i="22" a="1"/>
  <c r="P104" i="22" s="1"/>
  <c r="P103" i="22" a="1"/>
  <c r="P103" i="22" s="1"/>
  <c r="P102" i="22" a="1"/>
  <c r="P102" i="22" s="1"/>
  <c r="P101" i="22" a="1"/>
  <c r="P101" i="22" s="1"/>
  <c r="P100" i="22" a="1"/>
  <c r="P100" i="22" s="1"/>
  <c r="P99" i="22" a="1"/>
  <c r="P99" i="22" s="1"/>
  <c r="P98" i="22" a="1"/>
  <c r="P98" i="22" s="1"/>
  <c r="P97" i="22" a="1"/>
  <c r="P97" i="22" s="1"/>
  <c r="P96" i="22" a="1"/>
  <c r="P96" i="22" s="1"/>
  <c r="P95" i="22" a="1"/>
  <c r="P95" i="22" s="1"/>
  <c r="P94" i="22" a="1"/>
  <c r="P94" i="22" s="1"/>
  <c r="P93" i="22" a="1"/>
  <c r="P93" i="22" s="1"/>
  <c r="P92" i="22" a="1"/>
  <c r="P92" i="22" s="1"/>
  <c r="P91" i="22" a="1"/>
  <c r="P91" i="22" s="1"/>
  <c r="P89" i="22" a="1"/>
  <c r="P89" i="22" s="1"/>
  <c r="P85" i="22" a="1"/>
  <c r="P85" i="22" s="1"/>
  <c r="P82" i="22" a="1"/>
  <c r="P82" i="22" s="1"/>
  <c r="P79" i="22" a="1"/>
  <c r="P79" i="22" s="1"/>
  <c r="P75" i="22" a="1"/>
  <c r="P75" i="22" s="1"/>
  <c r="P67" i="22" a="1"/>
  <c r="P67" i="22" s="1"/>
  <c r="P64" i="22" a="1"/>
  <c r="P64" i="22" s="1"/>
  <c r="P60" i="22" a="1"/>
  <c r="P60" i="22" s="1"/>
  <c r="P54" i="22" a="1"/>
  <c r="P54" i="22" s="1"/>
  <c r="Q59" i="22" a="1"/>
  <c r="Q59" i="22" s="1"/>
  <c r="Q105" i="22" a="1"/>
  <c r="Q105" i="22" s="1"/>
  <c r="Q107" i="22" a="1"/>
  <c r="Q107" i="22" s="1"/>
  <c r="Q40" i="22" a="1"/>
  <c r="Q40" i="22" s="1"/>
  <c r="Q115" i="22" a="1"/>
  <c r="Q115" i="22" s="1"/>
  <c r="Q80" i="22" a="1"/>
  <c r="Q80" i="22" s="1"/>
  <c r="Q134" i="22" a="1"/>
  <c r="Q134" i="22" s="1"/>
  <c r="Q42" i="22" a="1"/>
  <c r="Q42" i="22" s="1"/>
  <c r="Q106" i="22" a="1"/>
  <c r="Q106" i="22" s="1"/>
  <c r="Q141" i="22" a="1"/>
  <c r="Q141" i="22" s="1"/>
  <c r="Q145" i="22" a="1"/>
  <c r="Q145" i="22" s="1"/>
  <c r="Q148" i="22" a="1"/>
  <c r="Q148" i="22" s="1"/>
  <c r="Q150" i="22" a="1"/>
  <c r="Q150" i="22" s="1"/>
  <c r="Q153" i="22" a="1"/>
  <c r="Q153" i="22" s="1"/>
  <c r="Q453" i="22" a="1"/>
  <c r="Q453" i="22" s="1"/>
  <c r="Q455" i="22" a="1"/>
  <c r="Q455" i="22" s="1"/>
  <c r="P51" i="22" a="1"/>
  <c r="P51" i="22" s="1"/>
  <c r="P50" i="22" a="1"/>
  <c r="P50" i="22" s="1"/>
  <c r="P49" i="22" a="1"/>
  <c r="P49" i="22" s="1"/>
  <c r="P48" i="22" a="1"/>
  <c r="P48" i="22" s="1"/>
  <c r="P47" i="22" a="1"/>
  <c r="P47" i="22" s="1"/>
  <c r="P46" i="22" a="1"/>
  <c r="P46" i="22" s="1"/>
  <c r="P45" i="22" a="1"/>
  <c r="P45" i="22" s="1"/>
  <c r="P44" i="22" a="1"/>
  <c r="P44" i="22" s="1"/>
  <c r="P43" i="22" a="1"/>
  <c r="P43" i="22" s="1"/>
  <c r="P42" i="22" a="1"/>
  <c r="P42" i="22" s="1"/>
  <c r="P41" i="22" a="1"/>
  <c r="P41" i="22" s="1"/>
  <c r="P40" i="22" a="1"/>
  <c r="P40" i="22" s="1"/>
  <c r="H22" i="19"/>
  <c r="I24" i="19"/>
  <c r="I25" i="19"/>
  <c r="I26" i="19"/>
  <c r="I27" i="19"/>
  <c r="I28" i="19"/>
  <c r="I29" i="19"/>
  <c r="I30" i="19"/>
  <c r="I31" i="19"/>
  <c r="I32" i="19"/>
  <c r="I34" i="19"/>
  <c r="I36" i="19"/>
  <c r="I38" i="19"/>
  <c r="I40" i="19"/>
  <c r="I41" i="19"/>
  <c r="I44" i="19"/>
  <c r="I46" i="19"/>
  <c r="I48" i="19"/>
  <c r="I49" i="19"/>
  <c r="I51" i="19"/>
  <c r="I53" i="19"/>
  <c r="I55" i="19"/>
  <c r="I23" i="19"/>
  <c r="I33" i="19"/>
  <c r="I35" i="19"/>
  <c r="I37" i="19"/>
  <c r="I39" i="19"/>
  <c r="I42" i="19"/>
  <c r="I43" i="19"/>
  <c r="I45" i="19"/>
  <c r="I47" i="19"/>
  <c r="I50" i="19"/>
  <c r="I52" i="19"/>
  <c r="I54" i="19"/>
  <c r="I56" i="19"/>
  <c r="I57" i="19"/>
  <c r="I58" i="19"/>
  <c r="I59" i="19"/>
  <c r="I60" i="19"/>
  <c r="I61" i="19"/>
  <c r="I62" i="19"/>
  <c r="I63" i="19"/>
  <c r="I64" i="19"/>
  <c r="I65" i="19"/>
  <c r="I66" i="19"/>
  <c r="I67" i="19"/>
  <c r="I68" i="19"/>
  <c r="I69" i="19"/>
  <c r="I70" i="19"/>
  <c r="I71" i="19"/>
  <c r="R23" i="19" a="1"/>
  <c r="R23" i="19" s="1"/>
  <c r="S23" i="19" s="1"/>
  <c r="R25" i="19" a="1"/>
  <c r="R25" i="19" s="1"/>
  <c r="S25" i="19" s="1"/>
  <c r="R27" i="19" a="1"/>
  <c r="R27" i="19" s="1"/>
  <c r="S27" i="19" s="1"/>
  <c r="R28" i="19" a="1"/>
  <c r="R28" i="19" s="1"/>
  <c r="S28" i="19" s="1"/>
  <c r="R29" i="19" a="1"/>
  <c r="R29" i="19" s="1"/>
  <c r="S29" i="19" s="1"/>
  <c r="R30" i="19" a="1"/>
  <c r="R30" i="19" s="1"/>
  <c r="S30" i="19" s="1"/>
  <c r="R31" i="19" a="1"/>
  <c r="R31" i="19" s="1"/>
  <c r="S31" i="19" s="1"/>
  <c r="R32" i="19" a="1"/>
  <c r="R32" i="19" s="1"/>
  <c r="S32" i="19" s="1"/>
  <c r="R33" i="19" a="1"/>
  <c r="R33" i="19" s="1"/>
  <c r="S33" i="19" s="1"/>
  <c r="R34" i="19" a="1"/>
  <c r="R34" i="19" s="1"/>
  <c r="S34" i="19" s="1"/>
  <c r="R35" i="19" a="1"/>
  <c r="R35" i="19" s="1"/>
  <c r="S35" i="19" s="1"/>
  <c r="R36" i="19" a="1"/>
  <c r="R36" i="19" s="1"/>
  <c r="S36" i="19" s="1"/>
  <c r="R37" i="19" a="1"/>
  <c r="R37" i="19" s="1"/>
  <c r="S37" i="19" s="1"/>
  <c r="R38" i="19" a="1"/>
  <c r="R38" i="19" s="1"/>
  <c r="S38" i="19" s="1"/>
  <c r="R39" i="19" a="1"/>
  <c r="R39" i="19" s="1"/>
  <c r="S39" i="19" s="1"/>
  <c r="R40" i="19" a="1"/>
  <c r="R40" i="19" s="1"/>
  <c r="S40" i="19" s="1"/>
  <c r="R41" i="19" a="1"/>
  <c r="R41" i="19" s="1"/>
  <c r="S41" i="19" s="1"/>
  <c r="R43" i="19" a="1"/>
  <c r="R43" i="19" s="1"/>
  <c r="S43" i="19" s="1"/>
  <c r="R45" i="19" a="1"/>
  <c r="R45" i="19" s="1"/>
  <c r="S45" i="19" s="1"/>
  <c r="R47" i="19" a="1"/>
  <c r="R47" i="19" s="1"/>
  <c r="S47" i="19" s="1"/>
  <c r="R49" i="19" a="1"/>
  <c r="R49" i="19" s="1"/>
  <c r="S49" i="19" s="1"/>
  <c r="R51" i="19" a="1"/>
  <c r="R51" i="19" s="1"/>
  <c r="S51" i="19" s="1"/>
  <c r="R53" i="19" a="1"/>
  <c r="R53" i="19" s="1"/>
  <c r="S53" i="19" s="1"/>
  <c r="R55" i="19" a="1"/>
  <c r="R55" i="19" s="1"/>
  <c r="S55" i="19" s="1"/>
  <c r="R56" i="19" a="1"/>
  <c r="R56" i="19" s="1"/>
  <c r="S56" i="19" s="1"/>
  <c r="R58" i="19" a="1"/>
  <c r="R58" i="19" s="1"/>
  <c r="S58" i="19" s="1"/>
  <c r="R60" i="19" a="1"/>
  <c r="R60" i="19" s="1"/>
  <c r="S60" i="19" s="1"/>
  <c r="R62" i="19" a="1"/>
  <c r="R62" i="19" s="1"/>
  <c r="S62" i="19" s="1"/>
  <c r="R64" i="19" a="1"/>
  <c r="R64" i="19" s="1"/>
  <c r="S64" i="19" s="1"/>
  <c r="R66" i="19" a="1"/>
  <c r="R66" i="19" s="1"/>
  <c r="S66" i="19" s="1"/>
  <c r="R68" i="19" a="1"/>
  <c r="R68" i="19" s="1"/>
  <c r="S68" i="19" s="1"/>
  <c r="R70" i="19" a="1"/>
  <c r="R70" i="19" s="1"/>
  <c r="S70" i="19" s="1"/>
  <c r="R24" i="19" a="1"/>
  <c r="R24" i="19" s="1"/>
  <c r="S24" i="19" s="1"/>
  <c r="R26" i="19" a="1"/>
  <c r="R26" i="19" s="1"/>
  <c r="S26" i="19" s="1"/>
  <c r="R42" i="19" a="1"/>
  <c r="R42" i="19" s="1"/>
  <c r="S42" i="19" s="1"/>
  <c r="R44" i="19" a="1"/>
  <c r="R44" i="19" s="1"/>
  <c r="S44" i="19" s="1"/>
  <c r="R46" i="19" a="1"/>
  <c r="R46" i="19" s="1"/>
  <c r="S46" i="19" s="1"/>
  <c r="R48" i="19" a="1"/>
  <c r="R48" i="19" s="1"/>
  <c r="S48" i="19" s="1"/>
  <c r="R50" i="19" a="1"/>
  <c r="R50" i="19" s="1"/>
  <c r="S50" i="19" s="1"/>
  <c r="R52" i="19" a="1"/>
  <c r="R52" i="19" s="1"/>
  <c r="S52" i="19" s="1"/>
  <c r="R54" i="19" a="1"/>
  <c r="R54" i="19" s="1"/>
  <c r="S54" i="19" s="1"/>
  <c r="R57" i="19" a="1"/>
  <c r="R57" i="19" s="1"/>
  <c r="S57" i="19" s="1"/>
  <c r="R59" i="19" a="1"/>
  <c r="R59" i="19" s="1"/>
  <c r="S59" i="19" s="1"/>
  <c r="R61" i="19" a="1"/>
  <c r="R61" i="19" s="1"/>
  <c r="S61" i="19" s="1"/>
  <c r="R63" i="19" a="1"/>
  <c r="R63" i="19" s="1"/>
  <c r="S63" i="19" s="1"/>
  <c r="R65" i="19" a="1"/>
  <c r="R65" i="19" s="1"/>
  <c r="S65" i="19" s="1"/>
  <c r="R67" i="19" a="1"/>
  <c r="R67" i="19" s="1"/>
  <c r="S67" i="19" s="1"/>
  <c r="R69" i="19" a="1"/>
  <c r="R69" i="19" s="1"/>
  <c r="S69" i="19" s="1"/>
  <c r="R71" i="19" a="1"/>
  <c r="R71" i="19" s="1"/>
  <c r="S71" i="19" s="1"/>
  <c r="K25" i="19"/>
  <c r="L25" i="19" s="1"/>
  <c r="K29" i="19"/>
  <c r="L29" i="19" s="1"/>
  <c r="K33" i="19"/>
  <c r="L33" i="19" s="1"/>
  <c r="K38" i="19"/>
  <c r="L38" i="19" s="1"/>
  <c r="K44" i="19"/>
  <c r="L44" i="19" s="1"/>
  <c r="K50" i="19"/>
  <c r="L50" i="19" s="1"/>
  <c r="K56" i="19"/>
  <c r="L56" i="19" s="1"/>
  <c r="K61" i="19"/>
  <c r="L61" i="19" s="1"/>
  <c r="K66" i="19"/>
  <c r="L66" i="19" s="1"/>
  <c r="K34" i="19"/>
  <c r="L34" i="19" s="1"/>
  <c r="K39" i="19"/>
  <c r="L39" i="19" s="1"/>
  <c r="K45" i="19"/>
  <c r="L45" i="19" s="1"/>
  <c r="K51" i="19"/>
  <c r="L51" i="19" s="1"/>
  <c r="K57" i="19"/>
  <c r="L57" i="19" s="1"/>
  <c r="K62" i="19"/>
  <c r="L62" i="19" s="1"/>
  <c r="K67" i="19"/>
  <c r="L67" i="19" s="1"/>
  <c r="K23" i="19"/>
  <c r="L23" i="19" s="1"/>
  <c r="K27" i="19"/>
  <c r="L27" i="19" s="1"/>
  <c r="K30" i="19"/>
  <c r="L30" i="19" s="1"/>
  <c r="K46" i="19"/>
  <c r="L46" i="19" s="1"/>
  <c r="K63" i="19"/>
  <c r="L63" i="19" s="1"/>
  <c r="K32" i="19"/>
  <c r="L32" i="19" s="1"/>
  <c r="K43" i="19"/>
  <c r="L43" i="19" s="1"/>
  <c r="K48" i="19"/>
  <c r="L48" i="19" s="1"/>
  <c r="K52" i="19"/>
  <c r="L52" i="19" s="1"/>
  <c r="K31" i="19"/>
  <c r="L31" i="19" s="1"/>
  <c r="K42" i="19"/>
  <c r="L42" i="19" s="1"/>
  <c r="K59" i="19"/>
  <c r="L59" i="19" s="1"/>
  <c r="K71" i="19"/>
  <c r="L71" i="19" s="1"/>
  <c r="K69" i="19"/>
  <c r="L69" i="19" s="1"/>
  <c r="K53" i="19"/>
  <c r="L53" i="19" s="1"/>
  <c r="K70" i="19"/>
  <c r="L70" i="19" s="1"/>
  <c r="K28" i="19"/>
  <c r="L28" i="19" s="1"/>
  <c r="K37" i="19"/>
  <c r="L37" i="19" s="1"/>
  <c r="K55" i="19"/>
  <c r="L55" i="19" s="1"/>
  <c r="K65" i="19"/>
  <c r="L65" i="19" s="1"/>
  <c r="K41" i="19"/>
  <c r="L41" i="19" s="1"/>
  <c r="K26" i="19"/>
  <c r="L26" i="19" s="1"/>
  <c r="K47" i="19"/>
  <c r="L47" i="19" s="1"/>
  <c r="K49" i="19"/>
  <c r="L49" i="19" s="1"/>
  <c r="K35" i="19"/>
  <c r="L35" i="19" s="1"/>
  <c r="K40" i="19"/>
  <c r="L40" i="19" s="1"/>
  <c r="K58" i="19"/>
  <c r="L58" i="19" s="1"/>
  <c r="K24" i="19"/>
  <c r="L24" i="19" s="1"/>
  <c r="K60" i="19"/>
  <c r="L60" i="19" s="1"/>
  <c r="K68" i="19"/>
  <c r="L68" i="19" s="1"/>
  <c r="K36" i="19"/>
  <c r="L36" i="19" s="1"/>
  <c r="K54" i="19"/>
  <c r="L54" i="19" s="1"/>
  <c r="K64" i="19"/>
  <c r="L64" i="19" s="1"/>
  <c r="I4040" i="22"/>
  <c r="T39" i="22"/>
  <c r="S39" i="22"/>
  <c r="P39" i="22" a="1"/>
  <c r="P39" i="22" s="1"/>
  <c r="Q39" i="22" a="1"/>
  <c r="Q39" i="22" s="1"/>
  <c r="R39" i="22"/>
  <c r="M10" i="17" a="1"/>
  <c r="I10" i="17"/>
  <c r="AI10" i="17" s="1" a="1"/>
  <c r="E22" i="19"/>
  <c r="C22" i="19"/>
  <c r="AE10" i="17" a="1"/>
  <c r="AC10" i="17" a="1"/>
  <c r="AA10" i="17" a="1"/>
  <c r="AG10" i="17" a="1"/>
  <c r="AH10" i="17" a="1"/>
  <c r="M22" i="19"/>
  <c r="O22" i="19" s="1" a="1"/>
  <c r="D22" i="19"/>
  <c r="X10" i="17"/>
  <c r="T10" i="17" l="1"/>
  <c r="AC10" i="17"/>
  <c r="AH10" i="17"/>
  <c r="M10" i="17"/>
  <c r="AE10" i="17"/>
  <c r="AG10" i="17"/>
  <c r="AA10" i="17"/>
  <c r="Q23" i="19" a="1"/>
  <c r="Q23" i="19" s="1"/>
  <c r="Q24" i="19" a="1"/>
  <c r="Q24" i="19" s="1"/>
  <c r="Q49" i="19" a="1"/>
  <c r="Q49" i="19" s="1"/>
  <c r="Q51" i="19" a="1"/>
  <c r="Q51" i="19" s="1"/>
  <c r="Q53" i="19" a="1"/>
  <c r="Q53" i="19" s="1"/>
  <c r="Q56" i="19" a="1"/>
  <c r="Q56" i="19" s="1"/>
  <c r="Q58" i="19" a="1"/>
  <c r="Q58" i="19" s="1"/>
  <c r="Q60" i="19" a="1"/>
  <c r="Q60" i="19" s="1"/>
  <c r="Q62" i="19" a="1"/>
  <c r="Q62" i="19" s="1"/>
  <c r="Q63" i="19" a="1"/>
  <c r="Q63" i="19" s="1"/>
  <c r="Q65" i="19" a="1"/>
  <c r="Q65" i="19" s="1"/>
  <c r="Q67" i="19" a="1"/>
  <c r="Q67" i="19" s="1"/>
  <c r="Q69" i="19" a="1"/>
  <c r="Q69" i="19" s="1"/>
  <c r="Q71" i="19" a="1"/>
  <c r="Q71" i="19" s="1"/>
  <c r="Q25" i="19" a="1"/>
  <c r="Q25" i="19" s="1"/>
  <c r="Q26" i="19" a="1"/>
  <c r="Q26" i="19" s="1"/>
  <c r="Q27" i="19" a="1"/>
  <c r="Q27" i="19" s="1"/>
  <c r="Q28" i="19" a="1"/>
  <c r="Q28" i="19" s="1"/>
  <c r="Q29" i="19" a="1"/>
  <c r="Q29" i="19" s="1"/>
  <c r="Q30" i="19" a="1"/>
  <c r="Q30" i="19" s="1"/>
  <c r="Q31" i="19" a="1"/>
  <c r="Q31" i="19" s="1"/>
  <c r="Q32" i="19" a="1"/>
  <c r="Q32" i="19" s="1"/>
  <c r="Q33" i="19" a="1"/>
  <c r="Q33" i="19" s="1"/>
  <c r="Q34" i="19" a="1"/>
  <c r="Q34" i="19" s="1"/>
  <c r="Q35" i="19" a="1"/>
  <c r="Q35" i="19" s="1"/>
  <c r="U35" i="19" s="1"/>
  <c r="X35" i="19" s="1"/>
  <c r="Y35" i="19" s="1"/>
  <c r="Q36" i="19" a="1"/>
  <c r="Q36" i="19" s="1"/>
  <c r="Q37" i="19" a="1"/>
  <c r="Q37" i="19" s="1"/>
  <c r="Q38" i="19" a="1"/>
  <c r="Q38" i="19" s="1"/>
  <c r="Q39" i="19" a="1"/>
  <c r="Q39" i="19" s="1"/>
  <c r="Q40" i="19" a="1"/>
  <c r="Q40" i="19" s="1"/>
  <c r="Q41" i="19" a="1"/>
  <c r="Q41" i="19" s="1"/>
  <c r="Q42" i="19" a="1"/>
  <c r="Q42" i="19" s="1"/>
  <c r="Q43" i="19" a="1"/>
  <c r="Q43" i="19" s="1"/>
  <c r="Q44" i="19" a="1"/>
  <c r="Q44" i="19" s="1"/>
  <c r="Q45" i="19" a="1"/>
  <c r="Q45" i="19" s="1"/>
  <c r="Q46" i="19" a="1"/>
  <c r="Q46" i="19" s="1"/>
  <c r="Q47" i="19" a="1"/>
  <c r="Q47" i="19" s="1"/>
  <c r="Q48" i="19" a="1"/>
  <c r="Q48" i="19" s="1"/>
  <c r="Q50" i="19" a="1"/>
  <c r="Q50" i="19" s="1"/>
  <c r="Q52" i="19" a="1"/>
  <c r="Q52" i="19" s="1"/>
  <c r="Q54" i="19" a="1"/>
  <c r="Q54" i="19" s="1"/>
  <c r="Q55" i="19" a="1"/>
  <c r="Q55" i="19" s="1"/>
  <c r="Q57" i="19" a="1"/>
  <c r="Q57" i="19" s="1"/>
  <c r="Q59" i="19" a="1"/>
  <c r="Q59" i="19" s="1"/>
  <c r="Q61" i="19" a="1"/>
  <c r="Q61" i="19" s="1"/>
  <c r="Q64" i="19" a="1"/>
  <c r="Q64" i="19" s="1"/>
  <c r="Q66" i="19" a="1"/>
  <c r="Q66" i="19" s="1"/>
  <c r="Q68" i="19" a="1"/>
  <c r="Q68" i="19" s="1"/>
  <c r="Q70" i="19" a="1"/>
  <c r="Q70" i="19" s="1"/>
  <c r="Q22" i="19" a="1"/>
  <c r="Q22" i="19" s="1"/>
  <c r="I22" i="19"/>
  <c r="R22" i="19" a="1"/>
  <c r="R22" i="19" s="1"/>
  <c r="S22" i="19" s="1"/>
  <c r="K22" i="19"/>
  <c r="L22" i="19" s="1"/>
  <c r="AI10" i="17"/>
  <c r="O22" i="19"/>
  <c r="P23" i="19" l="1" a="1"/>
  <c r="P23" i="19" s="1"/>
  <c r="T23" i="19" s="1" a="1"/>
  <c r="T23" i="19" s="1"/>
  <c r="U23" i="19" s="1"/>
  <c r="X23" i="19" s="1"/>
  <c r="Y23" i="19" s="1"/>
  <c r="P24" i="19" a="1"/>
  <c r="P24" i="19" s="1"/>
  <c r="T24" i="19" s="1" a="1"/>
  <c r="T24" i="19" s="1"/>
  <c r="U24" i="19" s="1"/>
  <c r="X24" i="19" s="1"/>
  <c r="Y24" i="19" s="1"/>
  <c r="P25" i="19" a="1"/>
  <c r="P25" i="19" s="1"/>
  <c r="T25" i="19" s="1" a="1"/>
  <c r="T25" i="19" s="1"/>
  <c r="U25" i="19" s="1"/>
  <c r="X25" i="19" s="1"/>
  <c r="Y25" i="19" s="1"/>
  <c r="P26" i="19" a="1"/>
  <c r="P26" i="19" s="1"/>
  <c r="T26" i="19" s="1" a="1"/>
  <c r="T26" i="19" s="1"/>
  <c r="U26" i="19" s="1"/>
  <c r="X26" i="19" s="1"/>
  <c r="Y26" i="19" s="1"/>
  <c r="P27" i="19" a="1"/>
  <c r="P27" i="19" s="1"/>
  <c r="T27" i="19" s="1" a="1"/>
  <c r="T27" i="19" s="1"/>
  <c r="U27" i="19" s="1"/>
  <c r="X27" i="19" s="1"/>
  <c r="Y27" i="19" s="1"/>
  <c r="P28" i="19" a="1"/>
  <c r="P28" i="19" s="1"/>
  <c r="T28" i="19" s="1" a="1"/>
  <c r="T28" i="19" s="1"/>
  <c r="U28" i="19" s="1"/>
  <c r="X28" i="19" s="1"/>
  <c r="Y28" i="19" s="1"/>
  <c r="P29" i="19" a="1"/>
  <c r="P29" i="19" s="1"/>
  <c r="T29" i="19" s="1" a="1"/>
  <c r="T29" i="19" s="1"/>
  <c r="U29" i="19" s="1"/>
  <c r="X29" i="19" s="1"/>
  <c r="Y29" i="19" s="1"/>
  <c r="P30" i="19" a="1"/>
  <c r="P30" i="19" s="1"/>
  <c r="T30" i="19" s="1" a="1"/>
  <c r="T30" i="19" s="1"/>
  <c r="U30" i="19" s="1"/>
  <c r="X30" i="19" s="1"/>
  <c r="Y30" i="19" s="1"/>
  <c r="P31" i="19" a="1"/>
  <c r="P31" i="19" s="1"/>
  <c r="T31" i="19" s="1" a="1"/>
  <c r="T31" i="19" s="1"/>
  <c r="U31" i="19" s="1"/>
  <c r="X31" i="19" s="1"/>
  <c r="Y31" i="19" s="1"/>
  <c r="P32" i="19" a="1"/>
  <c r="P32" i="19" s="1"/>
  <c r="T32" i="19" s="1" a="1"/>
  <c r="T32" i="19" s="1"/>
  <c r="U32" i="19" s="1"/>
  <c r="X32" i="19" s="1"/>
  <c r="Y32" i="19" s="1"/>
  <c r="P33" i="19" a="1"/>
  <c r="P33" i="19" s="1"/>
  <c r="T33" i="19" s="1" a="1"/>
  <c r="T33" i="19" s="1"/>
  <c r="U33" i="19" s="1"/>
  <c r="X33" i="19" s="1"/>
  <c r="Y33" i="19" s="1"/>
  <c r="P34" i="19" a="1"/>
  <c r="P34" i="19" s="1"/>
  <c r="T34" i="19" s="1" a="1"/>
  <c r="T34" i="19" s="1"/>
  <c r="U34" i="19" s="1"/>
  <c r="X34" i="19" s="1"/>
  <c r="Y34" i="19" s="1"/>
  <c r="P35" i="19" a="1"/>
  <c r="P35" i="19" s="1"/>
  <c r="T35" i="19" s="1" a="1"/>
  <c r="T35" i="19" s="1"/>
  <c r="P36" i="19" a="1"/>
  <c r="P36" i="19" s="1"/>
  <c r="T36" i="19" s="1" a="1"/>
  <c r="T36" i="19" s="1"/>
  <c r="U36" i="19" s="1"/>
  <c r="X36" i="19" s="1"/>
  <c r="Y36" i="19" s="1"/>
  <c r="P37" i="19" a="1"/>
  <c r="P37" i="19" s="1"/>
  <c r="T37" i="19" s="1" a="1"/>
  <c r="T37" i="19" s="1"/>
  <c r="U37" i="19" s="1"/>
  <c r="X37" i="19" s="1"/>
  <c r="Y37" i="19" s="1"/>
  <c r="P38" i="19" a="1"/>
  <c r="P38" i="19" s="1"/>
  <c r="T38" i="19" s="1" a="1"/>
  <c r="T38" i="19" s="1"/>
  <c r="U38" i="19" s="1"/>
  <c r="X38" i="19" s="1"/>
  <c r="Y38" i="19" s="1"/>
  <c r="P39" i="19" a="1"/>
  <c r="P39" i="19" s="1"/>
  <c r="T39" i="19" s="1" a="1"/>
  <c r="T39" i="19" s="1"/>
  <c r="U39" i="19" s="1"/>
  <c r="X39" i="19" s="1"/>
  <c r="Y39" i="19" s="1"/>
  <c r="P40" i="19" a="1"/>
  <c r="P40" i="19" s="1"/>
  <c r="T40" i="19" s="1" a="1"/>
  <c r="T40" i="19" s="1"/>
  <c r="U40" i="19" s="1"/>
  <c r="X40" i="19" s="1"/>
  <c r="Y40" i="19" s="1"/>
  <c r="P41" i="19" a="1"/>
  <c r="P41" i="19" s="1"/>
  <c r="T41" i="19" s="1" a="1"/>
  <c r="T41" i="19" s="1"/>
  <c r="U41" i="19" s="1"/>
  <c r="X41" i="19" s="1"/>
  <c r="Y41" i="19" s="1"/>
  <c r="P42" i="19" a="1"/>
  <c r="P42" i="19" s="1"/>
  <c r="T42" i="19" s="1" a="1"/>
  <c r="T42" i="19" s="1"/>
  <c r="U42" i="19" s="1"/>
  <c r="X42" i="19" s="1"/>
  <c r="Y42" i="19" s="1"/>
  <c r="P43" i="19" a="1"/>
  <c r="P43" i="19" s="1"/>
  <c r="T43" i="19" s="1" a="1"/>
  <c r="T43" i="19" s="1"/>
  <c r="U43" i="19" s="1"/>
  <c r="X43" i="19" s="1"/>
  <c r="Y43" i="19" s="1"/>
  <c r="P44" i="19" a="1"/>
  <c r="P44" i="19" s="1"/>
  <c r="T44" i="19" s="1" a="1"/>
  <c r="T44" i="19" s="1"/>
  <c r="U44" i="19" s="1"/>
  <c r="X44" i="19" s="1"/>
  <c r="Y44" i="19" s="1"/>
  <c r="P45" i="19" a="1"/>
  <c r="P45" i="19" s="1"/>
  <c r="T45" i="19" s="1" a="1"/>
  <c r="T45" i="19" s="1"/>
  <c r="U45" i="19" s="1"/>
  <c r="X45" i="19" s="1"/>
  <c r="Y45" i="19" s="1"/>
  <c r="P46" i="19" a="1"/>
  <c r="P46" i="19" s="1"/>
  <c r="T46" i="19" s="1" a="1"/>
  <c r="T46" i="19" s="1"/>
  <c r="U46" i="19" s="1"/>
  <c r="X46" i="19" s="1"/>
  <c r="Y46" i="19" s="1"/>
  <c r="P47" i="19" a="1"/>
  <c r="P47" i="19" s="1"/>
  <c r="T47" i="19" s="1" a="1"/>
  <c r="T47" i="19" s="1"/>
  <c r="U47" i="19" s="1"/>
  <c r="X47" i="19" s="1"/>
  <c r="Y47" i="19" s="1"/>
  <c r="P48" i="19" a="1"/>
  <c r="P48" i="19" s="1"/>
  <c r="T48" i="19" s="1" a="1"/>
  <c r="T48" i="19" s="1"/>
  <c r="U48" i="19" s="1"/>
  <c r="X48" i="19" s="1"/>
  <c r="Y48" i="19" s="1"/>
  <c r="P49" i="19" a="1"/>
  <c r="P49" i="19" s="1"/>
  <c r="T49" i="19" s="1" a="1"/>
  <c r="T49" i="19" s="1"/>
  <c r="U49" i="19" s="1"/>
  <c r="X49" i="19" s="1"/>
  <c r="Y49" i="19" s="1"/>
  <c r="P50" i="19" a="1"/>
  <c r="P50" i="19" s="1"/>
  <c r="T50" i="19" s="1" a="1"/>
  <c r="T50" i="19" s="1"/>
  <c r="U50" i="19" s="1"/>
  <c r="X50" i="19" s="1"/>
  <c r="Y50" i="19" s="1"/>
  <c r="P51" i="19" a="1"/>
  <c r="P51" i="19" s="1"/>
  <c r="T51" i="19" s="1" a="1"/>
  <c r="T51" i="19" s="1"/>
  <c r="U51" i="19" s="1"/>
  <c r="X51" i="19" s="1"/>
  <c r="Y51" i="19" s="1"/>
  <c r="P52" i="19" a="1"/>
  <c r="P52" i="19" s="1"/>
  <c r="T52" i="19" s="1" a="1"/>
  <c r="T52" i="19" s="1"/>
  <c r="U52" i="19" s="1"/>
  <c r="X52" i="19" s="1"/>
  <c r="Y52" i="19" s="1"/>
  <c r="P53" i="19" a="1"/>
  <c r="P53" i="19" s="1"/>
  <c r="T53" i="19" s="1" a="1"/>
  <c r="T53" i="19" s="1"/>
  <c r="U53" i="19" s="1"/>
  <c r="X53" i="19" s="1"/>
  <c r="Y53" i="19" s="1"/>
  <c r="P54" i="19" a="1"/>
  <c r="P54" i="19" s="1"/>
  <c r="T54" i="19" s="1" a="1"/>
  <c r="T54" i="19" s="1"/>
  <c r="U54" i="19" s="1"/>
  <c r="X54" i="19" s="1"/>
  <c r="Y54" i="19" s="1"/>
  <c r="P55" i="19" a="1"/>
  <c r="P55" i="19" s="1"/>
  <c r="T55" i="19" s="1" a="1"/>
  <c r="T55" i="19" s="1"/>
  <c r="U55" i="19" s="1"/>
  <c r="X55" i="19" s="1"/>
  <c r="Y55" i="19" s="1"/>
  <c r="P56" i="19" a="1"/>
  <c r="P56" i="19" s="1"/>
  <c r="T56" i="19" s="1" a="1"/>
  <c r="T56" i="19" s="1"/>
  <c r="U56" i="19" s="1"/>
  <c r="X56" i="19" s="1"/>
  <c r="Y56" i="19" s="1"/>
  <c r="P57" i="19" a="1"/>
  <c r="P57" i="19" s="1"/>
  <c r="T57" i="19" s="1" a="1"/>
  <c r="T57" i="19" s="1"/>
  <c r="U57" i="19" s="1"/>
  <c r="X57" i="19" s="1"/>
  <c r="Y57" i="19" s="1"/>
  <c r="P58" i="19" a="1"/>
  <c r="P58" i="19" s="1"/>
  <c r="T58" i="19" s="1" a="1"/>
  <c r="T58" i="19" s="1"/>
  <c r="U58" i="19" s="1"/>
  <c r="X58" i="19" s="1"/>
  <c r="Y58" i="19" s="1"/>
  <c r="P59" i="19" a="1"/>
  <c r="P59" i="19" s="1"/>
  <c r="T59" i="19" s="1" a="1"/>
  <c r="T59" i="19" s="1"/>
  <c r="U59" i="19" s="1"/>
  <c r="X59" i="19" s="1"/>
  <c r="Y59" i="19" s="1"/>
  <c r="P60" i="19" a="1"/>
  <c r="P60" i="19" s="1"/>
  <c r="T60" i="19" s="1" a="1"/>
  <c r="T60" i="19" s="1"/>
  <c r="U60" i="19" s="1"/>
  <c r="X60" i="19" s="1"/>
  <c r="Y60" i="19" s="1"/>
  <c r="P61" i="19" a="1"/>
  <c r="P61" i="19" s="1"/>
  <c r="T61" i="19" s="1" a="1"/>
  <c r="T61" i="19" s="1"/>
  <c r="U61" i="19" s="1"/>
  <c r="X61" i="19" s="1"/>
  <c r="Y61" i="19" s="1"/>
  <c r="P62" i="19" a="1"/>
  <c r="P62" i="19" s="1"/>
  <c r="T62" i="19" s="1" a="1"/>
  <c r="T62" i="19" s="1"/>
  <c r="U62" i="19" s="1"/>
  <c r="X62" i="19" s="1"/>
  <c r="Y62" i="19" s="1"/>
  <c r="P63" i="19" a="1"/>
  <c r="P63" i="19" s="1"/>
  <c r="T63" i="19" s="1" a="1"/>
  <c r="T63" i="19" s="1"/>
  <c r="U63" i="19" s="1"/>
  <c r="X63" i="19" s="1"/>
  <c r="Y63" i="19" s="1"/>
  <c r="P64" i="19" a="1"/>
  <c r="P64" i="19" s="1"/>
  <c r="T64" i="19" s="1" a="1"/>
  <c r="T64" i="19" s="1"/>
  <c r="U64" i="19" s="1"/>
  <c r="X64" i="19" s="1"/>
  <c r="Y64" i="19" s="1"/>
  <c r="P65" i="19" a="1"/>
  <c r="P65" i="19" s="1"/>
  <c r="T65" i="19" s="1" a="1"/>
  <c r="T65" i="19" s="1"/>
  <c r="U65" i="19" s="1"/>
  <c r="X65" i="19" s="1"/>
  <c r="Y65" i="19" s="1"/>
  <c r="P66" i="19" a="1"/>
  <c r="P66" i="19" s="1"/>
  <c r="T66" i="19" s="1" a="1"/>
  <c r="T66" i="19" s="1"/>
  <c r="U66" i="19" s="1"/>
  <c r="X66" i="19" s="1"/>
  <c r="Y66" i="19" s="1"/>
  <c r="P67" i="19" a="1"/>
  <c r="P67" i="19" s="1"/>
  <c r="T67" i="19" s="1" a="1"/>
  <c r="T67" i="19" s="1"/>
  <c r="U67" i="19" s="1"/>
  <c r="X67" i="19" s="1"/>
  <c r="Y67" i="19" s="1"/>
  <c r="P68" i="19" a="1"/>
  <c r="P68" i="19" s="1"/>
  <c r="T68" i="19" s="1" a="1"/>
  <c r="T68" i="19" s="1"/>
  <c r="U68" i="19" s="1"/>
  <c r="X68" i="19" s="1"/>
  <c r="Y68" i="19" s="1"/>
  <c r="P69" i="19" a="1"/>
  <c r="P69" i="19" s="1"/>
  <c r="T69" i="19" s="1" a="1"/>
  <c r="T69" i="19" s="1"/>
  <c r="U69" i="19" s="1"/>
  <c r="X69" i="19" s="1"/>
  <c r="Y69" i="19" s="1"/>
  <c r="P70" i="19" a="1"/>
  <c r="P70" i="19" s="1"/>
  <c r="T70" i="19" s="1" a="1"/>
  <c r="T70" i="19" s="1"/>
  <c r="U70" i="19" s="1"/>
  <c r="X70" i="19" s="1"/>
  <c r="Y70" i="19" s="1"/>
  <c r="P71" i="19" a="1"/>
  <c r="P71" i="19" s="1"/>
  <c r="T71" i="19" s="1" a="1"/>
  <c r="T71" i="19" s="1"/>
  <c r="U71" i="19" s="1"/>
  <c r="X71" i="19" s="1"/>
  <c r="Y71" i="19" s="1"/>
  <c r="P22" i="19" a="1"/>
  <c r="P22" i="19" s="1"/>
  <c r="T22" i="19" s="1" a="1"/>
  <c r="T22" i="19" s="1"/>
  <c r="U22" i="19" s="1"/>
  <c r="X22" i="19" s="1"/>
  <c r="Y22" i="19" s="1"/>
  <c r="V22" i="19" l="1"/>
  <c r="V23" i="19"/>
  <c r="W23" i="19" s="1"/>
  <c r="Z23" i="19" s="1"/>
  <c r="AA23" i="19" s="1" a="1"/>
  <c r="AA23" i="19" s="1"/>
  <c r="V24" i="19"/>
  <c r="W24" i="19" s="1"/>
  <c r="Z24" i="19" s="1"/>
  <c r="AA24" i="19" s="1" a="1"/>
  <c r="AA24" i="19" s="1"/>
  <c r="V25" i="19"/>
  <c r="W25" i="19" s="1"/>
  <c r="Z25" i="19" s="1"/>
  <c r="AA25" i="19" s="1" a="1"/>
  <c r="AA25" i="19" s="1"/>
  <c r="V26" i="19"/>
  <c r="W26" i="19" s="1"/>
  <c r="Z26" i="19" s="1"/>
  <c r="AA26" i="19" s="1" a="1"/>
  <c r="AA26" i="19" s="1"/>
  <c r="V27" i="19"/>
  <c r="W27" i="19" s="1"/>
  <c r="Z27" i="19" s="1"/>
  <c r="AA27" i="19" s="1" a="1"/>
  <c r="AA27" i="19" s="1"/>
  <c r="V28" i="19"/>
  <c r="W28" i="19" s="1"/>
  <c r="Z28" i="19" s="1"/>
  <c r="AA28" i="19" s="1" a="1"/>
  <c r="AA28" i="19" s="1"/>
  <c r="V29" i="19"/>
  <c r="W29" i="19" s="1"/>
  <c r="Z29" i="19" s="1"/>
  <c r="AA29" i="19" s="1" a="1"/>
  <c r="AA29" i="19" s="1"/>
  <c r="V31" i="19"/>
  <c r="W31" i="19" s="1"/>
  <c r="Z31" i="19" s="1"/>
  <c r="AA31" i="19" s="1" a="1"/>
  <c r="AA31" i="19" s="1"/>
  <c r="V32" i="19"/>
  <c r="W32" i="19" s="1"/>
  <c r="Z32" i="19" s="1"/>
  <c r="AA32" i="19" s="1" a="1"/>
  <c r="AA32" i="19" s="1"/>
  <c r="V33" i="19"/>
  <c r="V35" i="19"/>
  <c r="W35" i="19" s="1"/>
  <c r="Z35" i="19" s="1"/>
  <c r="AA35" i="19" s="1" a="1"/>
  <c r="AA35" i="19" s="1"/>
  <c r="V36" i="19"/>
  <c r="W36" i="19" s="1"/>
  <c r="Z36" i="19" s="1"/>
  <c r="AA36" i="19" s="1" a="1"/>
  <c r="AA36" i="19" s="1"/>
  <c r="V37" i="19"/>
  <c r="W37" i="19" s="1"/>
  <c r="Z37" i="19" s="1"/>
  <c r="AA37" i="19" s="1" a="1"/>
  <c r="AA37" i="19" s="1"/>
  <c r="V38" i="19"/>
  <c r="W38" i="19" s="1"/>
  <c r="Z38" i="19" s="1"/>
  <c r="AA38" i="19" s="1" a="1"/>
  <c r="AA38" i="19" s="1"/>
  <c r="V39" i="19"/>
  <c r="W39" i="19" s="1"/>
  <c r="Z39" i="19" s="1"/>
  <c r="AA39" i="19" s="1" a="1"/>
  <c r="AA39" i="19" s="1"/>
  <c r="V40" i="19"/>
  <c r="W40" i="19" s="1"/>
  <c r="Z40" i="19" s="1"/>
  <c r="AA40" i="19" s="1" a="1"/>
  <c r="AA40" i="19" s="1"/>
  <c r="V41" i="19"/>
  <c r="W41" i="19" s="1"/>
  <c r="Z41" i="19" s="1"/>
  <c r="AA41" i="19" s="1" a="1"/>
  <c r="AA41" i="19" s="1"/>
  <c r="V42" i="19"/>
  <c r="W42" i="19" s="1"/>
  <c r="Z42" i="19" s="1"/>
  <c r="AA42" i="19" s="1" a="1"/>
  <c r="AA42" i="19" s="1"/>
  <c r="V43" i="19"/>
  <c r="W43" i="19" s="1"/>
  <c r="Z43" i="19" s="1"/>
  <c r="AA43" i="19" s="1" a="1"/>
  <c r="AA43" i="19" s="1"/>
  <c r="V44" i="19"/>
  <c r="V30" i="19"/>
  <c r="W30" i="19" s="1"/>
  <c r="Z30" i="19" s="1"/>
  <c r="AA30" i="19" s="1" a="1"/>
  <c r="AA30" i="19" s="1"/>
  <c r="V34" i="19"/>
  <c r="W34" i="19" s="1"/>
  <c r="Z34" i="19" s="1"/>
  <c r="AA34" i="19" s="1" a="1"/>
  <c r="AA34" i="19" s="1"/>
  <c r="V45" i="19"/>
  <c r="V46" i="19"/>
  <c r="W46" i="19" s="1"/>
  <c r="Z46" i="19" s="1"/>
  <c r="AA46" i="19" s="1" a="1"/>
  <c r="AA46" i="19" s="1"/>
  <c r="V47" i="19"/>
  <c r="W47" i="19" s="1"/>
  <c r="Z47" i="19" s="1"/>
  <c r="AA47" i="19" s="1" a="1"/>
  <c r="AA47" i="19" s="1"/>
  <c r="V48" i="19"/>
  <c r="W48" i="19" s="1"/>
  <c r="Z48" i="19" s="1"/>
  <c r="AA48" i="19" s="1" a="1"/>
  <c r="AA48" i="19" s="1"/>
  <c r="V49" i="19"/>
  <c r="V50" i="19"/>
  <c r="W50" i="19" s="1"/>
  <c r="Z50" i="19" s="1"/>
  <c r="AA50" i="19" s="1" a="1"/>
  <c r="AA50" i="19" s="1"/>
  <c r="V51" i="19"/>
  <c r="V52" i="19"/>
  <c r="W52" i="19" s="1"/>
  <c r="Z52" i="19" s="1"/>
  <c r="AA52" i="19" s="1" a="1"/>
  <c r="AA52" i="19" s="1"/>
  <c r="V53" i="19"/>
  <c r="W53" i="19" s="1"/>
  <c r="Z53" i="19" s="1"/>
  <c r="AA53" i="19" s="1" a="1"/>
  <c r="AA53" i="19" s="1"/>
  <c r="V54" i="19"/>
  <c r="W54" i="19" s="1"/>
  <c r="Z54" i="19" s="1"/>
  <c r="AA54" i="19" s="1" a="1"/>
  <c r="AA54" i="19" s="1"/>
  <c r="V55" i="19"/>
  <c r="W55" i="19" s="1"/>
  <c r="Z55" i="19" s="1"/>
  <c r="AA55" i="19" s="1" a="1"/>
  <c r="AA55" i="19" s="1"/>
  <c r="V56" i="19"/>
  <c r="W56" i="19" s="1"/>
  <c r="Z56" i="19" s="1"/>
  <c r="AA56" i="19" s="1" a="1"/>
  <c r="AA56" i="19" s="1"/>
  <c r="V57" i="19"/>
  <c r="W57" i="19" s="1"/>
  <c r="Z57" i="19" s="1"/>
  <c r="AA57" i="19" s="1" a="1"/>
  <c r="AA57" i="19" s="1"/>
  <c r="V58" i="19"/>
  <c r="W58" i="19" s="1"/>
  <c r="Z58" i="19" s="1"/>
  <c r="AA58" i="19" s="1" a="1"/>
  <c r="AA58" i="19" s="1"/>
  <c r="V59" i="19"/>
  <c r="W59" i="19" s="1"/>
  <c r="Z59" i="19" s="1"/>
  <c r="AA59" i="19" s="1" a="1"/>
  <c r="AA59" i="19" s="1"/>
  <c r="V60" i="19"/>
  <c r="W60" i="19" s="1"/>
  <c r="Z60" i="19" s="1"/>
  <c r="AA60" i="19" s="1" a="1"/>
  <c r="AA60" i="19" s="1"/>
  <c r="V61" i="19"/>
  <c r="W61" i="19" s="1"/>
  <c r="Z61" i="19" s="1"/>
  <c r="AA61" i="19" s="1" a="1"/>
  <c r="AA61" i="19" s="1"/>
  <c r="V62" i="19"/>
  <c r="W62" i="19" s="1"/>
  <c r="Z62" i="19" s="1"/>
  <c r="AA62" i="19" s="1" a="1"/>
  <c r="AA62" i="19" s="1"/>
  <c r="V63" i="19"/>
  <c r="W63" i="19" s="1"/>
  <c r="Z63" i="19" s="1"/>
  <c r="AA63" i="19" s="1" a="1"/>
  <c r="AA63" i="19" s="1"/>
  <c r="V64" i="19"/>
  <c r="V65" i="19"/>
  <c r="W65" i="19" s="1"/>
  <c r="Z65" i="19" s="1"/>
  <c r="AA65" i="19" s="1" a="1"/>
  <c r="AA65" i="19" s="1"/>
  <c r="V66" i="19"/>
  <c r="V67" i="19"/>
  <c r="V68" i="19"/>
  <c r="W68" i="19" s="1"/>
  <c r="Z68" i="19" s="1"/>
  <c r="AA68" i="19" s="1" a="1"/>
  <c r="AA68" i="19" s="1"/>
  <c r="V69" i="19"/>
  <c r="W69" i="19" s="1"/>
  <c r="Z69" i="19" s="1"/>
  <c r="AA69" i="19" s="1" a="1"/>
  <c r="AA69" i="19" s="1"/>
  <c r="V70" i="19"/>
  <c r="W70" i="19" s="1"/>
  <c r="Z70" i="19" s="1"/>
  <c r="AA70" i="19" s="1" a="1"/>
  <c r="AA70" i="19" s="1"/>
  <c r="V71" i="19"/>
  <c r="W71" i="19" s="1"/>
  <c r="Z71" i="19" s="1"/>
  <c r="AA71" i="19" s="1" a="1"/>
  <c r="AA71" i="19" s="1"/>
  <c r="AB23" i="19" l="1"/>
  <c r="AE23" i="19"/>
  <c r="AF23" i="19" s="1" a="1"/>
  <c r="AF23" i="19" s="1"/>
  <c r="AG23" i="19" s="1" a="1"/>
  <c r="AG23" i="19" s="1"/>
  <c r="AB24" i="19"/>
  <c r="AE24" i="19"/>
  <c r="AF24" i="19" s="1" a="1"/>
  <c r="AF24" i="19" s="1"/>
  <c r="AG24" i="19" s="1" a="1"/>
  <c r="AG24" i="19" s="1"/>
  <c r="AB25" i="19"/>
  <c r="AE25" i="19"/>
  <c r="AF25" i="19" s="1" a="1"/>
  <c r="AF25" i="19" s="1"/>
  <c r="AG25" i="19" s="1" a="1"/>
  <c r="AG25" i="19" s="1"/>
  <c r="AB26" i="19"/>
  <c r="AE26" i="19"/>
  <c r="AF26" i="19" s="1" a="1"/>
  <c r="AF26" i="19" s="1"/>
  <c r="AG26" i="19" s="1" a="1"/>
  <c r="AG26" i="19" s="1"/>
  <c r="AB27" i="19"/>
  <c r="AE27" i="19"/>
  <c r="AF27" i="19" s="1" a="1"/>
  <c r="AF27" i="19" s="1"/>
  <c r="AG27" i="19" s="1" a="1"/>
  <c r="AG27" i="19" s="1"/>
  <c r="AB28" i="19"/>
  <c r="AE28" i="19"/>
  <c r="AF28" i="19" s="1" a="1"/>
  <c r="AF28" i="19" s="1"/>
  <c r="AG28" i="19" s="1" a="1"/>
  <c r="AG28" i="19" s="1"/>
  <c r="AB29" i="19"/>
  <c r="AE29" i="19"/>
  <c r="AF29" i="19" s="1" a="1"/>
  <c r="AF29" i="19" s="1"/>
  <c r="AG29" i="19" s="1" a="1"/>
  <c r="AG29" i="19" s="1"/>
  <c r="AB31" i="19"/>
  <c r="AE31" i="19"/>
  <c r="AF31" i="19" s="1" a="1"/>
  <c r="AF31" i="19" s="1"/>
  <c r="AG31" i="19" s="1" a="1"/>
  <c r="AG31" i="19" s="1"/>
  <c r="AB32" i="19"/>
  <c r="AE32" i="19"/>
  <c r="AF32" i="19" s="1" a="1"/>
  <c r="AF32" i="19" s="1"/>
  <c r="AG32" i="19" s="1" a="1"/>
  <c r="AG32" i="19" s="1"/>
  <c r="AB35" i="19"/>
  <c r="AE35" i="19"/>
  <c r="AF35" i="19" s="1" a="1"/>
  <c r="AF35" i="19" s="1"/>
  <c r="AG35" i="19" s="1" a="1"/>
  <c r="AG35" i="19" s="1"/>
  <c r="AB36" i="19"/>
  <c r="AE36" i="19"/>
  <c r="AF36" i="19" s="1" a="1"/>
  <c r="AF36" i="19" s="1"/>
  <c r="AG36" i="19" s="1" a="1"/>
  <c r="AG36" i="19" s="1"/>
  <c r="AB37" i="19"/>
  <c r="AE37" i="19"/>
  <c r="AF37" i="19" s="1" a="1"/>
  <c r="AF37" i="19" s="1"/>
  <c r="AG37" i="19" s="1" a="1"/>
  <c r="AG37" i="19" s="1"/>
  <c r="AB38" i="19"/>
  <c r="AE38" i="19"/>
  <c r="AF38" i="19" s="1" a="1"/>
  <c r="AF38" i="19" s="1"/>
  <c r="AG38" i="19" s="1" a="1"/>
  <c r="AG38" i="19" s="1"/>
  <c r="AB39" i="19"/>
  <c r="AE39" i="19"/>
  <c r="AF39" i="19" s="1" a="1"/>
  <c r="AF39" i="19" s="1"/>
  <c r="AG39" i="19" s="1" a="1"/>
  <c r="AG39" i="19" s="1"/>
  <c r="AB40" i="19"/>
  <c r="AE40" i="19"/>
  <c r="AF40" i="19" s="1" a="1"/>
  <c r="AF40" i="19" s="1"/>
  <c r="AG40" i="19" s="1" a="1"/>
  <c r="AG40" i="19" s="1"/>
  <c r="AB41" i="19"/>
  <c r="AE41" i="19"/>
  <c r="AF41" i="19" s="1" a="1"/>
  <c r="AF41" i="19" s="1"/>
  <c r="AG41" i="19" s="1" a="1"/>
  <c r="AG41" i="19" s="1"/>
  <c r="AB42" i="19"/>
  <c r="AE42" i="19"/>
  <c r="AF42" i="19" s="1" a="1"/>
  <c r="AF42" i="19" s="1"/>
  <c r="AG42" i="19" s="1" a="1"/>
  <c r="AG42" i="19" s="1"/>
  <c r="AB43" i="19"/>
  <c r="AE43" i="19"/>
  <c r="AF43" i="19" s="1" a="1"/>
  <c r="AF43" i="19" s="1"/>
  <c r="AG43" i="19" s="1" a="1"/>
  <c r="AG43" i="19" s="1"/>
  <c r="AB30" i="19"/>
  <c r="AE30" i="19"/>
  <c r="AF30" i="19" s="1" a="1"/>
  <c r="AF30" i="19" s="1"/>
  <c r="AG30" i="19" s="1" a="1"/>
  <c r="AG30" i="19" s="1"/>
  <c r="AB34" i="19"/>
  <c r="AE34" i="19"/>
  <c r="AF34" i="19" s="1" a="1"/>
  <c r="AF34" i="19" s="1"/>
  <c r="AG34" i="19" s="1" a="1"/>
  <c r="AG34" i="19" s="1"/>
  <c r="AB46" i="19"/>
  <c r="AE46" i="19"/>
  <c r="AF46" i="19" s="1" a="1"/>
  <c r="AF46" i="19" s="1"/>
  <c r="AG46" i="19" s="1" a="1"/>
  <c r="AG46" i="19" s="1"/>
  <c r="AB47" i="19"/>
  <c r="AE47" i="19"/>
  <c r="AF47" i="19" s="1" a="1"/>
  <c r="AF47" i="19" s="1"/>
  <c r="AG47" i="19" s="1" a="1"/>
  <c r="AG47" i="19" s="1"/>
  <c r="AB48" i="19"/>
  <c r="AE48" i="19"/>
  <c r="AF48" i="19" s="1" a="1"/>
  <c r="AF48" i="19" s="1"/>
  <c r="AG48" i="19" s="1" a="1"/>
  <c r="AG48" i="19" s="1"/>
  <c r="AB50" i="19"/>
  <c r="AE50" i="19"/>
  <c r="AF50" i="19" s="1" a="1"/>
  <c r="AF50" i="19" s="1"/>
  <c r="AG50" i="19" s="1" a="1"/>
  <c r="AG50" i="19" s="1"/>
  <c r="AB52" i="19"/>
  <c r="AE52" i="19"/>
  <c r="AF52" i="19" s="1" a="1"/>
  <c r="AF52" i="19" s="1"/>
  <c r="AG52" i="19" s="1" a="1"/>
  <c r="AG52" i="19" s="1"/>
  <c r="AB53" i="19"/>
  <c r="AE53" i="19"/>
  <c r="AF53" i="19" s="1" a="1"/>
  <c r="AF53" i="19" s="1"/>
  <c r="AG53" i="19" s="1" a="1"/>
  <c r="AG53" i="19" s="1"/>
  <c r="AB54" i="19"/>
  <c r="AE54" i="19"/>
  <c r="AF54" i="19" s="1" a="1"/>
  <c r="AF54" i="19" s="1"/>
  <c r="AG54" i="19" s="1" a="1"/>
  <c r="AG54" i="19" s="1"/>
  <c r="AB55" i="19"/>
  <c r="AE55" i="19"/>
  <c r="AF55" i="19" s="1" a="1"/>
  <c r="AF55" i="19" s="1"/>
  <c r="AG55" i="19" s="1" a="1"/>
  <c r="AG55" i="19" s="1"/>
  <c r="AB56" i="19"/>
  <c r="AE56" i="19"/>
  <c r="AF56" i="19" s="1" a="1"/>
  <c r="AF56" i="19" s="1"/>
  <c r="AG56" i="19" s="1" a="1"/>
  <c r="AG56" i="19" s="1"/>
  <c r="AB57" i="19"/>
  <c r="AE57" i="19"/>
  <c r="AF57" i="19" s="1" a="1"/>
  <c r="AF57" i="19" s="1"/>
  <c r="AG57" i="19" s="1" a="1"/>
  <c r="AG57" i="19" s="1"/>
  <c r="AB58" i="19"/>
  <c r="AE58" i="19"/>
  <c r="AF58" i="19" s="1" a="1"/>
  <c r="AF58" i="19" s="1"/>
  <c r="AG58" i="19" s="1" a="1"/>
  <c r="AG58" i="19" s="1"/>
  <c r="AB59" i="19"/>
  <c r="AE59" i="19"/>
  <c r="AF59" i="19" s="1" a="1"/>
  <c r="AF59" i="19" s="1"/>
  <c r="AG59" i="19" s="1" a="1"/>
  <c r="AG59" i="19" s="1"/>
  <c r="AB60" i="19"/>
  <c r="AE60" i="19"/>
  <c r="AF60" i="19" s="1" a="1"/>
  <c r="AF60" i="19" s="1"/>
  <c r="AG60" i="19" s="1" a="1"/>
  <c r="AG60" i="19" s="1"/>
  <c r="AB61" i="19"/>
  <c r="AE61" i="19"/>
  <c r="AF61" i="19" s="1" a="1"/>
  <c r="AF61" i="19" s="1"/>
  <c r="AG61" i="19" s="1" a="1"/>
  <c r="AG61" i="19" s="1"/>
  <c r="AB62" i="19"/>
  <c r="AE62" i="19"/>
  <c r="AF62" i="19" s="1" a="1"/>
  <c r="AF62" i="19" s="1"/>
  <c r="AG62" i="19" s="1" a="1"/>
  <c r="AG62" i="19" s="1"/>
  <c r="AB63" i="19"/>
  <c r="AE63" i="19"/>
  <c r="AF63" i="19" s="1" a="1"/>
  <c r="AF63" i="19" s="1"/>
  <c r="AG63" i="19" s="1" a="1"/>
  <c r="AG63" i="19" s="1"/>
  <c r="AB65" i="19"/>
  <c r="AE65" i="19"/>
  <c r="AF65" i="19" s="1" a="1"/>
  <c r="AF65" i="19" s="1"/>
  <c r="AG65" i="19" s="1" a="1"/>
  <c r="AG65" i="19" s="1"/>
  <c r="AB68" i="19"/>
  <c r="AE68" i="19"/>
  <c r="AF68" i="19" s="1" a="1"/>
  <c r="AF68" i="19" s="1"/>
  <c r="AG68" i="19" s="1" a="1"/>
  <c r="AG68" i="19" s="1"/>
  <c r="AB69" i="19"/>
  <c r="AE69" i="19"/>
  <c r="AF69" i="19" s="1" a="1"/>
  <c r="AF69" i="19" s="1"/>
  <c r="AG69" i="19" s="1" a="1"/>
  <c r="AG69" i="19" s="1"/>
  <c r="AB70" i="19"/>
  <c r="AE70" i="19"/>
  <c r="AF70" i="19" s="1" a="1"/>
  <c r="AF70" i="19" s="1"/>
  <c r="AG70" i="19" s="1" a="1"/>
  <c r="AG70" i="19" s="1"/>
  <c r="AB71" i="19"/>
  <c r="AE71" i="19"/>
  <c r="AF71" i="19" s="1" a="1"/>
  <c r="AF71" i="19" s="1"/>
  <c r="AG71" i="19" s="1" a="1"/>
  <c r="AG71" i="19" s="1"/>
  <c r="W22" i="19"/>
  <c r="Z22" i="19"/>
  <c r="AA22" i="19" s="1" a="1"/>
  <c r="AA22" i="19" s="1"/>
  <c r="W33" i="19"/>
  <c r="Z33" i="19" s="1"/>
  <c r="AA33" i="19" s="1" a="1"/>
  <c r="AA33" i="19" s="1"/>
  <c r="W44" i="19"/>
  <c r="Z44" i="19" s="1"/>
  <c r="AA44" i="19" s="1" a="1"/>
  <c r="AA44" i="19" s="1"/>
  <c r="W45" i="19"/>
  <c r="Z45" i="19"/>
  <c r="AA45" i="19" s="1" a="1"/>
  <c r="AA45" i="19" s="1"/>
  <c r="W49" i="19"/>
  <c r="Z49" i="19" s="1"/>
  <c r="AA49" i="19" s="1" a="1"/>
  <c r="AA49" i="19" s="1"/>
  <c r="W51" i="19"/>
  <c r="Z51" i="19" s="1"/>
  <c r="AA51" i="19" s="1" a="1"/>
  <c r="AA51" i="19" s="1"/>
  <c r="W64" i="19"/>
  <c r="Z64" i="19" s="1"/>
  <c r="AA64" i="19" s="1" a="1"/>
  <c r="AA64" i="19" s="1"/>
  <c r="W66" i="19"/>
  <c r="Z66" i="19" s="1"/>
  <c r="AA66" i="19" s="1" a="1"/>
  <c r="AA66" i="19" s="1"/>
  <c r="W67" i="19"/>
  <c r="Z67" i="19" s="1"/>
  <c r="AA67" i="19" s="1" a="1"/>
  <c r="AA67" i="19" s="1"/>
  <c r="AC23" i="19" l="1" a="1"/>
  <c r="AC23" i="19" s="1"/>
  <c r="AD23" i="19" s="1" a="1"/>
  <c r="AD23" i="19" s="1"/>
  <c r="AH23" i="19"/>
  <c r="AJ23" i="19" s="1"/>
  <c r="AC24" i="19" a="1"/>
  <c r="AC24" i="19" s="1"/>
  <c r="AD24" i="19" s="1" a="1"/>
  <c r="AD24" i="19" s="1"/>
  <c r="AH24" i="19"/>
  <c r="AJ24" i="19" s="1"/>
  <c r="AC25" i="19" a="1"/>
  <c r="AC25" i="19" s="1"/>
  <c r="AD25" i="19" s="1" a="1"/>
  <c r="AD25" i="19" s="1"/>
  <c r="AH25" i="19"/>
  <c r="AJ25" i="19" s="1"/>
  <c r="AC26" i="19" a="1"/>
  <c r="AC26" i="19" s="1"/>
  <c r="AD26" i="19" s="1" a="1"/>
  <c r="AD26" i="19" s="1"/>
  <c r="AH26" i="19"/>
  <c r="AJ26" i="19" s="1"/>
  <c r="AC27" i="19" a="1"/>
  <c r="AC27" i="19" s="1"/>
  <c r="AD27" i="19" s="1" a="1"/>
  <c r="AD27" i="19" s="1"/>
  <c r="AH27" i="19"/>
  <c r="AJ27" i="19" s="1"/>
  <c r="AC28" i="19" a="1"/>
  <c r="AC28" i="19" s="1"/>
  <c r="AD28" i="19" s="1" a="1"/>
  <c r="AD28" i="19" s="1"/>
  <c r="AH28" i="19"/>
  <c r="AJ28" i="19" s="1"/>
  <c r="AC29" i="19" a="1"/>
  <c r="AC29" i="19" s="1"/>
  <c r="AD29" i="19" s="1" a="1"/>
  <c r="AD29" i="19" s="1"/>
  <c r="AH29" i="19"/>
  <c r="AJ29" i="19" s="1"/>
  <c r="AC31" i="19" a="1"/>
  <c r="AC31" i="19" s="1"/>
  <c r="AD31" i="19" s="1" a="1"/>
  <c r="AD31" i="19" s="1"/>
  <c r="AH31" i="19"/>
  <c r="AJ31" i="19" s="1"/>
  <c r="AC32" i="19" a="1"/>
  <c r="AC32" i="19" s="1"/>
  <c r="AD32" i="19" s="1" a="1"/>
  <c r="AD32" i="19" s="1"/>
  <c r="AH32" i="19"/>
  <c r="AJ32" i="19" s="1"/>
  <c r="AC35" i="19" a="1"/>
  <c r="AC35" i="19" s="1"/>
  <c r="AD35" i="19" s="1" a="1"/>
  <c r="AD35" i="19" s="1"/>
  <c r="AH35" i="19"/>
  <c r="AJ35" i="19" s="1"/>
  <c r="AC36" i="19" a="1"/>
  <c r="AC36" i="19" s="1"/>
  <c r="AD36" i="19" s="1" a="1"/>
  <c r="AD36" i="19" s="1"/>
  <c r="AH36" i="19"/>
  <c r="AJ36" i="19" s="1"/>
  <c r="AC37" i="19" a="1"/>
  <c r="AC37" i="19" s="1"/>
  <c r="AD37" i="19" s="1" a="1"/>
  <c r="AD37" i="19" s="1"/>
  <c r="AH37" i="19"/>
  <c r="AJ37" i="19" s="1"/>
  <c r="AC38" i="19" a="1"/>
  <c r="AC38" i="19" s="1"/>
  <c r="AD38" i="19" s="1" a="1"/>
  <c r="AD38" i="19" s="1"/>
  <c r="AH38" i="19"/>
  <c r="AJ38" i="19" s="1"/>
  <c r="AC39" i="19" a="1"/>
  <c r="AC39" i="19" s="1"/>
  <c r="AD39" i="19" s="1" a="1"/>
  <c r="AD39" i="19" s="1"/>
  <c r="AH39" i="19"/>
  <c r="AJ39" i="19" s="1"/>
  <c r="AC40" i="19" a="1"/>
  <c r="AC40" i="19" s="1"/>
  <c r="AD40" i="19" s="1" a="1"/>
  <c r="AD40" i="19" s="1"/>
  <c r="AH40" i="19"/>
  <c r="AJ40" i="19" s="1"/>
  <c r="AC41" i="19" a="1"/>
  <c r="AC41" i="19" s="1"/>
  <c r="AD41" i="19" s="1" a="1"/>
  <c r="AD41" i="19" s="1"/>
  <c r="AH41" i="19"/>
  <c r="AJ41" i="19" s="1"/>
  <c r="AC42" i="19" a="1"/>
  <c r="AC42" i="19" s="1"/>
  <c r="AD42" i="19" s="1" a="1"/>
  <c r="AD42" i="19" s="1"/>
  <c r="AH42" i="19"/>
  <c r="AJ42" i="19" s="1"/>
  <c r="AC43" i="19" a="1"/>
  <c r="AC43" i="19" s="1"/>
  <c r="AD43" i="19" s="1" a="1"/>
  <c r="AD43" i="19" s="1"/>
  <c r="AH43" i="19"/>
  <c r="AJ43" i="19" s="1"/>
  <c r="AC30" i="19" a="1"/>
  <c r="AC30" i="19" s="1"/>
  <c r="AD30" i="19" s="1" a="1"/>
  <c r="AD30" i="19" s="1"/>
  <c r="AH30" i="19"/>
  <c r="AJ30" i="19" s="1"/>
  <c r="AC34" i="19" a="1"/>
  <c r="AC34" i="19" s="1"/>
  <c r="AD34" i="19" s="1" a="1"/>
  <c r="AD34" i="19" s="1"/>
  <c r="AH34" i="19"/>
  <c r="AJ34" i="19" s="1"/>
  <c r="AC46" i="19" a="1"/>
  <c r="AC46" i="19" s="1"/>
  <c r="AD46" i="19" s="1" a="1"/>
  <c r="AD46" i="19" s="1"/>
  <c r="AH46" i="19"/>
  <c r="AJ46" i="19" s="1"/>
  <c r="AC47" i="19" a="1"/>
  <c r="AC47" i="19" s="1"/>
  <c r="AD47" i="19" s="1" a="1"/>
  <c r="AD47" i="19" s="1"/>
  <c r="AH47" i="19"/>
  <c r="AJ47" i="19" s="1"/>
  <c r="AC48" i="19" a="1"/>
  <c r="AC48" i="19" s="1"/>
  <c r="AD48" i="19" s="1" a="1"/>
  <c r="AD48" i="19" s="1"/>
  <c r="AH48" i="19"/>
  <c r="AJ48" i="19" s="1"/>
  <c r="AC50" i="19" a="1"/>
  <c r="AC50" i="19" s="1"/>
  <c r="AD50" i="19" s="1" a="1"/>
  <c r="AD50" i="19" s="1"/>
  <c r="AH50" i="19"/>
  <c r="AJ50" i="19" s="1"/>
  <c r="AC52" i="19" a="1"/>
  <c r="AC52" i="19" s="1"/>
  <c r="AD52" i="19" s="1" a="1"/>
  <c r="AD52" i="19" s="1"/>
  <c r="AH52" i="19"/>
  <c r="AJ52" i="19" s="1"/>
  <c r="AC53" i="19" a="1"/>
  <c r="AC53" i="19" s="1"/>
  <c r="AD53" i="19" s="1" a="1"/>
  <c r="AD53" i="19" s="1"/>
  <c r="AH53" i="19"/>
  <c r="AJ53" i="19" s="1"/>
  <c r="AC54" i="19" a="1"/>
  <c r="AC54" i="19" s="1"/>
  <c r="AD54" i="19" s="1" a="1"/>
  <c r="AD54" i="19" s="1"/>
  <c r="AH54" i="19"/>
  <c r="AJ54" i="19" s="1"/>
  <c r="AC55" i="19" a="1"/>
  <c r="AC55" i="19" s="1"/>
  <c r="AD55" i="19" s="1" a="1"/>
  <c r="AD55" i="19" s="1"/>
  <c r="AH55" i="19"/>
  <c r="AJ55" i="19" s="1"/>
  <c r="AC56" i="19" a="1"/>
  <c r="AC56" i="19" s="1"/>
  <c r="AD56" i="19" s="1" a="1"/>
  <c r="AD56" i="19" s="1"/>
  <c r="AH56" i="19"/>
  <c r="AJ56" i="19" s="1"/>
  <c r="AC57" i="19" a="1"/>
  <c r="AC57" i="19" s="1"/>
  <c r="AD57" i="19" s="1" a="1"/>
  <c r="AD57" i="19" s="1"/>
  <c r="AH57" i="19"/>
  <c r="AJ57" i="19" s="1"/>
  <c r="AC58" i="19" a="1"/>
  <c r="AC58" i="19" s="1"/>
  <c r="AD58" i="19" s="1" a="1"/>
  <c r="AD58" i="19" s="1"/>
  <c r="AH58" i="19"/>
  <c r="AJ58" i="19" s="1"/>
  <c r="AC59" i="19" a="1"/>
  <c r="AC59" i="19" s="1"/>
  <c r="AD59" i="19" s="1" a="1"/>
  <c r="AD59" i="19" s="1"/>
  <c r="AH59" i="19"/>
  <c r="AJ59" i="19" s="1"/>
  <c r="AC60" i="19" a="1"/>
  <c r="AC60" i="19" s="1"/>
  <c r="AD60" i="19" s="1" a="1"/>
  <c r="AD60" i="19" s="1"/>
  <c r="AH60" i="19"/>
  <c r="AJ60" i="19" s="1"/>
  <c r="AC61" i="19" a="1"/>
  <c r="AC61" i="19" s="1"/>
  <c r="AD61" i="19" s="1" a="1"/>
  <c r="AD61" i="19" s="1"/>
  <c r="AH61" i="19"/>
  <c r="AJ61" i="19" s="1"/>
  <c r="AC62" i="19" a="1"/>
  <c r="AC62" i="19" s="1"/>
  <c r="AD62" i="19" s="1" a="1"/>
  <c r="AD62" i="19" s="1"/>
  <c r="AH62" i="19"/>
  <c r="AJ62" i="19" s="1"/>
  <c r="AC63" i="19" a="1"/>
  <c r="AC63" i="19" s="1"/>
  <c r="AD63" i="19" s="1" a="1"/>
  <c r="AD63" i="19" s="1"/>
  <c r="AH63" i="19"/>
  <c r="AJ63" i="19" s="1"/>
  <c r="AC65" i="19" a="1"/>
  <c r="AC65" i="19" s="1"/>
  <c r="AD65" i="19" s="1" a="1"/>
  <c r="AD65" i="19" s="1"/>
  <c r="AH65" i="19"/>
  <c r="AJ65" i="19" s="1"/>
  <c r="AC68" i="19" a="1"/>
  <c r="AC68" i="19" s="1"/>
  <c r="AD68" i="19" s="1" a="1"/>
  <c r="AD68" i="19" s="1"/>
  <c r="AH68" i="19"/>
  <c r="AJ68" i="19" s="1"/>
  <c r="AC69" i="19" a="1"/>
  <c r="AC69" i="19" s="1"/>
  <c r="AD69" i="19" s="1" a="1"/>
  <c r="AD69" i="19" s="1"/>
  <c r="AH69" i="19"/>
  <c r="AJ69" i="19" s="1"/>
  <c r="AC70" i="19" a="1"/>
  <c r="AC70" i="19" s="1"/>
  <c r="AD70" i="19" s="1" a="1"/>
  <c r="AD70" i="19" s="1"/>
  <c r="AH70" i="19"/>
  <c r="AJ70" i="19" s="1"/>
  <c r="AC71" i="19" a="1"/>
  <c r="AC71" i="19" s="1"/>
  <c r="AD71" i="19" s="1" a="1"/>
  <c r="AD71" i="19" s="1"/>
  <c r="AH71" i="19"/>
  <c r="AJ71" i="19" s="1"/>
  <c r="AB22" i="19"/>
  <c r="AE22" i="19"/>
  <c r="AF22" i="19" s="1" a="1"/>
  <c r="AF22" i="19" s="1"/>
  <c r="AG22" i="19" s="1" a="1"/>
  <c r="AG22" i="19" s="1"/>
  <c r="AB33" i="19"/>
  <c r="AE33" i="19"/>
  <c r="AF33" i="19" s="1" a="1"/>
  <c r="AF33" i="19" s="1"/>
  <c r="AG33" i="19" s="1" a="1"/>
  <c r="AG33" i="19" s="1"/>
  <c r="AB44" i="19"/>
  <c r="AE44" i="19"/>
  <c r="AF44" i="19" s="1" a="1"/>
  <c r="AF44" i="19" s="1"/>
  <c r="AG44" i="19" s="1" a="1"/>
  <c r="AG44" i="19" s="1"/>
  <c r="AB45" i="19"/>
  <c r="AE45" i="19"/>
  <c r="AF45" i="19" s="1" a="1"/>
  <c r="AF45" i="19" s="1"/>
  <c r="AG45" i="19" s="1" a="1"/>
  <c r="AG45" i="19" s="1"/>
  <c r="AB49" i="19"/>
  <c r="AE49" i="19"/>
  <c r="AF49" i="19" s="1" a="1"/>
  <c r="AF49" i="19" s="1"/>
  <c r="AG49" i="19" s="1" a="1"/>
  <c r="AG49" i="19" s="1"/>
  <c r="AB51" i="19"/>
  <c r="AE51" i="19"/>
  <c r="AF51" i="19" s="1" a="1"/>
  <c r="AF51" i="19" s="1"/>
  <c r="AG51" i="19" s="1" a="1"/>
  <c r="AG51" i="19" s="1"/>
  <c r="AB64" i="19"/>
  <c r="AE64" i="19"/>
  <c r="AF64" i="19" s="1" a="1"/>
  <c r="AF64" i="19" s="1"/>
  <c r="AG64" i="19" s="1" a="1"/>
  <c r="AG64" i="19" s="1"/>
  <c r="AB66" i="19"/>
  <c r="AE66" i="19"/>
  <c r="AF66" i="19" s="1" a="1"/>
  <c r="AF66" i="19" s="1"/>
  <c r="AG66" i="19" s="1" a="1"/>
  <c r="AG66" i="19" s="1"/>
  <c r="AB67" i="19"/>
  <c r="AE67" i="19"/>
  <c r="AF67" i="19" s="1" a="1"/>
  <c r="AF67" i="19" s="1"/>
  <c r="AG67" i="19" s="1" a="1"/>
  <c r="AG67" i="19" s="1"/>
  <c r="AI23" i="19" l="1" a="1"/>
  <c r="AI23" i="19" s="1"/>
  <c r="AK23" i="19" s="1" a="1"/>
  <c r="AK23" i="19" s="1"/>
  <c r="AL23" i="19" s="1"/>
  <c r="AI24" i="19" a="1"/>
  <c r="AI24" i="19" s="1"/>
  <c r="AK24" i="19" s="1" a="1"/>
  <c r="AK24" i="19" s="1"/>
  <c r="AL24" i="19" s="1"/>
  <c r="AI25" i="19" a="1"/>
  <c r="AI25" i="19" s="1"/>
  <c r="AK25" i="19" s="1" a="1"/>
  <c r="AK25" i="19" s="1"/>
  <c r="AL25" i="19" s="1"/>
  <c r="AI26" i="19" a="1"/>
  <c r="AI26" i="19" s="1"/>
  <c r="AK26" i="19" s="1" a="1"/>
  <c r="AK26" i="19" s="1"/>
  <c r="AL26" i="19" s="1"/>
  <c r="AI27" i="19" a="1"/>
  <c r="AI27" i="19" s="1"/>
  <c r="AK27" i="19" s="1" a="1"/>
  <c r="AK27" i="19" s="1"/>
  <c r="AL27" i="19" s="1"/>
  <c r="AI28" i="19" a="1"/>
  <c r="AI28" i="19" s="1"/>
  <c r="AK28" i="19" s="1" a="1"/>
  <c r="AK28" i="19" s="1"/>
  <c r="AL28" i="19" s="1"/>
  <c r="AI29" i="19" a="1"/>
  <c r="AI29" i="19" s="1"/>
  <c r="AK29" i="19" s="1" a="1"/>
  <c r="AK29" i="19" s="1"/>
  <c r="AL29" i="19" s="1"/>
  <c r="AI31" i="19" a="1"/>
  <c r="AI31" i="19" s="1"/>
  <c r="AK31" i="19" s="1" a="1"/>
  <c r="AK31" i="19" s="1"/>
  <c r="AL31" i="19" s="1"/>
  <c r="AI32" i="19" a="1"/>
  <c r="AI32" i="19" s="1"/>
  <c r="AK32" i="19" s="1" a="1"/>
  <c r="AK32" i="19" s="1"/>
  <c r="AL32" i="19" s="1"/>
  <c r="AI35" i="19" a="1"/>
  <c r="AI35" i="19" s="1"/>
  <c r="AK35" i="19" s="1" a="1"/>
  <c r="AK35" i="19" s="1"/>
  <c r="AL35" i="19" s="1"/>
  <c r="AI36" i="19" a="1"/>
  <c r="AI36" i="19" s="1"/>
  <c r="AK36" i="19" s="1" a="1"/>
  <c r="AK36" i="19" s="1"/>
  <c r="AL36" i="19" s="1"/>
  <c r="AI37" i="19" a="1"/>
  <c r="AI37" i="19" s="1"/>
  <c r="AK37" i="19" s="1" a="1"/>
  <c r="AK37" i="19" s="1"/>
  <c r="AL37" i="19" s="1"/>
  <c r="AI38" i="19" a="1"/>
  <c r="AI38" i="19" s="1"/>
  <c r="AK38" i="19" s="1" a="1"/>
  <c r="AK38" i="19" s="1"/>
  <c r="AL38" i="19" s="1"/>
  <c r="AI39" i="19" a="1"/>
  <c r="AI39" i="19" s="1"/>
  <c r="AK39" i="19" s="1" a="1"/>
  <c r="AK39" i="19" s="1"/>
  <c r="AL39" i="19" s="1"/>
  <c r="AI40" i="19" a="1"/>
  <c r="AI40" i="19" s="1"/>
  <c r="AK40" i="19" s="1" a="1"/>
  <c r="AK40" i="19" s="1"/>
  <c r="AL40" i="19" s="1"/>
  <c r="AI41" i="19" a="1"/>
  <c r="AI41" i="19" s="1"/>
  <c r="AK41" i="19" s="1" a="1"/>
  <c r="AK41" i="19" s="1"/>
  <c r="AL41" i="19" s="1"/>
  <c r="AI42" i="19" a="1"/>
  <c r="AI42" i="19" s="1"/>
  <c r="AK42" i="19" s="1" a="1"/>
  <c r="AK42" i="19" s="1"/>
  <c r="AL42" i="19" s="1"/>
  <c r="AI43" i="19" a="1"/>
  <c r="AI43" i="19" s="1"/>
  <c r="AK43" i="19" s="1" a="1"/>
  <c r="AK43" i="19" s="1"/>
  <c r="AL43" i="19" s="1"/>
  <c r="AI30" i="19" a="1"/>
  <c r="AI30" i="19" s="1"/>
  <c r="AK30" i="19" s="1" a="1"/>
  <c r="AK30" i="19" s="1"/>
  <c r="AL30" i="19" s="1"/>
  <c r="AI34" i="19" a="1"/>
  <c r="AI34" i="19" s="1"/>
  <c r="AK34" i="19" s="1" a="1"/>
  <c r="AK34" i="19" s="1"/>
  <c r="AL34" i="19" s="1"/>
  <c r="AI46" i="19" a="1"/>
  <c r="AI46" i="19" s="1"/>
  <c r="AK46" i="19" s="1" a="1"/>
  <c r="AK46" i="19" s="1"/>
  <c r="AL46" i="19" s="1"/>
  <c r="AI47" i="19" a="1"/>
  <c r="AI47" i="19" s="1"/>
  <c r="AK47" i="19" s="1" a="1"/>
  <c r="AK47" i="19" s="1"/>
  <c r="AL47" i="19" s="1"/>
  <c r="AI48" i="19" a="1"/>
  <c r="AI48" i="19" s="1"/>
  <c r="AK48" i="19" s="1" a="1"/>
  <c r="AK48" i="19" s="1"/>
  <c r="AL48" i="19" s="1"/>
  <c r="AI50" i="19" a="1"/>
  <c r="AI50" i="19" s="1"/>
  <c r="AK50" i="19" s="1" a="1"/>
  <c r="AK50" i="19" s="1"/>
  <c r="AL50" i="19" s="1"/>
  <c r="AI52" i="19" a="1"/>
  <c r="AI52" i="19" s="1"/>
  <c r="AK52" i="19" s="1" a="1"/>
  <c r="AK52" i="19" s="1"/>
  <c r="AL52" i="19" s="1"/>
  <c r="AI53" i="19" a="1"/>
  <c r="AI53" i="19" s="1"/>
  <c r="AK53" i="19" s="1" a="1"/>
  <c r="AK53" i="19" s="1"/>
  <c r="AL53" i="19" s="1"/>
  <c r="AI54" i="19" a="1"/>
  <c r="AI54" i="19" s="1"/>
  <c r="AK54" i="19" s="1" a="1"/>
  <c r="AK54" i="19" s="1"/>
  <c r="AL54" i="19" s="1"/>
  <c r="AI55" i="19" a="1"/>
  <c r="AI55" i="19" s="1"/>
  <c r="AK55" i="19" s="1" a="1"/>
  <c r="AK55" i="19" s="1"/>
  <c r="AL55" i="19" s="1"/>
  <c r="AI56" i="19" a="1"/>
  <c r="AI56" i="19" s="1"/>
  <c r="AK56" i="19" s="1" a="1"/>
  <c r="AK56" i="19" s="1"/>
  <c r="AL56" i="19" s="1"/>
  <c r="AI57" i="19" a="1"/>
  <c r="AI57" i="19" s="1"/>
  <c r="AK57" i="19" s="1" a="1"/>
  <c r="AK57" i="19" s="1"/>
  <c r="AL57" i="19" s="1"/>
  <c r="AI58" i="19" a="1"/>
  <c r="AI58" i="19" s="1"/>
  <c r="AK58" i="19" s="1" a="1"/>
  <c r="AK58" i="19" s="1"/>
  <c r="AL58" i="19" s="1"/>
  <c r="AI59" i="19" a="1"/>
  <c r="AI59" i="19" s="1"/>
  <c r="AK59" i="19" s="1" a="1"/>
  <c r="AK59" i="19" s="1"/>
  <c r="AL59" i="19" s="1"/>
  <c r="AI60" i="19" a="1"/>
  <c r="AI60" i="19" s="1"/>
  <c r="AK60" i="19" s="1" a="1"/>
  <c r="AK60" i="19" s="1"/>
  <c r="AL60" i="19" s="1"/>
  <c r="AI61" i="19" a="1"/>
  <c r="AI61" i="19" s="1"/>
  <c r="AK61" i="19" s="1" a="1"/>
  <c r="AK61" i="19" s="1"/>
  <c r="AL61" i="19" s="1"/>
  <c r="AI62" i="19" a="1"/>
  <c r="AI62" i="19" s="1"/>
  <c r="AK62" i="19" s="1" a="1"/>
  <c r="AK62" i="19" s="1"/>
  <c r="AL62" i="19" s="1"/>
  <c r="AI63" i="19" a="1"/>
  <c r="AI63" i="19" s="1"/>
  <c r="AK63" i="19" s="1" a="1"/>
  <c r="AK63" i="19" s="1"/>
  <c r="AL63" i="19" s="1"/>
  <c r="AI65" i="19" a="1"/>
  <c r="AI65" i="19" s="1"/>
  <c r="AK65" i="19" s="1" a="1"/>
  <c r="AK65" i="19" s="1"/>
  <c r="AL65" i="19" s="1"/>
  <c r="AI68" i="19" a="1"/>
  <c r="AI68" i="19" s="1"/>
  <c r="AK68" i="19" s="1" a="1"/>
  <c r="AK68" i="19" s="1"/>
  <c r="AL68" i="19" s="1"/>
  <c r="AI69" i="19" a="1"/>
  <c r="AI69" i="19" s="1"/>
  <c r="AK69" i="19" s="1" a="1"/>
  <c r="AK69" i="19" s="1"/>
  <c r="AL69" i="19" s="1"/>
  <c r="AI70" i="19" a="1"/>
  <c r="AI70" i="19" s="1"/>
  <c r="AK70" i="19" s="1" a="1"/>
  <c r="AK70" i="19" s="1"/>
  <c r="AL70" i="19" s="1"/>
  <c r="AI71" i="19" a="1"/>
  <c r="AI71" i="19" s="1"/>
  <c r="AK71" i="19" s="1" a="1"/>
  <c r="AK71" i="19" s="1"/>
  <c r="AL71" i="19" s="1"/>
  <c r="AC22" i="19" a="1"/>
  <c r="AC22" i="19" s="1"/>
  <c r="AD22" i="19" s="1" a="1"/>
  <c r="AD22" i="19" s="1"/>
  <c r="AH22" i="19"/>
  <c r="AJ22" i="19" s="1"/>
  <c r="AC33" i="19" a="1"/>
  <c r="AC33" i="19" s="1"/>
  <c r="AD33" i="19" s="1" a="1"/>
  <c r="AD33" i="19" s="1"/>
  <c r="AH33" i="19"/>
  <c r="AJ33" i="19" s="1"/>
  <c r="AC44" i="19" a="1"/>
  <c r="AC44" i="19" s="1"/>
  <c r="AD44" i="19" s="1" a="1"/>
  <c r="AD44" i="19" s="1"/>
  <c r="AH44" i="19"/>
  <c r="AJ44" i="19" s="1"/>
  <c r="AC45" i="19" a="1"/>
  <c r="AC45" i="19" s="1"/>
  <c r="AD45" i="19" s="1" a="1"/>
  <c r="AD45" i="19" s="1"/>
  <c r="AH45" i="19"/>
  <c r="AJ45" i="19" s="1"/>
  <c r="AC49" i="19" a="1"/>
  <c r="AC49" i="19" s="1"/>
  <c r="AD49" i="19" s="1" a="1"/>
  <c r="AD49" i="19" s="1"/>
  <c r="AH49" i="19"/>
  <c r="AJ49" i="19" s="1"/>
  <c r="AC51" i="19" a="1"/>
  <c r="AC51" i="19" s="1"/>
  <c r="AD51" i="19" s="1" a="1"/>
  <c r="AD51" i="19" s="1"/>
  <c r="AH51" i="19"/>
  <c r="AJ51" i="19" s="1"/>
  <c r="AC64" i="19" a="1"/>
  <c r="AC64" i="19" s="1"/>
  <c r="AD64" i="19" s="1" a="1"/>
  <c r="AD64" i="19" s="1"/>
  <c r="AH64" i="19"/>
  <c r="AJ64" i="19" s="1"/>
  <c r="AC66" i="19" a="1"/>
  <c r="AC66" i="19" s="1"/>
  <c r="AD66" i="19" s="1" a="1"/>
  <c r="AD66" i="19" s="1"/>
  <c r="AH66" i="19"/>
  <c r="AJ66" i="19" s="1"/>
  <c r="AC67" i="19" a="1"/>
  <c r="AC67" i="19" s="1"/>
  <c r="AD67" i="19" s="1" a="1"/>
  <c r="AD67" i="19" s="1"/>
  <c r="AH67" i="19"/>
  <c r="AJ67" i="19" s="1"/>
  <c r="AI22" i="19" l="1" a="1"/>
  <c r="AI22" i="19" s="1"/>
  <c r="AK22" i="19" s="1" a="1"/>
  <c r="AK22" i="19" s="1"/>
  <c r="AL22" i="19" s="1"/>
  <c r="AI33" i="19" a="1"/>
  <c r="AI33" i="19" s="1"/>
  <c r="AK33" i="19" s="1" a="1"/>
  <c r="AK33" i="19" s="1"/>
  <c r="AL33" i="19" s="1"/>
  <c r="AI44" i="19" a="1"/>
  <c r="AI44" i="19" s="1"/>
  <c r="AK44" i="19" s="1" a="1"/>
  <c r="AK44" i="19" s="1"/>
  <c r="AL44" i="19" s="1"/>
  <c r="AI45" i="19" a="1"/>
  <c r="AI45" i="19" s="1"/>
  <c r="AK45" i="19" s="1" a="1"/>
  <c r="AK45" i="19" s="1"/>
  <c r="AL45" i="19" s="1"/>
  <c r="AI49" i="19" a="1"/>
  <c r="AI49" i="19" s="1"/>
  <c r="AK49" i="19" s="1" a="1"/>
  <c r="AK49" i="19" s="1"/>
  <c r="AL49" i="19" s="1"/>
  <c r="AI51" i="19" a="1"/>
  <c r="AI51" i="19" s="1"/>
  <c r="AK51" i="19" s="1" a="1"/>
  <c r="AK51" i="19" s="1"/>
  <c r="AL51" i="19" s="1"/>
  <c r="AI64" i="19" a="1"/>
  <c r="AI64" i="19" s="1"/>
  <c r="AK64" i="19" s="1" a="1"/>
  <c r="AK64" i="19" s="1"/>
  <c r="AL64" i="19" s="1"/>
  <c r="AI66" i="19" a="1"/>
  <c r="AI66" i="19" s="1"/>
  <c r="AK66" i="19" s="1" a="1"/>
  <c r="AK66" i="19" s="1"/>
  <c r="AL66" i="19" s="1"/>
  <c r="AI67" i="19" a="1"/>
  <c r="AI67" i="19" s="1"/>
  <c r="AK67" i="19" s="1" a="1"/>
  <c r="AK67" i="19" s="1"/>
  <c r="AL67" i="19" s="1"/>
  <c r="J191" i="22" s="1" a="1"/>
  <c r="J191" i="22" s="1"/>
  <c r="J352" i="22" l="1" a="1"/>
  <c r="J352" i="22" s="1"/>
  <c r="O352" i="22" s="1" a="1"/>
  <c r="O352" i="22" s="1"/>
  <c r="N264" i="22" a="1"/>
  <c r="N264" i="22" s="1"/>
  <c r="J74" i="22" a="1"/>
  <c r="J74" i="22" s="1"/>
  <c r="N53" i="22" a="1"/>
  <c r="N53" i="22" s="1"/>
  <c r="N330" i="22" a="1"/>
  <c r="N330" i="22" s="1"/>
  <c r="N560" i="22" a="1"/>
  <c r="N560" i="22" s="1"/>
  <c r="N342" i="22" a="1"/>
  <c r="N342" i="22" s="1"/>
  <c r="N205" i="22" a="1"/>
  <c r="N205" i="22" s="1"/>
  <c r="J369" i="22" a="1"/>
  <c r="J369" i="22" s="1"/>
  <c r="J582" i="22" a="1"/>
  <c r="J582" i="22" s="1"/>
  <c r="J186" i="22" a="1"/>
  <c r="J186" i="22" s="1"/>
  <c r="O186" i="22" s="1" a="1"/>
  <c r="O186" i="22" s="1"/>
  <c r="N435" i="22" a="1"/>
  <c r="N435" i="22" s="1"/>
  <c r="J504" i="22" a="1"/>
  <c r="J504" i="22" s="1"/>
  <c r="J343" i="22" a="1"/>
  <c r="J343" i="22" s="1"/>
  <c r="O343" i="22" s="1" a="1"/>
  <c r="O343" i="22" s="1"/>
  <c r="N106" i="22" a="1"/>
  <c r="N106" i="22" s="1"/>
  <c r="J142" i="22" a="1"/>
  <c r="J142" i="22" s="1"/>
  <c r="O142" i="22" s="1" a="1"/>
  <c r="O142" i="22" s="1"/>
  <c r="N451" i="22" a="1"/>
  <c r="N451" i="22" s="1"/>
  <c r="N360" i="22" a="1"/>
  <c r="N360" i="22" s="1"/>
  <c r="N478" i="22" a="1"/>
  <c r="N478" i="22" s="1"/>
  <c r="N401" i="22" a="1"/>
  <c r="N401" i="22" s="1"/>
  <c r="N153" i="22" a="1"/>
  <c r="N153" i="22" s="1"/>
  <c r="J463" i="22" a="1"/>
  <c r="J463" i="22" s="1"/>
  <c r="O463" i="22" s="1" a="1"/>
  <c r="O463" i="22" s="1"/>
  <c r="J289" i="22" a="1"/>
  <c r="J289" i="22" s="1"/>
  <c r="J260" i="22" a="1"/>
  <c r="J260" i="22" s="1"/>
  <c r="O260" i="22" s="1" a="1"/>
  <c r="O260" i="22" s="1"/>
  <c r="J404" i="22" a="1"/>
  <c r="J404" i="22" s="1"/>
  <c r="O404" i="22" s="1" a="1"/>
  <c r="O404" i="22" s="1"/>
  <c r="J160" i="22" a="1"/>
  <c r="J160" i="22" s="1"/>
  <c r="N165" i="22" a="1"/>
  <c r="N165" i="22" s="1"/>
  <c r="N534" i="22" a="1"/>
  <c r="N534" i="22" s="1"/>
  <c r="J473" i="22" a="1"/>
  <c r="J473" i="22" s="1"/>
  <c r="N344" i="22" a="1"/>
  <c r="N344" i="22" s="1"/>
  <c r="N326" i="22" a="1"/>
  <c r="N326" i="22" s="1"/>
  <c r="J129" i="22" a="1"/>
  <c r="J129" i="22" s="1"/>
  <c r="N506" i="22" a="1"/>
  <c r="N506" i="22" s="1"/>
  <c r="N68" i="22" a="1"/>
  <c r="N68" i="22" s="1"/>
  <c r="J226" i="22" a="1"/>
  <c r="J226" i="22" s="1"/>
  <c r="J569" i="22" a="1"/>
  <c r="J569" i="22" s="1"/>
  <c r="J190" i="22" a="1"/>
  <c r="J190" i="22" s="1"/>
  <c r="N124" i="22" a="1"/>
  <c r="N124" i="22" s="1"/>
  <c r="J534" i="22" a="1"/>
  <c r="J534" i="22" s="1"/>
  <c r="J449" i="22" a="1"/>
  <c r="J449" i="22" s="1"/>
  <c r="J438" i="22" a="1"/>
  <c r="J438" i="22" s="1"/>
  <c r="J431" i="22" a="1"/>
  <c r="J431" i="22" s="1"/>
  <c r="J419" i="22" a="1"/>
  <c r="J419" i="22" s="1"/>
  <c r="J411" i="22" a="1"/>
  <c r="J411" i="22" s="1"/>
  <c r="J181" i="22" a="1"/>
  <c r="J181" i="22" s="1"/>
  <c r="N441" i="22" a="1"/>
  <c r="N441" i="22" s="1"/>
  <c r="J336" i="22" a="1"/>
  <c r="J336" i="22" s="1"/>
  <c r="J387" i="22" a="1"/>
  <c r="J387" i="22" s="1"/>
  <c r="J377" i="22" a="1"/>
  <c r="J377" i="22" s="1"/>
  <c r="N310" i="22" a="1"/>
  <c r="N310" i="22" s="1"/>
  <c r="N309" i="22" a="1"/>
  <c r="N309" i="22" s="1"/>
  <c r="N308" i="22" a="1"/>
  <c r="N308" i="22" s="1"/>
  <c r="J414" i="22" a="1"/>
  <c r="J414" i="22" s="1"/>
  <c r="J398" i="22" a="1"/>
  <c r="J398" i="22" s="1"/>
  <c r="J172" i="22" a="1"/>
  <c r="J172" i="22" s="1"/>
  <c r="N433" i="22" a="1"/>
  <c r="N433" i="22" s="1"/>
  <c r="J564" i="22" a="1"/>
  <c r="J564" i="22" s="1"/>
  <c r="J291" i="22" a="1"/>
  <c r="J291" i="22" s="1"/>
  <c r="J283" i="22" a="1"/>
  <c r="J283" i="22" s="1"/>
  <c r="J275" i="22" a="1"/>
  <c r="J275" i="22" s="1"/>
  <c r="J265" i="22" a="1"/>
  <c r="J265" i="22" s="1"/>
  <c r="J257" i="22" a="1"/>
  <c r="J257" i="22" s="1"/>
  <c r="O257" i="22" s="1" a="1"/>
  <c r="O257" i="22" s="1"/>
  <c r="J246" i="22" a="1"/>
  <c r="J246" i="22" s="1"/>
  <c r="O246" i="22" s="1" a="1"/>
  <c r="O246" i="22" s="1"/>
  <c r="J238" i="22" a="1"/>
  <c r="J238" i="22" s="1"/>
  <c r="O238" i="22" s="1" a="1"/>
  <c r="O238" i="22" s="1"/>
  <c r="J218" i="22" a="1"/>
  <c r="J218" i="22" s="1"/>
  <c r="J573" i="22" a="1"/>
  <c r="J573" i="22" s="1"/>
  <c r="O573" i="22" s="1" a="1"/>
  <c r="O573" i="22" s="1"/>
  <c r="J561" i="22" a="1"/>
  <c r="J561" i="22" s="1"/>
  <c r="N353" i="22" a="1"/>
  <c r="N353" i="22" s="1"/>
  <c r="N334" i="22" a="1"/>
  <c r="N334" i="22" s="1"/>
  <c r="J222" i="22" a="1"/>
  <c r="J222" i="22" s="1"/>
  <c r="O222" i="22" s="1" a="1"/>
  <c r="O222" i="22" s="1"/>
  <c r="N589" i="22" a="1"/>
  <c r="N589" i="22" s="1"/>
  <c r="N416" i="22" a="1"/>
  <c r="N416" i="22" s="1"/>
  <c r="N263" i="22" a="1"/>
  <c r="N263" i="22" s="1"/>
  <c r="N122" i="22" a="1"/>
  <c r="N122" i="22" s="1"/>
  <c r="O275" i="22" a="1"/>
  <c r="O275" i="22" s="1"/>
  <c r="J150" i="22" a="1"/>
  <c r="J150" i="22" s="1"/>
  <c r="O150" i="22" s="1" a="1"/>
  <c r="O150" i="22" s="1"/>
  <c r="J139" i="22" a="1"/>
  <c r="J139" i="22" s="1"/>
  <c r="J552" i="22" a="1"/>
  <c r="J552" i="22" s="1"/>
  <c r="O552" i="22" s="1" a="1"/>
  <c r="O552" i="22" s="1"/>
  <c r="N352" i="22" a="1"/>
  <c r="N352" i="22" s="1"/>
  <c r="N332" i="22" a="1"/>
  <c r="N332" i="22" s="1"/>
  <c r="J200" i="22" a="1"/>
  <c r="J200" i="22" s="1"/>
  <c r="N578" i="22" a="1"/>
  <c r="N578" i="22" s="1"/>
  <c r="N398" i="22" a="1"/>
  <c r="N398" i="22" s="1"/>
  <c r="N229" i="22" a="1"/>
  <c r="N229" i="22" s="1"/>
  <c r="J111" i="22" a="1"/>
  <c r="J111" i="22" s="1"/>
  <c r="J210" i="22" a="1"/>
  <c r="J210" i="22" s="1"/>
  <c r="J54" i="22" a="1"/>
  <c r="J54" i="22" s="1"/>
  <c r="N442" i="22" a="1"/>
  <c r="N442" i="22" s="1"/>
  <c r="O289" i="22" a="1"/>
  <c r="O289" i="22" s="1"/>
  <c r="N142" i="22" a="1"/>
  <c r="N142" i="22" s="1"/>
  <c r="N357" i="22" a="1"/>
  <c r="N357" i="22" s="1"/>
  <c r="N338" i="22" a="1"/>
  <c r="N338" i="22" s="1"/>
  <c r="N111" i="22" a="1"/>
  <c r="N111" i="22" s="1"/>
  <c r="J108" i="22" a="1"/>
  <c r="J108" i="22" s="1"/>
  <c r="N486" i="22" a="1"/>
  <c r="N486" i="22" s="1"/>
  <c r="N410" i="22" a="1"/>
  <c r="N410" i="22" s="1"/>
  <c r="N160" i="22" a="1"/>
  <c r="N160" i="22" s="1"/>
  <c r="J113" i="22" a="1"/>
  <c r="J113" i="22" s="1"/>
  <c r="N503" i="22" a="1"/>
  <c r="N503" i="22" s="1"/>
  <c r="N125" i="22" a="1"/>
  <c r="N125" i="22" s="1"/>
  <c r="N150" i="22" a="1"/>
  <c r="N150" i="22" s="1"/>
  <c r="J109" i="22" a="1"/>
  <c r="J109" i="22" s="1"/>
  <c r="N526" i="22" a="1"/>
  <c r="N526" i="22" s="1"/>
  <c r="N269" i="22" a="1"/>
  <c r="N269" i="22" s="1"/>
  <c r="N121" i="22" a="1"/>
  <c r="N121" i="22" s="1"/>
  <c r="N460" i="22" a="1"/>
  <c r="N460" i="22" s="1"/>
  <c r="N425" i="22" a="1"/>
  <c r="N425" i="22" s="1"/>
  <c r="N408" i="22" a="1"/>
  <c r="N408" i="22" s="1"/>
  <c r="N400" i="22" a="1"/>
  <c r="N400" i="22" s="1"/>
  <c r="N251" i="22" a="1"/>
  <c r="N251" i="22" s="1"/>
  <c r="N232" i="22" a="1"/>
  <c r="N232" i="22" s="1"/>
  <c r="N214" i="22" a="1"/>
  <c r="N214" i="22" s="1"/>
  <c r="N196" i="22" a="1"/>
  <c r="N196" i="22" s="1"/>
  <c r="N178" i="22" a="1"/>
  <c r="N178" i="22" s="1"/>
  <c r="N159" i="22" a="1"/>
  <c r="N159" i="22" s="1"/>
  <c r="N164" i="22" a="1"/>
  <c r="N164" i="22" s="1"/>
  <c r="N86" i="22" a="1"/>
  <c r="N86" i="22" s="1"/>
  <c r="N71" i="22" a="1"/>
  <c r="N71" i="22" s="1"/>
  <c r="N54" i="22" a="1"/>
  <c r="N54" i="22" s="1"/>
  <c r="J566" i="22" a="1"/>
  <c r="J566" i="22" s="1"/>
  <c r="J413" i="22" a="1"/>
  <c r="J413" i="22" s="1"/>
  <c r="J256" i="22" a="1"/>
  <c r="J256" i="22" s="1"/>
  <c r="N581" i="22" a="1"/>
  <c r="N581" i="22" s="1"/>
  <c r="N454" i="22" a="1"/>
  <c r="N454" i="22" s="1"/>
  <c r="N182" i="22" a="1"/>
  <c r="N182" i="22" s="1"/>
  <c r="N132" i="22" a="1"/>
  <c r="N132" i="22" s="1"/>
  <c r="N116" i="22" a="1"/>
  <c r="N116" i="22" s="1"/>
  <c r="N99" i="22" a="1"/>
  <c r="N99" i="22" s="1"/>
  <c r="N82" i="22" a="1"/>
  <c r="N82" i="22" s="1"/>
  <c r="N65" i="22" a="1"/>
  <c r="N65" i="22" s="1"/>
  <c r="N48" i="22" a="1"/>
  <c r="N48" i="22" s="1"/>
  <c r="J452" i="22" a="1"/>
  <c r="J452" i="22" s="1"/>
  <c r="J293" i="22" a="1"/>
  <c r="J293" i="22" s="1"/>
  <c r="O293" i="22" s="1" a="1"/>
  <c r="O293" i="22" s="1"/>
  <c r="N354" i="22" a="1"/>
  <c r="N354" i="22" s="1"/>
  <c r="N200" i="22" a="1"/>
  <c r="N200" i="22" s="1"/>
  <c r="J523" i="22" a="1"/>
  <c r="J523" i="22" s="1"/>
  <c r="O523" i="22" s="1" a="1"/>
  <c r="O523" i="22" s="1"/>
  <c r="J362" i="22" a="1"/>
  <c r="J362" i="22" s="1"/>
  <c r="O362" i="22" s="1" a="1"/>
  <c r="O362" i="22" s="1"/>
  <c r="J234" i="22" a="1"/>
  <c r="J234" i="22" s="1"/>
  <c r="O234" i="22" s="1" a="1"/>
  <c r="O234" i="22" s="1"/>
  <c r="N582" i="22" a="1"/>
  <c r="N582" i="22" s="1"/>
  <c r="N423" i="22" a="1"/>
  <c r="N423" i="22" s="1"/>
  <c r="N335" i="22" a="1"/>
  <c r="N335" i="22" s="1"/>
  <c r="N557" i="22" a="1"/>
  <c r="N557" i="22" s="1"/>
  <c r="N277" i="22" a="1"/>
  <c r="N277" i="22" s="1"/>
  <c r="N188" i="22" a="1"/>
  <c r="N188" i="22" s="1"/>
  <c r="N45" i="22" a="1"/>
  <c r="N45" i="22" s="1"/>
  <c r="J456" i="22" a="1"/>
  <c r="J456" i="22" s="1"/>
  <c r="N341" i="22" a="1"/>
  <c r="N341" i="22" s="1"/>
  <c r="J250" i="22" a="1"/>
  <c r="J250" i="22" s="1"/>
  <c r="J59" i="22" a="1"/>
  <c r="J59" i="22" s="1"/>
  <c r="N407" i="22" a="1"/>
  <c r="N407" i="22" s="1"/>
  <c r="N237" i="22" a="1"/>
  <c r="N237" i="22" s="1"/>
  <c r="N93" i="22" a="1"/>
  <c r="N93" i="22" s="1"/>
  <c r="J152" i="22" a="1"/>
  <c r="J152" i="22" s="1"/>
  <c r="N545" i="22" a="1"/>
  <c r="N545" i="22" s="1"/>
  <c r="N261" i="22" a="1"/>
  <c r="N261" i="22" s="1"/>
  <c r="N588" i="22" a="1"/>
  <c r="N588" i="22" s="1"/>
  <c r="N438" i="22" a="1"/>
  <c r="N438" i="22" s="1"/>
  <c r="N197" i="22" a="1"/>
  <c r="N197" i="22" s="1"/>
  <c r="N63" i="22" a="1"/>
  <c r="N63" i="22" s="1"/>
  <c r="J403" i="22" a="1"/>
  <c r="J403" i="22" s="1"/>
  <c r="N447" i="22" a="1"/>
  <c r="N447" i="22" s="1"/>
  <c r="J509" i="22" a="1"/>
  <c r="J509" i="22" s="1"/>
  <c r="J170" i="22" a="1"/>
  <c r="J170" i="22" s="1"/>
  <c r="N242" i="22" a="1"/>
  <c r="N242" i="22" s="1"/>
  <c r="N323" i="22" a="1"/>
  <c r="N323" i="22" s="1"/>
  <c r="N428" i="22" a="1"/>
  <c r="N428" i="22" s="1"/>
  <c r="J384" i="22" a="1"/>
  <c r="J384" i="22" s="1"/>
  <c r="N115" i="22" a="1"/>
  <c r="N115" i="22" s="1"/>
  <c r="J576" i="22" a="1"/>
  <c r="J576" i="22" s="1"/>
  <c r="J253" i="22" a="1"/>
  <c r="J253" i="22" s="1"/>
  <c r="N204" i="22" a="1"/>
  <c r="N204" i="22" s="1"/>
  <c r="N349" i="22" a="1"/>
  <c r="N349" i="22" s="1"/>
  <c r="J69" i="22" a="1"/>
  <c r="J69" i="22" s="1"/>
  <c r="J119" i="22" a="1"/>
  <c r="J119" i="22" s="1"/>
  <c r="N141" i="22" a="1"/>
  <c r="N141" i="22" s="1"/>
  <c r="N586" i="22" a="1"/>
  <c r="N586" i="22" s="1"/>
  <c r="J395" i="22" a="1"/>
  <c r="J395" i="22" s="1"/>
  <c r="J298" i="22" a="1"/>
  <c r="J298" i="22" s="1"/>
  <c r="N149" i="22" a="1"/>
  <c r="N149" i="22" s="1"/>
  <c r="N417" i="22" a="1"/>
  <c r="N417" i="22" s="1"/>
  <c r="N477" i="22" a="1"/>
  <c r="N477" i="22" s="1"/>
  <c r="J562" i="22" a="1"/>
  <c r="J562" i="22" s="1"/>
  <c r="N271" i="22" a="1"/>
  <c r="N271" i="22" s="1"/>
  <c r="N107" i="22" a="1"/>
  <c r="N107" i="22" s="1"/>
  <c r="N356" i="22" a="1"/>
  <c r="N356" i="22" s="1"/>
  <c r="N337" i="22" a="1"/>
  <c r="N337" i="22" s="1"/>
  <c r="J243" i="22" a="1"/>
  <c r="J243" i="22" s="1"/>
  <c r="J68" i="22" a="1"/>
  <c r="J68" i="22" s="1"/>
  <c r="N444" i="22" a="1"/>
  <c r="N444" i="22" s="1"/>
  <c r="N255" i="22" a="1"/>
  <c r="N255" i="22" s="1"/>
  <c r="N108" i="22" a="1"/>
  <c r="N108" i="22" s="1"/>
  <c r="J171" i="22" a="1"/>
  <c r="J171" i="22" s="1"/>
  <c r="N554" i="22" a="1"/>
  <c r="N554" i="22" s="1"/>
  <c r="N383" i="22" a="1"/>
  <c r="N383" i="22" s="1"/>
  <c r="N134" i="22" a="1"/>
  <c r="N134" i="22" s="1"/>
  <c r="J67" i="22" a="1"/>
  <c r="J67" i="22" s="1"/>
  <c r="N467" i="22" a="1"/>
  <c r="N467" i="22" s="1"/>
  <c r="N215" i="22" a="1"/>
  <c r="N215" i="22" s="1"/>
  <c r="N89" i="22" a="1"/>
  <c r="N89" i="22" s="1"/>
  <c r="O452" i="22" a="1"/>
  <c r="O452" i="22" s="1"/>
  <c r="J451" i="22" a="1"/>
  <c r="J451" i="22" s="1"/>
  <c r="J309" i="22" a="1"/>
  <c r="J309" i="22" s="1"/>
  <c r="N85" i="22" a="1"/>
  <c r="N85" i="22" s="1"/>
  <c r="J204" i="22" a="1"/>
  <c r="J204" i="22" s="1"/>
  <c r="J91" i="22" a="1"/>
  <c r="J91" i="22" s="1"/>
  <c r="N501" i="22" a="1"/>
  <c r="N501" i="22" s="1"/>
  <c r="N267" i="22" a="1"/>
  <c r="N267" i="22" s="1"/>
  <c r="N161" i="22" a="1"/>
  <c r="N161" i="22" s="1"/>
  <c r="J536" i="22" a="1"/>
  <c r="J536" i="22" s="1"/>
  <c r="J439" i="22" a="1"/>
  <c r="J439" i="22" s="1"/>
  <c r="L439" i="22" s="1"/>
  <c r="J339" i="22" a="1"/>
  <c r="J339" i="22" s="1"/>
  <c r="J248" i="22" a="1"/>
  <c r="J248" i="22" s="1"/>
  <c r="J141" i="22" a="1"/>
  <c r="J141" i="22" s="1"/>
  <c r="N152" i="22" a="1"/>
  <c r="N152" i="22" s="1"/>
  <c r="N67" i="22" a="1"/>
  <c r="N67" i="22" s="1"/>
  <c r="O439" i="22" a="1"/>
  <c r="O439" i="22" s="1"/>
  <c r="J581" i="22" a="1"/>
  <c r="J581" i="22" s="1"/>
  <c r="J267" i="22" a="1"/>
  <c r="J267" i="22" s="1"/>
  <c r="N583" i="22" a="1"/>
  <c r="N583" i="22" s="1"/>
  <c r="J442" i="22" a="1"/>
  <c r="J442" i="22" s="1"/>
  <c r="J209" i="22" a="1"/>
  <c r="J209" i="22" s="1"/>
  <c r="N552" i="22" a="1"/>
  <c r="N552" i="22" s="1"/>
  <c r="N265" i="22" a="1"/>
  <c r="N265" i="22" s="1"/>
  <c r="N92" i="22" a="1"/>
  <c r="N92" i="22" s="1"/>
  <c r="J433" i="22" a="1"/>
  <c r="J433" i="22" s="1"/>
  <c r="J276" i="22" a="1"/>
  <c r="J276" i="22" s="1"/>
  <c r="J90" i="22" a="1"/>
  <c r="J90" i="22" s="1"/>
  <c r="L90" i="22" s="1"/>
  <c r="N397" i="22" a="1"/>
  <c r="N397" i="22" s="1"/>
  <c r="N547" i="22" a="1"/>
  <c r="N547" i="22" s="1"/>
  <c r="N268" i="22" a="1"/>
  <c r="N268" i="22" s="1"/>
  <c r="N211" i="22" a="1"/>
  <c r="N211" i="22" s="1"/>
  <c r="N77" i="22" a="1"/>
  <c r="N77" i="22" s="1"/>
  <c r="J63" i="22" a="1"/>
  <c r="J63" i="22" s="1"/>
  <c r="N452" i="22" a="1"/>
  <c r="N452" i="22" s="1"/>
  <c r="N184" i="22" a="1"/>
  <c r="N184" i="22" s="1"/>
  <c r="N57" i="22" a="1"/>
  <c r="N57" i="22" s="1"/>
  <c r="N538" i="22" a="1"/>
  <c r="N538" i="22" s="1"/>
  <c r="N402" i="22" a="1"/>
  <c r="N402" i="22" s="1"/>
  <c r="N146" i="22" a="1"/>
  <c r="N146" i="22" s="1"/>
  <c r="J548" i="22" a="1"/>
  <c r="J548" i="22" s="1"/>
  <c r="J440" i="22" a="1"/>
  <c r="J440" i="22" s="1"/>
  <c r="J340" i="22" a="1"/>
  <c r="J340" i="22" s="1"/>
  <c r="N112" i="22" a="1"/>
  <c r="N112" i="22" s="1"/>
  <c r="J195" i="22" a="1"/>
  <c r="J195" i="22" s="1"/>
  <c r="J71" i="22" a="1"/>
  <c r="J71" i="22" s="1"/>
  <c r="N529" i="22" a="1"/>
  <c r="N529" i="22" s="1"/>
  <c r="N422" i="22" a="1"/>
  <c r="N422" i="22" s="1"/>
  <c r="N226" i="22" a="1"/>
  <c r="N226" i="22" s="1"/>
  <c r="J517" i="22" a="1"/>
  <c r="J517" i="22" s="1"/>
  <c r="J424" i="22" a="1"/>
  <c r="J424" i="22" s="1"/>
  <c r="L424" i="22" s="1"/>
  <c r="J331" i="22" a="1"/>
  <c r="J331" i="22" s="1"/>
  <c r="J277" i="22" a="1"/>
  <c r="J277" i="22" s="1"/>
  <c r="J153" i="22" a="1"/>
  <c r="J153" i="22" s="1"/>
  <c r="L153" i="22" s="1"/>
  <c r="N175" i="22" a="1"/>
  <c r="N175" i="22" s="1"/>
  <c r="N91" i="22" a="1"/>
  <c r="N91" i="22" s="1"/>
  <c r="J485" i="22" a="1"/>
  <c r="J485" i="22" s="1"/>
  <c r="L485" i="22" s="1"/>
  <c r="J140" i="22" a="1"/>
  <c r="J140" i="22" s="1"/>
  <c r="J518" i="22" a="1"/>
  <c r="J518" i="22" s="1"/>
  <c r="J385" i="22" a="1"/>
  <c r="J385" i="22" s="1"/>
  <c r="J231" i="22" a="1"/>
  <c r="J231" i="22" s="1"/>
  <c r="J62" i="22" a="1"/>
  <c r="J62" i="22" s="1"/>
  <c r="N448" i="22" a="1"/>
  <c r="N448" i="22" s="1"/>
  <c r="N144" i="22" a="1"/>
  <c r="N144" i="22" s="1"/>
  <c r="J547" i="22" a="1"/>
  <c r="J547" i="22" s="1"/>
  <c r="J394" i="22" a="1"/>
  <c r="J394" i="22" s="1"/>
  <c r="J237" i="22" a="1"/>
  <c r="J237" i="22" s="1"/>
  <c r="J123" i="22" a="1"/>
  <c r="J123" i="22" s="1"/>
  <c r="N519" i="22" a="1"/>
  <c r="N519" i="22" s="1"/>
  <c r="N391" i="22" a="1"/>
  <c r="N391" i="22" s="1"/>
  <c r="N140" i="22" a="1"/>
  <c r="N140" i="22" s="1"/>
  <c r="J87" i="22" a="1"/>
  <c r="J87" i="22" s="1"/>
  <c r="N487" i="22" a="1"/>
  <c r="N487" i="22" s="1"/>
  <c r="N244" i="22" a="1"/>
  <c r="N244" i="22" s="1"/>
  <c r="N103" i="22" a="1"/>
  <c r="N103" i="22" s="1"/>
  <c r="J512" i="22" a="1"/>
  <c r="J512" i="22" s="1"/>
  <c r="J399" i="22" a="1"/>
  <c r="J399" i="22" s="1"/>
  <c r="J316" i="22" a="1"/>
  <c r="J316" i="22" s="1"/>
  <c r="N104" i="22" a="1"/>
  <c r="N104" i="22" s="1"/>
  <c r="J221" i="22" a="1"/>
  <c r="J221" i="22" s="1"/>
  <c r="J110" i="22" a="1"/>
  <c r="J110" i="22" s="1"/>
  <c r="N555" i="22" a="1"/>
  <c r="N555" i="22" s="1"/>
  <c r="N440" i="22" a="1"/>
  <c r="N440" i="22" s="1"/>
  <c r="N234" i="22" a="1"/>
  <c r="N234" i="22" s="1"/>
  <c r="N139" i="22" a="1"/>
  <c r="N139" i="22" s="1"/>
  <c r="J556" i="22" a="1"/>
  <c r="J556" i="22" s="1"/>
  <c r="J468" i="22" a="1"/>
  <c r="J468" i="22" s="1"/>
  <c r="J379" i="22" a="1"/>
  <c r="J379" i="22" s="1"/>
  <c r="J284" i="22" a="1"/>
  <c r="J284" i="22" s="1"/>
  <c r="J192" i="22" a="1"/>
  <c r="J192" i="22" s="1"/>
  <c r="N192" i="22" a="1"/>
  <c r="N192" i="22" s="1"/>
  <c r="N114" i="22" a="1"/>
  <c r="N114" i="22" s="1"/>
  <c r="N50" i="22" a="1"/>
  <c r="N50" i="22" s="1"/>
  <c r="J525" i="22" a="1"/>
  <c r="J525" i="22" s="1"/>
  <c r="J185" i="22" a="1"/>
  <c r="J185" i="22" s="1"/>
  <c r="J578" i="22" a="1"/>
  <c r="J578" i="22" s="1"/>
  <c r="J421" i="22" a="1"/>
  <c r="J421" i="22" s="1"/>
  <c r="J251" i="22" a="1"/>
  <c r="J251" i="22" s="1"/>
  <c r="J84" i="22" a="1"/>
  <c r="J84" i="22" s="1"/>
  <c r="N424" i="22" a="1"/>
  <c r="N424" i="22" s="1"/>
  <c r="N181" i="22" a="1"/>
  <c r="N181" i="22" s="1"/>
  <c r="J510" i="22" a="1"/>
  <c r="J510" i="22" s="1"/>
  <c r="J342" i="22" a="1"/>
  <c r="J342" i="22" s="1"/>
  <c r="J217" i="22" a="1"/>
  <c r="J217" i="22" s="1"/>
  <c r="J49" i="22" a="1"/>
  <c r="J49" i="22" s="1"/>
  <c r="N415" i="22" a="1"/>
  <c r="N415" i="22" s="1"/>
  <c r="N426" i="22" a="1"/>
  <c r="N426" i="22" s="1"/>
  <c r="N191" i="22" a="1"/>
  <c r="N191" i="22" s="1"/>
  <c r="N73" i="22" a="1"/>
  <c r="N73" i="22" s="1"/>
  <c r="N546" i="22" a="1"/>
  <c r="N546" i="22" s="1"/>
  <c r="N260" i="22" a="1"/>
  <c r="N260" i="22" s="1"/>
  <c r="N172" i="22" a="1"/>
  <c r="N172" i="22" s="1"/>
  <c r="O582" i="22" a="1"/>
  <c r="O582" i="22" s="1"/>
  <c r="J496" i="22" a="1"/>
  <c r="J496" i="22" s="1"/>
  <c r="J368" i="22" a="1"/>
  <c r="J368" i="22" s="1"/>
  <c r="N135" i="22" a="1"/>
  <c r="N135" i="22" s="1"/>
  <c r="J230" i="22" a="1"/>
  <c r="J230" i="22" s="1"/>
  <c r="J120" i="22" a="1"/>
  <c r="J120" i="22" s="1"/>
  <c r="N566" i="22" a="1"/>
  <c r="N566" i="22" s="1"/>
  <c r="N459" i="22" a="1"/>
  <c r="N459" i="22" s="1"/>
  <c r="N243" i="22" a="1"/>
  <c r="N243" i="22" s="1"/>
  <c r="N155" i="22" a="1"/>
  <c r="N155" i="22" s="1"/>
  <c r="O139" i="22" a="1"/>
  <c r="O139" i="22" s="1"/>
  <c r="J574" i="22" a="1"/>
  <c r="J574" i="22" s="1"/>
  <c r="J486" i="22" a="1"/>
  <c r="J486" i="22" s="1"/>
  <c r="J389" i="22" a="1"/>
  <c r="J389" i="22" s="1"/>
  <c r="J299" i="22" a="1"/>
  <c r="J299" i="22" s="1"/>
  <c r="J201" i="22" a="1"/>
  <c r="J201" i="22" s="1"/>
  <c r="N201" i="22" a="1"/>
  <c r="N201" i="22" s="1"/>
  <c r="N105" i="22" a="1"/>
  <c r="N105" i="22" s="1"/>
  <c r="N40" i="22" a="1"/>
  <c r="N40" i="22" s="1"/>
  <c r="O148" i="22" a="1"/>
  <c r="O148" i="22" s="1"/>
  <c r="J467" i="22" a="1"/>
  <c r="J467" i="22" s="1"/>
  <c r="J163" i="22" a="1"/>
  <c r="J163" i="22" s="1"/>
  <c r="J558" i="22" a="1"/>
  <c r="J558" i="22" s="1"/>
  <c r="J363" i="22" a="1"/>
  <c r="J363" i="22" s="1"/>
  <c r="J188" i="22" a="1"/>
  <c r="J188" i="22" s="1"/>
  <c r="J41" i="22" a="1"/>
  <c r="J41" i="22" s="1"/>
  <c r="N405" i="22" a="1"/>
  <c r="N405" i="22" s="1"/>
  <c r="N123" i="22" a="1"/>
  <c r="N123" i="22" s="1"/>
  <c r="J528" i="22" a="1"/>
  <c r="J528" i="22" s="1"/>
  <c r="J376" i="22" a="1"/>
  <c r="J376" i="22" s="1"/>
  <c r="J196" i="22" a="1"/>
  <c r="J196" i="22" s="1"/>
  <c r="N559" i="22" a="1"/>
  <c r="N559" i="22" s="1"/>
  <c r="N276" i="22" a="1"/>
  <c r="N276" i="22" s="1"/>
  <c r="J580" i="22" a="1"/>
  <c r="J580" i="22" s="1"/>
  <c r="J443" i="22" a="1"/>
  <c r="J443" i="22" s="1"/>
  <c r="J307" i="22" a="1"/>
  <c r="J307" i="22" s="1"/>
  <c r="J116" i="22" a="1"/>
  <c r="J116" i="22" s="1"/>
  <c r="N514" i="22" a="1"/>
  <c r="N514" i="22" s="1"/>
  <c r="N406" i="22" a="1"/>
  <c r="N406" i="22" s="1"/>
  <c r="J370" i="22" a="1"/>
  <c r="J370" i="22" s="1"/>
  <c r="J360" i="22" a="1"/>
  <c r="J360" i="22" s="1"/>
  <c r="J354" i="22" a="1"/>
  <c r="J354" i="22" s="1"/>
  <c r="J346" i="22" a="1"/>
  <c r="J346" i="22" s="1"/>
  <c r="J338" i="22" a="1"/>
  <c r="J338" i="22" s="1"/>
  <c r="J330" i="22" a="1"/>
  <c r="J330" i="22" s="1"/>
  <c r="J321" i="22" a="1"/>
  <c r="J321" i="22" s="1"/>
  <c r="J314" i="22" a="1"/>
  <c r="J314" i="22" s="1"/>
  <c r="J304" i="22" a="1"/>
  <c r="J304" i="22" s="1"/>
  <c r="J297" i="22" a="1"/>
  <c r="J297" i="22" s="1"/>
  <c r="J239" i="22" a="1"/>
  <c r="J239" i="22" s="1"/>
  <c r="J228" i="22" a="1"/>
  <c r="J228" i="22" s="1"/>
  <c r="J219" i="22" a="1"/>
  <c r="J219" i="22" s="1"/>
  <c r="J206" i="22" a="1"/>
  <c r="J206" i="22" s="1"/>
  <c r="J198" i="22" a="1"/>
  <c r="J198" i="22" s="1"/>
  <c r="J189" i="22" a="1"/>
  <c r="J189" i="22" s="1"/>
  <c r="J178" i="22" a="1"/>
  <c r="J178" i="22" s="1"/>
  <c r="J169" i="22" a="1"/>
  <c r="J169" i="22" s="1"/>
  <c r="J158" i="22" a="1"/>
  <c r="J158" i="22" s="1"/>
  <c r="J151" i="22" a="1"/>
  <c r="J151" i="22" s="1"/>
  <c r="J143" i="22" a="1"/>
  <c r="J143" i="22" s="1"/>
  <c r="L143" i="22" s="1"/>
  <c r="J132" i="22" a="1"/>
  <c r="J132" i="22" s="1"/>
  <c r="J124" i="22" a="1"/>
  <c r="J124" i="22" s="1"/>
  <c r="J114" i="22" a="1"/>
  <c r="J114" i="22" s="1"/>
  <c r="J104" i="22" a="1"/>
  <c r="J104" i="22" s="1"/>
  <c r="J94" i="22" a="1"/>
  <c r="J94" i="22" s="1"/>
  <c r="J85" i="22" a="1"/>
  <c r="J85" i="22" s="1"/>
  <c r="J76" i="22" a="1"/>
  <c r="J76" i="22" s="1"/>
  <c r="J65" i="22" a="1"/>
  <c r="J65" i="22" s="1"/>
  <c r="J56" i="22" a="1"/>
  <c r="J56" i="22" s="1"/>
  <c r="J46" i="22" a="1"/>
  <c r="J46" i="22" s="1"/>
  <c r="N590" i="22" a="1"/>
  <c r="N590" i="22" s="1"/>
  <c r="N579" i="22" a="1"/>
  <c r="N579" i="22" s="1"/>
  <c r="N570" i="22" a="1"/>
  <c r="N570" i="22" s="1"/>
  <c r="N562" i="22" a="1"/>
  <c r="N562" i="22" s="1"/>
  <c r="N551" i="22" a="1"/>
  <c r="N551" i="22" s="1"/>
  <c r="N543" i="22" a="1"/>
  <c r="N543" i="22" s="1"/>
  <c r="N532" i="22" a="1"/>
  <c r="N532" i="22" s="1"/>
  <c r="N524" i="22" a="1"/>
  <c r="N524" i="22" s="1"/>
  <c r="N513" i="22" a="1"/>
  <c r="N513" i="22" s="1"/>
  <c r="N505" i="22" a="1"/>
  <c r="N505" i="22" s="1"/>
  <c r="N496" i="22" a="1"/>
  <c r="N496" i="22" s="1"/>
  <c r="N485" i="22" a="1"/>
  <c r="N485" i="22" s="1"/>
  <c r="N476" i="22" a="1"/>
  <c r="N476" i="22" s="1"/>
  <c r="N466" i="22" a="1"/>
  <c r="N466" i="22" s="1"/>
  <c r="N457" i="22" a="1"/>
  <c r="N457" i="22" s="1"/>
  <c r="N382" i="22" a="1"/>
  <c r="N382" i="22" s="1"/>
  <c r="N381" i="22" a="1"/>
  <c r="N381" i="22" s="1"/>
  <c r="N380" i="22" a="1"/>
  <c r="N380" i="22" s="1"/>
  <c r="N379" i="22" a="1"/>
  <c r="N379" i="22" s="1"/>
  <c r="N378" i="22" a="1"/>
  <c r="N378" i="22" s="1"/>
  <c r="N377" i="22" a="1"/>
  <c r="N377" i="22" s="1"/>
  <c r="N376" i="22" a="1"/>
  <c r="N376" i="22" s="1"/>
  <c r="N375" i="22" a="1"/>
  <c r="N375" i="22" s="1"/>
  <c r="N374" i="22" a="1"/>
  <c r="N374" i="22" s="1"/>
  <c r="N373" i="22" a="1"/>
  <c r="N373" i="22" s="1"/>
  <c r="N372" i="22" a="1"/>
  <c r="N372" i="22" s="1"/>
  <c r="N371" i="22" a="1"/>
  <c r="N371" i="22" s="1"/>
  <c r="N370" i="22" a="1"/>
  <c r="N370" i="22" s="1"/>
  <c r="N369" i="22" a="1"/>
  <c r="N369" i="22" s="1"/>
  <c r="N368" i="22" a="1"/>
  <c r="N368" i="22" s="1"/>
  <c r="N367" i="22" a="1"/>
  <c r="N367" i="22" s="1"/>
  <c r="N366" i="22" a="1"/>
  <c r="N366" i="22" s="1"/>
  <c r="N365" i="22" a="1"/>
  <c r="N365" i="22" s="1"/>
  <c r="N364" i="22" a="1"/>
  <c r="N364" i="22" s="1"/>
  <c r="N363" i="22" a="1"/>
  <c r="N363" i="22" s="1"/>
  <c r="N362" i="22" a="1"/>
  <c r="N362" i="22" s="1"/>
  <c r="N361" i="22" a="1"/>
  <c r="N361" i="22" s="1"/>
  <c r="J466" i="22" a="1"/>
  <c r="J466" i="22" s="1"/>
  <c r="N343" i="22" a="1"/>
  <c r="N343" i="22" s="1"/>
  <c r="N325" i="22" a="1"/>
  <c r="N325" i="22" s="1"/>
  <c r="N320" i="22" a="1"/>
  <c r="N320" i="22" s="1"/>
  <c r="N319" i="22" a="1"/>
  <c r="N319" i="22" s="1"/>
  <c r="N318" i="22" a="1"/>
  <c r="N318" i="22" s="1"/>
  <c r="N317" i="22" a="1"/>
  <c r="N317" i="22" s="1"/>
  <c r="N316" i="22" a="1"/>
  <c r="N316" i="22" s="1"/>
  <c r="N315" i="22" a="1"/>
  <c r="N315" i="22" s="1"/>
  <c r="N314" i="22" a="1"/>
  <c r="N314" i="22" s="1"/>
  <c r="N313" i="22" a="1"/>
  <c r="N313" i="22" s="1"/>
  <c r="N312" i="22" a="1"/>
  <c r="N312" i="22" s="1"/>
  <c r="N311" i="22" a="1"/>
  <c r="N311" i="22" s="1"/>
  <c r="N307" i="22" a="1"/>
  <c r="N307" i="22" s="1"/>
  <c r="N306" i="22" a="1"/>
  <c r="N306" i="22" s="1"/>
  <c r="N305" i="22" a="1"/>
  <c r="N305" i="22" s="1"/>
  <c r="N304" i="22" a="1"/>
  <c r="N304" i="22" s="1"/>
  <c r="N303" i="22" a="1"/>
  <c r="N303" i="22" s="1"/>
  <c r="N302" i="22" a="1"/>
  <c r="N302" i="22" s="1"/>
  <c r="N301" i="22" a="1"/>
  <c r="N301" i="22" s="1"/>
  <c r="N300" i="22" a="1"/>
  <c r="N300" i="22" s="1"/>
  <c r="N299" i="22" a="1"/>
  <c r="N299" i="22" s="1"/>
  <c r="N298" i="22" a="1"/>
  <c r="N298" i="22" s="1"/>
  <c r="N297" i="22" a="1"/>
  <c r="N297" i="22" s="1"/>
  <c r="N296" i="22" a="1"/>
  <c r="N296" i="22" s="1"/>
  <c r="N295" i="22" a="1"/>
  <c r="N295" i="22" s="1"/>
  <c r="N294" i="22" a="1"/>
  <c r="N294" i="22" s="1"/>
  <c r="N293" i="22" a="1"/>
  <c r="N293" i="22" s="1"/>
  <c r="N292" i="22" a="1"/>
  <c r="N292" i="22" s="1"/>
  <c r="N291" i="22" a="1"/>
  <c r="N291" i="22" s="1"/>
  <c r="N290" i="22" a="1"/>
  <c r="N290" i="22" s="1"/>
  <c r="N289" i="22" a="1"/>
  <c r="N289" i="22" s="1"/>
  <c r="N288" i="22" a="1"/>
  <c r="N288" i="22" s="1"/>
  <c r="N287" i="22" a="1"/>
  <c r="N287" i="22" s="1"/>
  <c r="N286" i="22" a="1"/>
  <c r="N286" i="22" s="1"/>
  <c r="N285" i="22" a="1"/>
  <c r="N285" i="22" s="1"/>
  <c r="N284" i="22" a="1"/>
  <c r="N284" i="22" s="1"/>
  <c r="N283" i="22" a="1"/>
  <c r="N283" i="22" s="1"/>
  <c r="N282" i="22" a="1"/>
  <c r="N282" i="22" s="1"/>
  <c r="N281" i="22" a="1"/>
  <c r="N281" i="22" s="1"/>
  <c r="N280" i="22" a="1"/>
  <c r="N280" i="22" s="1"/>
  <c r="J590" i="22" a="1"/>
  <c r="J590" i="22" s="1"/>
  <c r="J579" i="22" a="1"/>
  <c r="J579" i="22" s="1"/>
  <c r="J570" i="22" a="1"/>
  <c r="J570" i="22" s="1"/>
  <c r="J560" i="22" a="1"/>
  <c r="J560" i="22" s="1"/>
  <c r="J551" i="22" a="1"/>
  <c r="J551" i="22" s="1"/>
  <c r="J542" i="22" a="1"/>
  <c r="J542" i="22" s="1"/>
  <c r="J532" i="22" a="1"/>
  <c r="J532" i="22" s="1"/>
  <c r="L532" i="22" s="1"/>
  <c r="J522" i="22" a="1"/>
  <c r="J522" i="22" s="1"/>
  <c r="L522" i="22" s="1"/>
  <c r="J514" i="22" a="1"/>
  <c r="J514" i="22" s="1"/>
  <c r="L514" i="22" s="1"/>
  <c r="J503" i="22" a="1"/>
  <c r="J503" i="22" s="1"/>
  <c r="J494" i="22" a="1"/>
  <c r="J494" i="22" s="1"/>
  <c r="J484" i="22" a="1"/>
  <c r="J484" i="22" s="1"/>
  <c r="J475" i="22" a="1"/>
  <c r="J475" i="22" s="1"/>
  <c r="J464" i="22" a="1"/>
  <c r="J464" i="22" s="1"/>
  <c r="J453" i="22" a="1"/>
  <c r="J453" i="22" s="1"/>
  <c r="J446" i="22" a="1"/>
  <c r="J446" i="22" s="1"/>
  <c r="J435" i="22" a="1"/>
  <c r="J435" i="22" s="1"/>
  <c r="J427" i="22" a="1"/>
  <c r="J427" i="22" s="1"/>
  <c r="J417" i="22" a="1"/>
  <c r="J417" i="22" s="1"/>
  <c r="J408" i="22" a="1"/>
  <c r="J408" i="22" s="1"/>
  <c r="J400" i="22" a="1"/>
  <c r="J400" i="22" s="1"/>
  <c r="J390" i="22" a="1"/>
  <c r="J390" i="22" s="1"/>
  <c r="J380" i="22" a="1"/>
  <c r="J380" i="22" s="1"/>
  <c r="J371" i="22" a="1"/>
  <c r="J371" i="22" s="1"/>
  <c r="J361" i="22" a="1"/>
  <c r="J361" i="22" s="1"/>
  <c r="J353" i="22" a="1"/>
  <c r="J353" i="22" s="1"/>
  <c r="J345" i="22" a="1"/>
  <c r="J345" i="22" s="1"/>
  <c r="J335" i="22" a="1"/>
  <c r="J335" i="22" s="1"/>
  <c r="J328" i="22" a="1"/>
  <c r="J328" i="22" s="1"/>
  <c r="J318" i="22" a="1"/>
  <c r="J318" i="22" s="1"/>
  <c r="J310" i="22" a="1"/>
  <c r="J310" i="22" s="1"/>
  <c r="J278" i="22" a="1"/>
  <c r="J278" i="22" s="1"/>
  <c r="J268" i="22" a="1"/>
  <c r="J268" i="22" s="1"/>
  <c r="J481" i="22" a="1"/>
  <c r="J481" i="22" s="1"/>
  <c r="N346" i="22" a="1"/>
  <c r="N346" i="22" s="1"/>
  <c r="N327" i="22" a="1"/>
  <c r="N327" i="22" s="1"/>
  <c r="J138" i="22" a="1"/>
  <c r="J138" i="22" s="1"/>
  <c r="N523" i="22" a="1"/>
  <c r="N523" i="22" s="1"/>
  <c r="N502" i="22" a="1"/>
  <c r="N502" i="22" s="1"/>
  <c r="N481" i="22" a="1"/>
  <c r="N481" i="22" s="1"/>
  <c r="N461" i="22" a="1"/>
  <c r="N461" i="22" s="1"/>
  <c r="N358" i="22" a="1"/>
  <c r="N358" i="22" s="1"/>
  <c r="N321" i="22" a="1"/>
  <c r="N321" i="22" s="1"/>
  <c r="N455" i="22" a="1"/>
  <c r="N455" i="22" s="1"/>
  <c r="J589" i="22" a="1"/>
  <c r="J589" i="22" s="1"/>
  <c r="J554" i="22" a="1"/>
  <c r="J554" i="22" s="1"/>
  <c r="J508" i="22" a="1"/>
  <c r="J508" i="22" s="1"/>
  <c r="J460" i="22" a="1"/>
  <c r="J460" i="22" s="1"/>
  <c r="N517" i="22" a="1"/>
  <c r="N517" i="22" s="1"/>
  <c r="N259" i="22" a="1"/>
  <c r="N259" i="22" s="1"/>
  <c r="N249" i="22" a="1"/>
  <c r="N249" i="22" s="1"/>
  <c r="N240" i="22" a="1"/>
  <c r="N240" i="22" s="1"/>
  <c r="N231" i="22" a="1"/>
  <c r="N231" i="22" s="1"/>
  <c r="N222" i="22" a="1"/>
  <c r="N222" i="22" s="1"/>
  <c r="N213" i="22" a="1"/>
  <c r="N213" i="22" s="1"/>
  <c r="N206" i="22" a="1"/>
  <c r="N206" i="22" s="1"/>
  <c r="N195" i="22" a="1"/>
  <c r="N195" i="22" s="1"/>
  <c r="N186" i="22" a="1"/>
  <c r="N186" i="22" s="1"/>
  <c r="N168" i="22" a="1"/>
  <c r="N168" i="22" s="1"/>
  <c r="J585" i="22" a="1"/>
  <c r="J585" i="22" s="1"/>
  <c r="J571" i="22" a="1"/>
  <c r="J571" i="22" s="1"/>
  <c r="J553" i="22" a="1"/>
  <c r="J553" i="22" s="1"/>
  <c r="J535" i="22" a="1"/>
  <c r="J535" i="22" s="1"/>
  <c r="J519" i="22" a="1"/>
  <c r="J519" i="22" s="1"/>
  <c r="L519" i="22" s="1"/>
  <c r="J506" i="22" a="1"/>
  <c r="J506" i="22" s="1"/>
  <c r="J488" i="22" a="1"/>
  <c r="J488" i="22" s="1"/>
  <c r="J472" i="22" a="1"/>
  <c r="J472" i="22" s="1"/>
  <c r="J457" i="22" a="1"/>
  <c r="J457" i="22" s="1"/>
  <c r="J441" i="22" a="1"/>
  <c r="J441" i="22" s="1"/>
  <c r="J426" i="22" a="1"/>
  <c r="J426" i="22" s="1"/>
  <c r="J410" i="22" a="1"/>
  <c r="J410" i="22" s="1"/>
  <c r="J393" i="22" a="1"/>
  <c r="J393" i="22" s="1"/>
  <c r="J378" i="22" a="1"/>
  <c r="J378" i="22" s="1"/>
  <c r="J365" i="22" a="1"/>
  <c r="J365" i="22" s="1"/>
  <c r="J350" i="22" a="1"/>
  <c r="J350" i="22" s="1"/>
  <c r="J334" i="22" a="1"/>
  <c r="J334" i="22" s="1"/>
  <c r="J320" i="22" a="1"/>
  <c r="J320" i="22" s="1"/>
  <c r="J312" i="22" a="1"/>
  <c r="J312" i="22" s="1"/>
  <c r="J301" i="22" a="1"/>
  <c r="J301" i="22" s="1"/>
  <c r="J294" i="22" a="1"/>
  <c r="J294" i="22" s="1"/>
  <c r="J286" i="22" a="1"/>
  <c r="J286" i="22" s="1"/>
  <c r="J279" i="22" a="1"/>
  <c r="J279" i="22" s="1"/>
  <c r="J270" i="22" a="1"/>
  <c r="J270" i="22" s="1"/>
  <c r="J262" i="22" a="1"/>
  <c r="J262" i="22" s="1"/>
  <c r="J254" i="22" a="1"/>
  <c r="J254" i="22" s="1"/>
  <c r="J245" i="22" a="1"/>
  <c r="J245" i="22" s="1"/>
  <c r="J236" i="22" a="1"/>
  <c r="J236" i="22" s="1"/>
  <c r="J225" i="22" a="1"/>
  <c r="J225" i="22" s="1"/>
  <c r="J216" i="22" a="1"/>
  <c r="J216" i="22" s="1"/>
  <c r="J205" i="22" a="1"/>
  <c r="J205" i="22" s="1"/>
  <c r="J197" i="22" a="1"/>
  <c r="J197" i="22" s="1"/>
  <c r="J187" i="22" a="1"/>
  <c r="J187" i="22" s="1"/>
  <c r="J177" i="22" a="1"/>
  <c r="J177" i="22" s="1"/>
  <c r="J168" i="22" a="1"/>
  <c r="J168" i="22" s="1"/>
  <c r="J157" i="22" a="1"/>
  <c r="J157" i="22" s="1"/>
  <c r="J148" i="22" a="1"/>
  <c r="J148" i="22" s="1"/>
  <c r="L148" i="22" s="1"/>
  <c r="J136" i="22" a="1"/>
  <c r="J136" i="22" s="1"/>
  <c r="J127" i="22" a="1"/>
  <c r="J127" i="22" s="1"/>
  <c r="J118" i="22" a="1"/>
  <c r="J118" i="22" s="1"/>
  <c r="J107" i="22" a="1"/>
  <c r="J107" i="22" s="1"/>
  <c r="J100" i="22" a="1"/>
  <c r="J100" i="22" s="1"/>
  <c r="J89" i="22" a="1"/>
  <c r="J89" i="22" s="1"/>
  <c r="J80" i="22" a="1"/>
  <c r="J80" i="22" s="1"/>
  <c r="J70" i="22" a="1"/>
  <c r="J70" i="22" s="1"/>
  <c r="J60" i="22" a="1"/>
  <c r="J60" i="22" s="1"/>
  <c r="J50" i="22" a="1"/>
  <c r="J50" i="22" s="1"/>
  <c r="J40" i="22" a="1"/>
  <c r="J40" i="22" s="1"/>
  <c r="N584" i="22" a="1"/>
  <c r="N584" i="22" s="1"/>
  <c r="N573" i="22" a="1"/>
  <c r="N573" i="22" s="1"/>
  <c r="N564" i="22" a="1"/>
  <c r="N564" i="22" s="1"/>
  <c r="N553" i="22" a="1"/>
  <c r="N553" i="22" s="1"/>
  <c r="N544" i="22" a="1"/>
  <c r="N544" i="22" s="1"/>
  <c r="N533" i="22" a="1"/>
  <c r="N533" i="22" s="1"/>
  <c r="N511" i="22" a="1"/>
  <c r="N511" i="22" s="1"/>
  <c r="N492" i="22" a="1"/>
  <c r="N492" i="22" s="1"/>
  <c r="N472" i="22" a="1"/>
  <c r="N472" i="22" s="1"/>
  <c r="N453" i="22" a="1"/>
  <c r="N453" i="22" s="1"/>
  <c r="N339" i="22" a="1"/>
  <c r="N339" i="22" s="1"/>
  <c r="J79" i="22" a="1"/>
  <c r="J79" i="22" s="1"/>
  <c r="J538" i="22" a="1"/>
  <c r="J538" i="22" s="1"/>
  <c r="J492" i="22" a="1"/>
  <c r="J492" i="22" s="1"/>
  <c r="J445" i="22" a="1"/>
  <c r="J445" i="22" s="1"/>
  <c r="N393" i="22" a="1"/>
  <c r="N393" i="22" s="1"/>
  <c r="N131" i="22" a="1"/>
  <c r="N131" i="22" s="1"/>
  <c r="O532" i="22" a="1"/>
  <c r="O532" i="22" s="1"/>
  <c r="O522" i="22" a="1"/>
  <c r="O522" i="22" s="1"/>
  <c r="O519" i="22" a="1"/>
  <c r="O519" i="22" s="1"/>
  <c r="O514" i="22" a="1"/>
  <c r="O514" i="22" s="1"/>
  <c r="O504" i="22" a="1"/>
  <c r="O504" i="22" s="1"/>
  <c r="J572" i="22" a="1"/>
  <c r="J572" i="22" s="1"/>
  <c r="J526" i="22" a="1"/>
  <c r="J526" i="22" s="1"/>
  <c r="J477" i="22" a="1"/>
  <c r="J477" i="22" s="1"/>
  <c r="J429" i="22" a="1"/>
  <c r="J429" i="22" s="1"/>
  <c r="J72" i="22" a="1"/>
  <c r="J72" i="22" s="1"/>
  <c r="N462" i="22" a="1"/>
  <c r="N462" i="22" s="1"/>
  <c r="N216" i="22" a="1"/>
  <c r="N216" i="22" s="1"/>
  <c r="N90" i="22" a="1"/>
  <c r="N90" i="22" s="1"/>
  <c r="N49" i="22" a="1"/>
  <c r="N49" i="22" s="1"/>
  <c r="N42" i="22" a="1"/>
  <c r="N42" i="22" s="1"/>
  <c r="J588" i="22" a="1"/>
  <c r="J588" i="22" s="1"/>
  <c r="J577" i="22" a="1"/>
  <c r="J577" i="22" s="1"/>
  <c r="J568" i="22" a="1"/>
  <c r="J568" i="22" s="1"/>
  <c r="J559" i="22" a="1"/>
  <c r="J559" i="22" s="1"/>
  <c r="J550" i="22" a="1"/>
  <c r="J550" i="22" s="1"/>
  <c r="J540" i="22" a="1"/>
  <c r="J540" i="22" s="1"/>
  <c r="J531" i="22" a="1"/>
  <c r="J531" i="22" s="1"/>
  <c r="J521" i="22" a="1"/>
  <c r="J521" i="22" s="1"/>
  <c r="J513" i="22" a="1"/>
  <c r="J513" i="22" s="1"/>
  <c r="J501" i="22" a="1"/>
  <c r="J501" i="22" s="1"/>
  <c r="J493" i="22" a="1"/>
  <c r="J493" i="22" s="1"/>
  <c r="J482" i="22" a="1"/>
  <c r="J482" i="22" s="1"/>
  <c r="J474" i="22" a="1"/>
  <c r="J474" i="22" s="1"/>
  <c r="J465" i="22" a="1"/>
  <c r="J465" i="22" s="1"/>
  <c r="J455" i="22" a="1"/>
  <c r="J455" i="22" s="1"/>
  <c r="J447" i="22" a="1"/>
  <c r="J447" i="22" s="1"/>
  <c r="J436" i="22" a="1"/>
  <c r="J436" i="22" s="1"/>
  <c r="L436" i="22" s="1"/>
  <c r="J428" i="22" a="1"/>
  <c r="J428" i="22" s="1"/>
  <c r="J418" i="22" a="1"/>
  <c r="J418" i="22" s="1"/>
  <c r="J409" i="22" a="1"/>
  <c r="J409" i="22" s="1"/>
  <c r="J401" i="22" a="1"/>
  <c r="J401" i="22" s="1"/>
  <c r="J392" i="22" a="1"/>
  <c r="J392" i="22" s="1"/>
  <c r="J383" i="22" a="1"/>
  <c r="J383" i="22" s="1"/>
  <c r="J373" i="22" a="1"/>
  <c r="J373" i="22" s="1"/>
  <c r="J366" i="22" a="1"/>
  <c r="J366" i="22" s="1"/>
  <c r="J356" i="22" a="1"/>
  <c r="J356" i="22" s="1"/>
  <c r="J347" i="22" a="1"/>
  <c r="J347" i="22" s="1"/>
  <c r="J337" i="22" a="1"/>
  <c r="J337" i="22" s="1"/>
  <c r="J329" i="22" a="1"/>
  <c r="J329" i="22" s="1"/>
  <c r="J319" i="22" a="1"/>
  <c r="J319" i="22" s="1"/>
  <c r="J313" i="22" a="1"/>
  <c r="J313" i="22" s="1"/>
  <c r="J303" i="22" a="1"/>
  <c r="J303" i="22" s="1"/>
  <c r="J296" i="22" a="1"/>
  <c r="J296" i="22" s="1"/>
  <c r="J287" i="22" a="1"/>
  <c r="J287" i="22" s="1"/>
  <c r="J280" i="22" a="1"/>
  <c r="J280" i="22" s="1"/>
  <c r="J269" i="22" a="1"/>
  <c r="J269" i="22" s="1"/>
  <c r="J261" i="22" a="1"/>
  <c r="J261" i="22" s="1"/>
  <c r="J252" i="22" a="1"/>
  <c r="J252" i="22" s="1"/>
  <c r="J244" i="22" a="1"/>
  <c r="J244" i="22" s="1"/>
  <c r="J235" i="22" a="1"/>
  <c r="J235" i="22" s="1"/>
  <c r="J224" i="22" a="1"/>
  <c r="J224" i="22" s="1"/>
  <c r="J213" i="22" a="1"/>
  <c r="J213" i="22" s="1"/>
  <c r="J202" i="22" a="1"/>
  <c r="J202" i="22" s="1"/>
  <c r="J193" i="22" a="1"/>
  <c r="J193" i="22" s="1"/>
  <c r="N208" i="22" a="1"/>
  <c r="N208" i="22" s="1"/>
  <c r="N80" i="22" a="1"/>
  <c r="N80" i="22" s="1"/>
  <c r="N556" i="22" a="1"/>
  <c r="N556" i="22" s="1"/>
  <c r="N411" i="22" a="1"/>
  <c r="N411" i="22" s="1"/>
  <c r="N162" i="22" a="1"/>
  <c r="N162" i="22" s="1"/>
  <c r="N46" i="22" a="1"/>
  <c r="N46" i="22" s="1"/>
  <c r="O369" i="22" a="1"/>
  <c r="O369" i="22" s="1"/>
  <c r="J537" i="22" a="1"/>
  <c r="J537" i="22" s="1"/>
  <c r="J434" i="22" a="1"/>
  <c r="J434" i="22" s="1"/>
  <c r="J323" i="22" a="1"/>
  <c r="J323" i="22" s="1"/>
  <c r="J255" i="22" a="1"/>
  <c r="J255" i="22" s="1"/>
  <c r="J242" i="22" a="1"/>
  <c r="J242" i="22" s="1"/>
  <c r="J233" i="22" a="1"/>
  <c r="J233" i="22" s="1"/>
  <c r="J223" i="22" a="1"/>
  <c r="J223" i="22" s="1"/>
  <c r="J215" i="22" a="1"/>
  <c r="J215" i="22" s="1"/>
  <c r="J203" i="22" a="1"/>
  <c r="J203" i="22" s="1"/>
  <c r="J194" i="22" a="1"/>
  <c r="J194" i="22" s="1"/>
  <c r="J183" i="22" a="1"/>
  <c r="J183" i="22" s="1"/>
  <c r="J174" i="22" a="1"/>
  <c r="J174" i="22" s="1"/>
  <c r="J165" i="22" a="1"/>
  <c r="J165" i="22" s="1"/>
  <c r="J155" i="22" a="1"/>
  <c r="J155" i="22" s="1"/>
  <c r="J145" i="22" a="1"/>
  <c r="J145" i="22" s="1"/>
  <c r="J135" i="22" a="1"/>
  <c r="J135" i="22" s="1"/>
  <c r="J125" i="22" a="1"/>
  <c r="J125" i="22" s="1"/>
  <c r="J115" i="22" a="1"/>
  <c r="J115" i="22" s="1"/>
  <c r="J106" i="22" a="1"/>
  <c r="J106" i="22" s="1"/>
  <c r="J95" i="22" a="1"/>
  <c r="J95" i="22" s="1"/>
  <c r="J86" i="22" a="1"/>
  <c r="J86" i="22" s="1"/>
  <c r="J77" i="22" a="1"/>
  <c r="J77" i="22" s="1"/>
  <c r="J66" i="22" a="1"/>
  <c r="J66" i="22" s="1"/>
  <c r="J58" i="22" a="1"/>
  <c r="J58" i="22" s="1"/>
  <c r="J48" i="22" a="1"/>
  <c r="J48" i="22" s="1"/>
  <c r="N580" i="22" a="1"/>
  <c r="N580" i="22" s="1"/>
  <c r="N571" i="22" a="1"/>
  <c r="N571" i="22" s="1"/>
  <c r="N563" i="22" a="1"/>
  <c r="N563" i="22" s="1"/>
  <c r="N550" i="22" a="1"/>
  <c r="N550" i="22" s="1"/>
  <c r="N542" i="22" a="1"/>
  <c r="N542" i="22" s="1"/>
  <c r="N531" i="22" a="1"/>
  <c r="N531" i="22" s="1"/>
  <c r="N522" i="22" a="1"/>
  <c r="N522" i="22" s="1"/>
  <c r="N512" i="22" a="1"/>
  <c r="N512" i="22" s="1"/>
  <c r="N504" i="22" a="1"/>
  <c r="N504" i="22" s="1"/>
  <c r="N495" i="22" a="1"/>
  <c r="N495" i="22" s="1"/>
  <c r="N483" i="22" a="1"/>
  <c r="N483" i="22" s="1"/>
  <c r="N474" i="22" a="1"/>
  <c r="N474" i="22" s="1"/>
  <c r="N463" i="22" a="1"/>
  <c r="N463" i="22" s="1"/>
  <c r="N456" i="22" a="1"/>
  <c r="N456" i="22" s="1"/>
  <c r="N445" i="22" a="1"/>
  <c r="N445" i="22" s="1"/>
  <c r="N439" i="22" a="1"/>
  <c r="N439" i="22" s="1"/>
  <c r="N430" i="22" a="1"/>
  <c r="N430" i="22" s="1"/>
  <c r="N421" i="22" a="1"/>
  <c r="N421" i="22" s="1"/>
  <c r="N413" i="22" a="1"/>
  <c r="N413" i="22" s="1"/>
  <c r="N403" i="22" a="1"/>
  <c r="N403" i="22" s="1"/>
  <c r="N395" i="22" a="1"/>
  <c r="N395" i="22" s="1"/>
  <c r="N385" i="22" a="1"/>
  <c r="N385" i="22" s="1"/>
  <c r="N274" i="22" a="1"/>
  <c r="N274" i="22" s="1"/>
  <c r="N266" i="22" a="1"/>
  <c r="N266" i="22" s="1"/>
  <c r="N256" i="22" a="1"/>
  <c r="N256" i="22" s="1"/>
  <c r="N248" i="22" a="1"/>
  <c r="N248" i="22" s="1"/>
  <c r="N239" i="22" a="1"/>
  <c r="N239" i="22" s="1"/>
  <c r="N230" i="22" a="1"/>
  <c r="N230" i="22" s="1"/>
  <c r="N221" i="22" a="1"/>
  <c r="N221" i="22" s="1"/>
  <c r="N212" i="22" a="1"/>
  <c r="N212" i="22" s="1"/>
  <c r="N198" i="22" a="1"/>
  <c r="N198" i="22" s="1"/>
  <c r="N190" i="22" a="1"/>
  <c r="N190" i="22" s="1"/>
  <c r="N183" i="22" a="1"/>
  <c r="N183" i="22" s="1"/>
  <c r="N173" i="22" a="1"/>
  <c r="N173" i="22" s="1"/>
  <c r="N167" i="22" a="1"/>
  <c r="N167" i="22" s="1"/>
  <c r="J507" i="22" a="1"/>
  <c r="J507" i="22" s="1"/>
  <c r="J489" i="22" a="1"/>
  <c r="J489" i="22" s="1"/>
  <c r="J471" i="22" a="1"/>
  <c r="J471" i="22" s="1"/>
  <c r="J454" i="22" a="1"/>
  <c r="J454" i="22" s="1"/>
  <c r="J437" i="22" a="1"/>
  <c r="J437" i="22" s="1"/>
  <c r="J420" i="22" a="1"/>
  <c r="J420" i="22" s="1"/>
  <c r="J405" i="22" a="1"/>
  <c r="J405" i="22" s="1"/>
  <c r="J388" i="22" a="1"/>
  <c r="J388" i="22" s="1"/>
  <c r="J374" i="22" a="1"/>
  <c r="J374" i="22" s="1"/>
  <c r="J358" i="22" a="1"/>
  <c r="J358" i="22" s="1"/>
  <c r="J341" i="22" a="1"/>
  <c r="J341" i="22" s="1"/>
  <c r="J326" i="22" a="1"/>
  <c r="J326" i="22" s="1"/>
  <c r="J311" i="22" a="1"/>
  <c r="J311" i="22" s="1"/>
  <c r="J295" i="22" a="1"/>
  <c r="J295" i="22" s="1"/>
  <c r="O424" i="22" a="1"/>
  <c r="O424" i="22" s="1"/>
  <c r="J491" i="22" a="1"/>
  <c r="J491" i="22" s="1"/>
  <c r="N350" i="22" a="1"/>
  <c r="N350" i="22" s="1"/>
  <c r="N331" i="22" a="1"/>
  <c r="N331" i="22" s="1"/>
  <c r="J180" i="22" a="1"/>
  <c r="J180" i="22" s="1"/>
  <c r="N539" i="22" a="1"/>
  <c r="N539" i="22" s="1"/>
  <c r="N436" i="22" a="1"/>
  <c r="N436" i="22" s="1"/>
  <c r="N194" i="22" a="1"/>
  <c r="N194" i="22" s="1"/>
  <c r="N52" i="22" a="1"/>
  <c r="N52" i="22" s="1"/>
  <c r="O561" i="22" a="1"/>
  <c r="O561" i="22" s="1"/>
  <c r="J161" i="22" a="1"/>
  <c r="J161" i="22" s="1"/>
  <c r="N565" i="22" a="1"/>
  <c r="N565" i="22" s="1"/>
  <c r="N409" i="22" a="1"/>
  <c r="N409" i="22" s="1"/>
  <c r="N174" i="22" a="1"/>
  <c r="N174" i="22" s="1"/>
  <c r="J130" i="22" a="1"/>
  <c r="J130" i="22" s="1"/>
  <c r="N507" i="22" a="1"/>
  <c r="N507" i="22" s="1"/>
  <c r="N278" i="22" a="1"/>
  <c r="N278" i="22" s="1"/>
  <c r="N154" i="22" a="1"/>
  <c r="N154" i="22" s="1"/>
  <c r="N56" i="22" a="1"/>
  <c r="N56" i="22" s="1"/>
  <c r="J487" i="22" a="1"/>
  <c r="J487" i="22" s="1"/>
  <c r="J375" i="22" a="1"/>
  <c r="J375" i="22" s="1"/>
  <c r="N143" i="22" a="1"/>
  <c r="N143" i="22" s="1"/>
  <c r="N41" i="22" a="1"/>
  <c r="N41" i="22" s="1"/>
  <c r="J584" i="22" a="1"/>
  <c r="J584" i="22" s="1"/>
  <c r="J575" i="22" a="1"/>
  <c r="J575" i="22" s="1"/>
  <c r="J567" i="22" a="1"/>
  <c r="J567" i="22" s="1"/>
  <c r="J557" i="22" a="1"/>
  <c r="J557" i="22" s="1"/>
  <c r="J549" i="22" a="1"/>
  <c r="J549" i="22" s="1"/>
  <c r="J541" i="22" a="1"/>
  <c r="J541" i="22" s="1"/>
  <c r="J533" i="22" a="1"/>
  <c r="J533" i="22" s="1"/>
  <c r="J524" i="22" a="1"/>
  <c r="J524" i="22" s="1"/>
  <c r="J515" i="22" a="1"/>
  <c r="J515" i="22" s="1"/>
  <c r="J497" i="22" a="1"/>
  <c r="J497" i="22" s="1"/>
  <c r="J479" i="22" a="1"/>
  <c r="J479" i="22" s="1"/>
  <c r="J462" i="22" a="1"/>
  <c r="J462" i="22" s="1"/>
  <c r="J448" i="22" a="1"/>
  <c r="J448" i="22" s="1"/>
  <c r="L448" i="22" s="1"/>
  <c r="J430" i="22" a="1"/>
  <c r="J430" i="22" s="1"/>
  <c r="J412" i="22" a="1"/>
  <c r="J412" i="22" s="1"/>
  <c r="J396" i="22" a="1"/>
  <c r="J396" i="22" s="1"/>
  <c r="J381" i="22" a="1"/>
  <c r="J381" i="22" s="1"/>
  <c r="J367" i="22" a="1"/>
  <c r="J367" i="22" s="1"/>
  <c r="J351" i="22" a="1"/>
  <c r="J351" i="22" s="1"/>
  <c r="J333" i="22" a="1"/>
  <c r="J333" i="22" s="1"/>
  <c r="J317" i="22" a="1"/>
  <c r="J317" i="22" s="1"/>
  <c r="J302" i="22" a="1"/>
  <c r="J302" i="22" s="1"/>
  <c r="J288" i="22" a="1"/>
  <c r="J288" i="22" s="1"/>
  <c r="J282" i="22" a="1"/>
  <c r="J282" i="22" s="1"/>
  <c r="J274" i="22" a="1"/>
  <c r="J274" i="22" s="1"/>
  <c r="J545" i="22" a="1"/>
  <c r="J545" i="22" s="1"/>
  <c r="N351" i="22" a="1"/>
  <c r="N351" i="22" s="1"/>
  <c r="N333" i="22" a="1"/>
  <c r="N333" i="22" s="1"/>
  <c r="J212" i="22" a="1"/>
  <c r="J212" i="22" s="1"/>
  <c r="N569" i="22" a="1"/>
  <c r="N569" i="22" s="1"/>
  <c r="N389" i="22" a="1"/>
  <c r="N389" i="22" s="1"/>
  <c r="N219" i="22" a="1"/>
  <c r="N219" i="22" s="1"/>
  <c r="N84" i="22" a="1"/>
  <c r="N84" i="22" s="1"/>
  <c r="J199" i="22" a="1"/>
  <c r="J199" i="22" s="1"/>
  <c r="J43" i="22" a="1"/>
  <c r="J43" i="22" s="1"/>
  <c r="N434" i="22" a="1"/>
  <c r="N434" i="22" s="1"/>
  <c r="N199" i="22" a="1"/>
  <c r="N199" i="22" s="1"/>
  <c r="N64" i="22" a="1"/>
  <c r="N64" i="22" s="1"/>
  <c r="N567" i="22" a="1"/>
  <c r="N567" i="22" s="1"/>
  <c r="N420" i="22" a="1"/>
  <c r="N420" i="22" s="1"/>
  <c r="N179" i="22" a="1"/>
  <c r="N179" i="22" s="1"/>
  <c r="J478" i="22" a="1"/>
  <c r="J478" i="22" s="1"/>
  <c r="J349" i="22" a="1"/>
  <c r="J349" i="22" s="1"/>
  <c r="N128" i="22" a="1"/>
  <c r="N128" i="22" s="1"/>
  <c r="O402" i="22" a="1"/>
  <c r="O402" i="22" s="1"/>
  <c r="J214" i="22" a="1"/>
  <c r="J214" i="22" s="1"/>
  <c r="J101" i="22" a="1"/>
  <c r="J101" i="22" s="1"/>
  <c r="N548" i="22" a="1"/>
  <c r="N548" i="22" s="1"/>
  <c r="N449" i="22" a="1"/>
  <c r="N449" i="22" s="1"/>
  <c r="N250" i="22" a="1"/>
  <c r="N250" i="22" s="1"/>
  <c r="N171" i="22" a="1"/>
  <c r="N171" i="22" s="1"/>
  <c r="N133" i="22" a="1"/>
  <c r="N133" i="22" s="1"/>
  <c r="N126" i="22" a="1"/>
  <c r="N126" i="22" s="1"/>
  <c r="N117" i="22" a="1"/>
  <c r="N117" i="22" s="1"/>
  <c r="N110" i="22" a="1"/>
  <c r="N110" i="22" s="1"/>
  <c r="N101" i="22" a="1"/>
  <c r="N101" i="22" s="1"/>
  <c r="N94" i="22" a="1"/>
  <c r="N94" i="22" s="1"/>
  <c r="N88" i="22" a="1"/>
  <c r="N88" i="22" s="1"/>
  <c r="N81" i="22" a="1"/>
  <c r="N81" i="22" s="1"/>
  <c r="N74" i="22" a="1"/>
  <c r="N74" i="22" s="1"/>
  <c r="N66" i="22" a="1"/>
  <c r="N66" i="22" s="1"/>
  <c r="N60" i="22" a="1"/>
  <c r="N60" i="22" s="1"/>
  <c r="N51" i="22" a="1"/>
  <c r="N51" i="22" s="1"/>
  <c r="N44" i="22" a="1"/>
  <c r="N44" i="22" s="1"/>
  <c r="J498" i="22" a="1"/>
  <c r="J498" i="22" s="1"/>
  <c r="N347" i="22" a="1"/>
  <c r="N347" i="22" s="1"/>
  <c r="N329" i="22" a="1"/>
  <c r="N329" i="22" s="1"/>
  <c r="J159" i="22" a="1"/>
  <c r="J159" i="22" s="1"/>
  <c r="N525" i="22" a="1"/>
  <c r="N525" i="22" s="1"/>
  <c r="N443" i="22" a="1"/>
  <c r="N443" i="22" s="1"/>
  <c r="N176" i="22" a="1"/>
  <c r="N176" i="22" s="1"/>
  <c r="N61" i="22" a="1"/>
  <c r="N61" i="22" s="1"/>
  <c r="J179" i="22" a="1"/>
  <c r="J179" i="22" s="1"/>
  <c r="N575" i="22" a="1"/>
  <c r="N575" i="22" s="1"/>
  <c r="N418" i="22" a="1"/>
  <c r="N418" i="22" s="1"/>
  <c r="N166" i="22" a="1"/>
  <c r="N166" i="22" s="1"/>
  <c r="J121" i="22" a="1"/>
  <c r="J121" i="22" s="1"/>
  <c r="N518" i="22" a="1"/>
  <c r="N518" i="22" s="1"/>
  <c r="N252" i="22" a="1"/>
  <c r="N252" i="22" s="1"/>
  <c r="N130" i="22" a="1"/>
  <c r="N130" i="22" s="1"/>
  <c r="J459" i="22" a="1"/>
  <c r="J459" i="22" s="1"/>
  <c r="J332" i="22" a="1"/>
  <c r="J332" i="22" s="1"/>
  <c r="N119" i="22" a="1"/>
  <c r="N119" i="22" s="1"/>
  <c r="J264" i="22" a="1"/>
  <c r="J264" i="22" s="1"/>
  <c r="J156" i="22" a="1"/>
  <c r="J156" i="22" s="1"/>
  <c r="J81" i="22" a="1"/>
  <c r="J81" i="22" s="1"/>
  <c r="N510" i="22" a="1"/>
  <c r="N510" i="22" s="1"/>
  <c r="N404" i="22" a="1"/>
  <c r="N404" i="22" s="1"/>
  <c r="N217" i="22" a="1"/>
  <c r="N217" i="22" s="1"/>
  <c r="J511" i="22" a="1"/>
  <c r="J511" i="22" s="1"/>
  <c r="J415" i="22" a="1"/>
  <c r="J415" i="22" s="1"/>
  <c r="J322" i="22" a="1"/>
  <c r="J322" i="22" s="1"/>
  <c r="J266" i="22" a="1"/>
  <c r="J266" i="22" s="1"/>
  <c r="J173" i="22" a="1"/>
  <c r="J173" i="22" s="1"/>
  <c r="J122" i="22" a="1"/>
  <c r="J122" i="22" s="1"/>
  <c r="J112" i="22" a="1"/>
  <c r="J112" i="22" s="1"/>
  <c r="J102" i="22" a="1"/>
  <c r="J102" i="22" s="1"/>
  <c r="J92" i="22" a="1"/>
  <c r="J92" i="22" s="1"/>
  <c r="J82" i="22" a="1"/>
  <c r="J82" i="22" s="1"/>
  <c r="J73" i="22" a="1"/>
  <c r="J73" i="22" s="1"/>
  <c r="J64" i="22" a="1"/>
  <c r="J64" i="22" s="1"/>
  <c r="J55" i="22" a="1"/>
  <c r="J55" i="22" s="1"/>
  <c r="J44" i="22" a="1"/>
  <c r="J44" i="22" s="1"/>
  <c r="N587" i="22" a="1"/>
  <c r="N587" i="22" s="1"/>
  <c r="N576" i="22" a="1"/>
  <c r="N576" i="22" s="1"/>
  <c r="N568" i="22" a="1"/>
  <c r="N568" i="22" s="1"/>
  <c r="N558" i="22" a="1"/>
  <c r="N558" i="22" s="1"/>
  <c r="N549" i="22" a="1"/>
  <c r="N549" i="22" s="1"/>
  <c r="N541" i="22" a="1"/>
  <c r="N541" i="22" s="1"/>
  <c r="N528" i="22" a="1"/>
  <c r="N528" i="22" s="1"/>
  <c r="N520" i="22" a="1"/>
  <c r="N520" i="22" s="1"/>
  <c r="N508" i="22" a="1"/>
  <c r="N508" i="22" s="1"/>
  <c r="N500" i="22" a="1"/>
  <c r="N500" i="22" s="1"/>
  <c r="N491" i="22" a="1"/>
  <c r="N491" i="22" s="1"/>
  <c r="N480" i="22" a="1"/>
  <c r="N480" i="22" s="1"/>
  <c r="N471" i="22" a="1"/>
  <c r="N471" i="22" s="1"/>
  <c r="N390" i="22" a="1"/>
  <c r="N390" i="22" s="1"/>
  <c r="N279" i="22" a="1"/>
  <c r="N279" i="22" s="1"/>
  <c r="N272" i="22" a="1"/>
  <c r="N272" i="22" s="1"/>
  <c r="N262" i="22" a="1"/>
  <c r="N262" i="22" s="1"/>
  <c r="N254" i="22" a="1"/>
  <c r="N254" i="22" s="1"/>
  <c r="N246" i="22" a="1"/>
  <c r="N246" i="22" s="1"/>
  <c r="N236" i="22" a="1"/>
  <c r="N236" i="22" s="1"/>
  <c r="N359" i="22" a="1"/>
  <c r="N359" i="22" s="1"/>
  <c r="N340" i="22" a="1"/>
  <c r="N340" i="22" s="1"/>
  <c r="N322" i="22" a="1"/>
  <c r="N322" i="22" s="1"/>
  <c r="J99" i="22" a="1"/>
  <c r="J99" i="22" s="1"/>
  <c r="N464" i="22" a="1"/>
  <c r="N464" i="22" s="1"/>
  <c r="N384" i="22" a="1"/>
  <c r="N384" i="22" s="1"/>
  <c r="N138" i="22" a="1"/>
  <c r="N138" i="22" s="1"/>
  <c r="J83" i="22" a="1"/>
  <c r="J83" i="22" s="1"/>
  <c r="N473" i="22" a="1"/>
  <c r="N473" i="22" s="1"/>
  <c r="N227" i="22" a="1"/>
  <c r="N227" i="22" s="1"/>
  <c r="N95" i="22" a="1"/>
  <c r="N95" i="22" s="1"/>
  <c r="J45" i="22" a="1"/>
  <c r="J45" i="22" s="1"/>
  <c r="N458" i="22" a="1"/>
  <c r="N458" i="22" s="1"/>
  <c r="N225" i="22" a="1"/>
  <c r="N225" i="22" s="1"/>
  <c r="N96" i="22" a="1"/>
  <c r="N96" i="22" s="1"/>
  <c r="J502" i="22" a="1"/>
  <c r="J502" i="22" s="1"/>
  <c r="J382" i="22" a="1"/>
  <c r="J382" i="22" s="1"/>
  <c r="N157" i="22" a="1"/>
  <c r="N157" i="22" s="1"/>
  <c r="N62" i="22" a="1"/>
  <c r="N62" i="22" s="1"/>
  <c r="J247" i="22" a="1"/>
  <c r="J247" i="22" s="1"/>
  <c r="J137" i="22" a="1"/>
  <c r="J137" i="22" s="1"/>
  <c r="N574" i="22" a="1"/>
  <c r="N574" i="22" s="1"/>
  <c r="N465" i="22" a="1"/>
  <c r="N465" i="22" s="1"/>
  <c r="N387" i="22" a="1"/>
  <c r="N387" i="22" s="1"/>
  <c r="N187" i="22" a="1"/>
  <c r="N187" i="22" s="1"/>
  <c r="J583" i="22" a="1"/>
  <c r="J583" i="22" s="1"/>
  <c r="J476" i="22" a="1"/>
  <c r="J476" i="22" s="1"/>
  <c r="J372" i="22" a="1"/>
  <c r="J372" i="22" s="1"/>
  <c r="J292" i="22" a="1"/>
  <c r="J292" i="22" s="1"/>
  <c r="J182" i="22" a="1"/>
  <c r="J182" i="22" s="1"/>
  <c r="N185" i="22" a="1"/>
  <c r="N185" i="22" s="1"/>
  <c r="N120" i="22" a="1"/>
  <c r="N120" i="22" s="1"/>
  <c r="O143" i="22" a="1"/>
  <c r="O143" i="22" s="1"/>
  <c r="J444" i="22" a="1"/>
  <c r="J444" i="22" s="1"/>
  <c r="J117" i="22" a="1"/>
  <c r="J117" i="22" s="1"/>
  <c r="N535" i="22" a="1"/>
  <c r="N535" i="22" s="1"/>
  <c r="N515" i="22" a="1"/>
  <c r="N515" i="22" s="1"/>
  <c r="N489" i="22" a="1"/>
  <c r="N489" i="22" s="1"/>
  <c r="N470" i="22" a="1"/>
  <c r="N470" i="22" s="1"/>
  <c r="N450" i="22" a="1"/>
  <c r="N450" i="22" s="1"/>
  <c r="N432" i="22" a="1"/>
  <c r="N432" i="22" s="1"/>
  <c r="N412" i="22" a="1"/>
  <c r="N412" i="22" s="1"/>
  <c r="N394" i="22" a="1"/>
  <c r="N394" i="22" s="1"/>
  <c r="N270" i="22" a="1"/>
  <c r="N270" i="22" s="1"/>
  <c r="O448" i="22" a="1"/>
  <c r="O448" i="22" s="1"/>
  <c r="O436" i="22" a="1"/>
  <c r="O436" i="22" s="1"/>
  <c r="J587" i="22" a="1"/>
  <c r="J587" i="22" s="1"/>
  <c r="N355" i="22" a="1"/>
  <c r="N355" i="22" s="1"/>
  <c r="N336" i="22" a="1"/>
  <c r="N336" i="22" s="1"/>
  <c r="J232" i="22" a="1"/>
  <c r="J232" i="22" s="1"/>
  <c r="J47" i="22" a="1"/>
  <c r="J47" i="22" s="1"/>
  <c r="N427" i="22" a="1"/>
  <c r="N427" i="22" s="1"/>
  <c r="N273" i="22" a="1"/>
  <c r="N273" i="22" s="1"/>
  <c r="N147" i="22" a="1"/>
  <c r="N147" i="22" s="1"/>
  <c r="J103" i="22" a="1"/>
  <c r="J103" i="22" s="1"/>
  <c r="N482" i="22" a="1"/>
  <c r="N482" i="22" s="1"/>
  <c r="N245" i="22" a="1"/>
  <c r="N245" i="22" s="1"/>
  <c r="N127" i="22" a="1"/>
  <c r="N127" i="22" s="1"/>
  <c r="J78" i="22" a="1"/>
  <c r="J78" i="22" s="1"/>
  <c r="N479" i="22" a="1"/>
  <c r="N479" i="22" s="1"/>
  <c r="N233" i="22" a="1"/>
  <c r="N233" i="22" s="1"/>
  <c r="N113" i="22" a="1"/>
  <c r="N113" i="22" s="1"/>
  <c r="J520" i="22" a="1"/>
  <c r="J520" i="22" s="1"/>
  <c r="J407" i="22" a="1"/>
  <c r="J407" i="22" s="1"/>
  <c r="J300" i="22" a="1"/>
  <c r="J300" i="22" s="1"/>
  <c r="N97" i="22" a="1"/>
  <c r="N97" i="22" s="1"/>
  <c r="J184" i="22" a="1"/>
  <c r="J184" i="22" s="1"/>
  <c r="J61" i="22" a="1"/>
  <c r="J61" i="22" s="1"/>
  <c r="N521" i="22" a="1"/>
  <c r="N521" i="22" s="1"/>
  <c r="N414" i="22" a="1"/>
  <c r="N414" i="22" s="1"/>
  <c r="N210" i="22" a="1"/>
  <c r="N210" i="22" s="1"/>
  <c r="J495" i="22" a="1"/>
  <c r="J495" i="22" s="1"/>
  <c r="J397" i="22" a="1"/>
  <c r="J397" i="22" s="1"/>
  <c r="J305" i="22" a="1"/>
  <c r="J305" i="22" s="1"/>
  <c r="J211" i="22" a="1"/>
  <c r="J211" i="22" s="1"/>
  <c r="N209" i="22" a="1"/>
  <c r="N209" i="22" s="1"/>
  <c r="N145" i="22" a="1"/>
  <c r="N145" i="22" s="1"/>
  <c r="N75" i="22" a="1"/>
  <c r="N75" i="22" s="1"/>
  <c r="J505" i="22" a="1"/>
  <c r="J505" i="22" s="1"/>
  <c r="J227" i="22" a="1"/>
  <c r="J227" i="22" s="1"/>
  <c r="N561" i="22" a="1"/>
  <c r="N561" i="22" s="1"/>
  <c r="J402" i="22" a="1"/>
  <c r="J402" i="22" s="1"/>
  <c r="L402" i="22" s="1"/>
  <c r="J290" i="22" a="1"/>
  <c r="J290" i="22" s="1"/>
  <c r="J105" i="22" a="1"/>
  <c r="J105" i="22" s="1"/>
  <c r="N469" i="22" a="1"/>
  <c r="N469" i="22" s="1"/>
  <c r="N224" i="22" a="1"/>
  <c r="N224" i="22" s="1"/>
  <c r="N43" i="22" a="1"/>
  <c r="N43" i="22" s="1"/>
  <c r="J527" i="22" a="1"/>
  <c r="J527" i="22" s="1"/>
  <c r="N348" i="22" a="1"/>
  <c r="N348" i="22" s="1"/>
  <c r="N328" i="22" a="1"/>
  <c r="N328" i="22" s="1"/>
  <c r="J149" i="22" a="1"/>
  <c r="J149" i="22" s="1"/>
  <c r="N498" i="22" a="1"/>
  <c r="N498" i="22" s="1"/>
  <c r="N419" i="22" a="1"/>
  <c r="N419" i="22" s="1"/>
  <c r="N170" i="22" a="1"/>
  <c r="N170" i="22" s="1"/>
  <c r="J133" i="22" a="1"/>
  <c r="J133" i="22" s="1"/>
  <c r="N536" i="22" a="1"/>
  <c r="N536" i="22" s="1"/>
  <c r="N399" i="22" a="1"/>
  <c r="N399" i="22" s="1"/>
  <c r="N156" i="22" a="1"/>
  <c r="N156" i="22" s="1"/>
  <c r="J98" i="22" a="1"/>
  <c r="J98" i="22" s="1"/>
  <c r="N499" i="22" a="1"/>
  <c r="N499" i="22" s="1"/>
  <c r="N392" i="22" a="1"/>
  <c r="N392" i="22" s="1"/>
  <c r="N137" i="22" a="1"/>
  <c r="N137" i="22" s="1"/>
  <c r="O485" i="22" a="1"/>
  <c r="O485" i="22" s="1"/>
  <c r="J469" i="22" a="1"/>
  <c r="J469" i="22" s="1"/>
  <c r="J357" i="22" a="1"/>
  <c r="J357" i="22" s="1"/>
  <c r="N151" i="22" a="1"/>
  <c r="N151" i="22" s="1"/>
  <c r="N47" i="22" a="1"/>
  <c r="N47" i="22" s="1"/>
  <c r="J240" i="22" a="1"/>
  <c r="J240" i="22" s="1"/>
  <c r="J147" i="22" a="1"/>
  <c r="J147" i="22" s="1"/>
  <c r="N585" i="22" a="1"/>
  <c r="N585" i="22" s="1"/>
  <c r="N493" i="22" a="1"/>
  <c r="N493" i="22" s="1"/>
  <c r="N396" i="22" a="1"/>
  <c r="N396" i="22" s="1"/>
  <c r="N193" i="22" a="1"/>
  <c r="N193" i="22" s="1"/>
  <c r="J500" i="22" a="1"/>
  <c r="J500" i="22" s="1"/>
  <c r="J406" i="22" a="1"/>
  <c r="J406" i="22" s="1"/>
  <c r="J315" i="22" a="1"/>
  <c r="J315" i="22" s="1"/>
  <c r="J220" i="22" a="1"/>
  <c r="J220" i="22" s="1"/>
  <c r="J131" i="22" a="1"/>
  <c r="J131" i="22" s="1"/>
  <c r="N169" i="22" a="1"/>
  <c r="N169" i="22" s="1"/>
  <c r="N98" i="22" a="1"/>
  <c r="N98" i="22" s="1"/>
  <c r="O74" i="22" a="1"/>
  <c r="O74" i="22" s="1"/>
  <c r="J563" i="22" a="1"/>
  <c r="J563" i="22" s="1"/>
  <c r="J249" i="22" a="1"/>
  <c r="J249" i="22" s="1"/>
  <c r="J51" i="22" a="1"/>
  <c r="J51" i="22" s="1"/>
  <c r="J461" i="22" a="1"/>
  <c r="J461" i="22" s="1"/>
  <c r="J327" i="22" a="1"/>
  <c r="J327" i="22" s="1"/>
  <c r="J146" i="22" a="1"/>
  <c r="J146" i="22" s="1"/>
  <c r="N509" i="22" a="1"/>
  <c r="N509" i="22" s="1"/>
  <c r="N203" i="22" a="1"/>
  <c r="N203" i="22" s="1"/>
  <c r="N58" i="22" a="1"/>
  <c r="N58" i="22" s="1"/>
  <c r="J516" i="22" a="1"/>
  <c r="J516" i="22" s="1"/>
  <c r="N345" i="22" a="1"/>
  <c r="N345" i="22" s="1"/>
  <c r="N324" i="22" a="1"/>
  <c r="N324" i="22" s="1"/>
  <c r="J88" i="22" a="1"/>
  <c r="J88" i="22" s="1"/>
  <c r="N437" i="22" a="1"/>
  <c r="N437" i="22" s="1"/>
  <c r="N247" i="22" a="1"/>
  <c r="N247" i="22" s="1"/>
  <c r="N100" i="22" a="1"/>
  <c r="N100" i="22" s="1"/>
  <c r="J144" i="22" a="1"/>
  <c r="J144" i="22" s="1"/>
  <c r="N527" i="22" a="1"/>
  <c r="N527" i="22" s="1"/>
  <c r="N253" i="22" a="1"/>
  <c r="N253" i="22" s="1"/>
  <c r="N118" i="22" a="1"/>
  <c r="N118" i="22" s="1"/>
  <c r="J57" i="22" a="1"/>
  <c r="J57" i="22" s="1"/>
  <c r="L57" i="22" s="1"/>
  <c r="N446" i="22" a="1"/>
  <c r="N446" i="22" s="1"/>
  <c r="N207" i="22" a="1"/>
  <c r="N207" i="22" s="1"/>
  <c r="N72" i="22" a="1"/>
  <c r="N72" i="22" s="1"/>
  <c r="J530" i="22" a="1"/>
  <c r="J530" i="22" s="1"/>
  <c r="J391" i="22" a="1"/>
  <c r="J391" i="22" s="1"/>
  <c r="J263" i="22" a="1"/>
  <c r="J263" i="22" s="1"/>
  <c r="N55" i="22" a="1"/>
  <c r="N55" i="22" s="1"/>
  <c r="O191" i="22" a="1"/>
  <c r="O191" i="22" s="1"/>
  <c r="J258" i="22" a="1"/>
  <c r="J258" i="22" s="1"/>
  <c r="J128" i="22" a="1"/>
  <c r="J128" i="22" s="1"/>
  <c r="N540" i="22" a="1"/>
  <c r="N540" i="22" s="1"/>
  <c r="N431" i="22" a="1"/>
  <c r="N431" i="22" s="1"/>
  <c r="N202" i="22" a="1"/>
  <c r="N202" i="22" s="1"/>
  <c r="O153" i="22" a="1"/>
  <c r="O153" i="22" s="1"/>
  <c r="J565" i="22" a="1"/>
  <c r="J565" i="22" s="1"/>
  <c r="J458" i="22" a="1"/>
  <c r="J458" i="22" s="1"/>
  <c r="J364" i="22" a="1"/>
  <c r="J364" i="22" s="1"/>
  <c r="J259" i="22" a="1"/>
  <c r="J259" i="22" s="1"/>
  <c r="N228" i="22" a="1"/>
  <c r="N228" i="22" s="1"/>
  <c r="N136" i="22" a="1"/>
  <c r="N136" i="22" s="1"/>
  <c r="N59" i="22" a="1"/>
  <c r="N59" i="22" s="1"/>
  <c r="J544" i="22" a="1"/>
  <c r="J544" i="22" s="1"/>
  <c r="J207" i="22" a="1"/>
  <c r="J207" i="22" s="1"/>
  <c r="J539" i="22" a="1"/>
  <c r="J539" i="22" s="1"/>
  <c r="J344" i="22" a="1"/>
  <c r="J344" i="22" s="1"/>
  <c r="J167" i="22" a="1"/>
  <c r="J167" i="22" s="1"/>
  <c r="N530" i="22" a="1"/>
  <c r="N530" i="22" s="1"/>
  <c r="N241" i="22" a="1"/>
  <c r="N241" i="22" s="1"/>
  <c r="N76" i="22" a="1"/>
  <c r="N76" i="22" s="1"/>
  <c r="J586" i="22" a="1"/>
  <c r="J586" i="22" s="1"/>
  <c r="J359" i="22" a="1"/>
  <c r="J359" i="22" s="1"/>
  <c r="J175" i="22" a="1"/>
  <c r="J175" i="22" s="1"/>
  <c r="N516" i="22" a="1"/>
  <c r="N516" i="22" s="1"/>
  <c r="N238" i="22" a="1"/>
  <c r="N238" i="22" s="1"/>
  <c r="J483" i="22" a="1"/>
  <c r="J483" i="22" s="1"/>
  <c r="J325" i="22" a="1"/>
  <c r="J325" i="22" s="1"/>
  <c r="J164" i="22" a="1"/>
  <c r="J164" i="22" s="1"/>
  <c r="N490" i="22" a="1"/>
  <c r="N490" i="22" s="1"/>
  <c r="N223" i="22" a="1"/>
  <c r="N223" i="22" s="1"/>
  <c r="N70" i="22" a="1"/>
  <c r="N70" i="22" s="1"/>
  <c r="J39" i="22" a="1"/>
  <c r="J39" i="22" s="1"/>
  <c r="N39" i="22" a="1"/>
  <c r="N39" i="22" s="1"/>
  <c r="J93" i="22" a="1"/>
  <c r="J93" i="22" s="1"/>
  <c r="N494" i="22" a="1"/>
  <c r="N494" i="22" s="1"/>
  <c r="N235" i="22" a="1"/>
  <c r="N235" i="22" s="1"/>
  <c r="N102" i="22" a="1"/>
  <c r="N102" i="22" s="1"/>
  <c r="N577" i="22" a="1"/>
  <c r="N577" i="22" s="1"/>
  <c r="N429" i="22" a="1"/>
  <c r="N429" i="22" s="1"/>
  <c r="N189" i="22" a="1"/>
  <c r="N189" i="22" s="1"/>
  <c r="N79" i="22" a="1"/>
  <c r="N79" i="22" s="1"/>
  <c r="J555" i="22" a="1"/>
  <c r="J555" i="22" s="1"/>
  <c r="J425" i="22" a="1"/>
  <c r="J425" i="22" s="1"/>
  <c r="J281" i="22" a="1"/>
  <c r="J281" i="22" s="1"/>
  <c r="N78" i="22" a="1"/>
  <c r="N78" i="22" s="1"/>
  <c r="J176" i="22" a="1"/>
  <c r="J176" i="22" s="1"/>
  <c r="J42" i="22" a="1"/>
  <c r="J42" i="22" s="1"/>
  <c r="N475" i="22" a="1"/>
  <c r="N475" i="22" s="1"/>
  <c r="N258" i="22" a="1"/>
  <c r="N258" i="22" s="1"/>
  <c r="N148" i="22" a="1"/>
  <c r="N148" i="22" s="1"/>
  <c r="J529" i="22" a="1"/>
  <c r="J529" i="22" s="1"/>
  <c r="J432" i="22" a="1"/>
  <c r="J432" i="22" s="1"/>
  <c r="J348" i="22" a="1"/>
  <c r="J348" i="22" s="1"/>
  <c r="J229" i="22" a="1"/>
  <c r="J229" i="22" s="1"/>
  <c r="J162" i="22" a="1"/>
  <c r="J162" i="22" s="1"/>
  <c r="N158" i="22" a="1"/>
  <c r="N158" i="22" s="1"/>
  <c r="N83" i="22" a="1"/>
  <c r="N83" i="22" s="1"/>
  <c r="J423" i="22" a="1"/>
  <c r="J423" i="22" s="1"/>
  <c r="J75" i="22" a="1"/>
  <c r="J75" i="22" s="1"/>
  <c r="J480" i="22" a="1"/>
  <c r="J480" i="22" s="1"/>
  <c r="J271" i="22" a="1"/>
  <c r="J271" i="22" s="1"/>
  <c r="N572" i="22" a="1"/>
  <c r="N572" i="22" s="1"/>
  <c r="N386" i="22" a="1"/>
  <c r="N386" i="22" s="1"/>
  <c r="N109" i="22" a="1"/>
  <c r="N109" i="22" s="1"/>
  <c r="O154" i="22" a="1"/>
  <c r="O154" i="22" s="1"/>
  <c r="O57" i="22" a="1"/>
  <c r="O57" i="22" s="1"/>
  <c r="J470" i="22" a="1"/>
  <c r="J470" i="22" s="1"/>
  <c r="J308" i="22" a="1"/>
  <c r="J308" i="22" s="1"/>
  <c r="J134" i="22" a="1"/>
  <c r="J134" i="22" s="1"/>
  <c r="N497" i="22" a="1"/>
  <c r="N497" i="22" s="1"/>
  <c r="N220" i="22" a="1"/>
  <c r="N220" i="22" s="1"/>
  <c r="J422" i="22" a="1"/>
  <c r="J422" i="22" s="1"/>
  <c r="J272" i="22" a="1"/>
  <c r="J272" i="22" s="1"/>
  <c r="J97" i="22" a="1"/>
  <c r="J97" i="22" s="1"/>
  <c r="N468" i="22" a="1"/>
  <c r="N468" i="22" s="1"/>
  <c r="N180" i="22" a="1"/>
  <c r="N180" i="22" s="1"/>
  <c r="J416" i="22" a="1"/>
  <c r="J416" i="22" s="1"/>
  <c r="J273" i="22" a="1"/>
  <c r="J273" i="22" s="1"/>
  <c r="N69" i="22" a="1"/>
  <c r="N69" i="22" s="1"/>
  <c r="J166" i="22" a="1"/>
  <c r="J166" i="22" s="1"/>
  <c r="J52" i="22" a="1"/>
  <c r="J52" i="22" s="1"/>
  <c r="N484" i="22" a="1"/>
  <c r="N484" i="22" s="1"/>
  <c r="N275" i="22" a="1"/>
  <c r="N275" i="22" s="1"/>
  <c r="N177" i="22" a="1"/>
  <c r="N177" i="22" s="1"/>
  <c r="O90" i="22" a="1"/>
  <c r="O90" i="22" s="1"/>
  <c r="J546" i="22" a="1"/>
  <c r="J546" i="22" s="1"/>
  <c r="J450" i="22" a="1"/>
  <c r="J450" i="22" s="1"/>
  <c r="J355" i="22" a="1"/>
  <c r="J355" i="22" s="1"/>
  <c r="J241" i="22" a="1"/>
  <c r="J241" i="22" s="1"/>
  <c r="N218" i="22" a="1"/>
  <c r="N218" i="22" s="1"/>
  <c r="N129" i="22" a="1"/>
  <c r="N129" i="22" s="1"/>
  <c r="J285" i="22" a="1"/>
  <c r="J285" i="22" s="1"/>
  <c r="J96" i="22" a="1"/>
  <c r="J96" i="22" s="1"/>
  <c r="J499" i="22" a="1"/>
  <c r="J499" i="22" s="1"/>
  <c r="J306" i="22" a="1"/>
  <c r="J306" i="22" s="1"/>
  <c r="J126" i="22" a="1"/>
  <c r="J126" i="22" s="1"/>
  <c r="N488" i="22" a="1"/>
  <c r="N488" i="22" s="1"/>
  <c r="N163" i="22" a="1"/>
  <c r="N163" i="22" s="1"/>
  <c r="J490" i="22" a="1"/>
  <c r="J490" i="22" s="1"/>
  <c r="J324" i="22" a="1"/>
  <c r="J324" i="22" s="1"/>
  <c r="J154" i="22" a="1"/>
  <c r="J154" i="22" s="1"/>
  <c r="L154" i="22" s="1"/>
  <c r="N537" i="22" a="1"/>
  <c r="N537" i="22" s="1"/>
  <c r="N257" i="22" a="1"/>
  <c r="N257" i="22" s="1"/>
  <c r="O265" i="22" a="1"/>
  <c r="O265" i="22" s="1"/>
  <c r="J543" i="22" a="1"/>
  <c r="J543" i="22" s="1"/>
  <c r="J386" i="22" a="1"/>
  <c r="J386" i="22" s="1"/>
  <c r="J208" i="22" a="1"/>
  <c r="J208" i="22" s="1"/>
  <c r="J53" i="22" a="1"/>
  <c r="J53" i="22" s="1"/>
  <c r="N388" i="22" a="1"/>
  <c r="N388" i="22" s="1"/>
  <c r="N87" i="22" a="1"/>
  <c r="N87" i="22" s="1"/>
  <c r="O218" i="22" a="1"/>
  <c r="O218" i="22" s="1"/>
  <c r="A2" i="23" a="1"/>
  <c r="A2" i="23" s="1"/>
  <c r="L352" i="22"/>
  <c r="U352" i="22" s="1"/>
  <c r="L452" i="22"/>
  <c r="L257" i="22"/>
  <c r="L404" i="22"/>
  <c r="L142" i="22"/>
  <c r="L293" i="22"/>
  <c r="L234" i="22"/>
  <c r="L504" i="22"/>
  <c r="L523" i="22"/>
  <c r="L463" i="22"/>
  <c r="L139" i="22"/>
  <c r="L369" i="22"/>
  <c r="L343" i="22"/>
  <c r="L186" i="22"/>
  <c r="L222" i="22"/>
  <c r="L573" i="22"/>
  <c r="L218" i="22"/>
  <c r="L265" i="22"/>
  <c r="L191" i="22"/>
  <c r="L150" i="22"/>
  <c r="L552" i="22"/>
  <c r="L561" i="22"/>
  <c r="L289" i="22"/>
  <c r="L74" i="22"/>
  <c r="L362" i="22"/>
  <c r="L275" i="22"/>
  <c r="L238" i="22"/>
  <c r="L246" i="22"/>
  <c r="L260" i="22"/>
  <c r="L582" i="22"/>
  <c r="U582" i="22" s="1"/>
  <c r="L227" i="22" l="1"/>
  <c r="O227" i="22" a="1"/>
  <c r="O227" i="22" s="1"/>
  <c r="O200" i="22" a="1"/>
  <c r="O200" i="22" s="1"/>
  <c r="L200" i="22"/>
  <c r="U200" i="22" s="1"/>
  <c r="L226" i="22"/>
  <c r="O226" i="22" a="1"/>
  <c r="O226" i="22" s="1"/>
  <c r="O456" i="22" a="1"/>
  <c r="O456" i="22" s="1"/>
  <c r="L456" i="22"/>
  <c r="U456" i="22" s="1"/>
  <c r="L206" i="22"/>
  <c r="O206" i="22" a="1"/>
  <c r="O206" i="22" s="1"/>
  <c r="L189" i="22"/>
  <c r="O189" i="22" a="1"/>
  <c r="O189" i="22" s="1"/>
  <c r="L171" i="22"/>
  <c r="U171" i="22" s="1"/>
  <c r="O171" i="22" a="1"/>
  <c r="O171" i="22" s="1"/>
  <c r="L267" i="22"/>
  <c r="U267" i="22" s="1"/>
  <c r="O267" i="22" a="1"/>
  <c r="O267" i="22" s="1"/>
  <c r="L231" i="22"/>
  <c r="O231" i="22" a="1"/>
  <c r="O231" i="22" s="1"/>
  <c r="L510" i="22"/>
  <c r="O510" i="22" a="1"/>
  <c r="O510" i="22" s="1"/>
  <c r="L443" i="22"/>
  <c r="O443" i="22" a="1"/>
  <c r="O443" i="22" s="1"/>
  <c r="L297" i="22"/>
  <c r="U297" i="22" s="1"/>
  <c r="O297" i="22" a="1"/>
  <c r="O297" i="22" s="1"/>
  <c r="L219" i="22"/>
  <c r="U219" i="22" s="1"/>
  <c r="O219" i="22" a="1"/>
  <c r="O219" i="22" s="1"/>
  <c r="L127" i="22"/>
  <c r="U127" i="22" s="1"/>
  <c r="O127" i="22" a="1"/>
  <c r="O127" i="22" s="1"/>
  <c r="L482" i="22"/>
  <c r="U482" i="22" s="1"/>
  <c r="O482" i="22" a="1"/>
  <c r="O482" i="22" s="1"/>
  <c r="L422" i="22"/>
  <c r="U422" i="22" s="1"/>
  <c r="O422" i="22" a="1"/>
  <c r="O422" i="22" s="1"/>
  <c r="L160" i="22"/>
  <c r="U160" i="22" s="1"/>
  <c r="O160" i="22" a="1"/>
  <c r="O160" i="22" s="1"/>
  <c r="L129" i="22"/>
  <c r="U129" i="22" s="1"/>
  <c r="O129" i="22" a="1"/>
  <c r="O129" i="22" s="1"/>
  <c r="L419" i="22"/>
  <c r="U419" i="22" s="1"/>
  <c r="O419" i="22" a="1"/>
  <c r="O419" i="22" s="1"/>
  <c r="L172" i="22"/>
  <c r="U172" i="22" s="1"/>
  <c r="O172" i="22" a="1"/>
  <c r="O172" i="22" s="1"/>
  <c r="L210" i="22"/>
  <c r="U210" i="22" s="1"/>
  <c r="O210" i="22" a="1"/>
  <c r="O210" i="22" s="1"/>
  <c r="L108" i="22"/>
  <c r="U108" i="22" s="1"/>
  <c r="O108" i="22" a="1"/>
  <c r="O108" i="22" s="1"/>
  <c r="L109" i="22"/>
  <c r="U109" i="22" s="1"/>
  <c r="O109" i="22" a="1"/>
  <c r="O109" i="22" s="1"/>
  <c r="L403" i="22"/>
  <c r="U403" i="22" s="1"/>
  <c r="O403" i="22" a="1"/>
  <c r="O403" i="22" s="1"/>
  <c r="L509" i="22"/>
  <c r="U509" i="22" s="1"/>
  <c r="O509" i="22" a="1"/>
  <c r="O509" i="22" s="1"/>
  <c r="L517" i="22"/>
  <c r="O517" i="22" a="1"/>
  <c r="O517" i="22" s="1"/>
  <c r="L518" i="22"/>
  <c r="O518" i="22" a="1"/>
  <c r="O518" i="22" s="1"/>
  <c r="L87" i="22"/>
  <c r="U87" i="22" s="1"/>
  <c r="O87" i="22" a="1"/>
  <c r="O87" i="22" s="1"/>
  <c r="L512" i="22"/>
  <c r="U512" i="22" s="1"/>
  <c r="O512" i="22" a="1"/>
  <c r="O512" i="22" s="1"/>
  <c r="L556" i="22"/>
  <c r="O556" i="22" a="1"/>
  <c r="O556" i="22" s="1"/>
  <c r="L163" i="22"/>
  <c r="U163" i="22" s="1"/>
  <c r="O163" i="22" a="1"/>
  <c r="O163" i="22" s="1"/>
  <c r="L570" i="22"/>
  <c r="U570" i="22" s="1"/>
  <c r="O570" i="22" a="1"/>
  <c r="O570" i="22" s="1"/>
  <c r="L508" i="22"/>
  <c r="U508" i="22" s="1"/>
  <c r="O508" i="22" a="1"/>
  <c r="O508" i="22" s="1"/>
  <c r="L553" i="22"/>
  <c r="U553" i="22" s="1"/>
  <c r="O553" i="22" a="1"/>
  <c r="O553" i="22" s="1"/>
  <c r="L535" i="22"/>
  <c r="U535" i="22" s="1"/>
  <c r="O535" i="22" a="1"/>
  <c r="O535" i="22" s="1"/>
  <c r="L262" i="22"/>
  <c r="U262" i="22" s="1"/>
  <c r="O262" i="22" a="1"/>
  <c r="O262" i="22" s="1"/>
  <c r="L79" i="22"/>
  <c r="U79" i="22" s="1"/>
  <c r="O79" i="22" a="1"/>
  <c r="O79" i="22" s="1"/>
  <c r="L538" i="22"/>
  <c r="U538" i="22" s="1"/>
  <c r="O538" i="22" a="1"/>
  <c r="O538" i="22" s="1"/>
  <c r="L455" i="22"/>
  <c r="U455" i="22" s="1"/>
  <c r="O455" i="22" a="1"/>
  <c r="O455" i="22" s="1"/>
  <c r="L428" i="22"/>
  <c r="O428" i="22" a="1"/>
  <c r="O428" i="22" s="1"/>
  <c r="L418" i="22"/>
  <c r="U418" i="22" s="1"/>
  <c r="O418" i="22" a="1"/>
  <c r="O418" i="22" s="1"/>
  <c r="L337" i="22"/>
  <c r="U337" i="22" s="1"/>
  <c r="O337" i="22" a="1"/>
  <c r="O337" i="22" s="1"/>
  <c r="L405" i="22"/>
  <c r="U405" i="22" s="1"/>
  <c r="O405" i="22" a="1"/>
  <c r="O405" i="22" s="1"/>
  <c r="L161" i="22"/>
  <c r="U161" i="22" s="1"/>
  <c r="O161" i="22" a="1"/>
  <c r="O161" i="22" s="1"/>
  <c r="L516" i="22"/>
  <c r="U516" i="22" s="1"/>
  <c r="O516" i="22" a="1"/>
  <c r="O516" i="22" s="1"/>
  <c r="U153" i="22"/>
  <c r="U556" i="22"/>
  <c r="U428" i="22"/>
  <c r="U142" i="22"/>
  <c r="U150" i="22"/>
  <c r="O473" i="22" a="1"/>
  <c r="O473" i="22" s="1"/>
  <c r="L473" i="22"/>
  <c r="U473" i="22" s="1"/>
  <c r="O569" i="22" a="1"/>
  <c r="O569" i="22" s="1"/>
  <c r="L569" i="22"/>
  <c r="U569" i="22" s="1"/>
  <c r="O190" i="22" a="1"/>
  <c r="O190" i="22" s="1"/>
  <c r="L190" i="22"/>
  <c r="U190" i="22" s="1"/>
  <c r="O534" i="22" a="1"/>
  <c r="O534" i="22" s="1"/>
  <c r="L534" i="22"/>
  <c r="U534" i="22" s="1"/>
  <c r="O449" i="22" a="1"/>
  <c r="O449" i="22" s="1"/>
  <c r="L449" i="22"/>
  <c r="U449" i="22" s="1"/>
  <c r="O438" i="22" a="1"/>
  <c r="O438" i="22" s="1"/>
  <c r="L438" i="22"/>
  <c r="U438" i="22" s="1"/>
  <c r="O431" i="22" a="1"/>
  <c r="O431" i="22" s="1"/>
  <c r="L431" i="22"/>
  <c r="U431" i="22" s="1"/>
  <c r="O411" i="22" a="1"/>
  <c r="O411" i="22" s="1"/>
  <c r="L411" i="22"/>
  <c r="U411" i="22" s="1"/>
  <c r="O181" i="22" a="1"/>
  <c r="O181" i="22" s="1"/>
  <c r="L181" i="22"/>
  <c r="U181" i="22" s="1"/>
  <c r="L336" i="22"/>
  <c r="U336" i="22" s="1"/>
  <c r="O336" i="22" a="1"/>
  <c r="O336" i="22" s="1"/>
  <c r="O387" i="22" a="1"/>
  <c r="O387" i="22" s="1"/>
  <c r="L387" i="22"/>
  <c r="U387" i="22" s="1"/>
  <c r="O377" i="22" a="1"/>
  <c r="O377" i="22" s="1"/>
  <c r="L377" i="22"/>
  <c r="U377" i="22" s="1"/>
  <c r="L414" i="22"/>
  <c r="U414" i="22" s="1"/>
  <c r="O414" i="22" a="1"/>
  <c r="O414" i="22" s="1"/>
  <c r="O398" i="22" a="1"/>
  <c r="O398" i="22" s="1"/>
  <c r="L398" i="22"/>
  <c r="U398" i="22" s="1"/>
  <c r="O564" i="22" a="1"/>
  <c r="O564" i="22" s="1"/>
  <c r="L564" i="22"/>
  <c r="U564" i="22" s="1"/>
  <c r="O291" i="22" a="1"/>
  <c r="O291" i="22" s="1"/>
  <c r="L291" i="22"/>
  <c r="U291" i="22" s="1"/>
  <c r="O283" i="22" a="1"/>
  <c r="O283" i="22" s="1"/>
  <c r="L283" i="22"/>
  <c r="U283" i="22" s="1"/>
  <c r="L111" i="22"/>
  <c r="U111" i="22" s="1"/>
  <c r="O111" i="22" a="1"/>
  <c r="O111" i="22" s="1"/>
  <c r="O54" i="22" a="1"/>
  <c r="O54" i="22" s="1"/>
  <c r="L54" i="22"/>
  <c r="U54" i="22" s="1"/>
  <c r="O113" i="22" a="1"/>
  <c r="O113" i="22" s="1"/>
  <c r="L113" i="22"/>
  <c r="U113" i="22" s="1"/>
  <c r="O566" i="22" a="1"/>
  <c r="O566" i="22" s="1"/>
  <c r="L566" i="22"/>
  <c r="U566" i="22" s="1"/>
  <c r="O250" i="22" a="1"/>
  <c r="O250" i="22" s="1"/>
  <c r="L250" i="22"/>
  <c r="U250" i="22" s="1"/>
  <c r="O59" i="22" a="1"/>
  <c r="O59" i="22" s="1"/>
  <c r="L59" i="22"/>
  <c r="U59" i="22" s="1"/>
  <c r="L152" i="22"/>
  <c r="U152" i="22" s="1"/>
  <c r="O152" i="22" a="1"/>
  <c r="O152" i="22" s="1"/>
  <c r="O170" i="22" a="1"/>
  <c r="O170" i="22" s="1"/>
  <c r="L170" i="22"/>
  <c r="U170" i="22" s="1"/>
  <c r="L384" i="22"/>
  <c r="U384" i="22" s="1"/>
  <c r="O384" i="22" a="1"/>
  <c r="O384" i="22" s="1"/>
  <c r="L576" i="22"/>
  <c r="U576" i="22" s="1"/>
  <c r="O576" i="22" a="1"/>
  <c r="O576" i="22" s="1"/>
  <c r="O253" i="22" a="1"/>
  <c r="O253" i="22" s="1"/>
  <c r="L253" i="22"/>
  <c r="U253" i="22" s="1"/>
  <c r="O69" i="22" a="1"/>
  <c r="O69" i="22" s="1"/>
  <c r="L69" i="22"/>
  <c r="U69" i="22" s="1"/>
  <c r="O119" i="22" a="1"/>
  <c r="O119" i="22" s="1"/>
  <c r="L119" i="22"/>
  <c r="U119" i="22" s="1"/>
  <c r="L395" i="22"/>
  <c r="U395" i="22" s="1"/>
  <c r="O395" i="22" a="1"/>
  <c r="O395" i="22" s="1"/>
  <c r="L298" i="22"/>
  <c r="U298" i="22" s="1"/>
  <c r="O298" i="22" a="1"/>
  <c r="O298" i="22" s="1"/>
  <c r="L67" i="22"/>
  <c r="U67" i="22" s="1"/>
  <c r="O67" i="22" a="1"/>
  <c r="O67" i="22" s="1"/>
  <c r="L339" i="22"/>
  <c r="U339" i="22" s="1"/>
  <c r="O339" i="22" a="1"/>
  <c r="O339" i="22" s="1"/>
  <c r="L442" i="22"/>
  <c r="U442" i="22" s="1"/>
  <c r="O442" i="22" a="1"/>
  <c r="O442" i="22" s="1"/>
  <c r="L209" i="22"/>
  <c r="U209" i="22" s="1"/>
  <c r="O209" i="22" a="1"/>
  <c r="O209" i="22" s="1"/>
  <c r="L385" i="22"/>
  <c r="O385" i="22" a="1"/>
  <c r="O385" i="22" s="1"/>
  <c r="L394" i="22"/>
  <c r="U394" i="22" s="1"/>
  <c r="O394" i="22" a="1"/>
  <c r="O394" i="22" s="1"/>
  <c r="L379" i="22"/>
  <c r="U379" i="22" s="1"/>
  <c r="O379" i="22" a="1"/>
  <c r="O379" i="22" s="1"/>
  <c r="L192" i="22"/>
  <c r="U192" i="22" s="1"/>
  <c r="O192" i="22" a="1"/>
  <c r="O192" i="22" s="1"/>
  <c r="L525" i="22"/>
  <c r="U525" i="22" s="1"/>
  <c r="O525" i="22" a="1"/>
  <c r="O525" i="22" s="1"/>
  <c r="L421" i="22"/>
  <c r="U421" i="22" s="1"/>
  <c r="O421" i="22" a="1"/>
  <c r="O421" i="22" s="1"/>
  <c r="L307" i="22"/>
  <c r="U307" i="22" s="1"/>
  <c r="O307" i="22" a="1"/>
  <c r="O307" i="22" s="1"/>
  <c r="L354" i="22"/>
  <c r="U354" i="22" s="1"/>
  <c r="O354" i="22" a="1"/>
  <c r="O354" i="22" s="1"/>
  <c r="L346" i="22"/>
  <c r="U346" i="22" s="1"/>
  <c r="O346" i="22" a="1"/>
  <c r="O346" i="22" s="1"/>
  <c r="L304" i="22"/>
  <c r="U304" i="22" s="1"/>
  <c r="O304" i="22" a="1"/>
  <c r="O304" i="22" s="1"/>
  <c r="L65" i="22"/>
  <c r="U65" i="22" s="1"/>
  <c r="O65" i="22" a="1"/>
  <c r="O65" i="22" s="1"/>
  <c r="L590" i="22"/>
  <c r="U590" i="22" s="1"/>
  <c r="O590" i="22" a="1"/>
  <c r="O590" i="22" s="1"/>
  <c r="L560" i="22"/>
  <c r="U560" i="22" s="1"/>
  <c r="O560" i="22" a="1"/>
  <c r="O560" i="22" s="1"/>
  <c r="L542" i="22"/>
  <c r="U542" i="22" s="1"/>
  <c r="O542" i="22" a="1"/>
  <c r="O542" i="22" s="1"/>
  <c r="L441" i="22"/>
  <c r="U441" i="22" s="1"/>
  <c r="O441" i="22" a="1"/>
  <c r="O441" i="22" s="1"/>
  <c r="L426" i="22"/>
  <c r="U426" i="22" s="1"/>
  <c r="O426" i="22" a="1"/>
  <c r="O426" i="22" s="1"/>
  <c r="L393" i="22"/>
  <c r="U393" i="22" s="1"/>
  <c r="O393" i="22" a="1"/>
  <c r="O393" i="22" s="1"/>
  <c r="L350" i="22"/>
  <c r="U350" i="22" s="1"/>
  <c r="O350" i="22" a="1"/>
  <c r="O350" i="22" s="1"/>
  <c r="L312" i="22"/>
  <c r="U312" i="22" s="1"/>
  <c r="O312" i="22" a="1"/>
  <c r="O312" i="22" s="1"/>
  <c r="L301" i="22"/>
  <c r="U301" i="22" s="1"/>
  <c r="O301" i="22" a="1"/>
  <c r="O301" i="22" s="1"/>
  <c r="L236" i="22"/>
  <c r="U236" i="22" s="1"/>
  <c r="O236" i="22" a="1"/>
  <c r="O236" i="22" s="1"/>
  <c r="L492" i="22"/>
  <c r="U492" i="22" s="1"/>
  <c r="O492" i="22" a="1"/>
  <c r="O492" i="22" s="1"/>
  <c r="L572" i="22"/>
  <c r="U572" i="22" s="1"/>
  <c r="O572" i="22" a="1"/>
  <c r="O572" i="22" s="1"/>
  <c r="L501" i="22"/>
  <c r="U501" i="22" s="1"/>
  <c r="O501" i="22" a="1"/>
  <c r="O501" i="22" s="1"/>
  <c r="L493" i="22"/>
  <c r="U493" i="22" s="1"/>
  <c r="O493" i="22" a="1"/>
  <c r="O493" i="22" s="1"/>
  <c r="L474" i="22"/>
  <c r="U474" i="22" s="1"/>
  <c r="O474" i="22" a="1"/>
  <c r="O474" i="22" s="1"/>
  <c r="L465" i="22"/>
  <c r="U465" i="22" s="1"/>
  <c r="O465" i="22" a="1"/>
  <c r="O465" i="22" s="1"/>
  <c r="L401" i="22"/>
  <c r="U401" i="22" s="1"/>
  <c r="O401" i="22" a="1"/>
  <c r="O401" i="22" s="1"/>
  <c r="L392" i="22"/>
  <c r="U392" i="22" s="1"/>
  <c r="O392" i="22" a="1"/>
  <c r="O392" i="22" s="1"/>
  <c r="L383" i="22"/>
  <c r="U383" i="22" s="1"/>
  <c r="O383" i="22" a="1"/>
  <c r="O383" i="22" s="1"/>
  <c r="L373" i="22"/>
  <c r="U373" i="22" s="1"/>
  <c r="O373" i="22" a="1"/>
  <c r="O373" i="22" s="1"/>
  <c r="L303" i="22"/>
  <c r="U303" i="22" s="1"/>
  <c r="O303" i="22" a="1"/>
  <c r="O303" i="22" s="1"/>
  <c r="L224" i="22"/>
  <c r="U224" i="22" s="1"/>
  <c r="O224" i="22" a="1"/>
  <c r="O224" i="22" s="1"/>
  <c r="L213" i="22"/>
  <c r="U213" i="22" s="1"/>
  <c r="O213" i="22" a="1"/>
  <c r="O213" i="22" s="1"/>
  <c r="L43" i="22"/>
  <c r="U43" i="22" s="1"/>
  <c r="O43" i="22" a="1"/>
  <c r="O43" i="22" s="1"/>
  <c r="L103" i="22"/>
  <c r="U103" i="22" s="1"/>
  <c r="O103" i="22" a="1"/>
  <c r="O103" i="22" s="1"/>
  <c r="U518" i="22"/>
  <c r="U385" i="22"/>
  <c r="U227" i="22"/>
  <c r="U402" i="22"/>
  <c r="U57" i="22"/>
  <c r="O413" i="22" a="1"/>
  <c r="O413" i="22" s="1"/>
  <c r="L413" i="22"/>
  <c r="U413" i="22" s="1"/>
  <c r="O256" i="22" a="1"/>
  <c r="O256" i="22" s="1"/>
  <c r="L256" i="22"/>
  <c r="U256" i="22" s="1"/>
  <c r="O562" i="22" a="1"/>
  <c r="O562" i="22" s="1"/>
  <c r="L562" i="22"/>
  <c r="U562" i="22" s="1"/>
  <c r="L548" i="22"/>
  <c r="U548" i="22" s="1"/>
  <c r="O548" i="22" a="1"/>
  <c r="O548" i="22" s="1"/>
  <c r="L430" i="22"/>
  <c r="U430" i="22" s="1"/>
  <c r="O430" i="22" a="1"/>
  <c r="O430" i="22" s="1"/>
  <c r="L412" i="22"/>
  <c r="U412" i="22" s="1"/>
  <c r="O412" i="22" a="1"/>
  <c r="O412" i="22" s="1"/>
  <c r="L333" i="22"/>
  <c r="U333" i="22" s="1"/>
  <c r="O333" i="22" a="1"/>
  <c r="O333" i="22" s="1"/>
  <c r="L83" i="22"/>
  <c r="U83" i="22" s="1"/>
  <c r="O83" i="22" a="1"/>
  <c r="O83" i="22" s="1"/>
  <c r="L45" i="22"/>
  <c r="U45" i="22" s="1"/>
  <c r="O45" i="22" a="1"/>
  <c r="O45" i="22" s="1"/>
  <c r="L382" i="22"/>
  <c r="U382" i="22" s="1"/>
  <c r="O382" i="22" a="1"/>
  <c r="O382" i="22" s="1"/>
  <c r="L520" i="22"/>
  <c r="U520" i="22" s="1"/>
  <c r="O520" i="22" a="1"/>
  <c r="O520" i="22" s="1"/>
  <c r="L407" i="22"/>
  <c r="U407" i="22" s="1"/>
  <c r="O407" i="22" a="1"/>
  <c r="O407" i="22" s="1"/>
  <c r="L397" i="22"/>
  <c r="U397" i="22" s="1"/>
  <c r="O397" i="22" a="1"/>
  <c r="O397" i="22" s="1"/>
  <c r="L305" i="22"/>
  <c r="U305" i="22" s="1"/>
  <c r="O305" i="22" a="1"/>
  <c r="O305" i="22" s="1"/>
  <c r="L249" i="22"/>
  <c r="U249" i="22" s="1"/>
  <c r="O249" i="22" a="1"/>
  <c r="O249" i="22" s="1"/>
  <c r="L327" i="22"/>
  <c r="U327" i="22" s="1"/>
  <c r="O327" i="22" a="1"/>
  <c r="O327" i="22" s="1"/>
  <c r="U231" i="22"/>
  <c r="U510" i="22"/>
  <c r="U443" i="22"/>
  <c r="U206" i="22"/>
  <c r="U189" i="22"/>
  <c r="U143" i="22"/>
  <c r="U532" i="22"/>
  <c r="U522" i="22"/>
  <c r="U514" i="22"/>
  <c r="U519" i="22"/>
  <c r="U436" i="22"/>
  <c r="U448" i="22"/>
  <c r="U452" i="22"/>
  <c r="U257" i="22"/>
  <c r="U265" i="22"/>
  <c r="U552" i="22"/>
  <c r="U90" i="22"/>
  <c r="U485" i="22"/>
  <c r="O243" i="22" a="1"/>
  <c r="O243" i="22" s="1"/>
  <c r="L243" i="22"/>
  <c r="U243" i="22" s="1"/>
  <c r="O68" i="22" a="1"/>
  <c r="O68" i="22" s="1"/>
  <c r="L68" i="22"/>
  <c r="U68" i="22" s="1"/>
  <c r="O451" i="22" a="1"/>
  <c r="O451" i="22" s="1"/>
  <c r="L451" i="22"/>
  <c r="U451" i="22" s="1"/>
  <c r="O309" i="22" a="1"/>
  <c r="O309" i="22" s="1"/>
  <c r="L309" i="22"/>
  <c r="U309" i="22" s="1"/>
  <c r="O204" i="22" a="1"/>
  <c r="O204" i="22" s="1"/>
  <c r="L204" i="22"/>
  <c r="U204" i="22" s="1"/>
  <c r="O91" i="22" a="1"/>
  <c r="O91" i="22" s="1"/>
  <c r="L91" i="22"/>
  <c r="U91" i="22" s="1"/>
  <c r="O536" i="22" a="1"/>
  <c r="O536" i="22" s="1"/>
  <c r="L536" i="22"/>
  <c r="U536" i="22" s="1"/>
  <c r="O248" i="22" a="1"/>
  <c r="O248" i="22" s="1"/>
  <c r="L248" i="22"/>
  <c r="U248" i="22" s="1"/>
  <c r="O141" i="22" a="1"/>
  <c r="O141" i="22" s="1"/>
  <c r="L141" i="22"/>
  <c r="U141" i="22" s="1"/>
  <c r="O581" i="22" a="1"/>
  <c r="O581" i="22" s="1"/>
  <c r="L581" i="22"/>
  <c r="U581" i="22" s="1"/>
  <c r="O433" i="22" a="1"/>
  <c r="O433" i="22" s="1"/>
  <c r="L433" i="22"/>
  <c r="U433" i="22" s="1"/>
  <c r="L195" i="22"/>
  <c r="U195" i="22" s="1"/>
  <c r="O195" i="22" a="1"/>
  <c r="O195" i="22" s="1"/>
  <c r="O331" i="22" a="1"/>
  <c r="O331" i="22" s="1"/>
  <c r="L331" i="22"/>
  <c r="U331" i="22" s="1"/>
  <c r="O277" i="22" a="1"/>
  <c r="O277" i="22" s="1"/>
  <c r="L277" i="22"/>
  <c r="U277" i="22" s="1"/>
  <c r="L62" i="22"/>
  <c r="U62" i="22" s="1"/>
  <c r="O62" i="22" a="1"/>
  <c r="O62" i="22" s="1"/>
  <c r="L547" i="22"/>
  <c r="U547" i="22" s="1"/>
  <c r="O547" i="22" a="1"/>
  <c r="O547" i="22" s="1"/>
  <c r="L237" i="22"/>
  <c r="U237" i="22" s="1"/>
  <c r="O237" i="22" a="1"/>
  <c r="O237" i="22" s="1"/>
  <c r="L316" i="22"/>
  <c r="U316" i="22" s="1"/>
  <c r="O316" i="22" a="1"/>
  <c r="O316" i="22" s="1"/>
  <c r="L49" i="22"/>
  <c r="U49" i="22" s="1"/>
  <c r="O49" i="22" a="1"/>
  <c r="O49" i="22" s="1"/>
  <c r="O496" i="22" a="1"/>
  <c r="O496" i="22" s="1"/>
  <c r="L496" i="22"/>
  <c r="U496" i="22" s="1"/>
  <c r="O368" i="22" a="1"/>
  <c r="O368" i="22" s="1"/>
  <c r="L368" i="22"/>
  <c r="U368" i="22" s="1"/>
  <c r="L486" i="22"/>
  <c r="U486" i="22" s="1"/>
  <c r="O486" i="22" a="1"/>
  <c r="O486" i="22" s="1"/>
  <c r="L299" i="22"/>
  <c r="U299" i="22" s="1"/>
  <c r="O299" i="22" a="1"/>
  <c r="O299" i="22" s="1"/>
  <c r="L201" i="22"/>
  <c r="U201" i="22" s="1"/>
  <c r="O201" i="22" a="1"/>
  <c r="O201" i="22" s="1"/>
  <c r="L528" i="22"/>
  <c r="U528" i="22" s="1"/>
  <c r="O528" i="22" a="1"/>
  <c r="O528" i="22" s="1"/>
  <c r="L321" i="22"/>
  <c r="U321" i="22" s="1"/>
  <c r="O321" i="22" a="1"/>
  <c r="O321" i="22" s="1"/>
  <c r="L314" i="22"/>
  <c r="U314" i="22" s="1"/>
  <c r="O314" i="22" a="1"/>
  <c r="O314" i="22" s="1"/>
  <c r="L239" i="22"/>
  <c r="U239" i="22" s="1"/>
  <c r="O239" i="22" a="1"/>
  <c r="O239" i="22" s="1"/>
  <c r="L178" i="22"/>
  <c r="U178" i="22" s="1"/>
  <c r="O178" i="22" a="1"/>
  <c r="O178" i="22" s="1"/>
  <c r="L151" i="22"/>
  <c r="U151" i="22" s="1"/>
  <c r="O151" i="22" a="1"/>
  <c r="O151" i="22" s="1"/>
  <c r="L124" i="22"/>
  <c r="U124" i="22" s="1"/>
  <c r="O124" i="22" a="1"/>
  <c r="O124" i="22" s="1"/>
  <c r="O427" i="22" a="1"/>
  <c r="O427" i="22" s="1"/>
  <c r="L427" i="22"/>
  <c r="U427" i="22" s="1"/>
  <c r="O417" i="22" a="1"/>
  <c r="O417" i="22" s="1"/>
  <c r="L417" i="22"/>
  <c r="U417" i="22" s="1"/>
  <c r="O408" i="22" a="1"/>
  <c r="O408" i="22" s="1"/>
  <c r="L408" i="22"/>
  <c r="U408" i="22" s="1"/>
  <c r="O400" i="22" a="1"/>
  <c r="O400" i="22" s="1"/>
  <c r="L400" i="22"/>
  <c r="U400" i="22" s="1"/>
  <c r="O390" i="22" a="1"/>
  <c r="O390" i="22" s="1"/>
  <c r="L390" i="22"/>
  <c r="U390" i="22" s="1"/>
  <c r="O380" i="22" a="1"/>
  <c r="O380" i="22" s="1"/>
  <c r="L380" i="22"/>
  <c r="U380" i="22" s="1"/>
  <c r="L328" i="22"/>
  <c r="U328" i="22" s="1"/>
  <c r="O328" i="22" a="1"/>
  <c r="O328" i="22" s="1"/>
  <c r="L318" i="22"/>
  <c r="U318" i="22" s="1"/>
  <c r="O318" i="22" a="1"/>
  <c r="O318" i="22" s="1"/>
  <c r="L310" i="22"/>
  <c r="U310" i="22" s="1"/>
  <c r="O310" i="22" a="1"/>
  <c r="O310" i="22" s="1"/>
  <c r="L365" i="22"/>
  <c r="U365" i="22" s="1"/>
  <c r="O365" i="22" a="1"/>
  <c r="O365" i="22" s="1"/>
  <c r="L320" i="22"/>
  <c r="U320" i="22" s="1"/>
  <c r="O320" i="22" a="1"/>
  <c r="O320" i="22" s="1"/>
  <c r="O157" i="22" a="1"/>
  <c r="O157" i="22" s="1"/>
  <c r="L157" i="22"/>
  <c r="U157" i="22" s="1"/>
  <c r="O136" i="22" a="1"/>
  <c r="O136" i="22" s="1"/>
  <c r="L136" i="22"/>
  <c r="U136" i="22" s="1"/>
  <c r="O118" i="22" a="1"/>
  <c r="O118" i="22" s="1"/>
  <c r="L118" i="22"/>
  <c r="U118" i="22" s="1"/>
  <c r="L107" i="22"/>
  <c r="U107" i="22" s="1"/>
  <c r="O107" i="22" a="1"/>
  <c r="O107" i="22" s="1"/>
  <c r="L100" i="22"/>
  <c r="U100" i="22" s="1"/>
  <c r="O100" i="22" a="1"/>
  <c r="O100" i="22" s="1"/>
  <c r="O89" i="22" a="1"/>
  <c r="O89" i="22" s="1"/>
  <c r="L89" i="22"/>
  <c r="U89" i="22" s="1"/>
  <c r="O80" i="22" a="1"/>
  <c r="O80" i="22" s="1"/>
  <c r="L80" i="22"/>
  <c r="U80" i="22" s="1"/>
  <c r="O588" i="22" a="1"/>
  <c r="O588" i="22" s="1"/>
  <c r="L588" i="22"/>
  <c r="U588" i="22" s="1"/>
  <c r="O577" i="22" a="1"/>
  <c r="O577" i="22" s="1"/>
  <c r="L577" i="22"/>
  <c r="U577" i="22" s="1"/>
  <c r="L568" i="22"/>
  <c r="U568" i="22" s="1"/>
  <c r="O568" i="22" a="1"/>
  <c r="O568" i="22" s="1"/>
  <c r="O559" i="22" a="1"/>
  <c r="O559" i="22" s="1"/>
  <c r="L559" i="22"/>
  <c r="U559" i="22" s="1"/>
  <c r="O550" i="22" a="1"/>
  <c r="O550" i="22" s="1"/>
  <c r="L550" i="22"/>
  <c r="U550" i="22" s="1"/>
  <c r="O540" i="22" a="1"/>
  <c r="O540" i="22" s="1"/>
  <c r="L540" i="22"/>
  <c r="U540" i="22" s="1"/>
  <c r="O531" i="22" a="1"/>
  <c r="O531" i="22" s="1"/>
  <c r="L531" i="22"/>
  <c r="U531" i="22" s="1"/>
  <c r="O521" i="22" a="1"/>
  <c r="O521" i="22" s="1"/>
  <c r="L521" i="22"/>
  <c r="U521" i="22" s="1"/>
  <c r="L513" i="22"/>
  <c r="U513" i="22" s="1"/>
  <c r="O513" i="22" a="1"/>
  <c r="O513" i="22" s="1"/>
  <c r="L319" i="22"/>
  <c r="U319" i="22" s="1"/>
  <c r="O319" i="22" a="1"/>
  <c r="O319" i="22" s="1"/>
  <c r="L313" i="22"/>
  <c r="U313" i="22" s="1"/>
  <c r="O313" i="22" a="1"/>
  <c r="O313" i="22" s="1"/>
  <c r="L269" i="22"/>
  <c r="U269" i="22" s="1"/>
  <c r="O269" i="22" a="1"/>
  <c r="O269" i="22" s="1"/>
  <c r="O255" i="22" a="1"/>
  <c r="O255" i="22" s="1"/>
  <c r="L255" i="22"/>
  <c r="U255" i="22" s="1"/>
  <c r="O242" i="22" a="1"/>
  <c r="O242" i="22" s="1"/>
  <c r="L242" i="22"/>
  <c r="U242" i="22" s="1"/>
  <c r="O233" i="22" a="1"/>
  <c r="O233" i="22" s="1"/>
  <c r="L233" i="22"/>
  <c r="U233" i="22" s="1"/>
  <c r="O223" i="22" a="1"/>
  <c r="O223" i="22" s="1"/>
  <c r="L223" i="22"/>
  <c r="U223" i="22" s="1"/>
  <c r="O215" i="22" a="1"/>
  <c r="O215" i="22" s="1"/>
  <c r="L215" i="22"/>
  <c r="U215" i="22" s="1"/>
  <c r="O491" i="22" a="1"/>
  <c r="O491" i="22" s="1"/>
  <c r="L491" i="22"/>
  <c r="U491" i="22" s="1"/>
  <c r="O180" i="22" a="1"/>
  <c r="O180" i="22" s="1"/>
  <c r="L180" i="22"/>
  <c r="U180" i="22" s="1"/>
  <c r="L130" i="22"/>
  <c r="U130" i="22" s="1"/>
  <c r="O130" i="22" a="1"/>
  <c r="O130" i="22" s="1"/>
  <c r="L487" i="22"/>
  <c r="U487" i="22" s="1"/>
  <c r="O487" i="22" a="1"/>
  <c r="O487" i="22" s="1"/>
  <c r="L584" i="22"/>
  <c r="U584" i="22" s="1"/>
  <c r="O584" i="22" a="1"/>
  <c r="O584" i="22" s="1"/>
  <c r="L199" i="22"/>
  <c r="U199" i="22" s="1"/>
  <c r="O199" i="22" a="1"/>
  <c r="O199" i="22" s="1"/>
  <c r="O214" i="22" a="1"/>
  <c r="O214" i="22" s="1"/>
  <c r="L214" i="22"/>
  <c r="U214" i="22" s="1"/>
  <c r="O101" i="22" a="1"/>
  <c r="O101" i="22" s="1"/>
  <c r="L101" i="22"/>
  <c r="U101" i="22" s="1"/>
  <c r="L121" i="22"/>
  <c r="U121" i="22" s="1"/>
  <c r="O121" i="22" a="1"/>
  <c r="O121" i="22" s="1"/>
  <c r="O300" i="22" a="1"/>
  <c r="O300" i="22" s="1"/>
  <c r="L300" i="22"/>
  <c r="U300" i="22" s="1"/>
  <c r="L133" i="22"/>
  <c r="U133" i="22" s="1"/>
  <c r="O133" i="22" a="1"/>
  <c r="O133" i="22" s="1"/>
  <c r="O563" i="22" a="1"/>
  <c r="O563" i="22" s="1"/>
  <c r="L563" i="22"/>
  <c r="U563" i="22" s="1"/>
  <c r="O51" i="22" a="1"/>
  <c r="O51" i="22" s="1"/>
  <c r="L51" i="22"/>
  <c r="U51" i="22" s="1"/>
  <c r="O461" i="22" a="1"/>
  <c r="O461" i="22" s="1"/>
  <c r="L461" i="22"/>
  <c r="U461" i="22" s="1"/>
  <c r="L146" i="22"/>
  <c r="U146" i="22" s="1"/>
  <c r="O146" i="22" a="1"/>
  <c r="O146" i="22" s="1"/>
  <c r="L144" i="22"/>
  <c r="U144" i="22" s="1"/>
  <c r="O144" i="22" a="1"/>
  <c r="O144" i="22" s="1"/>
  <c r="O176" i="22" a="1"/>
  <c r="O176" i="22" s="1"/>
  <c r="L176" i="22"/>
  <c r="U176" i="22" s="1"/>
  <c r="O42" i="22" a="1"/>
  <c r="O42" i="22" s="1"/>
  <c r="L42" i="22"/>
  <c r="U42" i="22" s="1"/>
  <c r="L529" i="22"/>
  <c r="U529" i="22" s="1"/>
  <c r="O529" i="22" a="1"/>
  <c r="O529" i="22" s="1"/>
  <c r="L432" i="22"/>
  <c r="U432" i="22" s="1"/>
  <c r="O432" i="22" a="1"/>
  <c r="O432" i="22" s="1"/>
  <c r="L229" i="22"/>
  <c r="U229" i="22" s="1"/>
  <c r="O229" i="22" a="1"/>
  <c r="O229" i="22" s="1"/>
  <c r="L423" i="22"/>
  <c r="U423" i="22" s="1"/>
  <c r="O423" i="22" a="1"/>
  <c r="O423" i="22" s="1"/>
  <c r="L308" i="22"/>
  <c r="U308" i="22" s="1"/>
  <c r="O308" i="22" a="1"/>
  <c r="O308" i="22" s="1"/>
  <c r="L324" i="22"/>
  <c r="U324" i="22" s="1"/>
  <c r="O324" i="22" a="1"/>
  <c r="O324" i="22" s="1"/>
  <c r="L543" i="22"/>
  <c r="U543" i="22" s="1"/>
  <c r="O543" i="22" a="1"/>
  <c r="O543" i="22" s="1"/>
  <c r="L386" i="22"/>
  <c r="U386" i="22" s="1"/>
  <c r="O386" i="22" a="1"/>
  <c r="O386" i="22" s="1"/>
  <c r="O208" i="22" a="1"/>
  <c r="O208" i="22" s="1"/>
  <c r="L208" i="22"/>
  <c r="U208" i="22" s="1"/>
  <c r="O53" i="22" a="1"/>
  <c r="O53" i="22" s="1"/>
  <c r="L53" i="22"/>
  <c r="U53" i="22" s="1"/>
  <c r="U404" i="22"/>
  <c r="U293" i="22"/>
  <c r="U234" i="22"/>
  <c r="U504" i="22"/>
  <c r="U523" i="22"/>
  <c r="U463" i="22"/>
  <c r="U139" i="22"/>
  <c r="U424" i="22"/>
  <c r="U369" i="22"/>
  <c r="U226" i="22"/>
  <c r="U148" i="22"/>
  <c r="U343" i="22"/>
  <c r="U186" i="22"/>
  <c r="U222" i="22"/>
  <c r="U517" i="22"/>
  <c r="U154" i="22"/>
  <c r="U573" i="22"/>
  <c r="U218" i="22"/>
  <c r="U191" i="22"/>
  <c r="U561" i="22"/>
  <c r="U289" i="22"/>
  <c r="U74" i="22"/>
  <c r="U362" i="22"/>
  <c r="U275" i="22"/>
  <c r="U439" i="22"/>
  <c r="U238" i="22"/>
  <c r="U246" i="22"/>
  <c r="U260" i="22"/>
  <c r="O276" i="22" a="1"/>
  <c r="O276" i="22" s="1"/>
  <c r="L276" i="22"/>
  <c r="U276" i="22" s="1"/>
  <c r="O63" i="22" a="1"/>
  <c r="O63" i="22" s="1"/>
  <c r="L63" i="22"/>
  <c r="U63" i="22" s="1"/>
  <c r="L440" i="22"/>
  <c r="U440" i="22" s="1"/>
  <c r="O440" i="22" a="1"/>
  <c r="O440" i="22" s="1"/>
  <c r="O340" i="22" a="1"/>
  <c r="O340" i="22" s="1"/>
  <c r="L340" i="22"/>
  <c r="U340" i="22" s="1"/>
  <c r="O71" i="22" a="1"/>
  <c r="O71" i="22" s="1"/>
  <c r="L71" i="22"/>
  <c r="U71" i="22" s="1"/>
  <c r="O140" i="22" a="1"/>
  <c r="O140" i="22" s="1"/>
  <c r="L140" i="22"/>
  <c r="U140" i="22" s="1"/>
  <c r="L123" i="22"/>
  <c r="U123" i="22" s="1"/>
  <c r="O123" i="22" a="1"/>
  <c r="O123" i="22" s="1"/>
  <c r="O399" i="22" a="1"/>
  <c r="O399" i="22" s="1"/>
  <c r="L399" i="22"/>
  <c r="U399" i="22" s="1"/>
  <c r="O221" i="22" a="1"/>
  <c r="O221" i="22" s="1"/>
  <c r="L221" i="22"/>
  <c r="U221" i="22" s="1"/>
  <c r="O110" i="22" a="1"/>
  <c r="O110" i="22" s="1"/>
  <c r="L110" i="22"/>
  <c r="U110" i="22" s="1"/>
  <c r="O468" i="22" a="1"/>
  <c r="O468" i="22" s="1"/>
  <c r="L468" i="22"/>
  <c r="U468" i="22" s="1"/>
  <c r="O284" i="22" a="1"/>
  <c r="O284" i="22" s="1"/>
  <c r="L284" i="22"/>
  <c r="U284" i="22" s="1"/>
  <c r="O185" i="22" a="1"/>
  <c r="O185" i="22" s="1"/>
  <c r="L185" i="22"/>
  <c r="U185" i="22" s="1"/>
  <c r="L578" i="22"/>
  <c r="U578" i="22" s="1"/>
  <c r="O578" i="22" a="1"/>
  <c r="O578" i="22" s="1"/>
  <c r="O251" i="22" a="1"/>
  <c r="O251" i="22" s="1"/>
  <c r="L251" i="22"/>
  <c r="U251" i="22" s="1"/>
  <c r="O84" i="22" a="1"/>
  <c r="O84" i="22" s="1"/>
  <c r="L84" i="22"/>
  <c r="U84" i="22" s="1"/>
  <c r="O342" i="22" a="1"/>
  <c r="O342" i="22" s="1"/>
  <c r="L342" i="22"/>
  <c r="U342" i="22" s="1"/>
  <c r="O217" i="22" a="1"/>
  <c r="O217" i="22" s="1"/>
  <c r="L217" i="22"/>
  <c r="U217" i="22" s="1"/>
  <c r="O230" i="22" a="1"/>
  <c r="O230" i="22" s="1"/>
  <c r="L230" i="22"/>
  <c r="U230" i="22" s="1"/>
  <c r="O120" i="22" a="1"/>
  <c r="O120" i="22" s="1"/>
  <c r="L120" i="22"/>
  <c r="U120" i="22" s="1"/>
  <c r="O574" i="22" a="1"/>
  <c r="O574" i="22" s="1"/>
  <c r="L574" i="22"/>
  <c r="U574" i="22" s="1"/>
  <c r="O389" i="22" a="1"/>
  <c r="O389" i="22" s="1"/>
  <c r="L389" i="22"/>
  <c r="U389" i="22" s="1"/>
  <c r="L467" i="22"/>
  <c r="U467" i="22" s="1"/>
  <c r="O467" i="22" a="1"/>
  <c r="O467" i="22" s="1"/>
  <c r="O558" i="22" a="1"/>
  <c r="O558" i="22" s="1"/>
  <c r="L558" i="22"/>
  <c r="U558" i="22" s="1"/>
  <c r="O363" i="22" a="1"/>
  <c r="O363" i="22" s="1"/>
  <c r="L363" i="22"/>
  <c r="U363" i="22" s="1"/>
  <c r="O188" i="22" a="1"/>
  <c r="O188" i="22" s="1"/>
  <c r="L188" i="22"/>
  <c r="U188" i="22" s="1"/>
  <c r="O41" i="22" a="1"/>
  <c r="O41" i="22" s="1"/>
  <c r="L41" i="22"/>
  <c r="U41" i="22" s="1"/>
  <c r="O376" i="22" a="1"/>
  <c r="O376" i="22" s="1"/>
  <c r="L376" i="22"/>
  <c r="U376" i="22" s="1"/>
  <c r="L196" i="22"/>
  <c r="U196" i="22" s="1"/>
  <c r="O196" i="22" a="1"/>
  <c r="O196" i="22" s="1"/>
  <c r="L580" i="22"/>
  <c r="U580" i="22" s="1"/>
  <c r="O580" i="22" a="1"/>
  <c r="O580" i="22" s="1"/>
  <c r="O116" i="22" a="1"/>
  <c r="O116" i="22" s="1"/>
  <c r="L116" i="22"/>
  <c r="U116" i="22" s="1"/>
  <c r="O370" i="22" a="1"/>
  <c r="O370" i="22" s="1"/>
  <c r="L370" i="22"/>
  <c r="U370" i="22" s="1"/>
  <c r="O360" i="22" a="1"/>
  <c r="O360" i="22" s="1"/>
  <c r="L360" i="22"/>
  <c r="U360" i="22" s="1"/>
  <c r="O338" i="22" a="1"/>
  <c r="O338" i="22" s="1"/>
  <c r="L338" i="22"/>
  <c r="U338" i="22" s="1"/>
  <c r="O330" i="22" a="1"/>
  <c r="O330" i="22" s="1"/>
  <c r="L330" i="22"/>
  <c r="U330" i="22" s="1"/>
  <c r="O228" i="22" a="1"/>
  <c r="O228" i="22" s="1"/>
  <c r="L228" i="22"/>
  <c r="U228" i="22" s="1"/>
  <c r="O198" i="22" a="1"/>
  <c r="O198" i="22" s="1"/>
  <c r="L198" i="22"/>
  <c r="U198" i="22" s="1"/>
  <c r="O169" i="22" a="1"/>
  <c r="O169" i="22" s="1"/>
  <c r="L169" i="22"/>
  <c r="U169" i="22" s="1"/>
  <c r="O158" i="22" a="1"/>
  <c r="O158" i="22" s="1"/>
  <c r="L158" i="22"/>
  <c r="U158" i="22" s="1"/>
  <c r="L132" i="22"/>
  <c r="U132" i="22" s="1"/>
  <c r="O132" i="22" a="1"/>
  <c r="O132" i="22" s="1"/>
  <c r="O114" i="22" a="1"/>
  <c r="O114" i="22" s="1"/>
  <c r="L114" i="22"/>
  <c r="U114" i="22" s="1"/>
  <c r="L104" i="22"/>
  <c r="U104" i="22" s="1"/>
  <c r="O104" i="22" a="1"/>
  <c r="O104" i="22" s="1"/>
  <c r="O94" i="22" a="1"/>
  <c r="O94" i="22" s="1"/>
  <c r="L94" i="22"/>
  <c r="U94" i="22" s="1"/>
  <c r="O85" i="22" a="1"/>
  <c r="O85" i="22" s="1"/>
  <c r="L85" i="22"/>
  <c r="U85" i="22" s="1"/>
  <c r="O76" i="22" a="1"/>
  <c r="O76" i="22" s="1"/>
  <c r="L76" i="22"/>
  <c r="U76" i="22" s="1"/>
  <c r="O56" i="22" a="1"/>
  <c r="O56" i="22" s="1"/>
  <c r="L56" i="22"/>
  <c r="U56" i="22" s="1"/>
  <c r="O46" i="22" a="1"/>
  <c r="O46" i="22" s="1"/>
  <c r="L46" i="22"/>
  <c r="U46" i="22" s="1"/>
  <c r="O466" i="22" a="1"/>
  <c r="O466" i="22" s="1"/>
  <c r="L466" i="22"/>
  <c r="U466" i="22" s="1"/>
  <c r="L579" i="22"/>
  <c r="U579" i="22" s="1"/>
  <c r="O579" i="22" a="1"/>
  <c r="O579" i="22" s="1"/>
  <c r="O551" i="22" a="1"/>
  <c r="O551" i="22" s="1"/>
  <c r="L551" i="22"/>
  <c r="U551" i="22" s="1"/>
  <c r="O503" i="22" a="1"/>
  <c r="O503" i="22" s="1"/>
  <c r="L503" i="22"/>
  <c r="U503" i="22" s="1"/>
  <c r="O494" i="22" a="1"/>
  <c r="O494" i="22" s="1"/>
  <c r="L494" i="22"/>
  <c r="U494" i="22" s="1"/>
  <c r="O484" i="22" a="1"/>
  <c r="O484" i="22" s="1"/>
  <c r="L484" i="22"/>
  <c r="U484" i="22" s="1"/>
  <c r="O475" i="22" a="1"/>
  <c r="O475" i="22" s="1"/>
  <c r="L475" i="22"/>
  <c r="U475" i="22" s="1"/>
  <c r="L464" i="22"/>
  <c r="U464" i="22" s="1"/>
  <c r="O464" i="22" a="1"/>
  <c r="O464" i="22" s="1"/>
  <c r="O453" i="22" a="1"/>
  <c r="O453" i="22" s="1"/>
  <c r="L453" i="22"/>
  <c r="U453" i="22" s="1"/>
  <c r="O446" i="22" a="1"/>
  <c r="O446" i="22" s="1"/>
  <c r="L446" i="22"/>
  <c r="U446" i="22" s="1"/>
  <c r="O435" i="22" a="1"/>
  <c r="O435" i="22" s="1"/>
  <c r="L435" i="22"/>
  <c r="U435" i="22" s="1"/>
  <c r="O371" i="22" a="1"/>
  <c r="O371" i="22" s="1"/>
  <c r="L371" i="22"/>
  <c r="U371" i="22" s="1"/>
  <c r="O361" i="22" a="1"/>
  <c r="O361" i="22" s="1"/>
  <c r="L361" i="22"/>
  <c r="U361" i="22" s="1"/>
  <c r="O353" i="22" a="1"/>
  <c r="O353" i="22" s="1"/>
  <c r="L353" i="22"/>
  <c r="U353" i="22" s="1"/>
  <c r="O345" i="22" a="1"/>
  <c r="O345" i="22" s="1"/>
  <c r="L345" i="22"/>
  <c r="U345" i="22" s="1"/>
  <c r="O335" i="22" a="1"/>
  <c r="O335" i="22" s="1"/>
  <c r="L335" i="22"/>
  <c r="U335" i="22" s="1"/>
  <c r="O278" i="22" a="1"/>
  <c r="O278" i="22" s="1"/>
  <c r="L278" i="22"/>
  <c r="U278" i="22" s="1"/>
  <c r="O268" i="22" a="1"/>
  <c r="O268" i="22" s="1"/>
  <c r="L268" i="22"/>
  <c r="U268" i="22" s="1"/>
  <c r="O481" i="22" a="1"/>
  <c r="O481" i="22" s="1"/>
  <c r="L481" i="22"/>
  <c r="U481" i="22" s="1"/>
  <c r="O138" i="22" a="1"/>
  <c r="O138" i="22" s="1"/>
  <c r="L138" i="22"/>
  <c r="U138" i="22" s="1"/>
  <c r="O589" i="22" a="1"/>
  <c r="O589" i="22" s="1"/>
  <c r="L589" i="22"/>
  <c r="U589" i="22" s="1"/>
  <c r="L554" i="22"/>
  <c r="U554" i="22" s="1"/>
  <c r="O554" i="22" a="1"/>
  <c r="O554" i="22" s="1"/>
  <c r="O460" i="22" a="1"/>
  <c r="O460" i="22" s="1"/>
  <c r="L460" i="22"/>
  <c r="U460" i="22" s="1"/>
  <c r="O585" i="22" a="1"/>
  <c r="O585" i="22" s="1"/>
  <c r="L585" i="22"/>
  <c r="U585" i="22" s="1"/>
  <c r="L571" i="22"/>
  <c r="U571" i="22" s="1"/>
  <c r="O571" i="22" a="1"/>
  <c r="O571" i="22" s="1"/>
  <c r="O506" i="22" a="1"/>
  <c r="O506" i="22" s="1"/>
  <c r="L506" i="22"/>
  <c r="U506" i="22" s="1"/>
  <c r="L488" i="22"/>
  <c r="U488" i="22" s="1"/>
  <c r="O488" i="22" a="1"/>
  <c r="O488" i="22" s="1"/>
  <c r="O472" i="22" a="1"/>
  <c r="O472" i="22" s="1"/>
  <c r="L472" i="22"/>
  <c r="U472" i="22" s="1"/>
  <c r="O457" i="22" a="1"/>
  <c r="O457" i="22" s="1"/>
  <c r="L457" i="22"/>
  <c r="U457" i="22" s="1"/>
  <c r="L410" i="22"/>
  <c r="U410" i="22" s="1"/>
  <c r="O410" i="22" a="1"/>
  <c r="O410" i="22" s="1"/>
  <c r="O378" i="22" a="1"/>
  <c r="O378" i="22" s="1"/>
  <c r="L378" i="22"/>
  <c r="U378" i="22" s="1"/>
  <c r="O334" i="22" a="1"/>
  <c r="O334" i="22" s="1"/>
  <c r="L334" i="22"/>
  <c r="U334" i="22" s="1"/>
  <c r="O294" i="22" a="1"/>
  <c r="O294" i="22" s="1"/>
  <c r="L294" i="22"/>
  <c r="U294" i="22" s="1"/>
  <c r="O286" i="22" a="1"/>
  <c r="O286" i="22" s="1"/>
  <c r="L286" i="22"/>
  <c r="U286" i="22" s="1"/>
  <c r="O279" i="22" a="1"/>
  <c r="O279" i="22" s="1"/>
  <c r="L279" i="22"/>
  <c r="U279" i="22" s="1"/>
  <c r="L270" i="22"/>
  <c r="U270" i="22" s="1"/>
  <c r="O270" i="22" a="1"/>
  <c r="O270" i="22" s="1"/>
  <c r="L254" i="22"/>
  <c r="U254" i="22" s="1"/>
  <c r="O254" i="22" a="1"/>
  <c r="O254" i="22" s="1"/>
  <c r="L245" i="22"/>
  <c r="U245" i="22" s="1"/>
  <c r="O245" i="22" a="1"/>
  <c r="O245" i="22" s="1"/>
  <c r="O225" i="22" a="1"/>
  <c r="O225" i="22" s="1"/>
  <c r="L225" i="22"/>
  <c r="U225" i="22" s="1"/>
  <c r="O216" i="22" a="1"/>
  <c r="O216" i="22" s="1"/>
  <c r="L216" i="22"/>
  <c r="U216" i="22" s="1"/>
  <c r="O205" i="22" a="1"/>
  <c r="O205" i="22" s="1"/>
  <c r="L205" i="22"/>
  <c r="U205" i="22" s="1"/>
  <c r="O197" i="22" a="1"/>
  <c r="O197" i="22" s="1"/>
  <c r="L197" i="22"/>
  <c r="U197" i="22" s="1"/>
  <c r="L187" i="22"/>
  <c r="U187" i="22" s="1"/>
  <c r="O187" i="22" a="1"/>
  <c r="O187" i="22" s="1"/>
  <c r="O177" i="22" a="1"/>
  <c r="O177" i="22" s="1"/>
  <c r="L177" i="22"/>
  <c r="U177" i="22" s="1"/>
  <c r="O168" i="22" a="1"/>
  <c r="O168" i="22" s="1"/>
  <c r="L168" i="22"/>
  <c r="U168" i="22" s="1"/>
  <c r="O70" i="22" a="1"/>
  <c r="O70" i="22" s="1"/>
  <c r="L70" i="22"/>
  <c r="U70" i="22" s="1"/>
  <c r="O60" i="22" a="1"/>
  <c r="O60" i="22" s="1"/>
  <c r="L60" i="22"/>
  <c r="U60" i="22" s="1"/>
  <c r="O50" i="22" a="1"/>
  <c r="O50" i="22" s="1"/>
  <c r="L50" i="22"/>
  <c r="U50" i="22" s="1"/>
  <c r="O40" i="22" a="1"/>
  <c r="O40" i="22" s="1"/>
  <c r="L40" i="22"/>
  <c r="U40" i="22" s="1"/>
  <c r="O445" i="22" a="1"/>
  <c r="O445" i="22" s="1"/>
  <c r="L445" i="22"/>
  <c r="U445" i="22" s="1"/>
  <c r="O526" i="22" a="1"/>
  <c r="O526" i="22" s="1"/>
  <c r="L526" i="22"/>
  <c r="U526" i="22" s="1"/>
  <c r="L477" i="22"/>
  <c r="U477" i="22" s="1"/>
  <c r="O477" i="22" a="1"/>
  <c r="O477" i="22" s="1"/>
  <c r="O429" i="22" a="1"/>
  <c r="O429" i="22" s="1"/>
  <c r="L429" i="22"/>
  <c r="U429" i="22" s="1"/>
  <c r="L72" i="22"/>
  <c r="U72" i="22" s="1"/>
  <c r="O72" i="22" a="1"/>
  <c r="O72" i="22" s="1"/>
  <c r="O447" i="22" a="1"/>
  <c r="O447" i="22" s="1"/>
  <c r="L447" i="22"/>
  <c r="U447" i="22" s="1"/>
  <c r="L409" i="22"/>
  <c r="U409" i="22" s="1"/>
  <c r="O409" i="22" a="1"/>
  <c r="O409" i="22" s="1"/>
  <c r="L366" i="22"/>
  <c r="U366" i="22" s="1"/>
  <c r="O366" i="22" a="1"/>
  <c r="O366" i="22" s="1"/>
  <c r="O356" i="22" a="1"/>
  <c r="O356" i="22" s="1"/>
  <c r="L356" i="22"/>
  <c r="U356" i="22" s="1"/>
  <c r="O347" i="22" a="1"/>
  <c r="O347" i="22" s="1"/>
  <c r="L347" i="22"/>
  <c r="U347" i="22" s="1"/>
  <c r="L329" i="22"/>
  <c r="U329" i="22" s="1"/>
  <c r="O329" i="22" a="1"/>
  <c r="O329" i="22" s="1"/>
  <c r="O296" i="22" a="1"/>
  <c r="O296" i="22" s="1"/>
  <c r="L296" i="22"/>
  <c r="U296" i="22" s="1"/>
  <c r="O287" i="22" a="1"/>
  <c r="O287" i="22" s="1"/>
  <c r="L287" i="22"/>
  <c r="U287" i="22" s="1"/>
  <c r="O280" i="22" a="1"/>
  <c r="O280" i="22" s="1"/>
  <c r="L280" i="22"/>
  <c r="U280" i="22" s="1"/>
  <c r="L261" i="22"/>
  <c r="U261" i="22" s="1"/>
  <c r="O261" i="22" a="1"/>
  <c r="O261" i="22" s="1"/>
  <c r="O252" i="22" a="1"/>
  <c r="O252" i="22" s="1"/>
  <c r="L252" i="22"/>
  <c r="U252" i="22" s="1"/>
  <c r="L244" i="22"/>
  <c r="U244" i="22" s="1"/>
  <c r="O244" i="22" a="1"/>
  <c r="O244" i="22" s="1"/>
  <c r="L235" i="22"/>
  <c r="U235" i="22" s="1"/>
  <c r="O235" i="22" a="1"/>
  <c r="O235" i="22" s="1"/>
  <c r="O202" i="22" a="1"/>
  <c r="O202" i="22" s="1"/>
  <c r="L202" i="22"/>
  <c r="U202" i="22" s="1"/>
  <c r="O193" i="22" a="1"/>
  <c r="O193" i="22" s="1"/>
  <c r="L193" i="22"/>
  <c r="U193" i="22" s="1"/>
  <c r="L537" i="22"/>
  <c r="U537" i="22" s="1"/>
  <c r="O537" i="22" a="1"/>
  <c r="O537" i="22" s="1"/>
  <c r="O434" i="22" a="1"/>
  <c r="O434" i="22" s="1"/>
  <c r="L434" i="22"/>
  <c r="U434" i="22" s="1"/>
  <c r="L323" i="22"/>
  <c r="U323" i="22" s="1"/>
  <c r="O323" i="22" a="1"/>
  <c r="O323" i="22" s="1"/>
  <c r="O203" i="22" a="1"/>
  <c r="O203" i="22" s="1"/>
  <c r="L203" i="22"/>
  <c r="U203" i="22" s="1"/>
  <c r="O194" i="22" a="1"/>
  <c r="O194" i="22" s="1"/>
  <c r="L194" i="22"/>
  <c r="U194" i="22" s="1"/>
  <c r="O183" i="22" a="1"/>
  <c r="O183" i="22" s="1"/>
  <c r="L183" i="22"/>
  <c r="U183" i="22" s="1"/>
  <c r="O174" i="22" a="1"/>
  <c r="O174" i="22" s="1"/>
  <c r="L174" i="22"/>
  <c r="U174" i="22" s="1"/>
  <c r="O165" i="22" a="1"/>
  <c r="O165" i="22" s="1"/>
  <c r="L165" i="22"/>
  <c r="U165" i="22" s="1"/>
  <c r="O155" i="22" a="1"/>
  <c r="O155" i="22" s="1"/>
  <c r="L155" i="22"/>
  <c r="U155" i="22" s="1"/>
  <c r="O145" i="22" a="1"/>
  <c r="O145" i="22" s="1"/>
  <c r="L145" i="22"/>
  <c r="U145" i="22" s="1"/>
  <c r="O135" i="22" a="1"/>
  <c r="O135" i="22" s="1"/>
  <c r="L135" i="22"/>
  <c r="U135" i="22" s="1"/>
  <c r="O125" i="22" a="1"/>
  <c r="O125" i="22" s="1"/>
  <c r="L125" i="22"/>
  <c r="U125" i="22" s="1"/>
  <c r="O115" i="22" a="1"/>
  <c r="O115" i="22" s="1"/>
  <c r="L115" i="22"/>
  <c r="U115" i="22" s="1"/>
  <c r="O106" i="22" a="1"/>
  <c r="O106" i="22" s="1"/>
  <c r="L106" i="22"/>
  <c r="U106" i="22" s="1"/>
  <c r="O95" i="22" a="1"/>
  <c r="O95" i="22" s="1"/>
  <c r="L95" i="22"/>
  <c r="U95" i="22" s="1"/>
  <c r="O86" i="22" a="1"/>
  <c r="O86" i="22" s="1"/>
  <c r="L86" i="22"/>
  <c r="U86" i="22" s="1"/>
  <c r="O77" i="22" a="1"/>
  <c r="O77" i="22" s="1"/>
  <c r="L77" i="22"/>
  <c r="U77" i="22" s="1"/>
  <c r="O66" i="22" a="1"/>
  <c r="O66" i="22" s="1"/>
  <c r="L66" i="22"/>
  <c r="U66" i="22" s="1"/>
  <c r="O58" i="22" a="1"/>
  <c r="O58" i="22" s="1"/>
  <c r="L58" i="22"/>
  <c r="U58" i="22" s="1"/>
  <c r="O48" i="22" a="1"/>
  <c r="O48" i="22" s="1"/>
  <c r="L48" i="22"/>
  <c r="U48" i="22" s="1"/>
  <c r="O507" i="22" a="1"/>
  <c r="O507" i="22" s="1"/>
  <c r="L507" i="22"/>
  <c r="U507" i="22" s="1"/>
  <c r="L489" i="22"/>
  <c r="U489" i="22" s="1"/>
  <c r="O489" i="22" a="1"/>
  <c r="O489" i="22" s="1"/>
  <c r="O471" i="22" a="1"/>
  <c r="O471" i="22" s="1"/>
  <c r="L471" i="22"/>
  <c r="U471" i="22" s="1"/>
  <c r="L454" i="22"/>
  <c r="U454" i="22" s="1"/>
  <c r="O454" i="22" a="1"/>
  <c r="O454" i="22" s="1"/>
  <c r="L437" i="22"/>
  <c r="U437" i="22" s="1"/>
  <c r="O437" i="22" a="1"/>
  <c r="O437" i="22" s="1"/>
  <c r="O420" i="22" a="1"/>
  <c r="O420" i="22" s="1"/>
  <c r="L420" i="22"/>
  <c r="U420" i="22" s="1"/>
  <c r="O388" i="22" a="1"/>
  <c r="O388" i="22" s="1"/>
  <c r="L388" i="22"/>
  <c r="U388" i="22" s="1"/>
  <c r="O374" i="22" a="1"/>
  <c r="O374" i="22" s="1"/>
  <c r="L374" i="22"/>
  <c r="U374" i="22" s="1"/>
  <c r="O358" i="22" a="1"/>
  <c r="O358" i="22" s="1"/>
  <c r="L358" i="22"/>
  <c r="U358" i="22" s="1"/>
  <c r="O341" i="22" a="1"/>
  <c r="O341" i="22" s="1"/>
  <c r="L341" i="22"/>
  <c r="U341" i="22" s="1"/>
  <c r="O326" i="22" a="1"/>
  <c r="O326" i="22" s="1"/>
  <c r="L326" i="22"/>
  <c r="U326" i="22" s="1"/>
  <c r="L311" i="22"/>
  <c r="U311" i="22" s="1"/>
  <c r="O311" i="22" a="1"/>
  <c r="O311" i="22" s="1"/>
  <c r="O295" i="22" a="1"/>
  <c r="O295" i="22" s="1"/>
  <c r="L295" i="22"/>
  <c r="U295" i="22" s="1"/>
  <c r="O375" i="22" a="1"/>
  <c r="O375" i="22" s="1"/>
  <c r="L375" i="22"/>
  <c r="U375" i="22" s="1"/>
  <c r="O575" i="22" a="1"/>
  <c r="O575" i="22" s="1"/>
  <c r="L575" i="22"/>
  <c r="U575" i="22" s="1"/>
  <c r="O567" i="22" a="1"/>
  <c r="O567" i="22" s="1"/>
  <c r="L567" i="22"/>
  <c r="U567" i="22" s="1"/>
  <c r="L557" i="22"/>
  <c r="U557" i="22" s="1"/>
  <c r="O557" i="22" a="1"/>
  <c r="O557" i="22" s="1"/>
  <c r="L549" i="22"/>
  <c r="U549" i="22" s="1"/>
  <c r="O549" i="22" a="1"/>
  <c r="O549" i="22" s="1"/>
  <c r="O541" i="22" a="1"/>
  <c r="O541" i="22" s="1"/>
  <c r="L541" i="22"/>
  <c r="U541" i="22" s="1"/>
  <c r="O533" i="22" a="1"/>
  <c r="O533" i="22" s="1"/>
  <c r="L533" i="22"/>
  <c r="U533" i="22" s="1"/>
  <c r="L524" i="22"/>
  <c r="U524" i="22" s="1"/>
  <c r="O524" i="22" a="1"/>
  <c r="O524" i="22" s="1"/>
  <c r="L515" i="22"/>
  <c r="U515" i="22" s="1"/>
  <c r="O515" i="22" a="1"/>
  <c r="O515" i="22" s="1"/>
  <c r="O497" i="22" a="1"/>
  <c r="O497" i="22" s="1"/>
  <c r="L497" i="22"/>
  <c r="U497" i="22" s="1"/>
  <c r="O479" i="22" a="1"/>
  <c r="O479" i="22" s="1"/>
  <c r="L479" i="22"/>
  <c r="U479" i="22" s="1"/>
  <c r="L462" i="22"/>
  <c r="U462" i="22" s="1"/>
  <c r="O462" i="22" a="1"/>
  <c r="O462" i="22" s="1"/>
  <c r="O396" i="22" a="1"/>
  <c r="O396" i="22" s="1"/>
  <c r="L396" i="22"/>
  <c r="U396" i="22" s="1"/>
  <c r="L381" i="22"/>
  <c r="U381" i="22" s="1"/>
  <c r="O381" i="22" a="1"/>
  <c r="O381" i="22" s="1"/>
  <c r="O367" i="22" a="1"/>
  <c r="O367" i="22" s="1"/>
  <c r="L367" i="22"/>
  <c r="U367" i="22" s="1"/>
  <c r="O351" i="22" a="1"/>
  <c r="O351" i="22" s="1"/>
  <c r="L351" i="22"/>
  <c r="U351" i="22" s="1"/>
  <c r="O317" i="22" a="1"/>
  <c r="O317" i="22" s="1"/>
  <c r="L317" i="22"/>
  <c r="U317" i="22" s="1"/>
  <c r="O302" i="22" a="1"/>
  <c r="O302" i="22" s="1"/>
  <c r="L302" i="22"/>
  <c r="U302" i="22" s="1"/>
  <c r="O288" i="22" a="1"/>
  <c r="O288" i="22" s="1"/>
  <c r="L288" i="22"/>
  <c r="U288" i="22" s="1"/>
  <c r="O282" i="22" a="1"/>
  <c r="O282" i="22" s="1"/>
  <c r="L282" i="22"/>
  <c r="U282" i="22" s="1"/>
  <c r="O274" i="22" a="1"/>
  <c r="O274" i="22" s="1"/>
  <c r="L274" i="22"/>
  <c r="U274" i="22" s="1"/>
  <c r="O545" i="22" a="1"/>
  <c r="O545" i="22" s="1"/>
  <c r="L545" i="22"/>
  <c r="U545" i="22" s="1"/>
  <c r="L212" i="22"/>
  <c r="U212" i="22" s="1"/>
  <c r="O212" i="22" a="1"/>
  <c r="O212" i="22" s="1"/>
  <c r="L478" i="22"/>
  <c r="U478" i="22" s="1"/>
  <c r="O478" i="22" a="1"/>
  <c r="O478" i="22" s="1"/>
  <c r="O349" i="22" a="1"/>
  <c r="O349" i="22" s="1"/>
  <c r="L349" i="22"/>
  <c r="U349" i="22" s="1"/>
  <c r="O498" i="22" a="1"/>
  <c r="O498" i="22" s="1"/>
  <c r="L498" i="22"/>
  <c r="U498" i="22" s="1"/>
  <c r="L159" i="22"/>
  <c r="U159" i="22" s="1"/>
  <c r="O159" i="22" a="1"/>
  <c r="O159" i="22" s="1"/>
  <c r="L179" i="22"/>
  <c r="U179" i="22" s="1"/>
  <c r="O179" i="22" a="1"/>
  <c r="O179" i="22" s="1"/>
  <c r="O459" i="22" a="1"/>
  <c r="O459" i="22" s="1"/>
  <c r="L459" i="22"/>
  <c r="U459" i="22" s="1"/>
  <c r="O332" i="22" a="1"/>
  <c r="O332" i="22" s="1"/>
  <c r="L332" i="22"/>
  <c r="U332" i="22" s="1"/>
  <c r="O264" i="22" a="1"/>
  <c r="O264" i="22" s="1"/>
  <c r="L264" i="22"/>
  <c r="U264" i="22" s="1"/>
  <c r="O156" i="22" a="1"/>
  <c r="O156" i="22" s="1"/>
  <c r="L156" i="22"/>
  <c r="U156" i="22" s="1"/>
  <c r="O81" i="22" a="1"/>
  <c r="O81" i="22" s="1"/>
  <c r="L81" i="22"/>
  <c r="U81" i="22" s="1"/>
  <c r="O511" i="22" a="1"/>
  <c r="O511" i="22" s="1"/>
  <c r="L511" i="22"/>
  <c r="U511" i="22" s="1"/>
  <c r="O415" i="22" a="1"/>
  <c r="O415" i="22" s="1"/>
  <c r="L415" i="22"/>
  <c r="U415" i="22" s="1"/>
  <c r="L322" i="22"/>
  <c r="U322" i="22" s="1"/>
  <c r="O322" i="22" a="1"/>
  <c r="O322" i="22" s="1"/>
  <c r="O266" i="22" a="1"/>
  <c r="O266" i="22" s="1"/>
  <c r="L266" i="22"/>
  <c r="U266" i="22" s="1"/>
  <c r="L173" i="22"/>
  <c r="U173" i="22" s="1"/>
  <c r="O173" i="22" a="1"/>
  <c r="O173" i="22" s="1"/>
  <c r="O122" i="22" a="1"/>
  <c r="O122" i="22" s="1"/>
  <c r="L122" i="22"/>
  <c r="U122" i="22" s="1"/>
  <c r="O112" i="22" a="1"/>
  <c r="O112" i="22" s="1"/>
  <c r="L112" i="22"/>
  <c r="U112" i="22" s="1"/>
  <c r="L102" i="22"/>
  <c r="U102" i="22" s="1"/>
  <c r="O102" i="22" a="1"/>
  <c r="O102" i="22" s="1"/>
  <c r="O92" i="22" a="1"/>
  <c r="O92" i="22" s="1"/>
  <c r="L92" i="22"/>
  <c r="U92" i="22" s="1"/>
  <c r="O82" i="22" a="1"/>
  <c r="O82" i="22" s="1"/>
  <c r="L82" i="22"/>
  <c r="U82" i="22" s="1"/>
  <c r="O73" i="22" a="1"/>
  <c r="O73" i="22" s="1"/>
  <c r="L73" i="22"/>
  <c r="U73" i="22" s="1"/>
  <c r="L64" i="22"/>
  <c r="U64" i="22" s="1"/>
  <c r="O64" i="22" a="1"/>
  <c r="O64" i="22" s="1"/>
  <c r="O55" i="22" a="1"/>
  <c r="O55" i="22" s="1"/>
  <c r="L55" i="22"/>
  <c r="U55" i="22" s="1"/>
  <c r="L44" i="22"/>
  <c r="U44" i="22" s="1"/>
  <c r="O44" i="22" a="1"/>
  <c r="O44" i="22" s="1"/>
  <c r="O99" i="22" a="1"/>
  <c r="O99" i="22" s="1"/>
  <c r="L99" i="22"/>
  <c r="U99" i="22" s="1"/>
  <c r="L502" i="22"/>
  <c r="U502" i="22" s="1"/>
  <c r="O502" i="22" a="1"/>
  <c r="O502" i="22" s="1"/>
  <c r="O247" i="22" a="1"/>
  <c r="O247" i="22" s="1"/>
  <c r="L247" i="22"/>
  <c r="U247" i="22" s="1"/>
  <c r="O137" i="22" a="1"/>
  <c r="O137" i="22" s="1"/>
  <c r="L137" i="22"/>
  <c r="U137" i="22" s="1"/>
  <c r="O583" i="22" a="1"/>
  <c r="O583" i="22" s="1"/>
  <c r="L583" i="22"/>
  <c r="U583" i="22" s="1"/>
  <c r="O476" i="22" a="1"/>
  <c r="O476" i="22" s="1"/>
  <c r="L476" i="22"/>
  <c r="U476" i="22" s="1"/>
  <c r="L372" i="22"/>
  <c r="U372" i="22" s="1"/>
  <c r="O372" i="22" a="1"/>
  <c r="O372" i="22" s="1"/>
  <c r="O292" i="22" a="1"/>
  <c r="O292" i="22" s="1"/>
  <c r="L292" i="22"/>
  <c r="U292" i="22" s="1"/>
  <c r="O182" i="22" a="1"/>
  <c r="O182" i="22" s="1"/>
  <c r="L182" i="22"/>
  <c r="U182" i="22" s="1"/>
  <c r="L444" i="22"/>
  <c r="U444" i="22" s="1"/>
  <c r="O444" i="22" a="1"/>
  <c r="O444" i="22" s="1"/>
  <c r="L117" i="22"/>
  <c r="U117" i="22" s="1"/>
  <c r="O117" i="22" a="1"/>
  <c r="O117" i="22" s="1"/>
  <c r="O587" i="22" a="1"/>
  <c r="O587" i="22" s="1"/>
  <c r="L587" i="22"/>
  <c r="U587" i="22" s="1"/>
  <c r="O232" i="22" a="1"/>
  <c r="O232" i="22" s="1"/>
  <c r="L232" i="22"/>
  <c r="U232" i="22" s="1"/>
  <c r="O47" i="22" a="1"/>
  <c r="O47" i="22" s="1"/>
  <c r="L47" i="22"/>
  <c r="U47" i="22" s="1"/>
  <c r="O78" i="22" a="1"/>
  <c r="O78" i="22" s="1"/>
  <c r="L78" i="22"/>
  <c r="U78" i="22" s="1"/>
  <c r="O184" i="22" a="1"/>
  <c r="O184" i="22" s="1"/>
  <c r="L184" i="22"/>
  <c r="U184" i="22" s="1"/>
  <c r="O61" i="22" a="1"/>
  <c r="O61" i="22" s="1"/>
  <c r="L61" i="22"/>
  <c r="U61" i="22" s="1"/>
  <c r="O495" i="22" a="1"/>
  <c r="O495" i="22" s="1"/>
  <c r="L495" i="22"/>
  <c r="U495" i="22" s="1"/>
  <c r="L211" i="22"/>
  <c r="U211" i="22" s="1"/>
  <c r="O211" i="22" a="1"/>
  <c r="O211" i="22" s="1"/>
  <c r="L505" i="22"/>
  <c r="U505" i="22" s="1"/>
  <c r="O505" i="22" a="1"/>
  <c r="O505" i="22" s="1"/>
  <c r="O290" i="22" a="1"/>
  <c r="O290" i="22" s="1"/>
  <c r="L290" i="22"/>
  <c r="U290" i="22" s="1"/>
  <c r="O105" i="22" a="1"/>
  <c r="O105" i="22" s="1"/>
  <c r="L105" i="22"/>
  <c r="U105" i="22" s="1"/>
  <c r="O527" i="22" a="1"/>
  <c r="O527" i="22" s="1"/>
  <c r="L527" i="22"/>
  <c r="U527" i="22" s="1"/>
  <c r="O149" i="22" a="1"/>
  <c r="O149" i="22" s="1"/>
  <c r="L149" i="22"/>
  <c r="U149" i="22" s="1"/>
  <c r="O98" i="22" a="1"/>
  <c r="O98" i="22" s="1"/>
  <c r="L98" i="22"/>
  <c r="U98" i="22" s="1"/>
  <c r="O469" i="22" a="1"/>
  <c r="O469" i="22" s="1"/>
  <c r="L469" i="22"/>
  <c r="U469" i="22" s="1"/>
  <c r="L357" i="22"/>
  <c r="U357" i="22" s="1"/>
  <c r="O357" i="22" a="1"/>
  <c r="O357" i="22" s="1"/>
  <c r="L240" i="22"/>
  <c r="U240" i="22" s="1"/>
  <c r="O240" i="22" a="1"/>
  <c r="O240" i="22" s="1"/>
  <c r="O147" i="22" a="1"/>
  <c r="O147" i="22" s="1"/>
  <c r="L147" i="22"/>
  <c r="U147" i="22" s="1"/>
  <c r="O500" i="22" a="1"/>
  <c r="O500" i="22" s="1"/>
  <c r="L500" i="22"/>
  <c r="U500" i="22" s="1"/>
  <c r="O406" i="22" a="1"/>
  <c r="O406" i="22" s="1"/>
  <c r="L406" i="22"/>
  <c r="U406" i="22" s="1"/>
  <c r="L315" i="22"/>
  <c r="U315" i="22" s="1"/>
  <c r="O315" i="22" a="1"/>
  <c r="O315" i="22" s="1"/>
  <c r="L220" i="22"/>
  <c r="U220" i="22" s="1"/>
  <c r="O220" i="22" a="1"/>
  <c r="O220" i="22" s="1"/>
  <c r="O131" i="22" a="1"/>
  <c r="O131" i="22" s="1"/>
  <c r="L131" i="22"/>
  <c r="U131" i="22" s="1"/>
  <c r="O88" i="22" a="1"/>
  <c r="O88" i="22" s="1"/>
  <c r="L88" i="22"/>
  <c r="U88" i="22" s="1"/>
  <c r="O530" i="22" a="1"/>
  <c r="O530" i="22" s="1"/>
  <c r="L530" i="22"/>
  <c r="U530" i="22" s="1"/>
  <c r="O391" i="22" a="1"/>
  <c r="O391" i="22" s="1"/>
  <c r="L391" i="22"/>
  <c r="U391" i="22" s="1"/>
  <c r="O263" i="22" a="1"/>
  <c r="O263" i="22" s="1"/>
  <c r="L263" i="22"/>
  <c r="U263" i="22" s="1"/>
  <c r="L258" i="22"/>
  <c r="U258" i="22" s="1"/>
  <c r="O258" i="22" a="1"/>
  <c r="O258" i="22" s="1"/>
  <c r="O128" i="22" a="1"/>
  <c r="O128" i="22" s="1"/>
  <c r="L128" i="22"/>
  <c r="U128" i="22" s="1"/>
  <c r="L565" i="22"/>
  <c r="U565" i="22" s="1"/>
  <c r="O565" i="22" a="1"/>
  <c r="O565" i="22" s="1"/>
  <c r="O458" i="22" a="1"/>
  <c r="O458" i="22" s="1"/>
  <c r="L458" i="22"/>
  <c r="U458" i="22" s="1"/>
  <c r="O364" i="22" a="1"/>
  <c r="O364" i="22" s="1"/>
  <c r="L364" i="22"/>
  <c r="U364" i="22" s="1"/>
  <c r="O259" i="22" a="1"/>
  <c r="O259" i="22" s="1"/>
  <c r="L259" i="22"/>
  <c r="U259" i="22" s="1"/>
  <c r="O544" i="22" a="1"/>
  <c r="O544" i="22" s="1"/>
  <c r="L544" i="22"/>
  <c r="U544" i="22" s="1"/>
  <c r="L207" i="22"/>
  <c r="U207" i="22" s="1"/>
  <c r="O207" i="22" a="1"/>
  <c r="O207" i="22" s="1"/>
  <c r="L539" i="22"/>
  <c r="U539" i="22" s="1"/>
  <c r="O539" i="22" a="1"/>
  <c r="O539" i="22" s="1"/>
  <c r="O344" i="22" a="1"/>
  <c r="O344" i="22" s="1"/>
  <c r="L344" i="22"/>
  <c r="U344" i="22" s="1"/>
  <c r="O167" i="22" a="1"/>
  <c r="O167" i="22" s="1"/>
  <c r="L167" i="22"/>
  <c r="U167" i="22" s="1"/>
  <c r="O586" i="22" a="1"/>
  <c r="O586" i="22" s="1"/>
  <c r="L586" i="22"/>
  <c r="U586" i="22" s="1"/>
  <c r="L359" i="22"/>
  <c r="U359" i="22" s="1"/>
  <c r="O359" i="22" a="1"/>
  <c r="O359" i="22" s="1"/>
  <c r="L175" i="22"/>
  <c r="U175" i="22" s="1"/>
  <c r="O175" i="22" a="1"/>
  <c r="O175" i="22" s="1"/>
  <c r="O483" i="22" a="1"/>
  <c r="O483" i="22" s="1"/>
  <c r="L483" i="22"/>
  <c r="U483" i="22" s="1"/>
  <c r="L325" i="22"/>
  <c r="U325" i="22" s="1"/>
  <c r="O325" i="22" a="1"/>
  <c r="O325" i="22" s="1"/>
  <c r="L164" i="22"/>
  <c r="U164" i="22" s="1"/>
  <c r="O164" i="22" a="1"/>
  <c r="O164" i="22" s="1"/>
  <c r="L39" i="22"/>
  <c r="U39" i="22" s="1"/>
  <c r="O39" i="22" a="1"/>
  <c r="O39" i="22" s="1"/>
  <c r="O93" i="22" a="1"/>
  <c r="O93" i="22" s="1"/>
  <c r="L93" i="22"/>
  <c r="U93" i="22" s="1"/>
  <c r="O555" i="22" a="1"/>
  <c r="O555" i="22" s="1"/>
  <c r="L555" i="22"/>
  <c r="U555" i="22" s="1"/>
  <c r="O425" i="22" a="1"/>
  <c r="O425" i="22" s="1"/>
  <c r="L425" i="22"/>
  <c r="U425" i="22" s="1"/>
  <c r="O281" i="22" a="1"/>
  <c r="O281" i="22" s="1"/>
  <c r="L281" i="22"/>
  <c r="U281" i="22" s="1"/>
  <c r="O348" i="22" a="1"/>
  <c r="O348" i="22" s="1"/>
  <c r="L348" i="22"/>
  <c r="U348" i="22" s="1"/>
  <c r="O162" i="22" a="1"/>
  <c r="O162" i="22" s="1"/>
  <c r="L162" i="22"/>
  <c r="U162" i="22" s="1"/>
  <c r="O75" i="22" a="1"/>
  <c r="O75" i="22" s="1"/>
  <c r="L75" i="22"/>
  <c r="U75" i="22" s="1"/>
  <c r="L480" i="22"/>
  <c r="U480" i="22" s="1"/>
  <c r="O480" i="22" a="1"/>
  <c r="O480" i="22" s="1"/>
  <c r="L271" i="22"/>
  <c r="U271" i="22" s="1"/>
  <c r="O271" i="22" a="1"/>
  <c r="O271" i="22" s="1"/>
  <c r="O470" i="22" a="1"/>
  <c r="O470" i="22" s="1"/>
  <c r="L470" i="22"/>
  <c r="U470" i="22" s="1"/>
  <c r="O134" i="22" a="1"/>
  <c r="O134" i="22" s="1"/>
  <c r="L134" i="22"/>
  <c r="U134" i="22" s="1"/>
  <c r="O272" i="22" a="1"/>
  <c r="O272" i="22" s="1"/>
  <c r="L272" i="22"/>
  <c r="U272" i="22" s="1"/>
  <c r="L97" i="22"/>
  <c r="U97" i="22" s="1"/>
  <c r="O97" i="22" a="1"/>
  <c r="O97" i="22" s="1"/>
  <c r="O416" i="22" a="1"/>
  <c r="O416" i="22" s="1"/>
  <c r="L416" i="22"/>
  <c r="U416" i="22" s="1"/>
  <c r="O273" i="22" a="1"/>
  <c r="O273" i="22" s="1"/>
  <c r="L273" i="22"/>
  <c r="U273" i="22" s="1"/>
  <c r="O166" i="22" a="1"/>
  <c r="O166" i="22" s="1"/>
  <c r="L166" i="22"/>
  <c r="U166" i="22" s="1"/>
  <c r="O52" i="22" a="1"/>
  <c r="O52" i="22" s="1"/>
  <c r="L52" i="22"/>
  <c r="U52" i="22" s="1"/>
  <c r="O546" i="22" a="1"/>
  <c r="O546" i="22" s="1"/>
  <c r="L546" i="22"/>
  <c r="U546" i="22" s="1"/>
  <c r="O450" i="22" a="1"/>
  <c r="O450" i="22" s="1"/>
  <c r="L450" i="22"/>
  <c r="U450" i="22" s="1"/>
  <c r="O355" i="22" a="1"/>
  <c r="O355" i="22" s="1"/>
  <c r="L355" i="22"/>
  <c r="U355" i="22" s="1"/>
  <c r="L241" i="22"/>
  <c r="U241" i="22" s="1"/>
  <c r="O241" i="22" a="1"/>
  <c r="O241" i="22" s="1"/>
  <c r="O285" i="22" a="1"/>
  <c r="O285" i="22" s="1"/>
  <c r="L285" i="22"/>
  <c r="U285" i="22" s="1"/>
  <c r="O96" i="22" a="1"/>
  <c r="O96" i="22" s="1"/>
  <c r="L96" i="22"/>
  <c r="U96" i="22" s="1"/>
  <c r="O499" i="22" a="1"/>
  <c r="O499" i="22" s="1"/>
  <c r="L499" i="22"/>
  <c r="U499" i="22" s="1"/>
  <c r="L306" i="22"/>
  <c r="U306" i="22" s="1"/>
  <c r="O306" i="22" a="1"/>
  <c r="O306" i="22" s="1"/>
  <c r="O126" i="22" a="1"/>
  <c r="O126" i="22" s="1"/>
  <c r="L126" i="22"/>
  <c r="U126" i="22" s="1"/>
  <c r="L490" i="22"/>
  <c r="U490" i="22" s="1"/>
  <c r="O490" i="22" a="1"/>
  <c r="O490" i="22" s="1"/>
  <c r="M39" i="22" a="1"/>
  <c r="V106" i="22" l="1"/>
  <c r="W106" i="22" s="1"/>
  <c r="Y106" i="22" s="1"/>
  <c r="V208" i="22"/>
  <c r="W208" i="22" s="1"/>
  <c r="Y208" i="22" s="1"/>
  <c r="V266" i="22"/>
  <c r="W266" i="22" s="1"/>
  <c r="Y266" i="22" s="1"/>
  <c r="V482" i="22"/>
  <c r="W482" i="22" s="1"/>
  <c r="Y482" i="22" s="1"/>
  <c r="V66" i="22"/>
  <c r="W66" i="22" s="1"/>
  <c r="V119" i="22"/>
  <c r="W119" i="22" s="1"/>
  <c r="Y119" i="22" s="1"/>
  <c r="V377" i="22"/>
  <c r="W377" i="22" s="1"/>
  <c r="Y377" i="22" s="1"/>
  <c r="V479" i="22"/>
  <c r="W479" i="22" s="1"/>
  <c r="Y479" i="22" s="1"/>
  <c r="V89" i="22"/>
  <c r="W89" i="22" s="1"/>
  <c r="Y89" i="22" s="1"/>
  <c r="V96" i="22"/>
  <c r="W96" i="22" s="1"/>
  <c r="Y96" i="22" s="1"/>
  <c r="V224" i="22"/>
  <c r="W224" i="22" s="1"/>
  <c r="Y224" i="22" s="1"/>
  <c r="V233" i="22"/>
  <c r="W233" i="22" s="1"/>
  <c r="Y233" i="22" s="1"/>
  <c r="V122" i="22"/>
  <c r="W122" i="22" s="1"/>
  <c r="Y122" i="22" s="1"/>
  <c r="V337" i="22"/>
  <c r="W337" i="22" s="1"/>
  <c r="Y337" i="22" s="1"/>
  <c r="V340" i="22"/>
  <c r="W340" i="22" s="1"/>
  <c r="Y340" i="22" s="1"/>
  <c r="V347" i="22"/>
  <c r="W347" i="22" s="1"/>
  <c r="Y347" i="22" s="1"/>
  <c r="V351" i="22"/>
  <c r="W351" i="22" s="1"/>
  <c r="Y351" i="22" s="1"/>
  <c r="V451" i="22"/>
  <c r="W451" i="22" s="1"/>
  <c r="Y451" i="22" s="1"/>
  <c r="V216" i="22"/>
  <c r="W216" i="22" s="1"/>
  <c r="Y216" i="22" s="1"/>
  <c r="V221" i="22"/>
  <c r="W221" i="22" s="1"/>
  <c r="Y221" i="22" s="1"/>
  <c r="V225" i="22"/>
  <c r="W225" i="22" s="1"/>
  <c r="Y225" i="22" s="1"/>
  <c r="V230" i="22"/>
  <c r="W230" i="22" s="1"/>
  <c r="Y230" i="22" s="1"/>
  <c r="V234" i="22"/>
  <c r="W234" i="22" s="1"/>
  <c r="Y234" i="22" s="1"/>
  <c r="V239" i="22"/>
  <c r="W239" i="22" s="1"/>
  <c r="Y239" i="22" s="1"/>
  <c r="V338" i="22"/>
  <c r="W338" i="22" s="1"/>
  <c r="Y338" i="22" s="1"/>
  <c r="V424" i="22"/>
  <c r="W424" i="22" s="1"/>
  <c r="Y424" i="22" s="1"/>
  <c r="V489" i="22"/>
  <c r="W489" i="22" s="1"/>
  <c r="Y489" i="22" s="1"/>
  <c r="V253" i="22"/>
  <c r="W253" i="22" s="1"/>
  <c r="Y253" i="22" s="1"/>
  <c r="V410" i="22"/>
  <c r="W410" i="22" s="1"/>
  <c r="Y410" i="22" s="1"/>
  <c r="V481" i="22"/>
  <c r="W481" i="22" s="1"/>
  <c r="Y481" i="22" s="1"/>
  <c r="V413" i="22"/>
  <c r="W413" i="22" s="1"/>
  <c r="Y413" i="22" s="1"/>
  <c r="V141" i="22"/>
  <c r="W141" i="22" s="1"/>
  <c r="Y141" i="22" s="1"/>
  <c r="V157" i="22"/>
  <c r="W157" i="22" s="1"/>
  <c r="Y157" i="22" s="1"/>
  <c r="V207" i="22"/>
  <c r="W207" i="22" s="1"/>
  <c r="Y207" i="22" s="1"/>
  <c r="V217" i="22"/>
  <c r="W217" i="22" s="1"/>
  <c r="Y217" i="22" s="1"/>
  <c r="V229" i="22"/>
  <c r="W229" i="22" s="1"/>
  <c r="Y229" i="22" s="1"/>
  <c r="V237" i="22"/>
  <c r="W237" i="22" s="1"/>
  <c r="Y237" i="22" s="1"/>
  <c r="V247" i="22"/>
  <c r="W247" i="22" s="1"/>
  <c r="Y247" i="22" s="1"/>
  <c r="V469" i="22"/>
  <c r="W469" i="22" s="1"/>
  <c r="Y469" i="22" s="1"/>
  <c r="V104" i="22"/>
  <c r="W104" i="22" s="1"/>
  <c r="Y104" i="22" s="1"/>
  <c r="V112" i="22"/>
  <c r="W112" i="22" s="1"/>
  <c r="Y112" i="22" s="1"/>
  <c r="V252" i="22"/>
  <c r="W252" i="22" s="1"/>
  <c r="Y252" i="22" s="1"/>
  <c r="V261" i="22"/>
  <c r="W261" i="22" s="1"/>
  <c r="Y261" i="22" s="1"/>
  <c r="V466" i="22"/>
  <c r="W466" i="22" s="1"/>
  <c r="Y466" i="22" s="1"/>
  <c r="V108" i="22"/>
  <c r="W108" i="22" s="1"/>
  <c r="Y108" i="22" s="1"/>
  <c r="V263" i="22"/>
  <c r="W263" i="22" s="1"/>
  <c r="Y263" i="22" s="1"/>
  <c r="V269" i="22"/>
  <c r="W269" i="22" s="1"/>
  <c r="Y269" i="22" s="1"/>
  <c r="V327" i="22"/>
  <c r="W327" i="22" s="1"/>
  <c r="Y327" i="22" s="1"/>
  <c r="V333" i="22"/>
  <c r="W333" i="22" s="1"/>
  <c r="Y333" i="22" s="1"/>
  <c r="V444" i="22"/>
  <c r="W444" i="22" s="1"/>
  <c r="Y444" i="22" s="1"/>
  <c r="V61" i="22"/>
  <c r="W61" i="22" s="1"/>
  <c r="Y61" i="22" s="1"/>
  <c r="V335" i="22"/>
  <c r="W335" i="22" s="1"/>
  <c r="Y335" i="22" s="1"/>
  <c r="V406" i="22"/>
  <c r="W406" i="22" s="1"/>
  <c r="Y406" i="22" s="1"/>
  <c r="V462" i="22"/>
  <c r="W462" i="22" s="1"/>
  <c r="Y462" i="22" s="1"/>
  <c r="V169" i="22"/>
  <c r="W169" i="22" s="1"/>
  <c r="Y169" i="22" s="1"/>
  <c r="V343" i="22"/>
  <c r="W343" i="22" s="1"/>
  <c r="Y343" i="22" s="1"/>
  <c r="V454" i="22"/>
  <c r="W454" i="22" s="1"/>
  <c r="Y454" i="22" s="1"/>
  <c r="V440" i="22"/>
  <c r="W440" i="22" s="1"/>
  <c r="Y440" i="22" s="1"/>
  <c r="V526" i="22"/>
  <c r="W526" i="22" s="1"/>
  <c r="Y526" i="22" s="1"/>
  <c r="V270" i="22"/>
  <c r="W270" i="22" s="1"/>
  <c r="Y270" i="22" s="1"/>
  <c r="V334" i="22"/>
  <c r="W334" i="22" s="1"/>
  <c r="Y334" i="22" s="1"/>
  <c r="V344" i="22"/>
  <c r="W344" i="22" s="1"/>
  <c r="Y344" i="22" s="1"/>
  <c r="V365" i="22"/>
  <c r="W365" i="22" s="1"/>
  <c r="Y365" i="22" s="1"/>
  <c r="V375" i="22"/>
  <c r="W375" i="22" s="1"/>
  <c r="Y375" i="22" s="1"/>
  <c r="V403" i="22"/>
  <c r="W403" i="22" s="1"/>
  <c r="Y403" i="22" s="1"/>
  <c r="V429" i="22"/>
  <c r="W429" i="22" s="1"/>
  <c r="Y429" i="22" s="1"/>
  <c r="V441" i="22"/>
  <c r="W441" i="22" s="1"/>
  <c r="Y441" i="22" s="1"/>
  <c r="V579" i="22"/>
  <c r="W579" i="22" s="1"/>
  <c r="Y579" i="22" s="1"/>
  <c r="V404" i="22"/>
  <c r="W404" i="22" s="1"/>
  <c r="Y404" i="22" s="1"/>
  <c r="V422" i="22"/>
  <c r="W422" i="22" s="1"/>
  <c r="Y422" i="22" s="1"/>
  <c r="V436" i="22"/>
  <c r="W436" i="22" s="1"/>
  <c r="Y436" i="22" s="1"/>
  <c r="V448" i="22"/>
  <c r="W448" i="22" s="1"/>
  <c r="Y448" i="22" s="1"/>
  <c r="V143" i="22"/>
  <c r="W143" i="22" s="1"/>
  <c r="V145" i="22"/>
  <c r="W145" i="22" s="1"/>
  <c r="V148" i="22"/>
  <c r="W148" i="22" s="1"/>
  <c r="Y148" i="22" s="1"/>
  <c r="V152" i="22"/>
  <c r="W152" i="22" s="1"/>
  <c r="Y152" i="22" s="1"/>
  <c r="V155" i="22"/>
  <c r="W155" i="22" s="1"/>
  <c r="Y155" i="22" s="1"/>
  <c r="V201" i="22"/>
  <c r="W201" i="22" s="1"/>
  <c r="Y201" i="22" s="1"/>
  <c r="V368" i="22"/>
  <c r="W368" i="22" s="1"/>
  <c r="Y368" i="22" s="1"/>
  <c r="V372" i="22"/>
  <c r="W372" i="22" s="1"/>
  <c r="Y372" i="22" s="1"/>
  <c r="V463" i="22"/>
  <c r="W463" i="22" s="1"/>
  <c r="Y463" i="22" s="1"/>
  <c r="V59" i="22"/>
  <c r="W59" i="22" s="1"/>
  <c r="Y59" i="22" s="1"/>
  <c r="V264" i="22"/>
  <c r="W264" i="22" s="1"/>
  <c r="Y264" i="22" s="1"/>
  <c r="V380" i="22"/>
  <c r="W380" i="22" s="1"/>
  <c r="Y380" i="22" s="1"/>
  <c r="V455" i="22"/>
  <c r="W455" i="22" s="1"/>
  <c r="Y455" i="22" s="1"/>
  <c r="V168" i="22"/>
  <c r="W168" i="22" s="1"/>
  <c r="Y168" i="22" s="1"/>
  <c r="V267" i="22"/>
  <c r="W267" i="22" s="1"/>
  <c r="Y267" i="22" s="1"/>
  <c r="V437" i="22"/>
  <c r="W437" i="22" s="1"/>
  <c r="Y437" i="22" s="1"/>
  <c r="V452" i="22"/>
  <c r="W452" i="22" s="1"/>
  <c r="Y452" i="22" s="1"/>
  <c r="V569" i="22"/>
  <c r="W569" i="22" s="1"/>
  <c r="Y569" i="22" s="1"/>
  <c r="V43" i="22"/>
  <c r="W43" i="22" s="1"/>
  <c r="V44" i="22"/>
  <c r="W44" i="22" s="1"/>
  <c r="V45" i="22"/>
  <c r="W45" i="22" s="1"/>
  <c r="V53" i="22"/>
  <c r="W53" i="22" s="1"/>
  <c r="V55" i="22"/>
  <c r="W55" i="22" s="1"/>
  <c r="Y55" i="22" s="1"/>
  <c r="V62" i="22"/>
  <c r="W62" i="22" s="1"/>
  <c r="V67" i="22"/>
  <c r="W67" i="22" s="1"/>
  <c r="V69" i="22"/>
  <c r="W69" i="22" s="1"/>
  <c r="Y69" i="22" s="1"/>
  <c r="V74" i="22"/>
  <c r="W74" i="22" s="1"/>
  <c r="V76" i="22"/>
  <c r="W76" i="22" s="1"/>
  <c r="V79" i="22"/>
  <c r="W79" i="22" s="1"/>
  <c r="V83" i="22"/>
  <c r="W83" i="22" s="1"/>
  <c r="Y83" i="22" s="1"/>
  <c r="V87" i="22"/>
  <c r="W87" i="22" s="1"/>
  <c r="Y87" i="22" s="1"/>
  <c r="V91" i="22"/>
  <c r="W91" i="22" s="1"/>
  <c r="Y91" i="22" s="1"/>
  <c r="V94" i="22"/>
  <c r="W94" i="22" s="1"/>
  <c r="Y94" i="22" s="1"/>
  <c r="V98" i="22"/>
  <c r="W98" i="22" s="1"/>
  <c r="V101" i="22"/>
  <c r="W101" i="22" s="1"/>
  <c r="Y101" i="22" s="1"/>
  <c r="V105" i="22"/>
  <c r="W105" i="22" s="1"/>
  <c r="V131" i="22"/>
  <c r="W131" i="22" s="1"/>
  <c r="Y131" i="22" s="1"/>
  <c r="V136" i="22"/>
  <c r="W136" i="22" s="1"/>
  <c r="Y136" i="22" s="1"/>
  <c r="V138" i="22"/>
  <c r="W138" i="22" s="1"/>
  <c r="V456" i="22"/>
  <c r="W456" i="22" s="1"/>
  <c r="Y456" i="22" s="1"/>
  <c r="V52" i="22"/>
  <c r="W52" i="22" s="1"/>
  <c r="V326" i="22"/>
  <c r="W326" i="22" s="1"/>
  <c r="Y326" i="22" s="1"/>
  <c r="V383" i="22"/>
  <c r="W383" i="22" s="1"/>
  <c r="Y383" i="22" s="1"/>
  <c r="V477" i="22"/>
  <c r="W477" i="22" s="1"/>
  <c r="Y477" i="22" s="1"/>
  <c r="V223" i="22"/>
  <c r="W223" i="22" s="1"/>
  <c r="Y223" i="22" s="1"/>
  <c r="V227" i="22"/>
  <c r="W227" i="22" s="1"/>
  <c r="Y227" i="22" s="1"/>
  <c r="V232" i="22"/>
  <c r="W232" i="22" s="1"/>
  <c r="Y232" i="22" s="1"/>
  <c r="V363" i="22"/>
  <c r="W363" i="22" s="1"/>
  <c r="Y363" i="22" s="1"/>
  <c r="V468" i="22"/>
  <c r="W468" i="22" s="1"/>
  <c r="Y468" i="22" s="1"/>
  <c r="V291" i="22"/>
  <c r="W291" i="22" s="1"/>
  <c r="Y291" i="22" s="1"/>
  <c r="V485" i="22"/>
  <c r="W485" i="22" s="1"/>
  <c r="Y485" i="22" s="1"/>
  <c r="V570" i="22"/>
  <c r="W570" i="22" s="1"/>
  <c r="Y570" i="22" s="1"/>
  <c r="V64" i="22"/>
  <c r="W64" i="22" s="1"/>
  <c r="V268" i="22"/>
  <c r="W268" i="22" s="1"/>
  <c r="Y268" i="22" s="1"/>
  <c r="V374" i="22"/>
  <c r="W374" i="22" s="1"/>
  <c r="Y374" i="22" s="1"/>
  <c r="V450" i="22"/>
  <c r="W450" i="22" s="1"/>
  <c r="Y450" i="22" s="1"/>
  <c r="V244" i="22"/>
  <c r="W244" i="22" s="1"/>
  <c r="Y244" i="22" s="1"/>
  <c r="V402" i="22"/>
  <c r="W402" i="22" s="1"/>
  <c r="Y402" i="22" s="1"/>
  <c r="V473" i="22"/>
  <c r="W473" i="22" s="1"/>
  <c r="Y473" i="22" s="1"/>
  <c r="V290" i="22"/>
  <c r="W290" i="22" s="1"/>
  <c r="Y290" i="22" s="1"/>
  <c r="V467" i="22"/>
  <c r="W467" i="22" s="1"/>
  <c r="Y467" i="22" s="1"/>
  <c r="V528" i="22"/>
  <c r="W528" i="22" s="1"/>
  <c r="Y528" i="22" s="1"/>
  <c r="V71" i="22"/>
  <c r="W71" i="22" s="1"/>
  <c r="V75" i="22"/>
  <c r="W75" i="22" s="1"/>
  <c r="V77" i="22"/>
  <c r="W77" i="22" s="1"/>
  <c r="V80" i="22"/>
  <c r="W80" i="22" s="1"/>
  <c r="Y80" i="22" s="1"/>
  <c r="V84" i="22"/>
  <c r="W84" i="22" s="1"/>
  <c r="V86" i="22"/>
  <c r="W86" i="22" s="1"/>
  <c r="Y86" i="22" s="1"/>
  <c r="V90" i="22"/>
  <c r="W90" i="22" s="1"/>
  <c r="V93" i="22"/>
  <c r="W93" i="22" s="1"/>
  <c r="V97" i="22"/>
  <c r="W97" i="22" s="1"/>
  <c r="V100" i="22"/>
  <c r="W100" i="22" s="1"/>
  <c r="Y100" i="22" s="1"/>
  <c r="V102" i="22"/>
  <c r="W102" i="22" s="1"/>
  <c r="Y102" i="22" s="1"/>
  <c r="V107" i="22"/>
  <c r="W107" i="22" s="1"/>
  <c r="Y107" i="22" s="1"/>
  <c r="V109" i="22"/>
  <c r="W109" i="22" s="1"/>
  <c r="Y109" i="22" s="1"/>
  <c r="V113" i="22"/>
  <c r="W113" i="22" s="1"/>
  <c r="Y113" i="22" s="1"/>
  <c r="V116" i="22"/>
  <c r="W116" i="22" s="1"/>
  <c r="Y116" i="22" s="1"/>
  <c r="V120" i="22"/>
  <c r="W120" i="22" s="1"/>
  <c r="V123" i="22"/>
  <c r="W123" i="22" s="1"/>
  <c r="Y123" i="22" s="1"/>
  <c r="V125" i="22"/>
  <c r="W125" i="22" s="1"/>
  <c r="Y125" i="22" s="1"/>
  <c r="V130" i="22"/>
  <c r="W130" i="22" s="1"/>
  <c r="Y130" i="22" s="1"/>
  <c r="V132" i="22"/>
  <c r="W132" i="22" s="1"/>
  <c r="Y132" i="22" s="1"/>
  <c r="V137" i="22"/>
  <c r="W137" i="22" s="1"/>
  <c r="Y137" i="22" s="1"/>
  <c r="V139" i="22"/>
  <c r="W139" i="22" s="1"/>
  <c r="Y139" i="22" s="1"/>
  <c r="V144" i="22"/>
  <c r="W144" i="22" s="1"/>
  <c r="Y144" i="22" s="1"/>
  <c r="V146" i="22"/>
  <c r="W146" i="22" s="1"/>
  <c r="Y146" i="22" s="1"/>
  <c r="V151" i="22"/>
  <c r="W151" i="22" s="1"/>
  <c r="Y151" i="22" s="1"/>
  <c r="V153" i="22"/>
  <c r="W153" i="22" s="1"/>
  <c r="Y153" i="22" s="1"/>
  <c r="V156" i="22"/>
  <c r="W156" i="22" s="1"/>
  <c r="Y156" i="22" s="1"/>
  <c r="V159" i="22"/>
  <c r="W159" i="22" s="1"/>
  <c r="Y159" i="22" s="1"/>
  <c r="V251" i="22"/>
  <c r="W251" i="22" s="1"/>
  <c r="Y251" i="22" s="1"/>
  <c r="V364" i="22"/>
  <c r="W364" i="22" s="1"/>
  <c r="Y364" i="22" s="1"/>
  <c r="V432" i="22"/>
  <c r="W432" i="22" s="1"/>
  <c r="Y432" i="22" s="1"/>
  <c r="V574" i="22"/>
  <c r="W574" i="22" s="1"/>
  <c r="Y574" i="22" s="1"/>
  <c r="V167" i="22"/>
  <c r="W167" i="22" s="1"/>
  <c r="Y167" i="22" s="1"/>
  <c r="V262" i="22"/>
  <c r="W262" i="22" s="1"/>
  <c r="Y262" i="22" s="1"/>
  <c r="V419" i="22"/>
  <c r="W419" i="22" s="1"/>
  <c r="Y419" i="22" s="1"/>
  <c r="V488" i="22"/>
  <c r="W488" i="22" s="1"/>
  <c r="Y488" i="22" s="1"/>
  <c r="V445" i="22"/>
  <c r="W445" i="22" s="1"/>
  <c r="Y445" i="22" s="1"/>
  <c r="V160" i="22"/>
  <c r="W160" i="22" s="1"/>
  <c r="Y160" i="22" s="1"/>
  <c r="V161" i="22"/>
  <c r="W161" i="22" s="1"/>
  <c r="Y161" i="22" s="1"/>
  <c r="V162" i="22"/>
  <c r="W162" i="22" s="1"/>
  <c r="Y162" i="22" s="1"/>
  <c r="V163" i="22"/>
  <c r="W163" i="22" s="1"/>
  <c r="Y163" i="22" s="1"/>
  <c r="V164" i="22"/>
  <c r="W164" i="22" s="1"/>
  <c r="Y164" i="22" s="1"/>
  <c r="V165" i="22"/>
  <c r="W165" i="22" s="1"/>
  <c r="Y165" i="22" s="1"/>
  <c r="V240" i="22"/>
  <c r="W240" i="22" s="1"/>
  <c r="Y240" i="22" s="1"/>
  <c r="V359" i="22"/>
  <c r="W359" i="22" s="1"/>
  <c r="Y359" i="22" s="1"/>
  <c r="V465" i="22"/>
  <c r="W465" i="22" s="1"/>
  <c r="Y465" i="22" s="1"/>
  <c r="V426" i="22"/>
  <c r="W426" i="22" s="1"/>
  <c r="Y426" i="22" s="1"/>
  <c r="V575" i="22"/>
  <c r="W575" i="22" s="1"/>
  <c r="Y575" i="22" s="1"/>
  <c r="V172" i="22"/>
  <c r="W172" i="22" s="1"/>
  <c r="Y172" i="22" s="1"/>
  <c r="V173" i="22"/>
  <c r="W173" i="22" s="1"/>
  <c r="Y173" i="22" s="1"/>
  <c r="V174" i="22"/>
  <c r="W174" i="22" s="1"/>
  <c r="Y174" i="22" s="1"/>
  <c r="V175" i="22"/>
  <c r="W175" i="22" s="1"/>
  <c r="Y175" i="22" s="1"/>
  <c r="V176" i="22"/>
  <c r="W176" i="22" s="1"/>
  <c r="Y176" i="22" s="1"/>
  <c r="V177" i="22"/>
  <c r="W177" i="22" s="1"/>
  <c r="Y177" i="22" s="1"/>
  <c r="V178" i="22"/>
  <c r="W178" i="22" s="1"/>
  <c r="Y178" i="22" s="1"/>
  <c r="V179" i="22"/>
  <c r="W179" i="22" s="1"/>
  <c r="Y179" i="22" s="1"/>
  <c r="V181" i="22"/>
  <c r="W181" i="22" s="1"/>
  <c r="Y181" i="22" s="1"/>
  <c r="V182" i="22"/>
  <c r="W182" i="22" s="1"/>
  <c r="Y182" i="22" s="1"/>
  <c r="V183" i="22"/>
  <c r="W183" i="22" s="1"/>
  <c r="Y183" i="22" s="1"/>
  <c r="V184" i="22"/>
  <c r="W184" i="22" s="1"/>
  <c r="Y184" i="22" s="1"/>
  <c r="V185" i="22"/>
  <c r="W185" i="22" s="1"/>
  <c r="Y185" i="22" s="1"/>
  <c r="V186" i="22"/>
  <c r="W186" i="22" s="1"/>
  <c r="Y186" i="22" s="1"/>
  <c r="V187" i="22"/>
  <c r="W187" i="22" s="1"/>
  <c r="Y187" i="22" s="1"/>
  <c r="V188" i="22"/>
  <c r="W188" i="22" s="1"/>
  <c r="Y188" i="22" s="1"/>
  <c r="V189" i="22"/>
  <c r="W189" i="22" s="1"/>
  <c r="Y189" i="22" s="1"/>
  <c r="V190" i="22"/>
  <c r="W190" i="22" s="1"/>
  <c r="Y190" i="22" s="1"/>
  <c r="V191" i="22"/>
  <c r="W191" i="22" s="1"/>
  <c r="Y191" i="22" s="1"/>
  <c r="V192" i="22"/>
  <c r="W192" i="22" s="1"/>
  <c r="Y192" i="22" s="1"/>
  <c r="V193" i="22"/>
  <c r="W193" i="22" s="1"/>
  <c r="Y193" i="22" s="1"/>
  <c r="V194" i="22"/>
  <c r="W194" i="22" s="1"/>
  <c r="Y194" i="22" s="1"/>
  <c r="V195" i="22"/>
  <c r="W195" i="22" s="1"/>
  <c r="Y195" i="22" s="1"/>
  <c r="V196" i="22"/>
  <c r="W196" i="22" s="1"/>
  <c r="Y196" i="22" s="1"/>
  <c r="V197" i="22"/>
  <c r="W197" i="22" s="1"/>
  <c r="Y197" i="22" s="1"/>
  <c r="V198" i="22"/>
  <c r="W198" i="22" s="1"/>
  <c r="Y198" i="22" s="1"/>
  <c r="V199" i="22"/>
  <c r="W199" i="22" s="1"/>
  <c r="Y199" i="22" s="1"/>
  <c r="V200" i="22"/>
  <c r="W200" i="22" s="1"/>
  <c r="Y200" i="22" s="1"/>
  <c r="V202" i="22"/>
  <c r="W202" i="22" s="1"/>
  <c r="Y202" i="22" s="1"/>
  <c r="V206" i="22"/>
  <c r="W206" i="22" s="1"/>
  <c r="Y206" i="22" s="1"/>
  <c r="V211" i="22"/>
  <c r="W211" i="22" s="1"/>
  <c r="Y211" i="22" s="1"/>
  <c r="V215" i="22"/>
  <c r="W215" i="22" s="1"/>
  <c r="Y215" i="22" s="1"/>
  <c r="V220" i="22"/>
  <c r="W220" i="22" s="1"/>
  <c r="Y220" i="22" s="1"/>
  <c r="V348" i="22"/>
  <c r="W348" i="22" s="1"/>
  <c r="Y348" i="22" s="1"/>
  <c r="V442" i="22"/>
  <c r="W442" i="22" s="1"/>
  <c r="Y442" i="22" s="1"/>
  <c r="V418" i="22"/>
  <c r="W418" i="22" s="1"/>
  <c r="Y418" i="22" s="1"/>
  <c r="V576" i="22"/>
  <c r="W576" i="22" s="1"/>
  <c r="Y576" i="22" s="1"/>
  <c r="V590" i="22"/>
  <c r="W590" i="22" s="1"/>
  <c r="Y590" i="22" s="1"/>
  <c r="V272" i="22"/>
  <c r="W272" i="22" s="1"/>
  <c r="Y272" i="22" s="1"/>
  <c r="V273" i="22"/>
  <c r="W273" i="22" s="1"/>
  <c r="Y273" i="22" s="1"/>
  <c r="V274" i="22"/>
  <c r="W274" i="22" s="1"/>
  <c r="Y274" i="22" s="1"/>
  <c r="V275" i="22"/>
  <c r="W275" i="22" s="1"/>
  <c r="Y275" i="22" s="1"/>
  <c r="V276" i="22"/>
  <c r="W276" i="22" s="1"/>
  <c r="Y276" i="22" s="1"/>
  <c r="V277" i="22"/>
  <c r="W277" i="22" s="1"/>
  <c r="Y277" i="22" s="1"/>
  <c r="V278" i="22"/>
  <c r="W278" i="22" s="1"/>
  <c r="Y278" i="22" s="1"/>
  <c r="V279" i="22"/>
  <c r="W279" i="22" s="1"/>
  <c r="Y279" i="22" s="1"/>
  <c r="V280" i="22"/>
  <c r="W280" i="22" s="1"/>
  <c r="Y280" i="22" s="1"/>
  <c r="V281" i="22"/>
  <c r="W281" i="22" s="1"/>
  <c r="Y281" i="22" s="1"/>
  <c r="V282" i="22"/>
  <c r="W282" i="22" s="1"/>
  <c r="Y282" i="22" s="1"/>
  <c r="V283" i="22"/>
  <c r="W283" i="22" s="1"/>
  <c r="Y283" i="22" s="1"/>
  <c r="V284" i="22"/>
  <c r="W284" i="22" s="1"/>
  <c r="Y284" i="22" s="1"/>
  <c r="V285" i="22"/>
  <c r="W285" i="22" s="1"/>
  <c r="Y285" i="22" s="1"/>
  <c r="V286" i="22"/>
  <c r="W286" i="22" s="1"/>
  <c r="Y286" i="22" s="1"/>
  <c r="V287" i="22"/>
  <c r="W287" i="22" s="1"/>
  <c r="Y287" i="22" s="1"/>
  <c r="V288" i="22"/>
  <c r="W288" i="22" s="1"/>
  <c r="Y288" i="22" s="1"/>
  <c r="V373" i="22"/>
  <c r="W373" i="22" s="1"/>
  <c r="Y373" i="22" s="1"/>
  <c r="V573" i="22"/>
  <c r="W573" i="22" s="1"/>
  <c r="Y573" i="22" s="1"/>
  <c r="V293" i="22"/>
  <c r="W293" i="22" s="1"/>
  <c r="Y293" i="22" s="1"/>
  <c r="V294" i="22"/>
  <c r="W294" i="22" s="1"/>
  <c r="Y294" i="22" s="1"/>
  <c r="V295" i="22"/>
  <c r="W295" i="22" s="1"/>
  <c r="Y295" i="22" s="1"/>
  <c r="V296" i="22"/>
  <c r="W296" i="22" s="1"/>
  <c r="Y296" i="22" s="1"/>
  <c r="V297" i="22"/>
  <c r="W297" i="22" s="1"/>
  <c r="Y297" i="22" s="1"/>
  <c r="V298" i="22"/>
  <c r="W298" i="22" s="1"/>
  <c r="Y298" i="22" s="1"/>
  <c r="V299" i="22"/>
  <c r="W299" i="22" s="1"/>
  <c r="Y299" i="22" s="1"/>
  <c r="V300" i="22"/>
  <c r="W300" i="22" s="1"/>
  <c r="Y300" i="22" s="1"/>
  <c r="V301" i="22"/>
  <c r="W301" i="22" s="1"/>
  <c r="Y301" i="22" s="1"/>
  <c r="V302" i="22"/>
  <c r="W302" i="22" s="1"/>
  <c r="Y302" i="22" s="1"/>
  <c r="V303" i="22"/>
  <c r="W303" i="22" s="1"/>
  <c r="Y303" i="22" s="1"/>
  <c r="V304" i="22"/>
  <c r="W304" i="22" s="1"/>
  <c r="Y304" i="22" s="1"/>
  <c r="V305" i="22"/>
  <c r="W305" i="22" s="1"/>
  <c r="Y305" i="22" s="1"/>
  <c r="V306" i="22"/>
  <c r="W306" i="22" s="1"/>
  <c r="Y306" i="22" s="1"/>
  <c r="V307" i="22"/>
  <c r="W307" i="22" s="1"/>
  <c r="Y307" i="22" s="1"/>
  <c r="V308" i="22"/>
  <c r="W308" i="22" s="1"/>
  <c r="Y308" i="22" s="1"/>
  <c r="V309" i="22"/>
  <c r="W309" i="22" s="1"/>
  <c r="Y309" i="22" s="1"/>
  <c r="V310" i="22"/>
  <c r="W310" i="22" s="1"/>
  <c r="Y310" i="22" s="1"/>
  <c r="V311" i="22"/>
  <c r="W311" i="22" s="1"/>
  <c r="Y311" i="22" s="1"/>
  <c r="V312" i="22"/>
  <c r="W312" i="22" s="1"/>
  <c r="Y312" i="22" s="1"/>
  <c r="V313" i="22"/>
  <c r="W313" i="22" s="1"/>
  <c r="Y313" i="22" s="1"/>
  <c r="V314" i="22"/>
  <c r="W314" i="22" s="1"/>
  <c r="Y314" i="22" s="1"/>
  <c r="V315" i="22"/>
  <c r="W315" i="22" s="1"/>
  <c r="Y315" i="22" s="1"/>
  <c r="V316" i="22"/>
  <c r="W316" i="22" s="1"/>
  <c r="Y316" i="22" s="1"/>
  <c r="V317" i="22"/>
  <c r="W317" i="22" s="1"/>
  <c r="Y317" i="22" s="1"/>
  <c r="V318" i="22"/>
  <c r="W318" i="22" s="1"/>
  <c r="Y318" i="22" s="1"/>
  <c r="V319" i="22"/>
  <c r="W319" i="22" s="1"/>
  <c r="Y319" i="22" s="1"/>
  <c r="V320" i="22"/>
  <c r="W320" i="22" s="1"/>
  <c r="Y320" i="22" s="1"/>
  <c r="V321" i="22"/>
  <c r="W321" i="22" s="1"/>
  <c r="Y321" i="22" s="1"/>
  <c r="V322" i="22"/>
  <c r="W322" i="22" s="1"/>
  <c r="Y322" i="22" s="1"/>
  <c r="V323" i="22"/>
  <c r="W323" i="22" s="1"/>
  <c r="Y323" i="22" s="1"/>
  <c r="V324" i="22"/>
  <c r="W324" i="22" s="1"/>
  <c r="Y324" i="22" s="1"/>
  <c r="V325" i="22"/>
  <c r="W325" i="22" s="1"/>
  <c r="Y325" i="22" s="1"/>
  <c r="V328" i="22"/>
  <c r="W328" i="22" s="1"/>
  <c r="Y328" i="22" s="1"/>
  <c r="V336" i="22"/>
  <c r="W336" i="22" s="1"/>
  <c r="Y336" i="22" s="1"/>
  <c r="V339" i="22"/>
  <c r="W339" i="22" s="1"/>
  <c r="Y339" i="22" s="1"/>
  <c r="V346" i="22"/>
  <c r="W346" i="22" s="1"/>
  <c r="Y346" i="22" s="1"/>
  <c r="V350" i="22"/>
  <c r="W350" i="22" s="1"/>
  <c r="Y350" i="22" s="1"/>
  <c r="V357" i="22"/>
  <c r="W357" i="22" s="1"/>
  <c r="Y357" i="22" s="1"/>
  <c r="V362" i="22"/>
  <c r="W362" i="22" s="1"/>
  <c r="Y362" i="22" s="1"/>
  <c r="V369" i="22"/>
  <c r="W369" i="22" s="1"/>
  <c r="Y369" i="22" s="1"/>
  <c r="V478" i="22"/>
  <c r="W478" i="22" s="1"/>
  <c r="Y478" i="22" s="1"/>
  <c r="V384" i="22"/>
  <c r="W384" i="22" s="1"/>
  <c r="Y384" i="22" s="1"/>
  <c r="V385" i="22"/>
  <c r="W385" i="22" s="1"/>
  <c r="Y385" i="22" s="1"/>
  <c r="V386" i="22"/>
  <c r="W386" i="22" s="1"/>
  <c r="Y386" i="22" s="1"/>
  <c r="V387" i="22"/>
  <c r="W387" i="22" s="1"/>
  <c r="Y387" i="22" s="1"/>
  <c r="V391" i="22"/>
  <c r="W391" i="22" s="1"/>
  <c r="Y391" i="22" s="1"/>
  <c r="V392" i="22"/>
  <c r="W392" i="22" s="1"/>
  <c r="Y392" i="22" s="1"/>
  <c r="V393" i="22"/>
  <c r="W393" i="22" s="1"/>
  <c r="Y393" i="22" s="1"/>
  <c r="V394" i="22"/>
  <c r="W394" i="22" s="1"/>
  <c r="Y394" i="22" s="1"/>
  <c r="V395" i="22"/>
  <c r="W395" i="22" s="1"/>
  <c r="Y395" i="22" s="1"/>
  <c r="V396" i="22"/>
  <c r="W396" i="22" s="1"/>
  <c r="Y396" i="22" s="1"/>
  <c r="V397" i="22"/>
  <c r="W397" i="22" s="1"/>
  <c r="Y397" i="22" s="1"/>
  <c r="V398" i="22"/>
  <c r="W398" i="22" s="1"/>
  <c r="Y398" i="22" s="1"/>
  <c r="V399" i="22"/>
  <c r="W399" i="22" s="1"/>
  <c r="Y399" i="22" s="1"/>
  <c r="V401" i="22"/>
  <c r="W401" i="22" s="1"/>
  <c r="Y401" i="22" s="1"/>
  <c r="V586" i="22"/>
  <c r="W586" i="22" s="1"/>
  <c r="Y586" i="22" s="1"/>
  <c r="V498" i="22"/>
  <c r="W498" i="22" s="1"/>
  <c r="Y498" i="22" s="1"/>
  <c r="V499" i="22"/>
  <c r="W499" i="22" s="1"/>
  <c r="Y499" i="22" s="1"/>
  <c r="V501" i="22"/>
  <c r="W501" i="22" s="1"/>
  <c r="Y501" i="22" s="1"/>
  <c r="V502" i="22"/>
  <c r="W502" i="22" s="1"/>
  <c r="Y502" i="22" s="1"/>
  <c r="V504" i="22"/>
  <c r="W504" i="22" s="1"/>
  <c r="Y504" i="22" s="1"/>
  <c r="V505" i="22"/>
  <c r="W505" i="22" s="1"/>
  <c r="Y505" i="22" s="1"/>
  <c r="V506" i="22"/>
  <c r="W506" i="22" s="1"/>
  <c r="Y506" i="22" s="1"/>
  <c r="V508" i="22"/>
  <c r="W508" i="22" s="1"/>
  <c r="Y508" i="22" s="1"/>
  <c r="V509" i="22"/>
  <c r="W509" i="22" s="1"/>
  <c r="Y509" i="22" s="1"/>
  <c r="V510" i="22"/>
  <c r="W510" i="22" s="1"/>
  <c r="Y510" i="22" s="1"/>
  <c r="V512" i="22"/>
  <c r="W512" i="22" s="1"/>
  <c r="Y512" i="22" s="1"/>
  <c r="V513" i="22"/>
  <c r="W513" i="22" s="1"/>
  <c r="Y513" i="22" s="1"/>
  <c r="V514" i="22"/>
  <c r="W514" i="22" s="1"/>
  <c r="Y514" i="22" s="1"/>
  <c r="V515" i="22"/>
  <c r="W515" i="22" s="1"/>
  <c r="Y515" i="22" s="1"/>
  <c r="V516" i="22"/>
  <c r="W516" i="22" s="1"/>
  <c r="Y516" i="22" s="1"/>
  <c r="V517" i="22"/>
  <c r="W517" i="22" s="1"/>
  <c r="Y517" i="22" s="1"/>
  <c r="V518" i="22"/>
  <c r="W518" i="22" s="1"/>
  <c r="Y518" i="22" s="1"/>
  <c r="V519" i="22"/>
  <c r="W519" i="22" s="1"/>
  <c r="Y519" i="22" s="1"/>
  <c r="V520" i="22"/>
  <c r="W520" i="22" s="1"/>
  <c r="Y520" i="22" s="1"/>
  <c r="V521" i="22"/>
  <c r="W521" i="22" s="1"/>
  <c r="Y521" i="22" s="1"/>
  <c r="V522" i="22"/>
  <c r="W522" i="22" s="1"/>
  <c r="Y522" i="22" s="1"/>
  <c r="V523" i="22"/>
  <c r="W523" i="22" s="1"/>
  <c r="Y523" i="22" s="1"/>
  <c r="V524" i="22"/>
  <c r="W524" i="22" s="1"/>
  <c r="Y524" i="22" s="1"/>
  <c r="V525" i="22"/>
  <c r="W525" i="22" s="1"/>
  <c r="Y525" i="22" s="1"/>
  <c r="V581" i="22"/>
  <c r="W581" i="22" s="1"/>
  <c r="Y581" i="22" s="1"/>
  <c r="V531" i="22"/>
  <c r="W531" i="22" s="1"/>
  <c r="Y531" i="22" s="1"/>
  <c r="V532" i="22"/>
  <c r="W532" i="22" s="1"/>
  <c r="Y532" i="22" s="1"/>
  <c r="V534" i="22"/>
  <c r="W534" i="22" s="1"/>
  <c r="Y534" i="22" s="1"/>
  <c r="V535" i="22"/>
  <c r="W535" i="22" s="1"/>
  <c r="Y535" i="22" s="1"/>
  <c r="V537" i="22"/>
  <c r="W537" i="22" s="1"/>
  <c r="Y537" i="22" s="1"/>
  <c r="V538" i="22"/>
  <c r="W538" i="22" s="1"/>
  <c r="Y538" i="22" s="1"/>
  <c r="V539" i="22"/>
  <c r="W539" i="22" s="1"/>
  <c r="Y539" i="22" s="1"/>
  <c r="V540" i="22"/>
  <c r="W540" i="22" s="1"/>
  <c r="Y540" i="22" s="1"/>
  <c r="V542" i="22"/>
  <c r="W542" i="22" s="1"/>
  <c r="Y542" i="22" s="1"/>
  <c r="V543" i="22"/>
  <c r="W543" i="22" s="1"/>
  <c r="Y543" i="22" s="1"/>
  <c r="V544" i="22"/>
  <c r="W544" i="22" s="1"/>
  <c r="Y544" i="22" s="1"/>
  <c r="V545" i="22"/>
  <c r="W545" i="22" s="1"/>
  <c r="Y545" i="22" s="1"/>
  <c r="V547" i="22"/>
  <c r="W547" i="22" s="1"/>
  <c r="Y547" i="22" s="1"/>
  <c r="V548" i="22"/>
  <c r="W548" i="22" s="1"/>
  <c r="Y548" i="22" s="1"/>
  <c r="V549" i="22"/>
  <c r="W549" i="22" s="1"/>
  <c r="Y549" i="22" s="1"/>
  <c r="V550" i="22"/>
  <c r="W550" i="22" s="1"/>
  <c r="Y550" i="22" s="1"/>
  <c r="V551" i="22"/>
  <c r="W551" i="22" s="1"/>
  <c r="Y551" i="22" s="1"/>
  <c r="V552" i="22"/>
  <c r="W552" i="22" s="1"/>
  <c r="Y552" i="22" s="1"/>
  <c r="V553" i="22"/>
  <c r="W553" i="22" s="1"/>
  <c r="Y553" i="22" s="1"/>
  <c r="V554" i="22"/>
  <c r="W554" i="22" s="1"/>
  <c r="Y554" i="22" s="1"/>
  <c r="V555" i="22"/>
  <c r="W555" i="22" s="1"/>
  <c r="Y555" i="22" s="1"/>
  <c r="V556" i="22"/>
  <c r="W556" i="22" s="1"/>
  <c r="Y556" i="22" s="1"/>
  <c r="V557" i="22"/>
  <c r="W557" i="22" s="1"/>
  <c r="Y557" i="22" s="1"/>
  <c r="V558" i="22"/>
  <c r="W558" i="22" s="1"/>
  <c r="Y558" i="22" s="1"/>
  <c r="V559" i="22"/>
  <c r="W559" i="22" s="1"/>
  <c r="Y559" i="22" s="1"/>
  <c r="V560" i="22"/>
  <c r="W560" i="22" s="1"/>
  <c r="Y560" i="22" s="1"/>
  <c r="V561" i="22"/>
  <c r="W561" i="22" s="1"/>
  <c r="Y561" i="22" s="1"/>
  <c r="V562" i="22"/>
  <c r="W562" i="22" s="1"/>
  <c r="Y562" i="22" s="1"/>
  <c r="V563" i="22"/>
  <c r="W563" i="22" s="1"/>
  <c r="Y563" i="22" s="1"/>
  <c r="V564" i="22"/>
  <c r="W564" i="22" s="1"/>
  <c r="Y564" i="22" s="1"/>
  <c r="V565" i="22"/>
  <c r="W565" i="22" s="1"/>
  <c r="Y565" i="22" s="1"/>
  <c r="V566" i="22"/>
  <c r="W566" i="22" s="1"/>
  <c r="Y566" i="22" s="1"/>
  <c r="V567" i="22"/>
  <c r="W567" i="22" s="1"/>
  <c r="Y567" i="22" s="1"/>
  <c r="V568" i="22"/>
  <c r="W568" i="22" s="1"/>
  <c r="Y568" i="22" s="1"/>
  <c r="V572" i="22"/>
  <c r="W572" i="22" s="1"/>
  <c r="Y572" i="22" s="1"/>
  <c r="V457" i="22"/>
  <c r="W457" i="22" s="1"/>
  <c r="Y457" i="22" s="1"/>
  <c r="V431" i="22"/>
  <c r="W431" i="22" s="1"/>
  <c r="Y431" i="22" s="1"/>
  <c r="V527" i="22"/>
  <c r="W527" i="22" s="1"/>
  <c r="Y527" i="22" s="1"/>
  <c r="V46" i="22"/>
  <c r="W46" i="22" s="1"/>
  <c r="Y46" i="22" s="1"/>
  <c r="V128" i="22"/>
  <c r="W128" i="22" s="1"/>
  <c r="Y128" i="22" s="1"/>
  <c r="V218" i="22"/>
  <c r="W218" i="22" s="1"/>
  <c r="Y218" i="22" s="1"/>
  <c r="V73" i="22"/>
  <c r="W73" i="22" s="1"/>
  <c r="Y73" i="22" s="1"/>
  <c r="V127" i="22"/>
  <c r="W127" i="22" s="1"/>
  <c r="Y127" i="22" s="1"/>
  <c r="V134" i="22"/>
  <c r="W134" i="22" s="1"/>
  <c r="Y134" i="22" s="1"/>
  <c r="V367" i="22"/>
  <c r="W367" i="22" s="1"/>
  <c r="Y367" i="22" s="1"/>
  <c r="V57" i="22"/>
  <c r="W57" i="22" s="1"/>
  <c r="Y57" i="22" s="1"/>
  <c r="V65" i="22"/>
  <c r="W65" i="22" s="1"/>
  <c r="Y65" i="22" s="1"/>
  <c r="V72" i="22"/>
  <c r="W72" i="22" s="1"/>
  <c r="Y72" i="22" s="1"/>
  <c r="V81" i="22"/>
  <c r="W81" i="22" s="1"/>
  <c r="Y81" i="22" s="1"/>
  <c r="V214" i="22"/>
  <c r="W214" i="22" s="1"/>
  <c r="Y214" i="22" s="1"/>
  <c r="V471" i="22"/>
  <c r="W471" i="22" s="1"/>
  <c r="Y471" i="22" s="1"/>
  <c r="V205" i="22"/>
  <c r="W205" i="22" s="1"/>
  <c r="Y205" i="22" s="1"/>
  <c r="V210" i="22"/>
  <c r="W210" i="22" s="1"/>
  <c r="Y210" i="22" s="1"/>
  <c r="V213" i="22"/>
  <c r="W213" i="22" s="1"/>
  <c r="Y213" i="22" s="1"/>
  <c r="V219" i="22"/>
  <c r="W219" i="22" s="1"/>
  <c r="Y219" i="22" s="1"/>
  <c r="V222" i="22"/>
  <c r="W222" i="22" s="1"/>
  <c r="Y222" i="22" s="1"/>
  <c r="V405" i="22"/>
  <c r="W405" i="22" s="1"/>
  <c r="Y405" i="22" s="1"/>
  <c r="V480" i="22"/>
  <c r="W480" i="22" s="1"/>
  <c r="Y480" i="22" s="1"/>
  <c r="V255" i="22"/>
  <c r="W255" i="22" s="1"/>
  <c r="Y255" i="22" s="1"/>
  <c r="V360" i="22"/>
  <c r="W360" i="22" s="1"/>
  <c r="Y360" i="22" s="1"/>
  <c r="V438" i="22"/>
  <c r="W438" i="22" s="1"/>
  <c r="Y438" i="22" s="1"/>
  <c r="V587" i="22"/>
  <c r="W587" i="22" s="1"/>
  <c r="Y587" i="22" s="1"/>
  <c r="V170" i="22"/>
  <c r="W170" i="22" s="1"/>
  <c r="Y170" i="22" s="1"/>
  <c r="V329" i="22"/>
  <c r="W329" i="22" s="1"/>
  <c r="Y329" i="22" s="1"/>
  <c r="V430" i="22"/>
  <c r="W430" i="22" s="1"/>
  <c r="Y430" i="22" s="1"/>
  <c r="V584" i="22"/>
  <c r="W584" i="22" s="1"/>
  <c r="Y584" i="22" s="1"/>
  <c r="V382" i="22"/>
  <c r="W382" i="22" s="1"/>
  <c r="Y382" i="22" s="1"/>
  <c r="V56" i="22"/>
  <c r="W56" i="22" s="1"/>
  <c r="V142" i="22"/>
  <c r="W142" i="22" s="1"/>
  <c r="Y142" i="22" s="1"/>
  <c r="V238" i="22"/>
  <c r="W238" i="22" s="1"/>
  <c r="Y238" i="22" s="1"/>
  <c r="V352" i="22"/>
  <c r="W352" i="22" s="1"/>
  <c r="Y352" i="22" s="1"/>
  <c r="V447" i="22"/>
  <c r="W447" i="22" s="1"/>
  <c r="Y447" i="22" s="1"/>
  <c r="V42" i="22"/>
  <c r="W42" i="22" s="1"/>
  <c r="V88" i="22"/>
  <c r="W88" i="22" s="1"/>
  <c r="V256" i="22"/>
  <c r="W256" i="22" s="1"/>
  <c r="Y256" i="22" s="1"/>
  <c r="V409" i="22"/>
  <c r="W409" i="22" s="1"/>
  <c r="Y409" i="22" s="1"/>
  <c r="V491" i="22"/>
  <c r="W491" i="22" s="1"/>
  <c r="Y491" i="22" s="1"/>
  <c r="V118" i="22"/>
  <c r="W118" i="22" s="1"/>
  <c r="Y118" i="22" s="1"/>
  <c r="V126" i="22"/>
  <c r="W126" i="22" s="1"/>
  <c r="Y126" i="22" s="1"/>
  <c r="V110" i="22"/>
  <c r="W110" i="22" s="1"/>
  <c r="Y110" i="22" s="1"/>
  <c r="V115" i="22"/>
  <c r="W115" i="22" s="1"/>
  <c r="Y115" i="22" s="1"/>
  <c r="V117" i="22"/>
  <c r="W117" i="22" s="1"/>
  <c r="Y117" i="22" s="1"/>
  <c r="V254" i="22"/>
  <c r="W254" i="22" s="1"/>
  <c r="Y254" i="22" s="1"/>
  <c r="V259" i="22"/>
  <c r="W259" i="22" s="1"/>
  <c r="Y259" i="22" s="1"/>
  <c r="V423" i="22"/>
  <c r="W423" i="22" s="1"/>
  <c r="Y423" i="22" s="1"/>
  <c r="V428" i="22"/>
  <c r="W428" i="22" s="1"/>
  <c r="Y428" i="22" s="1"/>
  <c r="V492" i="22"/>
  <c r="W492" i="22" s="1"/>
  <c r="Y492" i="22" s="1"/>
  <c r="V203" i="22"/>
  <c r="W203" i="22" s="1"/>
  <c r="Y203" i="22" s="1"/>
  <c r="V209" i="22"/>
  <c r="W209" i="22" s="1"/>
  <c r="Y209" i="22" s="1"/>
  <c r="V212" i="22"/>
  <c r="W212" i="22" s="1"/>
  <c r="Y212" i="22" s="1"/>
  <c r="V330" i="22"/>
  <c r="W330" i="22" s="1"/>
  <c r="Y330" i="22" s="1"/>
  <c r="V371" i="22"/>
  <c r="W371" i="22" s="1"/>
  <c r="Y371" i="22" s="1"/>
  <c r="V443" i="22"/>
  <c r="W443" i="22" s="1"/>
  <c r="Y443" i="22" s="1"/>
  <c r="V235" i="22"/>
  <c r="W235" i="22" s="1"/>
  <c r="Y235" i="22" s="1"/>
  <c r="V354" i="22"/>
  <c r="W354" i="22" s="1"/>
  <c r="Y354" i="22" s="1"/>
  <c r="V449" i="22"/>
  <c r="W449" i="22" s="1"/>
  <c r="Y449" i="22" s="1"/>
  <c r="V379" i="22"/>
  <c r="W379" i="22" s="1"/>
  <c r="Y379" i="22" s="1"/>
  <c r="V582" i="22"/>
  <c r="W582" i="22" s="1"/>
  <c r="Y582" i="22" s="1"/>
  <c r="V571" i="22"/>
  <c r="W571" i="22" s="1"/>
  <c r="Y571" i="22" s="1"/>
  <c r="V63" i="22"/>
  <c r="W63" i="22" s="1"/>
  <c r="V92" i="22"/>
  <c r="W92" i="22" s="1"/>
  <c r="Y92" i="22" s="1"/>
  <c r="V135" i="22"/>
  <c r="W135" i="22" s="1"/>
  <c r="Y135" i="22" s="1"/>
  <c r="V228" i="22"/>
  <c r="W228" i="22" s="1"/>
  <c r="Y228" i="22" s="1"/>
  <c r="V342" i="22"/>
  <c r="W342" i="22" s="1"/>
  <c r="Y342" i="22" s="1"/>
  <c r="V434" i="22"/>
  <c r="W434" i="22" s="1"/>
  <c r="Y434" i="22" s="1"/>
  <c r="V588" i="22"/>
  <c r="W588" i="22" s="1"/>
  <c r="Y588" i="22" s="1"/>
  <c r="V82" i="22"/>
  <c r="W82" i="22" s="1"/>
  <c r="Y82" i="22" s="1"/>
  <c r="V111" i="22"/>
  <c r="W111" i="22" s="1"/>
  <c r="V341" i="22"/>
  <c r="W341" i="22" s="1"/>
  <c r="Y341" i="22" s="1"/>
  <c r="V51" i="22"/>
  <c r="W51" i="22" s="1"/>
  <c r="V154" i="22"/>
  <c r="W154" i="22" s="1"/>
  <c r="Y154" i="22" s="1"/>
  <c r="V204" i="22"/>
  <c r="W204" i="22" s="1"/>
  <c r="Y204" i="22" s="1"/>
  <c r="V460" i="22"/>
  <c r="W460" i="22" s="1"/>
  <c r="Y460" i="22" s="1"/>
  <c r="V124" i="22"/>
  <c r="W124" i="22" s="1"/>
  <c r="Y124" i="22" s="1"/>
  <c r="V129" i="22"/>
  <c r="W129" i="22" s="1"/>
  <c r="Y129" i="22" s="1"/>
  <c r="V358" i="22"/>
  <c r="W358" i="22" s="1"/>
  <c r="Y358" i="22" s="1"/>
  <c r="V439" i="22"/>
  <c r="W439" i="22" s="1"/>
  <c r="Y439" i="22" s="1"/>
  <c r="V577" i="22"/>
  <c r="W577" i="22" s="1"/>
  <c r="Y577" i="22" s="1"/>
  <c r="V48" i="22"/>
  <c r="W48" i="22" s="1"/>
  <c r="V243" i="22"/>
  <c r="W243" i="22" s="1"/>
  <c r="Y243" i="22" s="1"/>
  <c r="V345" i="22"/>
  <c r="W345" i="22" s="1"/>
  <c r="Y345" i="22" s="1"/>
  <c r="V412" i="22"/>
  <c r="W412" i="22" s="1"/>
  <c r="Y412" i="22" s="1"/>
  <c r="V472" i="22"/>
  <c r="W472" i="22" s="1"/>
  <c r="Y472" i="22" s="1"/>
  <c r="V249" i="22"/>
  <c r="W249" i="22" s="1"/>
  <c r="Y249" i="22" s="1"/>
  <c r="V370" i="22"/>
  <c r="W370" i="22" s="1"/>
  <c r="Y370" i="22" s="1"/>
  <c r="V459" i="22"/>
  <c r="W459" i="22" s="1"/>
  <c r="Y459" i="22" s="1"/>
  <c r="V407" i="22"/>
  <c r="W407" i="22" s="1"/>
  <c r="Y407" i="22" s="1"/>
  <c r="V490" i="22"/>
  <c r="W490" i="22" s="1"/>
  <c r="Y490" i="22" s="1"/>
  <c r="V529" i="22"/>
  <c r="W529" i="22" s="1"/>
  <c r="Y529" i="22" s="1"/>
  <c r="V70" i="22"/>
  <c r="W70" i="22" s="1"/>
  <c r="Y70" i="22" s="1"/>
  <c r="V78" i="22"/>
  <c r="W78" i="22" s="1"/>
  <c r="Y78" i="22" s="1"/>
  <c r="V121" i="22"/>
  <c r="W121" i="22" s="1"/>
  <c r="Y121" i="22" s="1"/>
  <c r="V158" i="22"/>
  <c r="W158" i="22" s="1"/>
  <c r="Y158" i="22" s="1"/>
  <c r="V257" i="22"/>
  <c r="W257" i="22" s="1"/>
  <c r="Y257" i="22" s="1"/>
  <c r="V378" i="22"/>
  <c r="W378" i="22" s="1"/>
  <c r="Y378" i="22" s="1"/>
  <c r="V470" i="22"/>
  <c r="W470" i="22" s="1"/>
  <c r="Y470" i="22" s="1"/>
  <c r="V58" i="22"/>
  <c r="W58" i="22" s="1"/>
  <c r="Y58" i="22" s="1"/>
  <c r="V95" i="22"/>
  <c r="W95" i="22" s="1"/>
  <c r="Y95" i="22" s="1"/>
  <c r="V265" i="22"/>
  <c r="W265" i="22" s="1"/>
  <c r="Y265" i="22" s="1"/>
  <c r="V421" i="22"/>
  <c r="W421" i="22" s="1"/>
  <c r="Y421" i="22" s="1"/>
  <c r="V585" i="22"/>
  <c r="W585" i="22" s="1"/>
  <c r="Y585" i="22" s="1"/>
  <c r="V133" i="22"/>
  <c r="W133" i="22" s="1"/>
  <c r="Y133" i="22" s="1"/>
  <c r="V140" i="22"/>
  <c r="W140" i="22" s="1"/>
  <c r="Y140" i="22" s="1"/>
  <c r="V242" i="22"/>
  <c r="W242" i="22" s="1"/>
  <c r="Y242" i="22" s="1"/>
  <c r="V483" i="22"/>
  <c r="W483" i="22" s="1"/>
  <c r="Y483" i="22" s="1"/>
  <c r="V226" i="22"/>
  <c r="W226" i="22" s="1"/>
  <c r="Y226" i="22" s="1"/>
  <c r="V231" i="22"/>
  <c r="W231" i="22" s="1"/>
  <c r="Y231" i="22" s="1"/>
  <c r="V236" i="22"/>
  <c r="W236" i="22" s="1"/>
  <c r="Y236" i="22" s="1"/>
  <c r="V241" i="22"/>
  <c r="W241" i="22" s="1"/>
  <c r="Y241" i="22" s="1"/>
  <c r="V376" i="22"/>
  <c r="W376" i="22" s="1"/>
  <c r="Y376" i="22" s="1"/>
  <c r="V381" i="22"/>
  <c r="W381" i="22" s="1"/>
  <c r="Y381" i="22" s="1"/>
  <c r="V476" i="22"/>
  <c r="W476" i="22" s="1"/>
  <c r="Y476" i="22" s="1"/>
  <c r="V49" i="22"/>
  <c r="W49" i="22" s="1"/>
  <c r="V246" i="22"/>
  <c r="W246" i="22" s="1"/>
  <c r="Y246" i="22" s="1"/>
  <c r="V349" i="22"/>
  <c r="W349" i="22" s="1"/>
  <c r="Y349" i="22" s="1"/>
  <c r="V171" i="22"/>
  <c r="W171" i="22" s="1"/>
  <c r="Y171" i="22" s="1"/>
  <c r="V271" i="22"/>
  <c r="W271" i="22" s="1"/>
  <c r="Y271" i="22" s="1"/>
  <c r="V425" i="22"/>
  <c r="W425" i="22" s="1"/>
  <c r="Y425" i="22" s="1"/>
  <c r="V578" i="22"/>
  <c r="W578" i="22" s="1"/>
  <c r="Y578" i="22" s="1"/>
  <c r="V292" i="22"/>
  <c r="W292" i="22" s="1"/>
  <c r="Y292" i="22" s="1"/>
  <c r="V474" i="22"/>
  <c r="W474" i="22" s="1"/>
  <c r="Y474" i="22" s="1"/>
  <c r="V85" i="22"/>
  <c r="W85" i="22" s="1"/>
  <c r="V114" i="22"/>
  <c r="W114" i="22" s="1"/>
  <c r="Y114" i="22" s="1"/>
  <c r="V150" i="22"/>
  <c r="W150" i="22" s="1"/>
  <c r="Y150" i="22" s="1"/>
  <c r="V248" i="22"/>
  <c r="W248" i="22" s="1"/>
  <c r="Y248" i="22" s="1"/>
  <c r="V366" i="22"/>
  <c r="W366" i="22" s="1"/>
  <c r="Y366" i="22" s="1"/>
  <c r="V461" i="22"/>
  <c r="W461" i="22" s="1"/>
  <c r="Y461" i="22" s="1"/>
  <c r="V47" i="22"/>
  <c r="W47" i="22" s="1"/>
  <c r="V103" i="22"/>
  <c r="W103" i="22" s="1"/>
  <c r="Y103" i="22" s="1"/>
  <c r="V332" i="22"/>
  <c r="W332" i="22" s="1"/>
  <c r="Y332" i="22" s="1"/>
  <c r="V433" i="22"/>
  <c r="W433" i="22" s="1"/>
  <c r="Y433" i="22" s="1"/>
  <c r="V41" i="22"/>
  <c r="W41" i="22" s="1"/>
  <c r="Y41" i="22" s="1"/>
  <c r="V147" i="22"/>
  <c r="W147" i="22" s="1"/>
  <c r="Y147" i="22" s="1"/>
  <c r="V487" i="22"/>
  <c r="W487" i="22" s="1"/>
  <c r="Y487" i="22" s="1"/>
  <c r="V589" i="22"/>
  <c r="W589" i="22" s="1"/>
  <c r="Y589" i="22" s="1"/>
  <c r="V245" i="22"/>
  <c r="W245" i="22" s="1"/>
  <c r="Y245" i="22" s="1"/>
  <c r="V250" i="22"/>
  <c r="W250" i="22" s="1"/>
  <c r="Y250" i="22" s="1"/>
  <c r="V411" i="22"/>
  <c r="W411" i="22" s="1"/>
  <c r="Y411" i="22" s="1"/>
  <c r="V416" i="22"/>
  <c r="W416" i="22" s="1"/>
  <c r="Y416" i="22" s="1"/>
  <c r="V486" i="22"/>
  <c r="W486" i="22" s="1"/>
  <c r="Y486" i="22" s="1"/>
  <c r="V54" i="22"/>
  <c r="W54" i="22" s="1"/>
  <c r="V260" i="22"/>
  <c r="W260" i="22" s="1"/>
  <c r="Y260" i="22" s="1"/>
  <c r="V356" i="22"/>
  <c r="W356" i="22" s="1"/>
  <c r="Y356" i="22" s="1"/>
  <c r="V580" i="22"/>
  <c r="W580" i="22" s="1"/>
  <c r="Y580" i="22" s="1"/>
  <c r="V166" i="22"/>
  <c r="W166" i="22" s="1"/>
  <c r="Y166" i="22" s="1"/>
  <c r="V258" i="22"/>
  <c r="W258" i="22" s="1"/>
  <c r="Y258" i="22" s="1"/>
  <c r="V414" i="22"/>
  <c r="W414" i="22" s="1"/>
  <c r="Y414" i="22" s="1"/>
  <c r="V493" i="22"/>
  <c r="W493" i="22" s="1"/>
  <c r="Y493" i="22" s="1"/>
  <c r="V289" i="22"/>
  <c r="W289" i="22" s="1"/>
  <c r="Y289" i="22" s="1"/>
  <c r="V464" i="22"/>
  <c r="W464" i="22" s="1"/>
  <c r="Y464" i="22" s="1"/>
  <c r="V511" i="22"/>
  <c r="W511" i="22" s="1"/>
  <c r="Y511" i="22" s="1"/>
  <c r="V484" i="22"/>
  <c r="W484" i="22" s="1"/>
  <c r="Y484" i="22" s="1"/>
  <c r="V536" i="22"/>
  <c r="W536" i="22" s="1"/>
  <c r="Y536" i="22" s="1"/>
  <c r="V494" i="22"/>
  <c r="W494" i="22" s="1"/>
  <c r="Y494" i="22" s="1"/>
  <c r="V495" i="22"/>
  <c r="W495" i="22" s="1"/>
  <c r="Y495" i="22" s="1"/>
  <c r="V503" i="22"/>
  <c r="W503" i="22" s="1"/>
  <c r="Y503" i="22" s="1"/>
  <c r="V546" i="22"/>
  <c r="W546" i="22" s="1"/>
  <c r="Y546" i="22" s="1"/>
  <c r="V475" i="22"/>
  <c r="W475" i="22" s="1"/>
  <c r="Y475" i="22" s="1"/>
  <c r="V355" i="22"/>
  <c r="W355" i="22" s="1"/>
  <c r="Y355" i="22" s="1"/>
  <c r="V541" i="22"/>
  <c r="W541" i="22" s="1"/>
  <c r="Y541" i="22" s="1"/>
  <c r="V388" i="22"/>
  <c r="W388" i="22" s="1"/>
  <c r="Y388" i="22" s="1"/>
  <c r="V427" i="22"/>
  <c r="W427" i="22" s="1"/>
  <c r="Y427" i="22" s="1"/>
  <c r="V420" i="22"/>
  <c r="W420" i="22" s="1"/>
  <c r="Y420" i="22" s="1"/>
  <c r="V446" i="22"/>
  <c r="W446" i="22" s="1"/>
  <c r="Y446" i="22" s="1"/>
  <c r="V496" i="22"/>
  <c r="W496" i="22" s="1"/>
  <c r="Y496" i="22" s="1"/>
  <c r="V353" i="22"/>
  <c r="W353" i="22" s="1"/>
  <c r="Y353" i="22" s="1"/>
  <c r="V530" i="22"/>
  <c r="W530" i="22" s="1"/>
  <c r="Y530" i="22" s="1"/>
  <c r="V361" i="22"/>
  <c r="W361" i="22" s="1"/>
  <c r="Y361" i="22" s="1"/>
  <c r="V50" i="22"/>
  <c r="W50" i="22" s="1"/>
  <c r="V99" i="22"/>
  <c r="W99" i="22" s="1"/>
  <c r="Y99" i="22" s="1"/>
  <c r="V40" i="22"/>
  <c r="W40" i="22" s="1"/>
  <c r="V149" i="22"/>
  <c r="W149" i="22" s="1"/>
  <c r="Y149" i="22" s="1"/>
  <c r="V60" i="22"/>
  <c r="W60" i="22" s="1"/>
  <c r="Y60" i="22" s="1"/>
  <c r="V180" i="22"/>
  <c r="W180" i="22" s="1"/>
  <c r="Y180" i="22" s="1"/>
  <c r="V68" i="22"/>
  <c r="W68" i="22" s="1"/>
  <c r="Y68" i="22" s="1"/>
  <c r="V453" i="22"/>
  <c r="W453" i="22" s="1"/>
  <c r="Y453" i="22" s="1"/>
  <c r="V390" i="22"/>
  <c r="W390" i="22" s="1"/>
  <c r="Y390" i="22" s="1"/>
  <c r="V408" i="22"/>
  <c r="W408" i="22" s="1"/>
  <c r="Y408" i="22" s="1"/>
  <c r="V583" i="22"/>
  <c r="W583" i="22" s="1"/>
  <c r="Y583" i="22" s="1"/>
  <c r="V435" i="22"/>
  <c r="W435" i="22" s="1"/>
  <c r="Y435" i="22" s="1"/>
  <c r="V415" i="22"/>
  <c r="W415" i="22" s="1"/>
  <c r="Y415" i="22" s="1"/>
  <c r="V533" i="22"/>
  <c r="W533" i="22" s="1"/>
  <c r="Y533" i="22" s="1"/>
  <c r="V500" i="22"/>
  <c r="W500" i="22" s="1"/>
  <c r="Y500" i="22" s="1"/>
  <c r="V400" i="22"/>
  <c r="W400" i="22" s="1"/>
  <c r="Y400" i="22" s="1"/>
  <c r="V389" i="22"/>
  <c r="W389" i="22" s="1"/>
  <c r="Y389" i="22" s="1"/>
  <c r="V497" i="22"/>
  <c r="W497" i="22" s="1"/>
  <c r="Y497" i="22" s="1"/>
  <c r="V458" i="22"/>
  <c r="W458" i="22" s="1"/>
  <c r="Y458" i="22" s="1"/>
  <c r="V417" i="22"/>
  <c r="W417" i="22" s="1"/>
  <c r="Y417" i="22" s="1"/>
  <c r="V331" i="22"/>
  <c r="W331" i="22" s="1"/>
  <c r="Y331" i="22" s="1"/>
  <c r="V507" i="22"/>
  <c r="W507" i="22" s="1"/>
  <c r="Y507" i="22" s="1"/>
  <c r="M39" i="22"/>
  <c r="V39" i="22" s="1"/>
  <c r="W39" i="22" s="1"/>
  <c r="E21" i="26" l="1" a="1"/>
  <c r="E21" i="26" s="1"/>
  <c r="R37" i="26" a="1"/>
  <c r="R37" i="26" s="1"/>
  <c r="R36" i="26" a="1"/>
  <c r="R36" i="26" s="1"/>
  <c r="R35" i="26" a="1"/>
  <c r="R35" i="26" s="1"/>
  <c r="R34" i="26" a="1"/>
  <c r="R34" i="26" s="1"/>
  <c r="R33" i="26" a="1"/>
  <c r="R33" i="26" s="1"/>
  <c r="R17" i="26" a="1"/>
  <c r="R17" i="26" s="1"/>
  <c r="D40" i="26" a="1"/>
  <c r="D40" i="26" s="1"/>
  <c r="R53" i="26" a="1"/>
  <c r="R53" i="26" s="1"/>
  <c r="M53" i="26" a="1"/>
  <c r="M52" i="26" a="1"/>
  <c r="M50" i="26" a="1"/>
  <c r="M49" i="26" a="1"/>
  <c r="M48" i="26" a="1"/>
  <c r="M47" i="26" a="1"/>
  <c r="M46" i="26" a="1"/>
  <c r="M45" i="26" a="1"/>
  <c r="M43" i="26" a="1"/>
  <c r="M40" i="26" a="1"/>
  <c r="M38" i="26" a="1"/>
  <c r="M36" i="26" a="1"/>
  <c r="M33" i="26" a="1"/>
  <c r="M32" i="26" a="1"/>
  <c r="M31" i="26" a="1"/>
  <c r="M29" i="26" a="1"/>
  <c r="M51" i="26" a="1"/>
  <c r="M44" i="26" a="1"/>
  <c r="M41" i="26" a="1"/>
  <c r="M30" i="26" a="1"/>
  <c r="P47" i="26" a="1"/>
  <c r="P47" i="26" s="1"/>
  <c r="U36" i="26" a="1"/>
  <c r="U36" i="26" s="1"/>
  <c r="C44" i="26"/>
  <c r="C43" i="26"/>
  <c r="C42" i="26"/>
  <c r="C41" i="26"/>
  <c r="C40" i="26"/>
  <c r="C39" i="26"/>
  <c r="C38" i="26"/>
  <c r="C37" i="26"/>
  <c r="C36" i="26"/>
  <c r="C35" i="26"/>
  <c r="C34" i="26"/>
  <c r="C33" i="26"/>
  <c r="C32" i="26"/>
  <c r="C31" i="26"/>
  <c r="C30" i="26"/>
  <c r="C29" i="26"/>
  <c r="D53" i="26" a="1"/>
  <c r="D53" i="26" s="1"/>
  <c r="D52" i="26" a="1"/>
  <c r="D52" i="26" s="1"/>
  <c r="D51" i="26" a="1"/>
  <c r="D51" i="26" s="1"/>
  <c r="D50" i="26" a="1"/>
  <c r="D50" i="26" s="1"/>
  <c r="D49" i="26" a="1"/>
  <c r="D49" i="26" s="1"/>
  <c r="D48" i="26" a="1"/>
  <c r="D48" i="26" s="1"/>
  <c r="F48" i="26" a="1"/>
  <c r="F48" i="26" s="1"/>
  <c r="U49" i="26" a="1"/>
  <c r="U49" i="26" s="1"/>
  <c r="U48" i="26" a="1"/>
  <c r="U48" i="26" s="1"/>
  <c r="U46" i="26" a="1"/>
  <c r="U46" i="26" s="1"/>
  <c r="U45" i="26" a="1"/>
  <c r="U45" i="26" s="1"/>
  <c r="P52" i="26" a="1"/>
  <c r="P52" i="26" s="1"/>
  <c r="P50" i="26" a="1"/>
  <c r="P50" i="26" s="1"/>
  <c r="P46" i="26" a="1"/>
  <c r="P46" i="26" s="1"/>
  <c r="U38" i="26" a="1"/>
  <c r="U38" i="26" s="1"/>
  <c r="D32" i="26" a="1"/>
  <c r="D32" i="26" s="1"/>
  <c r="D31" i="26" a="1"/>
  <c r="D31" i="26" s="1"/>
  <c r="D29" i="26" a="1"/>
  <c r="D29" i="26" s="1"/>
  <c r="R41" i="26" a="1"/>
  <c r="R41" i="26" s="1"/>
  <c r="R30" i="26" a="1"/>
  <c r="R30" i="26" s="1"/>
  <c r="R44" i="26" a="1"/>
  <c r="R44" i="26" s="1"/>
  <c r="F47" i="26" a="1"/>
  <c r="F47" i="26" s="1"/>
  <c r="F46" i="26" a="1"/>
  <c r="F46" i="26" s="1"/>
  <c r="F41" i="26" a="1"/>
  <c r="F41" i="26" s="1"/>
  <c r="F38" i="26" a="1"/>
  <c r="F38" i="26" s="1"/>
  <c r="F37" i="26" a="1"/>
  <c r="F37" i="26" s="1"/>
  <c r="F35" i="26" a="1"/>
  <c r="F35" i="26" s="1"/>
  <c r="F33" i="26" a="1"/>
  <c r="F33" i="26" s="1"/>
  <c r="F31" i="26" a="1"/>
  <c r="F31" i="26" s="1"/>
  <c r="F29" i="26" a="1"/>
  <c r="F29" i="26" s="1"/>
  <c r="U47" i="26" a="1"/>
  <c r="U47" i="26" s="1"/>
  <c r="H52" i="26" a="1"/>
  <c r="H52" i="26" s="1"/>
  <c r="H48" i="26" a="1"/>
  <c r="H48" i="26" s="1"/>
  <c r="H46" i="26" a="1"/>
  <c r="H46" i="26" s="1"/>
  <c r="R39" i="26" a="1"/>
  <c r="R39" i="26" s="1"/>
  <c r="R52" i="26" a="1"/>
  <c r="R52" i="26" s="1"/>
  <c r="M39" i="26" a="1"/>
  <c r="M35" i="26" a="1"/>
  <c r="U34" i="26" a="1"/>
  <c r="U34" i="26" s="1"/>
  <c r="R43" i="26" a="1"/>
  <c r="R43" i="26" s="1"/>
  <c r="R32" i="26" a="1"/>
  <c r="R32" i="26" s="1"/>
  <c r="R48" i="26" a="1"/>
  <c r="R48" i="26" s="1"/>
  <c r="U53" i="26" a="1"/>
  <c r="U53" i="26" s="1"/>
  <c r="U52" i="26" a="1"/>
  <c r="U52" i="26" s="1"/>
  <c r="U50" i="26" a="1"/>
  <c r="U50" i="26" s="1"/>
  <c r="U31" i="26" a="1"/>
  <c r="U31" i="26" s="1"/>
  <c r="R29" i="26" a="1"/>
  <c r="R29" i="26" s="1"/>
  <c r="P30" i="26" a="1"/>
  <c r="P30" i="26" s="1"/>
  <c r="B46" i="26"/>
  <c r="B36" i="26"/>
  <c r="C49" i="26"/>
  <c r="U42" i="26" a="1"/>
  <c r="U42" i="26" s="1"/>
  <c r="U30" i="26" a="1"/>
  <c r="U30" i="26" s="1"/>
  <c r="M37" i="26" a="1"/>
  <c r="P51" i="26" a="1"/>
  <c r="P51" i="26" s="1"/>
  <c r="P48" i="26" a="1"/>
  <c r="P48" i="26" s="1"/>
  <c r="P45" i="26" a="1"/>
  <c r="P45" i="26" s="1"/>
  <c r="P42" i="26" a="1"/>
  <c r="P42" i="26" s="1"/>
  <c r="P41" i="26" a="1"/>
  <c r="P41" i="26" s="1"/>
  <c r="P40" i="26" a="1"/>
  <c r="P40" i="26" s="1"/>
  <c r="P37" i="26" a="1"/>
  <c r="P37" i="26" s="1"/>
  <c r="R49" i="26" a="1"/>
  <c r="R49" i="26" s="1"/>
  <c r="U37" i="26" a="1"/>
  <c r="U37" i="26" s="1"/>
  <c r="P34" i="26" a="1"/>
  <c r="P34" i="26" s="1"/>
  <c r="R50" i="26" a="1"/>
  <c r="R50" i="26" s="1"/>
  <c r="U33" i="26" a="1"/>
  <c r="U33" i="26" s="1"/>
  <c r="R25" i="26" a="1"/>
  <c r="R25" i="26" s="1"/>
  <c r="U35" i="26" a="1"/>
  <c r="U35" i="26" s="1"/>
  <c r="R51" i="26" a="1"/>
  <c r="R51" i="26" s="1"/>
  <c r="B48" i="26"/>
  <c r="B40" i="26"/>
  <c r="B29" i="26"/>
  <c r="C46" i="26"/>
  <c r="U43" i="26" a="1"/>
  <c r="U43" i="26" s="1"/>
  <c r="R18" i="26" a="1"/>
  <c r="R18" i="26" s="1"/>
  <c r="B50" i="26"/>
  <c r="B42" i="26"/>
  <c r="B37" i="26"/>
  <c r="B31" i="26"/>
  <c r="C47" i="26"/>
  <c r="U41" i="26" a="1"/>
  <c r="U41" i="26" s="1"/>
  <c r="P39" i="26" a="1"/>
  <c r="P39" i="26" s="1"/>
  <c r="P35" i="26" a="1"/>
  <c r="P35" i="26" s="1"/>
  <c r="P33" i="26" a="1"/>
  <c r="P33" i="26" s="1"/>
  <c r="R38" i="26" a="1"/>
  <c r="R38" i="26" s="1"/>
  <c r="B52" i="26"/>
  <c r="B45" i="26"/>
  <c r="B33" i="26"/>
  <c r="C52" i="26"/>
  <c r="C48" i="26"/>
  <c r="C45" i="26"/>
  <c r="U44" i="26" a="1"/>
  <c r="U44" i="26" s="1"/>
  <c r="P38" i="26" a="1"/>
  <c r="P38" i="26" s="1"/>
  <c r="R45" i="26" a="1"/>
  <c r="R45" i="26" s="1"/>
  <c r="U39" i="26" a="1"/>
  <c r="U39" i="26" s="1"/>
  <c r="U29" i="26" a="1"/>
  <c r="U29" i="26" s="1"/>
  <c r="U51" i="26" a="1"/>
  <c r="U51" i="26" s="1"/>
  <c r="P43" i="26" a="1"/>
  <c r="P43" i="26" s="1"/>
  <c r="P36" i="26" a="1"/>
  <c r="P36" i="26" s="1"/>
  <c r="R42" i="26" a="1"/>
  <c r="R42" i="26" s="1"/>
  <c r="R22" i="26" a="1"/>
  <c r="R22" i="26" s="1"/>
  <c r="F30" i="26" a="1"/>
  <c r="F30" i="26" s="1"/>
  <c r="H47" i="26" a="1"/>
  <c r="H47" i="26" s="1"/>
  <c r="H44" i="26" a="1"/>
  <c r="H44" i="26" s="1"/>
  <c r="H35" i="26" a="1"/>
  <c r="H35" i="26" s="1"/>
  <c r="B44" i="26"/>
  <c r="D47" i="26" a="1"/>
  <c r="D47" i="26" s="1"/>
  <c r="D46" i="26" a="1"/>
  <c r="D46" i="26" s="1"/>
  <c r="D45" i="26" a="1"/>
  <c r="D45" i="26" s="1"/>
  <c r="D44" i="26" a="1"/>
  <c r="D44" i="26" s="1"/>
  <c r="D41" i="26" a="1"/>
  <c r="D41" i="26" s="1"/>
  <c r="D36" i="26" a="1"/>
  <c r="D36" i="26" s="1"/>
  <c r="R31" i="26" a="1"/>
  <c r="R31" i="26" s="1"/>
  <c r="M42" i="26" a="1"/>
  <c r="P53" i="26" a="1"/>
  <c r="P53" i="26" s="1"/>
  <c r="P49" i="26" a="1"/>
  <c r="P49" i="26" s="1"/>
  <c r="P44" i="26" a="1"/>
  <c r="P44" i="26" s="1"/>
  <c r="R47" i="26" a="1"/>
  <c r="R47" i="26" s="1"/>
  <c r="R46" i="26" a="1"/>
  <c r="R46" i="26" s="1"/>
  <c r="D37" i="26" a="1"/>
  <c r="D37" i="26" s="1"/>
  <c r="H53" i="26" a="1"/>
  <c r="H53" i="26" s="1"/>
  <c r="H50" i="26" a="1"/>
  <c r="H50" i="26" s="1"/>
  <c r="H40" i="26" a="1"/>
  <c r="H40" i="26" s="1"/>
  <c r="U40" i="26" a="1"/>
  <c r="U40" i="26" s="1"/>
  <c r="R27" i="26" a="1"/>
  <c r="R27" i="26" s="1"/>
  <c r="D38" i="26" a="1"/>
  <c r="D38" i="26" s="1"/>
  <c r="H51" i="26" a="1"/>
  <c r="H51" i="26" s="1"/>
  <c r="H49" i="26" a="1"/>
  <c r="H49" i="26" s="1"/>
  <c r="H37" i="26" a="1"/>
  <c r="H37" i="26" s="1"/>
  <c r="B47" i="26"/>
  <c r="B39" i="26"/>
  <c r="D43" i="26" a="1"/>
  <c r="D43" i="26" s="1"/>
  <c r="D42" i="26" a="1"/>
  <c r="D42" i="26" s="1"/>
  <c r="D39" i="26" a="1"/>
  <c r="D39" i="26" s="1"/>
  <c r="D34" i="26" a="1"/>
  <c r="D34" i="26" s="1"/>
  <c r="R40" i="26" a="1"/>
  <c r="R40" i="26" s="1"/>
  <c r="M34" i="26" a="1"/>
  <c r="U32" i="26" a="1"/>
  <c r="U32" i="26" s="1"/>
  <c r="D35" i="26" a="1"/>
  <c r="D35" i="26" s="1"/>
  <c r="D33" i="26" a="1"/>
  <c r="D33" i="26" s="1"/>
  <c r="D30" i="26" a="1"/>
  <c r="D30" i="26" s="1"/>
  <c r="F53" i="26" a="1"/>
  <c r="F53" i="26" s="1"/>
  <c r="F52" i="26" a="1"/>
  <c r="F52" i="26" s="1"/>
  <c r="I52" i="26" s="1"/>
  <c r="F51" i="26" a="1"/>
  <c r="F51" i="26" s="1"/>
  <c r="I51" i="26" s="1"/>
  <c r="F50" i="26" a="1"/>
  <c r="F50" i="26" s="1"/>
  <c r="F49" i="26" a="1"/>
  <c r="F49" i="26" s="1"/>
  <c r="I49" i="26" s="1"/>
  <c r="F45" i="26" a="1"/>
  <c r="F45" i="26" s="1"/>
  <c r="F44" i="26" a="1"/>
  <c r="F44" i="26" s="1"/>
  <c r="F43" i="26" a="1"/>
  <c r="F43" i="26" s="1"/>
  <c r="F42" i="26" a="1"/>
  <c r="F42" i="26" s="1"/>
  <c r="F40" i="26" a="1"/>
  <c r="F40" i="26" s="1"/>
  <c r="B30" i="26"/>
  <c r="C53" i="26"/>
  <c r="C51" i="26"/>
  <c r="H34" i="26" a="1"/>
  <c r="H34" i="26" s="1"/>
  <c r="H31" i="26" a="1"/>
  <c r="H31" i="26" s="1"/>
  <c r="I31" i="26" s="1"/>
  <c r="H29" i="26" a="1"/>
  <c r="H29" i="26" s="1"/>
  <c r="I29" i="26" s="1"/>
  <c r="G53" i="26" a="1"/>
  <c r="G53" i="26" s="1"/>
  <c r="G51" i="26" a="1"/>
  <c r="G51" i="26" s="1"/>
  <c r="J51" i="26" s="1"/>
  <c r="G49" i="26" a="1"/>
  <c r="G49" i="26" s="1"/>
  <c r="J49" i="26" s="1"/>
  <c r="G48" i="26" a="1"/>
  <c r="G48" i="26" s="1"/>
  <c r="J48" i="26" s="1"/>
  <c r="G45" i="26" a="1"/>
  <c r="G45" i="26" s="1"/>
  <c r="G41" i="26" a="1"/>
  <c r="G41" i="26" s="1"/>
  <c r="H45" i="26" a="1"/>
  <c r="H45" i="26" s="1"/>
  <c r="H43" i="26" a="1"/>
  <c r="H43" i="26" s="1"/>
  <c r="H42" i="26" a="1"/>
  <c r="H42" i="26" s="1"/>
  <c r="H41" i="26" a="1"/>
  <c r="H41" i="26" s="1"/>
  <c r="I41" i="26" s="1"/>
  <c r="H39" i="26" a="1"/>
  <c r="H39" i="26" s="1"/>
  <c r="H38" i="26" a="1"/>
  <c r="H38" i="26" s="1"/>
  <c r="I38" i="26" s="1"/>
  <c r="H36" i="26" a="1"/>
  <c r="H36" i="26" s="1"/>
  <c r="H33" i="26" a="1"/>
  <c r="H33" i="26" s="1"/>
  <c r="I33" i="26" s="1"/>
  <c r="H32" i="26" a="1"/>
  <c r="H32" i="26" s="1"/>
  <c r="H30" i="26" a="1"/>
  <c r="H30" i="26" s="1"/>
  <c r="G52" i="26" a="1"/>
  <c r="G52" i="26" s="1"/>
  <c r="G50" i="26" a="1"/>
  <c r="G50" i="26" s="1"/>
  <c r="G47" i="26" a="1"/>
  <c r="G47" i="26" s="1"/>
  <c r="G46" i="26" a="1"/>
  <c r="G46" i="26" s="1"/>
  <c r="G44" i="26" a="1"/>
  <c r="G44" i="26" s="1"/>
  <c r="G43" i="26" a="1"/>
  <c r="G43" i="26" s="1"/>
  <c r="G42" i="26" a="1"/>
  <c r="G42" i="26" s="1"/>
  <c r="G40" i="26" a="1"/>
  <c r="G40" i="26" s="1"/>
  <c r="G39" i="26" a="1"/>
  <c r="G39" i="26" s="1"/>
  <c r="G38" i="26" a="1"/>
  <c r="G38" i="26" s="1"/>
  <c r="G37" i="26" a="1"/>
  <c r="G37" i="26" s="1"/>
  <c r="G36" i="26" a="1"/>
  <c r="G36" i="26" s="1"/>
  <c r="G35" i="26" a="1"/>
  <c r="G35" i="26" s="1"/>
  <c r="G34" i="26" a="1"/>
  <c r="G34" i="26" s="1"/>
  <c r="G33" i="26" a="1"/>
  <c r="G33" i="26" s="1"/>
  <c r="G32" i="26" a="1"/>
  <c r="G32" i="26" s="1"/>
  <c r="G31" i="26" a="1"/>
  <c r="G31" i="26" s="1"/>
  <c r="G30" i="26" a="1"/>
  <c r="G30" i="26" s="1"/>
  <c r="G29" i="26" a="1"/>
  <c r="G29" i="26" s="1"/>
  <c r="P32" i="26" a="1"/>
  <c r="P32" i="26" s="1"/>
  <c r="P31" i="26" a="1"/>
  <c r="P31" i="26" s="1"/>
  <c r="AB26" i="26" a="1"/>
  <c r="AB33" i="26" a="1"/>
  <c r="AB35" i="26" a="1"/>
  <c r="AB38" i="26" a="1"/>
  <c r="AB43" i="26" a="1"/>
  <c r="AB50" i="26" a="1"/>
  <c r="AB53" i="26" a="1"/>
  <c r="Q13" i="26" a="1"/>
  <c r="Q13" i="26" s="1"/>
  <c r="Q18" i="26" a="1"/>
  <c r="Q18" i="26" s="1"/>
  <c r="Q29" i="26" a="1"/>
  <c r="Q29" i="26" s="1"/>
  <c r="Q33" i="26" a="1"/>
  <c r="Q33" i="26" s="1"/>
  <c r="Q35" i="26" a="1"/>
  <c r="Q35" i="26" s="1"/>
  <c r="Q37" i="26" a="1"/>
  <c r="Q37" i="26" s="1"/>
  <c r="Q41" i="26" a="1"/>
  <c r="Q41" i="26" s="1"/>
  <c r="Q49" i="26" a="1"/>
  <c r="Q49" i="26" s="1"/>
  <c r="Q52" i="26" a="1"/>
  <c r="Q52" i="26" s="1"/>
  <c r="Q53" i="26" a="1"/>
  <c r="Q53" i="26" s="1"/>
  <c r="AR15" i="26" a="1"/>
  <c r="AR19" i="26" a="1"/>
  <c r="AR23" i="26" a="1"/>
  <c r="AR32" i="26" a="1"/>
  <c r="AR34" i="26" a="1"/>
  <c r="AR38" i="26" a="1"/>
  <c r="AR39" i="26" a="1"/>
  <c r="AR42" i="26" a="1"/>
  <c r="AR45" i="26" a="1"/>
  <c r="AR50" i="26" a="1"/>
  <c r="AM13" i="26" a="1"/>
  <c r="AM16" i="26" a="1"/>
  <c r="AM20" i="26" a="1"/>
  <c r="AM24" i="26" a="1"/>
  <c r="AM27" i="26" a="1"/>
  <c r="AM31" i="26" a="1"/>
  <c r="AM34" i="26" a="1"/>
  <c r="AM37" i="26" a="1"/>
  <c r="AM38" i="26" a="1"/>
  <c r="AM41" i="26" a="1"/>
  <c r="AG28" i="26" a="1"/>
  <c r="AG32" i="26" a="1"/>
  <c r="AG37" i="26" a="1"/>
  <c r="AG40" i="26" a="1"/>
  <c r="AG45" i="26" a="1"/>
  <c r="AG49" i="26" a="1"/>
  <c r="AB14" i="26" a="1"/>
  <c r="AB18" i="26" a="1"/>
  <c r="AB21" i="26" a="1"/>
  <c r="AB24" i="26" a="1"/>
  <c r="AB27" i="26" a="1"/>
  <c r="AB30" i="26" a="1"/>
  <c r="AB34" i="26" a="1"/>
  <c r="AB37" i="26" a="1"/>
  <c r="AB40" i="26" a="1"/>
  <c r="AB42" i="26" a="1"/>
  <c r="Q14" i="26" a="1"/>
  <c r="Q14" i="26" s="1"/>
  <c r="Q16" i="26" a="1"/>
  <c r="Q16" i="26" s="1"/>
  <c r="Q20" i="26" a="1"/>
  <c r="Q20" i="26" s="1"/>
  <c r="Q23" i="26" a="1"/>
  <c r="Q23" i="26" s="1"/>
  <c r="Q26" i="26" a="1"/>
  <c r="Q26" i="26" s="1"/>
  <c r="Q28" i="26" a="1"/>
  <c r="Q28" i="26" s="1"/>
  <c r="Q31" i="26" a="1"/>
  <c r="Q31" i="26" s="1"/>
  <c r="AR13" i="26" a="1"/>
  <c r="AR16" i="26" a="1"/>
  <c r="AR18" i="26" a="1"/>
  <c r="AR21" i="26" a="1"/>
  <c r="AR24" i="26" a="1"/>
  <c r="AR26" i="26" a="1"/>
  <c r="AR28" i="26" a="1"/>
  <c r="AR35" i="26" a="1"/>
  <c r="AR37" i="26" a="1"/>
  <c r="AR40" i="26" a="1"/>
  <c r="AR43" i="26" a="1"/>
  <c r="AR46" i="26" a="1"/>
  <c r="AR49" i="26" a="1"/>
  <c r="AR51" i="26" a="1"/>
  <c r="AR52" i="26" a="1"/>
  <c r="AR53" i="26" a="1"/>
  <c r="AM14" i="26" a="1"/>
  <c r="AM15" i="26" a="1"/>
  <c r="AM18" i="26" a="1"/>
  <c r="AM21" i="26" a="1"/>
  <c r="AM23" i="26" a="1"/>
  <c r="AM25" i="26" a="1"/>
  <c r="AM28" i="26" a="1"/>
  <c r="AM30" i="26" a="1"/>
  <c r="AM33" i="26" a="1"/>
  <c r="AM36" i="26" a="1"/>
  <c r="AM39" i="26" a="1"/>
  <c r="AM43" i="26" a="1"/>
  <c r="AM44" i="26" a="1"/>
  <c r="AM45" i="26" a="1"/>
  <c r="AM46" i="26" a="1"/>
  <c r="AM47" i="26" a="1"/>
  <c r="AM48" i="26" a="1"/>
  <c r="AM49" i="26" a="1"/>
  <c r="AM50" i="26" a="1"/>
  <c r="AM51" i="26" a="1"/>
  <c r="AM52" i="26" a="1"/>
  <c r="AM53" i="26" a="1"/>
  <c r="AG13" i="26" a="1"/>
  <c r="AG14" i="26" a="1"/>
  <c r="AG15" i="26" a="1"/>
  <c r="AG16" i="26" a="1"/>
  <c r="AG17" i="26" a="1"/>
  <c r="AG18" i="26" a="1"/>
  <c r="AG19" i="26" a="1"/>
  <c r="AG20" i="26" a="1"/>
  <c r="AG21" i="26" a="1"/>
  <c r="AG22" i="26" a="1"/>
  <c r="AG23" i="26" a="1"/>
  <c r="AG24" i="26" a="1"/>
  <c r="AG25" i="26" a="1"/>
  <c r="AG27" i="26" a="1"/>
  <c r="AG29" i="26" a="1"/>
  <c r="AG31" i="26" a="1"/>
  <c r="AG33" i="26" a="1"/>
  <c r="AG35" i="26" a="1"/>
  <c r="AG36" i="26" a="1"/>
  <c r="AG38" i="26" a="1"/>
  <c r="AG44" i="26" a="1"/>
  <c r="AG46" i="26" a="1"/>
  <c r="AG48" i="26" a="1"/>
  <c r="AG50" i="26" a="1"/>
  <c r="AG52" i="26" a="1"/>
  <c r="AG53" i="26" a="1"/>
  <c r="AB13" i="26" a="1"/>
  <c r="AB16" i="26" a="1"/>
  <c r="AB19" i="26" a="1"/>
  <c r="AB23" i="26" a="1"/>
  <c r="AB29" i="26" a="1"/>
  <c r="AB32" i="26" a="1"/>
  <c r="AB39" i="26" a="1"/>
  <c r="AB41" i="26" a="1"/>
  <c r="AB44" i="26" a="1"/>
  <c r="AB46" i="26" a="1"/>
  <c r="AB48" i="26" a="1"/>
  <c r="AB52" i="26" a="1"/>
  <c r="Q15" i="26" a="1"/>
  <c r="Q15" i="26" s="1"/>
  <c r="Q17" i="26" a="1"/>
  <c r="Q17" i="26" s="1"/>
  <c r="Q19" i="26" a="1"/>
  <c r="Q19" i="26" s="1"/>
  <c r="Q21" i="26" a="1"/>
  <c r="Q21" i="26" s="1"/>
  <c r="Q22" i="26" a="1"/>
  <c r="Q22" i="26" s="1"/>
  <c r="Q24" i="26" a="1"/>
  <c r="Q24" i="26" s="1"/>
  <c r="Q25" i="26" a="1"/>
  <c r="Q25" i="26" s="1"/>
  <c r="Q27" i="26" a="1"/>
  <c r="Q27" i="26" s="1"/>
  <c r="Q30" i="26" a="1"/>
  <c r="Q30" i="26" s="1"/>
  <c r="Q32" i="26" a="1"/>
  <c r="Q32" i="26" s="1"/>
  <c r="Q34" i="26" a="1"/>
  <c r="Q34" i="26" s="1"/>
  <c r="Q36" i="26" a="1"/>
  <c r="Q36" i="26" s="1"/>
  <c r="Q38" i="26" a="1"/>
  <c r="Q38" i="26" s="1"/>
  <c r="Q39" i="26" a="1"/>
  <c r="Q39" i="26" s="1"/>
  <c r="Q40" i="26" a="1"/>
  <c r="Q40" i="26" s="1"/>
  <c r="Q42" i="26" a="1"/>
  <c r="Q42" i="26" s="1"/>
  <c r="Q43" i="26" a="1"/>
  <c r="Q43" i="26" s="1"/>
  <c r="Q44" i="26" a="1"/>
  <c r="Q44" i="26" s="1"/>
  <c r="Q45" i="26" a="1"/>
  <c r="Q45" i="26" s="1"/>
  <c r="Q46" i="26" a="1"/>
  <c r="Q46" i="26" s="1"/>
  <c r="Q47" i="26" a="1"/>
  <c r="Q47" i="26" s="1"/>
  <c r="Q48" i="26" a="1"/>
  <c r="Q48" i="26" s="1"/>
  <c r="Q50" i="26" a="1"/>
  <c r="Q50" i="26" s="1"/>
  <c r="Q51" i="26" a="1"/>
  <c r="Q51" i="26" s="1"/>
  <c r="AR14" i="26" a="1"/>
  <c r="AR17" i="26" a="1"/>
  <c r="AR20" i="26" a="1"/>
  <c r="AR22" i="26" a="1"/>
  <c r="AR25" i="26" a="1"/>
  <c r="AR27" i="26" a="1"/>
  <c r="AR29" i="26" a="1"/>
  <c r="AR30" i="26" a="1"/>
  <c r="AR31" i="26" a="1"/>
  <c r="AR33" i="26" a="1"/>
  <c r="AR36" i="26" a="1"/>
  <c r="AR41" i="26" a="1"/>
  <c r="AR44" i="26" a="1"/>
  <c r="AR47" i="26" a="1"/>
  <c r="AR48" i="26" a="1"/>
  <c r="AM17" i="26" a="1"/>
  <c r="AM19" i="26" a="1"/>
  <c r="AM22" i="26" a="1"/>
  <c r="AM26" i="26" a="1"/>
  <c r="AM29" i="26" a="1"/>
  <c r="AM32" i="26" a="1"/>
  <c r="AM35" i="26" a="1"/>
  <c r="AM40" i="26" a="1"/>
  <c r="AM42" i="26" a="1"/>
  <c r="AG26" i="26" a="1"/>
  <c r="AG30" i="26" a="1"/>
  <c r="AG34" i="26" a="1"/>
  <c r="AG39" i="26" a="1"/>
  <c r="AG41" i="26" a="1"/>
  <c r="AG42" i="26" a="1"/>
  <c r="AG43" i="26" a="1"/>
  <c r="AG47" i="26" a="1"/>
  <c r="AG51" i="26" a="1"/>
  <c r="AB15" i="26" a="1"/>
  <c r="AB17" i="26" a="1"/>
  <c r="AB20" i="26" a="1"/>
  <c r="AB22" i="26" a="1"/>
  <c r="AB25" i="26" a="1"/>
  <c r="AB28" i="26" a="1"/>
  <c r="AB31" i="26" a="1"/>
  <c r="AB36" i="26" a="1"/>
  <c r="AB45" i="26" a="1"/>
  <c r="AB47" i="26" a="1"/>
  <c r="AB49" i="26" a="1"/>
  <c r="AB51" i="26" a="1"/>
  <c r="E22" i="26" a="1"/>
  <c r="E22" i="26" s="1"/>
  <c r="E24" i="26" a="1"/>
  <c r="E24" i="26" s="1"/>
  <c r="E31" i="26" a="1"/>
  <c r="E31" i="26" s="1"/>
  <c r="E37" i="26" a="1"/>
  <c r="E37" i="26" s="1"/>
  <c r="E41" i="26" a="1"/>
  <c r="E41" i="26" s="1"/>
  <c r="E44" i="26" a="1"/>
  <c r="E44" i="26" s="1"/>
  <c r="E49" i="26" a="1"/>
  <c r="E49" i="26" s="1"/>
  <c r="E20" i="26" a="1"/>
  <c r="E20" i="26" s="1"/>
  <c r="E27" i="26" a="1"/>
  <c r="E27" i="26" s="1"/>
  <c r="E35" i="26" a="1"/>
  <c r="E35" i="26" s="1"/>
  <c r="E43" i="26" a="1"/>
  <c r="E43" i="26" s="1"/>
  <c r="E45" i="26" a="1"/>
  <c r="E45" i="26" s="1"/>
  <c r="E50" i="26" a="1"/>
  <c r="E50" i="26" s="1"/>
  <c r="E30" i="26" a="1"/>
  <c r="E30" i="26" s="1"/>
  <c r="E33" i="26" a="1"/>
  <c r="E33" i="26" s="1"/>
  <c r="E40" i="26" a="1"/>
  <c r="E40" i="26" s="1"/>
  <c r="E48" i="26" a="1"/>
  <c r="E48" i="26" s="1"/>
  <c r="E52" i="26" a="1"/>
  <c r="E52" i="26" s="1"/>
  <c r="E32" i="26" a="1"/>
  <c r="E32" i="26" s="1"/>
  <c r="E34" i="26" a="1"/>
  <c r="E34" i="26" s="1"/>
  <c r="E36" i="26" a="1"/>
  <c r="E36" i="26" s="1"/>
  <c r="E38" i="26" a="1"/>
  <c r="E38" i="26" s="1"/>
  <c r="E42" i="26" a="1"/>
  <c r="E42" i="26" s="1"/>
  <c r="E51" i="26" a="1"/>
  <c r="E51" i="26" s="1"/>
  <c r="E53" i="26" a="1"/>
  <c r="E53" i="26" s="1"/>
  <c r="F39" i="26" a="1"/>
  <c r="F39" i="26" s="1"/>
  <c r="F36" i="26" a="1"/>
  <c r="F36" i="26" s="1"/>
  <c r="F34" i="26" a="1"/>
  <c r="F34" i="26" s="1"/>
  <c r="F32" i="26" a="1"/>
  <c r="F32" i="26" s="1"/>
  <c r="C50" i="26"/>
  <c r="P29" i="26" a="1"/>
  <c r="P29" i="26" s="1"/>
  <c r="B53" i="26"/>
  <c r="B51" i="26"/>
  <c r="B49" i="26"/>
  <c r="B43" i="26"/>
  <c r="B41" i="26"/>
  <c r="B38" i="26"/>
  <c r="B35" i="26"/>
  <c r="B34" i="26"/>
  <c r="B32" i="26"/>
  <c r="E47" i="26" a="1"/>
  <c r="E47" i="26" s="1"/>
  <c r="E46" i="26" a="1"/>
  <c r="E46" i="26" s="1"/>
  <c r="E18" i="26" a="1"/>
  <c r="E18" i="26" s="1"/>
  <c r="E26" i="26" a="1"/>
  <c r="E26" i="26" s="1"/>
  <c r="E29" i="26" a="1"/>
  <c r="E29" i="26" s="1"/>
  <c r="E39" i="26" a="1"/>
  <c r="E39" i="26" s="1"/>
  <c r="U13" i="26" a="1"/>
  <c r="U13" i="26" s="1"/>
  <c r="U14" i="26" a="1"/>
  <c r="U14" i="26" s="1"/>
  <c r="U15" i="26" a="1"/>
  <c r="U15" i="26" s="1"/>
  <c r="U16" i="26" a="1"/>
  <c r="U16" i="26" s="1"/>
  <c r="U17" i="26" a="1"/>
  <c r="U17" i="26" s="1"/>
  <c r="U18" i="26" a="1"/>
  <c r="U18" i="26" s="1"/>
  <c r="U19" i="26" a="1"/>
  <c r="U19" i="26" s="1"/>
  <c r="U20" i="26" a="1"/>
  <c r="U20" i="26" s="1"/>
  <c r="U21" i="26" a="1"/>
  <c r="U21" i="26" s="1"/>
  <c r="U22" i="26" a="1"/>
  <c r="U22" i="26" s="1"/>
  <c r="U23" i="26" a="1"/>
  <c r="U23" i="26" s="1"/>
  <c r="U24" i="26" a="1"/>
  <c r="U24" i="26" s="1"/>
  <c r="U25" i="26" a="1"/>
  <c r="U25" i="26" s="1"/>
  <c r="U26" i="26" a="1"/>
  <c r="U26" i="26" s="1"/>
  <c r="U27" i="26" a="1"/>
  <c r="U27" i="26" s="1"/>
  <c r="U28" i="26" a="1"/>
  <c r="U28" i="26" s="1"/>
  <c r="R13" i="26" a="1"/>
  <c r="R13" i="26" s="1"/>
  <c r="R14" i="26" a="1"/>
  <c r="R14" i="26" s="1"/>
  <c r="R15" i="26" a="1"/>
  <c r="R15" i="26" s="1"/>
  <c r="P21" i="26" a="1"/>
  <c r="P21" i="26" s="1"/>
  <c r="P22" i="26" a="1"/>
  <c r="P22" i="26" s="1"/>
  <c r="P24" i="26" a="1"/>
  <c r="P24" i="26" s="1"/>
  <c r="P27" i="26" a="1"/>
  <c r="P27" i="26" s="1"/>
  <c r="D14" i="26" a="1"/>
  <c r="D14" i="26" s="1"/>
  <c r="D15" i="26" a="1"/>
  <c r="D15" i="26" s="1"/>
  <c r="D16" i="26" a="1"/>
  <c r="D16" i="26" s="1"/>
  <c r="D18" i="26" a="1"/>
  <c r="D18" i="26" s="1"/>
  <c r="D19" i="26" a="1"/>
  <c r="D19" i="26" s="1"/>
  <c r="D20" i="26" a="1"/>
  <c r="D20" i="26" s="1"/>
  <c r="D22" i="26" a="1"/>
  <c r="D22" i="26" s="1"/>
  <c r="D23" i="26" a="1"/>
  <c r="D23" i="26" s="1"/>
  <c r="D24" i="26" a="1"/>
  <c r="D24" i="26" s="1"/>
  <c r="D26" i="26" a="1"/>
  <c r="D26" i="26" s="1"/>
  <c r="D27" i="26" a="1"/>
  <c r="D27" i="26" s="1"/>
  <c r="D28" i="26" a="1"/>
  <c r="D28" i="26" s="1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F25" i="26" a="1"/>
  <c r="F25" i="26" s="1"/>
  <c r="B13" i="26"/>
  <c r="B14" i="26"/>
  <c r="B16" i="26"/>
  <c r="B18" i="26"/>
  <c r="B20" i="26"/>
  <c r="B23" i="26"/>
  <c r="B25" i="26"/>
  <c r="B27" i="26"/>
  <c r="P23" i="26" a="1"/>
  <c r="P23" i="26" s="1"/>
  <c r="P25" i="26" a="1"/>
  <c r="P25" i="26" s="1"/>
  <c r="P26" i="26" a="1"/>
  <c r="P26" i="26" s="1"/>
  <c r="P28" i="26" a="1"/>
  <c r="P28" i="26" s="1"/>
  <c r="E19" i="26" a="1"/>
  <c r="E19" i="26" s="1"/>
  <c r="E17" i="26" a="1"/>
  <c r="E17" i="26" s="1"/>
  <c r="E16" i="26" a="1"/>
  <c r="E16" i="26" s="1"/>
  <c r="E28" i="26" a="1"/>
  <c r="E28" i="26" s="1"/>
  <c r="E25" i="26" a="1"/>
  <c r="E25" i="26" s="1"/>
  <c r="E23" i="26" a="1"/>
  <c r="E23" i="26" s="1"/>
  <c r="E15" i="26" a="1"/>
  <c r="E15" i="26" s="1"/>
  <c r="E14" i="26" a="1"/>
  <c r="E14" i="26" s="1"/>
  <c r="E13" i="26" a="1"/>
  <c r="E13" i="26" s="1"/>
  <c r="C15" i="26"/>
  <c r="C14" i="26"/>
  <c r="C13" i="26"/>
  <c r="P19" i="26" a="1"/>
  <c r="P19" i="26" s="1"/>
  <c r="P18" i="26" a="1"/>
  <c r="P18" i="26" s="1"/>
  <c r="P17" i="26" a="1"/>
  <c r="P17" i="26" s="1"/>
  <c r="P16" i="26" a="1"/>
  <c r="P16" i="26" s="1"/>
  <c r="P15" i="26" a="1"/>
  <c r="P15" i="26" s="1"/>
  <c r="F15" i="26" a="1"/>
  <c r="F15" i="26" s="1"/>
  <c r="P20" i="26" a="1"/>
  <c r="P20" i="26" s="1"/>
  <c r="B28" i="26"/>
  <c r="B26" i="26"/>
  <c r="B24" i="26"/>
  <c r="B22" i="26"/>
  <c r="B21" i="26"/>
  <c r="B19" i="26"/>
  <c r="B17" i="26"/>
  <c r="B15" i="26"/>
  <c r="F27" i="26" a="1"/>
  <c r="F27" i="26" s="1"/>
  <c r="F24" i="26" a="1"/>
  <c r="F24" i="26" s="1"/>
  <c r="F22" i="26" a="1"/>
  <c r="F22" i="26" s="1"/>
  <c r="F21" i="26" a="1"/>
  <c r="F21" i="26" s="1"/>
  <c r="F18" i="26" a="1"/>
  <c r="F18" i="26" s="1"/>
  <c r="F14" i="26" a="1"/>
  <c r="F14" i="26" s="1"/>
  <c r="F13" i="26" a="1"/>
  <c r="F13" i="26" s="1"/>
  <c r="H27" i="26" a="1"/>
  <c r="H27" i="26" s="1"/>
  <c r="H25" i="26" a="1"/>
  <c r="H25" i="26" s="1"/>
  <c r="H21" i="26" a="1"/>
  <c r="H21" i="26" s="1"/>
  <c r="H19" i="26" a="1"/>
  <c r="H19" i="26" s="1"/>
  <c r="G13" i="26" a="1"/>
  <c r="G13" i="26" s="1"/>
  <c r="D25" i="26" a="1"/>
  <c r="D25" i="26" s="1"/>
  <c r="D21" i="26" a="1"/>
  <c r="D21" i="26" s="1"/>
  <c r="D17" i="26" a="1"/>
  <c r="D17" i="26" s="1"/>
  <c r="D13" i="26" a="1"/>
  <c r="D13" i="26" s="1"/>
  <c r="G28" i="26" a="1"/>
  <c r="G28" i="26" s="1"/>
  <c r="G27" i="26" a="1"/>
  <c r="G27" i="26" s="1"/>
  <c r="R21" i="26" a="1"/>
  <c r="R21" i="26" s="1"/>
  <c r="R24" i="26" a="1"/>
  <c r="R24" i="26" s="1"/>
  <c r="R20" i="26" a="1"/>
  <c r="R20" i="26" s="1"/>
  <c r="F28" i="26" a="1"/>
  <c r="F28" i="26" s="1"/>
  <c r="F26" i="26" a="1"/>
  <c r="F26" i="26" s="1"/>
  <c r="F23" i="26" a="1"/>
  <c r="F23" i="26" s="1"/>
  <c r="F20" i="26" a="1"/>
  <c r="F20" i="26" s="1"/>
  <c r="F19" i="26" a="1"/>
  <c r="F19" i="26" s="1"/>
  <c r="F17" i="26" a="1"/>
  <c r="F17" i="26" s="1"/>
  <c r="F16" i="26" a="1"/>
  <c r="F16" i="26" s="1"/>
  <c r="H28" i="26" a="1"/>
  <c r="H28" i="26" s="1"/>
  <c r="H26" i="26" a="1"/>
  <c r="H26" i="26" s="1"/>
  <c r="H24" i="26" a="1"/>
  <c r="H24" i="26" s="1"/>
  <c r="H23" i="26" a="1"/>
  <c r="H23" i="26" s="1"/>
  <c r="H22" i="26" a="1"/>
  <c r="H22" i="26" s="1"/>
  <c r="H20" i="26" a="1"/>
  <c r="H20" i="26" s="1"/>
  <c r="H18" i="26" a="1"/>
  <c r="H18" i="26" s="1"/>
  <c r="H17" i="26" a="1"/>
  <c r="H17" i="26" s="1"/>
  <c r="H16" i="26" a="1"/>
  <c r="H16" i="26" s="1"/>
  <c r="H15" i="26" a="1"/>
  <c r="H15" i="26" s="1"/>
  <c r="H14" i="26" a="1"/>
  <c r="H14" i="26" s="1"/>
  <c r="H13" i="26" a="1"/>
  <c r="H13" i="26" s="1"/>
  <c r="R19" i="26" a="1"/>
  <c r="R19" i="26" s="1"/>
  <c r="G18" i="26" a="1"/>
  <c r="G18" i="26" s="1"/>
  <c r="J18" i="26" s="1"/>
  <c r="G16" i="26" a="1"/>
  <c r="G16" i="26" s="1"/>
  <c r="J16" i="26" s="1"/>
  <c r="G14" i="26" a="1"/>
  <c r="G14" i="26" s="1"/>
  <c r="J14" i="26" s="1"/>
  <c r="R23" i="26" a="1"/>
  <c r="R23" i="26" s="1"/>
  <c r="G26" i="26" a="1"/>
  <c r="G26" i="26" s="1"/>
  <c r="J26" i="26" s="1"/>
  <c r="R26" i="26" a="1"/>
  <c r="R26" i="26" s="1"/>
  <c r="G25" i="26" a="1"/>
  <c r="G25" i="26" s="1"/>
  <c r="J25" i="26" s="1"/>
  <c r="G24" i="26" a="1"/>
  <c r="G24" i="26" s="1"/>
  <c r="J24" i="26" s="1"/>
  <c r="G23" i="26" a="1"/>
  <c r="G23" i="26" s="1"/>
  <c r="J23" i="26" s="1"/>
  <c r="G22" i="26" a="1"/>
  <c r="G22" i="26" s="1"/>
  <c r="G21" i="26" a="1"/>
  <c r="G21" i="26" s="1"/>
  <c r="G20" i="26" a="1"/>
  <c r="G20" i="26" s="1"/>
  <c r="G19" i="26" a="1"/>
  <c r="G19" i="26" s="1"/>
  <c r="G17" i="26" a="1"/>
  <c r="G17" i="26" s="1"/>
  <c r="G15" i="26" a="1"/>
  <c r="G15" i="26" s="1"/>
  <c r="R16" i="26" a="1"/>
  <c r="R16" i="26" s="1"/>
  <c r="M27" i="26" a="1"/>
  <c r="M26" i="26" a="1"/>
  <c r="M25" i="26" a="1"/>
  <c r="M24" i="26" a="1"/>
  <c r="M23" i="26" a="1"/>
  <c r="M22" i="26" a="1"/>
  <c r="M21" i="26" a="1"/>
  <c r="M20" i="26" a="1"/>
  <c r="M19" i="26" a="1"/>
  <c r="M28" i="26" a="1"/>
  <c r="M18" i="26" a="1"/>
  <c r="M17" i="26" a="1"/>
  <c r="M16" i="26" a="1"/>
  <c r="M15" i="26" a="1"/>
  <c r="M14" i="26" a="1"/>
  <c r="M13" i="26" a="1"/>
  <c r="R28" i="26" a="1"/>
  <c r="R28" i="26" s="1"/>
  <c r="P14" i="26" a="1"/>
  <c r="P14" i="26" s="1"/>
  <c r="P13" i="26" a="1"/>
  <c r="P13" i="26" s="1"/>
  <c r="Y66" i="22"/>
  <c r="S50" i="26" a="1"/>
  <c r="S50" i="26" s="1"/>
  <c r="Y143" i="22"/>
  <c r="S51" i="26" a="1"/>
  <c r="S51" i="26" s="1"/>
  <c r="Y145" i="22"/>
  <c r="S15" i="26" a="1"/>
  <c r="S15" i="26" s="1"/>
  <c r="Y43" i="22"/>
  <c r="S26" i="26" a="1"/>
  <c r="S26" i="26" s="1"/>
  <c r="Y44" i="22"/>
  <c r="S16" i="26" a="1"/>
  <c r="S16" i="26" s="1"/>
  <c r="Y45" i="22"/>
  <c r="S19" i="26" a="1"/>
  <c r="S19" i="26" s="1"/>
  <c r="Y53" i="22"/>
  <c r="S28" i="26" a="1"/>
  <c r="S28" i="26" s="1"/>
  <c r="S49" i="26" a="1"/>
  <c r="S49" i="26" s="1"/>
  <c r="Y62" i="22"/>
  <c r="S23" i="26" a="1"/>
  <c r="S23" i="26" s="1"/>
  <c r="Y67" i="22"/>
  <c r="S46" i="26" a="1"/>
  <c r="S46" i="26" s="1"/>
  <c r="Y74" i="22"/>
  <c r="Y76" i="22"/>
  <c r="S40" i="26" a="1"/>
  <c r="S40" i="26" s="1"/>
  <c r="Y79" i="22"/>
  <c r="S18" i="26" a="1"/>
  <c r="S18" i="26" s="1"/>
  <c r="Y98" i="22"/>
  <c r="T53" i="26" s="1" a="1"/>
  <c r="T53" i="26" s="1"/>
  <c r="S53" i="26" a="1"/>
  <c r="S53" i="26" s="1"/>
  <c r="Y105" i="22"/>
  <c r="Y138" i="22"/>
  <c r="T45" i="26" s="1" a="1"/>
  <c r="T45" i="26" s="1"/>
  <c r="S45" i="26" a="1"/>
  <c r="S45" i="26" s="1"/>
  <c r="Y52" i="22"/>
  <c r="S39" i="26" a="1"/>
  <c r="S39" i="26" s="1"/>
  <c r="Y64" i="22"/>
  <c r="T43" i="26" s="1" a="1"/>
  <c r="T43" i="26" s="1"/>
  <c r="S43" i="26" a="1"/>
  <c r="S43" i="26" s="1"/>
  <c r="Y71" i="22"/>
  <c r="T13" i="26" s="1" a="1"/>
  <c r="T13" i="26" s="1"/>
  <c r="S13" i="26" a="1"/>
  <c r="S13" i="26" s="1"/>
  <c r="Y75" i="22"/>
  <c r="T36" i="26" s="1" a="1"/>
  <c r="T36" i="26" s="1"/>
  <c r="S36" i="26" a="1"/>
  <c r="S36" i="26" s="1"/>
  <c r="Y77" i="22"/>
  <c r="T47" i="26" s="1" a="1"/>
  <c r="T47" i="26" s="1"/>
  <c r="S47" i="26" a="1"/>
  <c r="S47" i="26" s="1"/>
  <c r="Y84" i="22"/>
  <c r="T20" i="26" s="1" a="1"/>
  <c r="T20" i="26" s="1"/>
  <c r="S20" i="26" a="1"/>
  <c r="S20" i="26" s="1"/>
  <c r="Y90" i="22"/>
  <c r="S44" i="26" a="1"/>
  <c r="S44" i="26" s="1"/>
  <c r="Y93" i="22"/>
  <c r="T38" i="26" s="1" a="1"/>
  <c r="T38" i="26" s="1"/>
  <c r="S38" i="26" a="1"/>
  <c r="S38" i="26" s="1"/>
  <c r="Y97" i="22"/>
  <c r="T17" i="26" s="1" a="1"/>
  <c r="T17" i="26" s="1"/>
  <c r="S17" i="26" a="1"/>
  <c r="S17" i="26" s="1"/>
  <c r="Y120" i="22"/>
  <c r="T41" i="26" s="1" a="1"/>
  <c r="T41" i="26" s="1"/>
  <c r="S41" i="26" a="1"/>
  <c r="S41" i="26" s="1"/>
  <c r="Y56" i="22"/>
  <c r="S29" i="26" a="1"/>
  <c r="S29" i="26" s="1"/>
  <c r="S32" i="26" a="1"/>
  <c r="S32" i="26" s="1"/>
  <c r="Y42" i="22"/>
  <c r="T30" i="26" s="1" a="1"/>
  <c r="T30" i="26" s="1"/>
  <c r="S30" i="26" a="1"/>
  <c r="S30" i="26" s="1"/>
  <c r="Y88" i="22"/>
  <c r="S21" i="26" a="1"/>
  <c r="S21" i="26" s="1"/>
  <c r="Y63" i="22"/>
  <c r="T37" i="26" s="1" a="1"/>
  <c r="T37" i="26" s="1"/>
  <c r="S37" i="26" a="1"/>
  <c r="S37" i="26" s="1"/>
  <c r="Y111" i="22"/>
  <c r="T25" i="26" s="1" a="1"/>
  <c r="T25" i="26" s="1"/>
  <c r="S25" i="26" a="1"/>
  <c r="S25" i="26" s="1"/>
  <c r="Y51" i="22"/>
  <c r="S48" i="26" a="1"/>
  <c r="S48" i="26" s="1"/>
  <c r="S24" i="26" a="1"/>
  <c r="S24" i="26" s="1"/>
  <c r="S27" i="26" a="1"/>
  <c r="S27" i="26" s="1"/>
  <c r="Y48" i="22"/>
  <c r="T34" i="26" s="1" a="1"/>
  <c r="T34" i="26" s="1"/>
  <c r="S34" i="26" a="1"/>
  <c r="S34" i="26" s="1"/>
  <c r="Y49" i="22"/>
  <c r="T42" i="26" s="1" a="1"/>
  <c r="T42" i="26" s="1"/>
  <c r="S42" i="26" a="1"/>
  <c r="S42" i="26" s="1"/>
  <c r="Y85" i="22"/>
  <c r="T52" i="26" s="1" a="1"/>
  <c r="T52" i="26" s="1"/>
  <c r="S52" i="26" a="1"/>
  <c r="S52" i="26" s="1"/>
  <c r="Y47" i="22"/>
  <c r="T31" i="26" s="1" a="1"/>
  <c r="T31" i="26" s="1"/>
  <c r="S31" i="26" a="1"/>
  <c r="S31" i="26" s="1"/>
  <c r="Y54" i="22"/>
  <c r="T14" i="26" s="1" a="1"/>
  <c r="T14" i="26" s="1"/>
  <c r="S14" i="26" a="1"/>
  <c r="S14" i="26" s="1"/>
  <c r="Y50" i="22"/>
  <c r="T33" i="26" s="1" a="1"/>
  <c r="T33" i="26" s="1"/>
  <c r="S33" i="26" a="1"/>
  <c r="S33" i="26" s="1"/>
  <c r="Y40" i="22"/>
  <c r="S35" i="26" a="1"/>
  <c r="S35" i="26" s="1"/>
  <c r="Y39" i="22"/>
  <c r="S22" i="26" a="1"/>
  <c r="S22" i="26" s="1"/>
  <c r="X40" i="22" a="1"/>
  <c r="X40" i="22" s="1"/>
  <c r="X41" i="22" a="1"/>
  <c r="X41" i="22" s="1"/>
  <c r="Z41" i="22" s="1"/>
  <c r="X42" i="22" a="1"/>
  <c r="X42" i="22" s="1"/>
  <c r="X46" i="22" a="1"/>
  <c r="X46" i="22" s="1"/>
  <c r="Z46" i="22" s="1"/>
  <c r="X48" i="22" a="1"/>
  <c r="X48" i="22" s="1"/>
  <c r="X49" i="22" a="1"/>
  <c r="X49" i="22" s="1"/>
  <c r="X69" i="22" a="1"/>
  <c r="X69" i="22" s="1"/>
  <c r="Z69" i="22" s="1"/>
  <c r="X72" i="22" a="1"/>
  <c r="X72" i="22" s="1"/>
  <c r="Z72" i="22" s="1"/>
  <c r="X78" i="22" a="1"/>
  <c r="X78" i="22" s="1"/>
  <c r="Z78" i="22" s="1"/>
  <c r="X84" i="22" a="1"/>
  <c r="X84" i="22" s="1"/>
  <c r="X86" i="22" a="1"/>
  <c r="X86" i="22" s="1"/>
  <c r="Z86" i="22" s="1"/>
  <c r="X87" i="22" a="1"/>
  <c r="X87" i="22" s="1"/>
  <c r="Z87" i="22" s="1"/>
  <c r="X88" i="22" a="1"/>
  <c r="X88" i="22" s="1"/>
  <c r="X89" i="22" a="1"/>
  <c r="X89" i="22" s="1"/>
  <c r="Z89" i="22" s="1"/>
  <c r="X90" i="22" a="1"/>
  <c r="X90" i="22" s="1"/>
  <c r="X91" i="22" a="1"/>
  <c r="X91" i="22" s="1"/>
  <c r="Z91" i="22" s="1"/>
  <c r="X92" i="22" a="1"/>
  <c r="X92" i="22" s="1"/>
  <c r="Z92" i="22" s="1"/>
  <c r="X93" i="22" a="1"/>
  <c r="X93" i="22" s="1"/>
  <c r="X94" i="22" a="1"/>
  <c r="X94" i="22" s="1"/>
  <c r="Z94" i="22" s="1"/>
  <c r="X95" i="22" a="1"/>
  <c r="X95" i="22" s="1"/>
  <c r="Z95" i="22" s="1"/>
  <c r="X96" i="22" a="1"/>
  <c r="X96" i="22" s="1"/>
  <c r="Z96" i="22" s="1"/>
  <c r="X97" i="22" a="1"/>
  <c r="X97" i="22" s="1"/>
  <c r="X98" i="22" a="1"/>
  <c r="X98" i="22" s="1"/>
  <c r="X99" i="22" a="1"/>
  <c r="X99" i="22" s="1"/>
  <c r="Z99" i="22" s="1"/>
  <c r="X100" i="22" a="1"/>
  <c r="X100" i="22" s="1"/>
  <c r="Z100" i="22" s="1"/>
  <c r="X101" i="22" a="1"/>
  <c r="X101" i="22" s="1"/>
  <c r="Z101" i="22" s="1"/>
  <c r="X102" i="22" a="1"/>
  <c r="X102" i="22" s="1"/>
  <c r="Z102" i="22" s="1"/>
  <c r="X103" i="22" a="1"/>
  <c r="X103" i="22" s="1"/>
  <c r="Z103" i="22" s="1"/>
  <c r="X104" i="22" a="1"/>
  <c r="X104" i="22" s="1"/>
  <c r="Z104" i="22" s="1"/>
  <c r="X105" i="22" a="1"/>
  <c r="X105" i="22" s="1"/>
  <c r="X106" i="22" a="1"/>
  <c r="X106" i="22" s="1"/>
  <c r="Z106" i="22" s="1"/>
  <c r="X107" i="22" a="1"/>
  <c r="X107" i="22" s="1"/>
  <c r="Z107" i="22" s="1"/>
  <c r="X108" i="22" a="1"/>
  <c r="X108" i="22" s="1"/>
  <c r="Z108" i="22" s="1"/>
  <c r="X109" i="22" a="1"/>
  <c r="X109" i="22" s="1"/>
  <c r="Z109" i="22" s="1"/>
  <c r="X110" i="22" a="1"/>
  <c r="X110" i="22" s="1"/>
  <c r="Z110" i="22" s="1"/>
  <c r="X111" i="22" a="1"/>
  <c r="X111" i="22" s="1"/>
  <c r="X112" i="22" a="1"/>
  <c r="X112" i="22" s="1"/>
  <c r="Z112" i="22" s="1"/>
  <c r="X113" i="22" a="1"/>
  <c r="X113" i="22" s="1"/>
  <c r="Z113" i="22" s="1"/>
  <c r="X114" i="22" a="1"/>
  <c r="X114" i="22" s="1"/>
  <c r="Z114" i="22" s="1"/>
  <c r="X115" i="22" a="1"/>
  <c r="X115" i="22" s="1"/>
  <c r="Z115" i="22" s="1"/>
  <c r="X116" i="22" a="1"/>
  <c r="X116" i="22" s="1"/>
  <c r="Z116" i="22" s="1"/>
  <c r="X117" i="22" a="1"/>
  <c r="X117" i="22" s="1"/>
  <c r="Z117" i="22" s="1"/>
  <c r="X118" i="22" a="1"/>
  <c r="X118" i="22" s="1"/>
  <c r="Z118" i="22" s="1"/>
  <c r="X119" i="22" a="1"/>
  <c r="X119" i="22" s="1"/>
  <c r="Z119" i="22" s="1"/>
  <c r="X120" i="22" a="1"/>
  <c r="X120" i="22" s="1"/>
  <c r="X121" i="22" a="1"/>
  <c r="X121" i="22" s="1"/>
  <c r="Z121" i="22" s="1"/>
  <c r="X122" i="22" a="1"/>
  <c r="X122" i="22" s="1"/>
  <c r="Z122" i="22" s="1"/>
  <c r="X123" i="22" a="1"/>
  <c r="X123" i="22" s="1"/>
  <c r="Z123" i="22" s="1"/>
  <c r="X124" i="22" a="1"/>
  <c r="X124" i="22" s="1"/>
  <c r="Z124" i="22" s="1"/>
  <c r="X125" i="22" a="1"/>
  <c r="X125" i="22" s="1"/>
  <c r="Z125" i="22" s="1"/>
  <c r="X126" i="22" a="1"/>
  <c r="X126" i="22" s="1"/>
  <c r="Z126" i="22" s="1"/>
  <c r="X127" i="22" a="1"/>
  <c r="X127" i="22" s="1"/>
  <c r="Z127" i="22" s="1"/>
  <c r="X128" i="22" a="1"/>
  <c r="X128" i="22" s="1"/>
  <c r="Z128" i="22" s="1"/>
  <c r="X129" i="22" a="1"/>
  <c r="X129" i="22" s="1"/>
  <c r="Z129" i="22" s="1"/>
  <c r="X130" i="22" a="1"/>
  <c r="X130" i="22" s="1"/>
  <c r="Z130" i="22" s="1"/>
  <c r="X131" i="22" a="1"/>
  <c r="X131" i="22" s="1"/>
  <c r="Z131" i="22" s="1"/>
  <c r="X132" i="22" a="1"/>
  <c r="X132" i="22" s="1"/>
  <c r="Z132" i="22" s="1"/>
  <c r="X133" i="22" a="1"/>
  <c r="X133" i="22" s="1"/>
  <c r="Z133" i="22" s="1"/>
  <c r="X134" i="22" a="1"/>
  <c r="X134" i="22" s="1"/>
  <c r="Z134" i="22" s="1"/>
  <c r="X135" i="22" a="1"/>
  <c r="X135" i="22" s="1"/>
  <c r="Z135" i="22" s="1"/>
  <c r="X136" i="22" a="1"/>
  <c r="X136" i="22" s="1"/>
  <c r="Z136" i="22" s="1"/>
  <c r="X137" i="22" a="1"/>
  <c r="X137" i="22" s="1"/>
  <c r="Z137" i="22" s="1"/>
  <c r="X138" i="22" a="1"/>
  <c r="X138" i="22" s="1"/>
  <c r="X139" i="22" a="1"/>
  <c r="X139" i="22" s="1"/>
  <c r="Z139" i="22" s="1"/>
  <c r="X140" i="22" a="1"/>
  <c r="X140" i="22" s="1"/>
  <c r="Z140" i="22" s="1"/>
  <c r="X141" i="22" a="1"/>
  <c r="X141" i="22" s="1"/>
  <c r="Z141" i="22" s="1"/>
  <c r="X142" i="22" a="1"/>
  <c r="X142" i="22" s="1"/>
  <c r="Z142" i="22" s="1"/>
  <c r="X143" i="22" a="1"/>
  <c r="X143" i="22" s="1"/>
  <c r="X144" i="22" a="1"/>
  <c r="X144" i="22" s="1"/>
  <c r="Z144" i="22" s="1"/>
  <c r="X145" i="22" a="1"/>
  <c r="X145" i="22" s="1"/>
  <c r="X146" i="22" a="1"/>
  <c r="X146" i="22" s="1"/>
  <c r="Z146" i="22" s="1"/>
  <c r="X147" i="22" a="1"/>
  <c r="X147" i="22" s="1"/>
  <c r="Z147" i="22" s="1"/>
  <c r="X148" i="22" a="1"/>
  <c r="X148" i="22" s="1"/>
  <c r="Z148" i="22" s="1"/>
  <c r="X149" i="22" a="1"/>
  <c r="X149" i="22" s="1"/>
  <c r="Z149" i="22" s="1"/>
  <c r="X150" i="22" a="1"/>
  <c r="X150" i="22" s="1"/>
  <c r="Z150" i="22" s="1"/>
  <c r="X151" i="22" a="1"/>
  <c r="X151" i="22" s="1"/>
  <c r="Z151" i="22" s="1"/>
  <c r="X152" i="22" a="1"/>
  <c r="X152" i="22" s="1"/>
  <c r="Z152" i="22" s="1"/>
  <c r="X153" i="22" a="1"/>
  <c r="X153" i="22" s="1"/>
  <c r="Z153" i="22" s="1"/>
  <c r="X154" i="22" a="1"/>
  <c r="X154" i="22" s="1"/>
  <c r="Z154" i="22" s="1"/>
  <c r="X155" i="22" a="1"/>
  <c r="X155" i="22" s="1"/>
  <c r="Z155" i="22" s="1"/>
  <c r="X156" i="22" a="1"/>
  <c r="X156" i="22" s="1"/>
  <c r="Z156" i="22" s="1"/>
  <c r="X157" i="22" a="1"/>
  <c r="X157" i="22" s="1"/>
  <c r="Z157" i="22" s="1"/>
  <c r="X158" i="22" a="1"/>
  <c r="X158" i="22" s="1"/>
  <c r="Z158" i="22" s="1"/>
  <c r="X159" i="22" a="1"/>
  <c r="X159" i="22" s="1"/>
  <c r="Z159" i="22" s="1"/>
  <c r="X160" i="22" a="1"/>
  <c r="X160" i="22" s="1"/>
  <c r="Z160" i="22" s="1"/>
  <c r="X161" i="22" a="1"/>
  <c r="X161" i="22" s="1"/>
  <c r="Z161" i="22" s="1"/>
  <c r="X162" i="22" a="1"/>
  <c r="X162" i="22" s="1"/>
  <c r="Z162" i="22" s="1"/>
  <c r="X163" i="22" a="1"/>
  <c r="X163" i="22" s="1"/>
  <c r="Z163" i="22" s="1"/>
  <c r="X164" i="22" a="1"/>
  <c r="X164" i="22" s="1"/>
  <c r="Z164" i="22" s="1"/>
  <c r="X165" i="22" a="1"/>
  <c r="X165" i="22" s="1"/>
  <c r="Z165" i="22" s="1"/>
  <c r="X166" i="22" a="1"/>
  <c r="X166" i="22" s="1"/>
  <c r="Z166" i="22" s="1"/>
  <c r="X167" i="22" a="1"/>
  <c r="X167" i="22" s="1"/>
  <c r="Z167" i="22" s="1"/>
  <c r="X168" i="22" a="1"/>
  <c r="X168" i="22" s="1"/>
  <c r="Z168" i="22" s="1"/>
  <c r="X169" i="22" a="1"/>
  <c r="X169" i="22" s="1"/>
  <c r="Z169" i="22" s="1"/>
  <c r="X170" i="22" a="1"/>
  <c r="X170" i="22" s="1"/>
  <c r="Z170" i="22" s="1"/>
  <c r="X171" i="22" a="1"/>
  <c r="X171" i="22" s="1"/>
  <c r="Z171" i="22" s="1"/>
  <c r="X172" i="22" a="1"/>
  <c r="X172" i="22" s="1"/>
  <c r="Z172" i="22" s="1"/>
  <c r="X173" i="22" a="1"/>
  <c r="X173" i="22" s="1"/>
  <c r="Z173" i="22" s="1"/>
  <c r="X174" i="22" a="1"/>
  <c r="X174" i="22" s="1"/>
  <c r="Z174" i="22" s="1"/>
  <c r="X175" i="22" a="1"/>
  <c r="X175" i="22" s="1"/>
  <c r="Z175" i="22" s="1"/>
  <c r="X176" i="22" a="1"/>
  <c r="X176" i="22" s="1"/>
  <c r="Z176" i="22" s="1"/>
  <c r="X177" i="22" a="1"/>
  <c r="X177" i="22" s="1"/>
  <c r="Z177" i="22" s="1"/>
  <c r="X178" i="22" a="1"/>
  <c r="X178" i="22" s="1"/>
  <c r="Z178" i="22" s="1"/>
  <c r="X179" i="22" a="1"/>
  <c r="X179" i="22" s="1"/>
  <c r="Z179" i="22" s="1"/>
  <c r="X180" i="22" a="1"/>
  <c r="X180" i="22" s="1"/>
  <c r="Z180" i="22" s="1"/>
  <c r="X181" i="22" a="1"/>
  <c r="X181" i="22" s="1"/>
  <c r="Z181" i="22" s="1"/>
  <c r="X182" i="22" a="1"/>
  <c r="X182" i="22" s="1"/>
  <c r="Z182" i="22" s="1"/>
  <c r="X183" i="22" a="1"/>
  <c r="X183" i="22" s="1"/>
  <c r="Z183" i="22" s="1"/>
  <c r="X184" i="22" a="1"/>
  <c r="X184" i="22" s="1"/>
  <c r="Z184" i="22" s="1"/>
  <c r="X185" i="22" a="1"/>
  <c r="X185" i="22" s="1"/>
  <c r="Z185" i="22" s="1"/>
  <c r="X186" i="22" a="1"/>
  <c r="X186" i="22" s="1"/>
  <c r="Z186" i="22" s="1"/>
  <c r="X187" i="22" a="1"/>
  <c r="X187" i="22" s="1"/>
  <c r="Z187" i="22" s="1"/>
  <c r="X188" i="22" a="1"/>
  <c r="X188" i="22" s="1"/>
  <c r="Z188" i="22" s="1"/>
  <c r="X189" i="22" a="1"/>
  <c r="X189" i="22" s="1"/>
  <c r="Z189" i="22" s="1"/>
  <c r="X190" i="22" a="1"/>
  <c r="X190" i="22" s="1"/>
  <c r="Z190" i="22" s="1"/>
  <c r="X191" i="22" a="1"/>
  <c r="X191" i="22" s="1"/>
  <c r="Z191" i="22" s="1"/>
  <c r="X192" i="22" a="1"/>
  <c r="X192" i="22" s="1"/>
  <c r="Z192" i="22" s="1"/>
  <c r="X193" i="22" a="1"/>
  <c r="X193" i="22" s="1"/>
  <c r="Z193" i="22" s="1"/>
  <c r="X194" i="22" a="1"/>
  <c r="X194" i="22" s="1"/>
  <c r="Z194" i="22" s="1"/>
  <c r="X195" i="22" a="1"/>
  <c r="X195" i="22" s="1"/>
  <c r="Z195" i="22" s="1"/>
  <c r="X196" i="22" a="1"/>
  <c r="X196" i="22" s="1"/>
  <c r="Z196" i="22" s="1"/>
  <c r="X197" i="22" a="1"/>
  <c r="X197" i="22" s="1"/>
  <c r="Z197" i="22" s="1"/>
  <c r="X198" i="22" a="1"/>
  <c r="X198" i="22" s="1"/>
  <c r="Z198" i="22" s="1"/>
  <c r="X199" i="22" a="1"/>
  <c r="X199" i="22" s="1"/>
  <c r="Z199" i="22" s="1"/>
  <c r="X200" i="22" a="1"/>
  <c r="X200" i="22" s="1"/>
  <c r="Z200" i="22" s="1"/>
  <c r="X201" i="22" a="1"/>
  <c r="X201" i="22" s="1"/>
  <c r="Z201" i="22" s="1"/>
  <c r="X202" i="22" a="1"/>
  <c r="X202" i="22" s="1"/>
  <c r="Z202" i="22" s="1"/>
  <c r="X203" i="22" a="1"/>
  <c r="X203" i="22" s="1"/>
  <c r="Z203" i="22" s="1"/>
  <c r="X204" i="22" a="1"/>
  <c r="X204" i="22" s="1"/>
  <c r="Z204" i="22" s="1"/>
  <c r="X205" i="22" a="1"/>
  <c r="X205" i="22" s="1"/>
  <c r="Z205" i="22" s="1"/>
  <c r="X206" i="22" a="1"/>
  <c r="X206" i="22" s="1"/>
  <c r="Z206" i="22" s="1"/>
  <c r="X207" i="22" a="1"/>
  <c r="X207" i="22" s="1"/>
  <c r="Z207" i="22" s="1"/>
  <c r="X208" i="22" a="1"/>
  <c r="X208" i="22" s="1"/>
  <c r="Z208" i="22" s="1"/>
  <c r="X209" i="22" a="1"/>
  <c r="X209" i="22" s="1"/>
  <c r="Z209" i="22" s="1"/>
  <c r="X210" i="22" a="1"/>
  <c r="X210" i="22" s="1"/>
  <c r="Z210" i="22" s="1"/>
  <c r="X211" i="22" a="1"/>
  <c r="X211" i="22" s="1"/>
  <c r="Z211" i="22" s="1"/>
  <c r="X212" i="22" a="1"/>
  <c r="X212" i="22" s="1"/>
  <c r="Z212" i="22" s="1"/>
  <c r="X213" i="22" a="1"/>
  <c r="X213" i="22" s="1"/>
  <c r="Z213" i="22" s="1"/>
  <c r="X214" i="22" a="1"/>
  <c r="X214" i="22" s="1"/>
  <c r="Z214" i="22" s="1"/>
  <c r="X215" i="22" a="1"/>
  <c r="X215" i="22" s="1"/>
  <c r="Z215" i="22" s="1"/>
  <c r="X216" i="22" a="1"/>
  <c r="X216" i="22" s="1"/>
  <c r="Z216" i="22" s="1"/>
  <c r="X217" i="22" a="1"/>
  <c r="X217" i="22" s="1"/>
  <c r="Z217" i="22" s="1"/>
  <c r="X218" i="22" a="1"/>
  <c r="X218" i="22" s="1"/>
  <c r="Z218" i="22" s="1"/>
  <c r="X219" i="22" a="1"/>
  <c r="X219" i="22" s="1"/>
  <c r="Z219" i="22" s="1"/>
  <c r="X220" i="22" a="1"/>
  <c r="X220" i="22" s="1"/>
  <c r="Z220" i="22" s="1"/>
  <c r="X221" i="22" a="1"/>
  <c r="X221" i="22" s="1"/>
  <c r="Z221" i="22" s="1"/>
  <c r="X222" i="22" a="1"/>
  <c r="X222" i="22" s="1"/>
  <c r="Z222" i="22" s="1"/>
  <c r="X223" i="22" a="1"/>
  <c r="X223" i="22" s="1"/>
  <c r="Z223" i="22" s="1"/>
  <c r="X224" i="22" a="1"/>
  <c r="X224" i="22" s="1"/>
  <c r="Z224" i="22" s="1"/>
  <c r="X225" i="22" a="1"/>
  <c r="X225" i="22" s="1"/>
  <c r="Z225" i="22" s="1"/>
  <c r="X226" i="22" a="1"/>
  <c r="X226" i="22" s="1"/>
  <c r="Z226" i="22" s="1"/>
  <c r="X227" i="22" a="1"/>
  <c r="X227" i="22" s="1"/>
  <c r="Z227" i="22" s="1"/>
  <c r="X228" i="22" a="1"/>
  <c r="X228" i="22" s="1"/>
  <c r="Z228" i="22" s="1"/>
  <c r="X229" i="22" a="1"/>
  <c r="X229" i="22" s="1"/>
  <c r="Z229" i="22" s="1"/>
  <c r="X230" i="22" a="1"/>
  <c r="X230" i="22" s="1"/>
  <c r="Z230" i="22" s="1"/>
  <c r="X231" i="22" a="1"/>
  <c r="X231" i="22" s="1"/>
  <c r="Z231" i="22" s="1"/>
  <c r="X232" i="22" a="1"/>
  <c r="X232" i="22" s="1"/>
  <c r="Z232" i="22" s="1"/>
  <c r="X233" i="22" a="1"/>
  <c r="X233" i="22" s="1"/>
  <c r="Z233" i="22" s="1"/>
  <c r="X234" i="22" a="1"/>
  <c r="X234" i="22" s="1"/>
  <c r="Z234" i="22" s="1"/>
  <c r="X235" i="22" a="1"/>
  <c r="X235" i="22" s="1"/>
  <c r="Z235" i="22" s="1"/>
  <c r="X236" i="22" a="1"/>
  <c r="X236" i="22" s="1"/>
  <c r="Z236" i="22" s="1"/>
  <c r="X237" i="22" a="1"/>
  <c r="X237" i="22" s="1"/>
  <c r="Z237" i="22" s="1"/>
  <c r="X238" i="22" a="1"/>
  <c r="X238" i="22" s="1"/>
  <c r="Z238" i="22" s="1"/>
  <c r="X239" i="22" a="1"/>
  <c r="X239" i="22" s="1"/>
  <c r="Z239" i="22" s="1"/>
  <c r="X240" i="22" a="1"/>
  <c r="X240" i="22" s="1"/>
  <c r="Z240" i="22" s="1"/>
  <c r="X241" i="22" a="1"/>
  <c r="X241" i="22" s="1"/>
  <c r="Z241" i="22" s="1"/>
  <c r="X242" i="22" a="1"/>
  <c r="X242" i="22" s="1"/>
  <c r="Z242" i="22" s="1"/>
  <c r="X243" i="22" a="1"/>
  <c r="X243" i="22" s="1"/>
  <c r="Z243" i="22" s="1"/>
  <c r="X244" i="22" a="1"/>
  <c r="X244" i="22" s="1"/>
  <c r="Z244" i="22" s="1"/>
  <c r="X245" i="22" a="1"/>
  <c r="X245" i="22" s="1"/>
  <c r="Z245" i="22" s="1"/>
  <c r="X246" i="22" a="1"/>
  <c r="X246" i="22" s="1"/>
  <c r="Z246" i="22" s="1"/>
  <c r="X247" i="22" a="1"/>
  <c r="X247" i="22" s="1"/>
  <c r="Z247" i="22" s="1"/>
  <c r="X248" i="22" a="1"/>
  <c r="X248" i="22" s="1"/>
  <c r="Z248" i="22" s="1"/>
  <c r="X249" i="22" a="1"/>
  <c r="X249" i="22" s="1"/>
  <c r="Z249" i="22" s="1"/>
  <c r="X250" i="22" a="1"/>
  <c r="X250" i="22" s="1"/>
  <c r="Z250" i="22" s="1"/>
  <c r="X251" i="22" a="1"/>
  <c r="X251" i="22" s="1"/>
  <c r="Z251" i="22" s="1"/>
  <c r="X252" i="22" a="1"/>
  <c r="X252" i="22" s="1"/>
  <c r="Z252" i="22" s="1"/>
  <c r="X253" i="22" a="1"/>
  <c r="X253" i="22" s="1"/>
  <c r="Z253" i="22" s="1"/>
  <c r="X254" i="22" a="1"/>
  <c r="X254" i="22" s="1"/>
  <c r="Z254" i="22" s="1"/>
  <c r="X255" i="22" a="1"/>
  <c r="X255" i="22" s="1"/>
  <c r="Z255" i="22" s="1"/>
  <c r="X256" i="22" a="1"/>
  <c r="X256" i="22" s="1"/>
  <c r="Z256" i="22" s="1"/>
  <c r="X257" i="22" a="1"/>
  <c r="X257" i="22" s="1"/>
  <c r="Z257" i="22" s="1"/>
  <c r="X258" i="22" a="1"/>
  <c r="X258" i="22" s="1"/>
  <c r="Z258" i="22" s="1"/>
  <c r="X259" i="22" a="1"/>
  <c r="X259" i="22" s="1"/>
  <c r="Z259" i="22" s="1"/>
  <c r="X260" i="22" a="1"/>
  <c r="X260" i="22" s="1"/>
  <c r="Z260" i="22" s="1"/>
  <c r="X261" i="22" a="1"/>
  <c r="X261" i="22" s="1"/>
  <c r="Z261" i="22" s="1"/>
  <c r="X262" i="22" a="1"/>
  <c r="X262" i="22" s="1"/>
  <c r="Z262" i="22" s="1"/>
  <c r="X263" i="22" a="1"/>
  <c r="X263" i="22" s="1"/>
  <c r="Z263" i="22" s="1"/>
  <c r="X264" i="22" a="1"/>
  <c r="X264" i="22" s="1"/>
  <c r="Z264" i="22" s="1"/>
  <c r="X265" i="22" a="1"/>
  <c r="X265" i="22" s="1"/>
  <c r="Z265" i="22" s="1"/>
  <c r="X266" i="22" a="1"/>
  <c r="X266" i="22" s="1"/>
  <c r="Z266" i="22" s="1"/>
  <c r="X267" i="22" a="1"/>
  <c r="X267" i="22" s="1"/>
  <c r="Z267" i="22" s="1"/>
  <c r="X268" i="22" a="1"/>
  <c r="X268" i="22" s="1"/>
  <c r="Z268" i="22" s="1"/>
  <c r="X269" i="22" a="1"/>
  <c r="X269" i="22" s="1"/>
  <c r="Z269" i="22" s="1"/>
  <c r="X270" i="22" a="1"/>
  <c r="X270" i="22" s="1"/>
  <c r="Z270" i="22" s="1"/>
  <c r="X271" i="22" a="1"/>
  <c r="X271" i="22" s="1"/>
  <c r="Z271" i="22" s="1"/>
  <c r="X272" i="22" a="1"/>
  <c r="X272" i="22" s="1"/>
  <c r="Z272" i="22" s="1"/>
  <c r="X273" i="22" a="1"/>
  <c r="X273" i="22" s="1"/>
  <c r="Z273" i="22" s="1"/>
  <c r="X274" i="22" a="1"/>
  <c r="X274" i="22" s="1"/>
  <c r="Z274" i="22" s="1"/>
  <c r="X275" i="22" a="1"/>
  <c r="X275" i="22" s="1"/>
  <c r="Z275" i="22" s="1"/>
  <c r="X276" i="22" a="1"/>
  <c r="X276" i="22" s="1"/>
  <c r="Z276" i="22" s="1"/>
  <c r="X277" i="22" a="1"/>
  <c r="X277" i="22" s="1"/>
  <c r="Z277" i="22" s="1"/>
  <c r="X278" i="22" a="1"/>
  <c r="X278" i="22" s="1"/>
  <c r="Z278" i="22" s="1"/>
  <c r="X279" i="22" a="1"/>
  <c r="X279" i="22" s="1"/>
  <c r="Z279" i="22" s="1"/>
  <c r="X280" i="22" a="1"/>
  <c r="X280" i="22" s="1"/>
  <c r="Z280" i="22" s="1"/>
  <c r="X281" i="22" a="1"/>
  <c r="X281" i="22" s="1"/>
  <c r="Z281" i="22" s="1"/>
  <c r="X282" i="22" a="1"/>
  <c r="X282" i="22" s="1"/>
  <c r="Z282" i="22" s="1"/>
  <c r="X283" i="22" a="1"/>
  <c r="X283" i="22" s="1"/>
  <c r="Z283" i="22" s="1"/>
  <c r="X284" i="22" a="1"/>
  <c r="X284" i="22" s="1"/>
  <c r="Z284" i="22" s="1"/>
  <c r="X285" i="22" a="1"/>
  <c r="X285" i="22" s="1"/>
  <c r="Z285" i="22" s="1"/>
  <c r="X286" i="22" a="1"/>
  <c r="X286" i="22" s="1"/>
  <c r="Z286" i="22" s="1"/>
  <c r="X287" i="22" a="1"/>
  <c r="X287" i="22" s="1"/>
  <c r="Z287" i="22" s="1"/>
  <c r="X288" i="22" a="1"/>
  <c r="X288" i="22" s="1"/>
  <c r="Z288" i="22" s="1"/>
  <c r="X289" i="22" a="1"/>
  <c r="X289" i="22" s="1"/>
  <c r="Z289" i="22" s="1"/>
  <c r="X290" i="22" a="1"/>
  <c r="X290" i="22" s="1"/>
  <c r="Z290" i="22" s="1"/>
  <c r="X291" i="22" a="1"/>
  <c r="X291" i="22" s="1"/>
  <c r="Z291" i="22" s="1"/>
  <c r="X292" i="22" a="1"/>
  <c r="X292" i="22" s="1"/>
  <c r="Z292" i="22" s="1"/>
  <c r="X293" i="22" a="1"/>
  <c r="X293" i="22" s="1"/>
  <c r="Z293" i="22" s="1"/>
  <c r="X294" i="22" a="1"/>
  <c r="X294" i="22" s="1"/>
  <c r="Z294" i="22" s="1"/>
  <c r="X295" i="22" a="1"/>
  <c r="X295" i="22" s="1"/>
  <c r="Z295" i="22" s="1"/>
  <c r="X296" i="22" a="1"/>
  <c r="X296" i="22" s="1"/>
  <c r="Z296" i="22" s="1"/>
  <c r="X297" i="22" a="1"/>
  <c r="X297" i="22" s="1"/>
  <c r="Z297" i="22" s="1"/>
  <c r="X298" i="22" a="1"/>
  <c r="X298" i="22" s="1"/>
  <c r="Z298" i="22" s="1"/>
  <c r="X299" i="22" a="1"/>
  <c r="X299" i="22" s="1"/>
  <c r="Z299" i="22" s="1"/>
  <c r="X300" i="22" a="1"/>
  <c r="X300" i="22" s="1"/>
  <c r="Z300" i="22" s="1"/>
  <c r="X301" i="22" a="1"/>
  <c r="X301" i="22" s="1"/>
  <c r="Z301" i="22" s="1"/>
  <c r="X302" i="22" a="1"/>
  <c r="X302" i="22" s="1"/>
  <c r="Z302" i="22" s="1"/>
  <c r="X303" i="22" a="1"/>
  <c r="X303" i="22" s="1"/>
  <c r="Z303" i="22" s="1"/>
  <c r="X304" i="22" a="1"/>
  <c r="X304" i="22" s="1"/>
  <c r="Z304" i="22" s="1"/>
  <c r="X305" i="22" a="1"/>
  <c r="X305" i="22" s="1"/>
  <c r="Z305" i="22" s="1"/>
  <c r="X306" i="22" a="1"/>
  <c r="X306" i="22" s="1"/>
  <c r="Z306" i="22" s="1"/>
  <c r="X307" i="22" a="1"/>
  <c r="X307" i="22" s="1"/>
  <c r="Z307" i="22" s="1"/>
  <c r="X308" i="22" a="1"/>
  <c r="X308" i="22" s="1"/>
  <c r="Z308" i="22" s="1"/>
  <c r="X309" i="22" a="1"/>
  <c r="X309" i="22" s="1"/>
  <c r="Z309" i="22" s="1"/>
  <c r="X310" i="22" a="1"/>
  <c r="X310" i="22" s="1"/>
  <c r="Z310" i="22" s="1"/>
  <c r="X311" i="22" a="1"/>
  <c r="X311" i="22" s="1"/>
  <c r="Z311" i="22" s="1"/>
  <c r="X312" i="22" a="1"/>
  <c r="X312" i="22" s="1"/>
  <c r="Z312" i="22" s="1"/>
  <c r="X313" i="22" a="1"/>
  <c r="X313" i="22" s="1"/>
  <c r="Z313" i="22" s="1"/>
  <c r="X314" i="22" a="1"/>
  <c r="X314" i="22" s="1"/>
  <c r="Z314" i="22" s="1"/>
  <c r="X315" i="22" a="1"/>
  <c r="X315" i="22" s="1"/>
  <c r="Z315" i="22" s="1"/>
  <c r="X316" i="22" a="1"/>
  <c r="X316" i="22" s="1"/>
  <c r="Z316" i="22" s="1"/>
  <c r="X317" i="22" a="1"/>
  <c r="X317" i="22" s="1"/>
  <c r="Z317" i="22" s="1"/>
  <c r="X318" i="22" a="1"/>
  <c r="X318" i="22" s="1"/>
  <c r="Z318" i="22" s="1"/>
  <c r="X319" i="22" a="1"/>
  <c r="X319" i="22" s="1"/>
  <c r="Z319" i="22" s="1"/>
  <c r="X320" i="22" a="1"/>
  <c r="X320" i="22" s="1"/>
  <c r="Z320" i="22" s="1"/>
  <c r="X321" i="22" a="1"/>
  <c r="X321" i="22" s="1"/>
  <c r="Z321" i="22" s="1"/>
  <c r="X322" i="22" a="1"/>
  <c r="X322" i="22" s="1"/>
  <c r="Z322" i="22" s="1"/>
  <c r="X323" i="22" a="1"/>
  <c r="X323" i="22" s="1"/>
  <c r="Z323" i="22" s="1"/>
  <c r="X324" i="22" a="1"/>
  <c r="X324" i="22" s="1"/>
  <c r="Z324" i="22" s="1"/>
  <c r="X325" i="22" a="1"/>
  <c r="X325" i="22" s="1"/>
  <c r="Z325" i="22" s="1"/>
  <c r="X326" i="22" a="1"/>
  <c r="X326" i="22" s="1"/>
  <c r="Z326" i="22" s="1"/>
  <c r="X327" i="22" a="1"/>
  <c r="X327" i="22" s="1"/>
  <c r="Z327" i="22" s="1"/>
  <c r="X328" i="22" a="1"/>
  <c r="X328" i="22" s="1"/>
  <c r="Z328" i="22" s="1"/>
  <c r="X329" i="22" a="1"/>
  <c r="X329" i="22" s="1"/>
  <c r="Z329" i="22" s="1"/>
  <c r="X330" i="22" a="1"/>
  <c r="X330" i="22" s="1"/>
  <c r="Z330" i="22" s="1"/>
  <c r="X331" i="22" a="1"/>
  <c r="X331" i="22" s="1"/>
  <c r="Z331" i="22" s="1"/>
  <c r="X332" i="22" a="1"/>
  <c r="X332" i="22" s="1"/>
  <c r="Z332" i="22" s="1"/>
  <c r="X333" i="22" a="1"/>
  <c r="X333" i="22" s="1"/>
  <c r="Z333" i="22" s="1"/>
  <c r="X334" i="22" a="1"/>
  <c r="X334" i="22" s="1"/>
  <c r="Z334" i="22" s="1"/>
  <c r="X335" i="22" a="1"/>
  <c r="X335" i="22" s="1"/>
  <c r="Z335" i="22" s="1"/>
  <c r="X336" i="22" a="1"/>
  <c r="X336" i="22" s="1"/>
  <c r="Z336" i="22" s="1"/>
  <c r="X337" i="22" a="1"/>
  <c r="X337" i="22" s="1"/>
  <c r="Z337" i="22" s="1"/>
  <c r="X338" i="22" a="1"/>
  <c r="X338" i="22" s="1"/>
  <c r="Z338" i="22" s="1"/>
  <c r="X339" i="22" a="1"/>
  <c r="X339" i="22" s="1"/>
  <c r="Z339" i="22" s="1"/>
  <c r="X340" i="22" a="1"/>
  <c r="X340" i="22" s="1"/>
  <c r="Z340" i="22" s="1"/>
  <c r="X342" i="22" a="1"/>
  <c r="X342" i="22" s="1"/>
  <c r="Z342" i="22" s="1"/>
  <c r="X343" i="22" a="1"/>
  <c r="X343" i="22" s="1"/>
  <c r="Z343" i="22" s="1"/>
  <c r="X344" i="22" a="1"/>
  <c r="X344" i="22" s="1"/>
  <c r="Z344" i="22" s="1"/>
  <c r="X345" i="22" a="1"/>
  <c r="X345" i="22" s="1"/>
  <c r="Z345" i="22" s="1"/>
  <c r="X346" i="22" a="1"/>
  <c r="X346" i="22" s="1"/>
  <c r="Z346" i="22" s="1"/>
  <c r="X347" i="22" a="1"/>
  <c r="X347" i="22" s="1"/>
  <c r="Z347" i="22" s="1"/>
  <c r="X348" i="22" a="1"/>
  <c r="X348" i="22" s="1"/>
  <c r="Z348" i="22" s="1"/>
  <c r="X349" i="22" a="1"/>
  <c r="X349" i="22" s="1"/>
  <c r="Z349" i="22" s="1"/>
  <c r="X350" i="22" a="1"/>
  <c r="X350" i="22" s="1"/>
  <c r="Z350" i="22" s="1"/>
  <c r="X351" i="22" a="1"/>
  <c r="X351" i="22" s="1"/>
  <c r="Z351" i="22" s="1"/>
  <c r="X352" i="22" a="1"/>
  <c r="X352" i="22" s="1"/>
  <c r="Z352" i="22" s="1"/>
  <c r="X353" i="22" a="1"/>
  <c r="X353" i="22" s="1"/>
  <c r="Z353" i="22" s="1"/>
  <c r="X354" i="22" a="1"/>
  <c r="X354" i="22" s="1"/>
  <c r="Z354" i="22" s="1"/>
  <c r="X355" i="22" a="1"/>
  <c r="X355" i="22" s="1"/>
  <c r="Z355" i="22" s="1"/>
  <c r="X356" i="22" a="1"/>
  <c r="X356" i="22" s="1"/>
  <c r="Z356" i="22" s="1"/>
  <c r="X357" i="22" a="1"/>
  <c r="X357" i="22" s="1"/>
  <c r="Z357" i="22" s="1"/>
  <c r="X358" i="22" a="1"/>
  <c r="X358" i="22" s="1"/>
  <c r="Z358" i="22" s="1"/>
  <c r="X359" i="22" a="1"/>
  <c r="X359" i="22" s="1"/>
  <c r="Z359" i="22" s="1"/>
  <c r="X360" i="22" a="1"/>
  <c r="X360" i="22" s="1"/>
  <c r="Z360" i="22" s="1"/>
  <c r="X361" i="22" a="1"/>
  <c r="X361" i="22" s="1"/>
  <c r="Z361" i="22" s="1"/>
  <c r="X362" i="22" a="1"/>
  <c r="X362" i="22" s="1"/>
  <c r="Z362" i="22" s="1"/>
  <c r="X363" i="22" a="1"/>
  <c r="X363" i="22" s="1"/>
  <c r="Z363" i="22" s="1"/>
  <c r="X364" i="22" a="1"/>
  <c r="X364" i="22" s="1"/>
  <c r="Z364" i="22" s="1"/>
  <c r="X365" i="22" a="1"/>
  <c r="X365" i="22" s="1"/>
  <c r="Z365" i="22" s="1"/>
  <c r="X366" i="22" a="1"/>
  <c r="X366" i="22" s="1"/>
  <c r="Z366" i="22" s="1"/>
  <c r="X367" i="22" a="1"/>
  <c r="X367" i="22" s="1"/>
  <c r="Z367" i="22" s="1"/>
  <c r="X368" i="22" a="1"/>
  <c r="X368" i="22" s="1"/>
  <c r="Z368" i="22" s="1"/>
  <c r="X369" i="22" a="1"/>
  <c r="X369" i="22" s="1"/>
  <c r="Z369" i="22" s="1"/>
  <c r="X370" i="22" a="1"/>
  <c r="X370" i="22" s="1"/>
  <c r="Z370" i="22" s="1"/>
  <c r="X371" i="22" a="1"/>
  <c r="X371" i="22" s="1"/>
  <c r="Z371" i="22" s="1"/>
  <c r="X372" i="22" a="1"/>
  <c r="X372" i="22" s="1"/>
  <c r="Z372" i="22" s="1"/>
  <c r="X373" i="22" a="1"/>
  <c r="X373" i="22" s="1"/>
  <c r="Z373" i="22" s="1"/>
  <c r="X374" i="22" a="1"/>
  <c r="X374" i="22" s="1"/>
  <c r="Z374" i="22" s="1"/>
  <c r="X375" i="22" a="1"/>
  <c r="X375" i="22" s="1"/>
  <c r="Z375" i="22" s="1"/>
  <c r="X376" i="22" a="1"/>
  <c r="X376" i="22" s="1"/>
  <c r="Z376" i="22" s="1"/>
  <c r="X378" i="22" a="1"/>
  <c r="X378" i="22" s="1"/>
  <c r="Z378" i="22" s="1"/>
  <c r="X379" i="22" a="1"/>
  <c r="X379" i="22" s="1"/>
  <c r="Z379" i="22" s="1"/>
  <c r="X381" i="22" a="1"/>
  <c r="X381" i="22" s="1"/>
  <c r="Z381" i="22" s="1"/>
  <c r="X382" i="22" a="1"/>
  <c r="X382" i="22" s="1"/>
  <c r="Z382" i="22" s="1"/>
  <c r="X383" i="22" a="1"/>
  <c r="X383" i="22" s="1"/>
  <c r="Z383" i="22" s="1"/>
  <c r="X384" i="22" a="1"/>
  <c r="X384" i="22" s="1"/>
  <c r="Z384" i="22" s="1"/>
  <c r="X385" i="22" a="1"/>
  <c r="X385" i="22" s="1"/>
  <c r="Z385" i="22" s="1"/>
  <c r="X386" i="22" a="1"/>
  <c r="X386" i="22" s="1"/>
  <c r="Z386" i="22" s="1"/>
  <c r="X387" i="22" a="1"/>
  <c r="X387" i="22" s="1"/>
  <c r="Z387" i="22" s="1"/>
  <c r="X388" i="22" a="1"/>
  <c r="X388" i="22" s="1"/>
  <c r="Z388" i="22" s="1"/>
  <c r="X389" i="22" a="1"/>
  <c r="X389" i="22" s="1"/>
  <c r="Z389" i="22" s="1"/>
  <c r="X390" i="22" a="1"/>
  <c r="X390" i="22" s="1"/>
  <c r="Z390" i="22" s="1"/>
  <c r="X391" i="22" a="1"/>
  <c r="X391" i="22" s="1"/>
  <c r="Z391" i="22" s="1"/>
  <c r="X392" i="22" a="1"/>
  <c r="X392" i="22" s="1"/>
  <c r="Z392" i="22" s="1"/>
  <c r="X393" i="22" a="1"/>
  <c r="X393" i="22" s="1"/>
  <c r="Z393" i="22" s="1"/>
  <c r="X394" i="22" a="1"/>
  <c r="X394" i="22" s="1"/>
  <c r="Z394" i="22" s="1"/>
  <c r="X395" i="22" a="1"/>
  <c r="X395" i="22" s="1"/>
  <c r="Z395" i="22" s="1"/>
  <c r="X396" i="22" a="1"/>
  <c r="X396" i="22" s="1"/>
  <c r="Z396" i="22" s="1"/>
  <c r="X397" i="22" a="1"/>
  <c r="X397" i="22" s="1"/>
  <c r="Z397" i="22" s="1"/>
  <c r="X398" i="22" a="1"/>
  <c r="X398" i="22" s="1"/>
  <c r="Z398" i="22" s="1"/>
  <c r="X399" i="22" a="1"/>
  <c r="X399" i="22" s="1"/>
  <c r="Z399" i="22" s="1"/>
  <c r="X401" i="22" a="1"/>
  <c r="X401" i="22" s="1"/>
  <c r="Z401" i="22" s="1"/>
  <c r="X402" i="22" a="1"/>
  <c r="X402" i="22" s="1"/>
  <c r="Z402" i="22" s="1"/>
  <c r="X404" i="22" a="1"/>
  <c r="X404" i="22" s="1"/>
  <c r="Z404" i="22" s="1"/>
  <c r="X407" i="22" a="1"/>
  <c r="X407" i="22" s="1"/>
  <c r="Z407" i="22" s="1"/>
  <c r="X408" i="22" a="1"/>
  <c r="X408" i="22" s="1"/>
  <c r="Z408" i="22" s="1"/>
  <c r="X409" i="22" a="1"/>
  <c r="X409" i="22" s="1"/>
  <c r="Z409" i="22" s="1"/>
  <c r="X410" i="22" a="1"/>
  <c r="X410" i="22" s="1"/>
  <c r="Z410" i="22" s="1"/>
  <c r="X411" i="22" a="1"/>
  <c r="X411" i="22" s="1"/>
  <c r="Z411" i="22" s="1"/>
  <c r="X412" i="22" a="1"/>
  <c r="X412" i="22" s="1"/>
  <c r="Z412" i="22" s="1"/>
  <c r="X413" i="22" a="1"/>
  <c r="X413" i="22" s="1"/>
  <c r="Z413" i="22" s="1"/>
  <c r="X414" i="22" a="1"/>
  <c r="X414" i="22" s="1"/>
  <c r="Z414" i="22" s="1"/>
  <c r="X415" i="22" a="1"/>
  <c r="X415" i="22" s="1"/>
  <c r="Z415" i="22" s="1"/>
  <c r="X416" i="22" a="1"/>
  <c r="X416" i="22" s="1"/>
  <c r="Z416" i="22" s="1"/>
  <c r="X418" i="22" a="1"/>
  <c r="X418" i="22" s="1"/>
  <c r="Z418" i="22" s="1"/>
  <c r="X419" i="22" a="1"/>
  <c r="X419" i="22" s="1"/>
  <c r="Z419" i="22" s="1"/>
  <c r="X420" i="22" a="1"/>
  <c r="X420" i="22" s="1"/>
  <c r="Z420" i="22" s="1"/>
  <c r="X421" i="22" a="1"/>
  <c r="X421" i="22" s="1"/>
  <c r="Z421" i="22" s="1"/>
  <c r="X422" i="22" a="1"/>
  <c r="X422" i="22" s="1"/>
  <c r="Z422" i="22" s="1"/>
  <c r="X423" i="22" a="1"/>
  <c r="X423" i="22" s="1"/>
  <c r="Z423" i="22" s="1"/>
  <c r="X424" i="22" a="1"/>
  <c r="X424" i="22" s="1"/>
  <c r="Z424" i="22" s="1"/>
  <c r="X425" i="22" a="1"/>
  <c r="X425" i="22" s="1"/>
  <c r="Z425" i="22" s="1"/>
  <c r="X426" i="22" a="1"/>
  <c r="X426" i="22" s="1"/>
  <c r="Z426" i="22" s="1"/>
  <c r="X427" i="22" a="1"/>
  <c r="X427" i="22" s="1"/>
  <c r="Z427" i="22" s="1"/>
  <c r="X428" i="22" a="1"/>
  <c r="X428" i="22" s="1"/>
  <c r="Z428" i="22" s="1"/>
  <c r="X429" i="22" a="1"/>
  <c r="X429" i="22" s="1"/>
  <c r="Z429" i="22" s="1"/>
  <c r="X430" i="22" a="1"/>
  <c r="X430" i="22" s="1"/>
  <c r="Z430" i="22" s="1"/>
  <c r="X431" i="22" a="1"/>
  <c r="X431" i="22" s="1"/>
  <c r="Z431" i="22" s="1"/>
  <c r="X432" i="22" a="1"/>
  <c r="X432" i="22" s="1"/>
  <c r="Z432" i="22" s="1"/>
  <c r="X433" i="22" a="1"/>
  <c r="X433" i="22" s="1"/>
  <c r="Z433" i="22" s="1"/>
  <c r="X434" i="22" a="1"/>
  <c r="X434" i="22" s="1"/>
  <c r="Z434" i="22" s="1"/>
  <c r="X435" i="22" a="1"/>
  <c r="X435" i="22" s="1"/>
  <c r="Z435" i="22" s="1"/>
  <c r="X436" i="22" a="1"/>
  <c r="X436" i="22" s="1"/>
  <c r="Z436" i="22" s="1"/>
  <c r="X437" i="22" a="1"/>
  <c r="X437" i="22" s="1"/>
  <c r="Z437" i="22" s="1"/>
  <c r="X438" i="22" a="1"/>
  <c r="X438" i="22" s="1"/>
  <c r="Z438" i="22" s="1"/>
  <c r="X439" i="22" a="1"/>
  <c r="X439" i="22" s="1"/>
  <c r="Z439" i="22" s="1"/>
  <c r="X440" i="22" a="1"/>
  <c r="X440" i="22" s="1"/>
  <c r="Z440" i="22" s="1"/>
  <c r="X441" i="22" a="1"/>
  <c r="X441" i="22" s="1"/>
  <c r="Z441" i="22" s="1"/>
  <c r="X442" i="22" a="1"/>
  <c r="X442" i="22" s="1"/>
  <c r="Z442" i="22" s="1"/>
  <c r="X444" i="22" a="1"/>
  <c r="X444" i="22" s="1"/>
  <c r="Z444" i="22" s="1"/>
  <c r="X445" i="22" a="1"/>
  <c r="X445" i="22" s="1"/>
  <c r="Z445" i="22" s="1"/>
  <c r="X446" i="22" a="1"/>
  <c r="X446" i="22" s="1"/>
  <c r="Z446" i="22" s="1"/>
  <c r="X447" i="22" a="1"/>
  <c r="X447" i="22" s="1"/>
  <c r="Z447" i="22" s="1"/>
  <c r="X448" i="22" a="1"/>
  <c r="X448" i="22" s="1"/>
  <c r="Z448" i="22" s="1"/>
  <c r="X449" i="22" a="1"/>
  <c r="X449" i="22" s="1"/>
  <c r="Z449" i="22" s="1"/>
  <c r="X450" i="22" a="1"/>
  <c r="X450" i="22" s="1"/>
  <c r="Z450" i="22" s="1"/>
  <c r="X451" i="22" a="1"/>
  <c r="X451" i="22" s="1"/>
  <c r="Z451" i="22" s="1"/>
  <c r="X452" i="22" a="1"/>
  <c r="X452" i="22" s="1"/>
  <c r="Z452" i="22" s="1"/>
  <c r="X453" i="22" a="1"/>
  <c r="X453" i="22" s="1"/>
  <c r="Z453" i="22" s="1"/>
  <c r="X454" i="22" a="1"/>
  <c r="X454" i="22" s="1"/>
  <c r="Z454" i="22" s="1"/>
  <c r="X455" i="22" a="1"/>
  <c r="X455" i="22" s="1"/>
  <c r="Z455" i="22" s="1"/>
  <c r="X456" i="22" a="1"/>
  <c r="X456" i="22" s="1"/>
  <c r="Z456" i="22" s="1"/>
  <c r="X457" i="22" a="1"/>
  <c r="X457" i="22" s="1"/>
  <c r="Z457" i="22" s="1"/>
  <c r="X458" i="22" a="1"/>
  <c r="X458" i="22" s="1"/>
  <c r="Z458" i="22" s="1"/>
  <c r="X459" i="22" a="1"/>
  <c r="X459" i="22" s="1"/>
  <c r="Z459" i="22" s="1"/>
  <c r="X460" i="22" a="1"/>
  <c r="X460" i="22" s="1"/>
  <c r="Z460" i="22" s="1"/>
  <c r="X461" i="22" a="1"/>
  <c r="X461" i="22" s="1"/>
  <c r="Z461" i="22" s="1"/>
  <c r="X462" i="22" a="1"/>
  <c r="X462" i="22" s="1"/>
  <c r="Z462" i="22" s="1"/>
  <c r="X463" i="22" a="1"/>
  <c r="X463" i="22" s="1"/>
  <c r="Z463" i="22" s="1"/>
  <c r="X464" i="22" a="1"/>
  <c r="X464" i="22" s="1"/>
  <c r="Z464" i="22" s="1"/>
  <c r="X465" i="22" a="1"/>
  <c r="X465" i="22" s="1"/>
  <c r="Z465" i="22" s="1"/>
  <c r="X466" i="22" a="1"/>
  <c r="X466" i="22" s="1"/>
  <c r="Z466" i="22" s="1"/>
  <c r="X467" i="22" a="1"/>
  <c r="X467" i="22" s="1"/>
  <c r="Z467" i="22" s="1"/>
  <c r="X468" i="22" a="1"/>
  <c r="X468" i="22" s="1"/>
  <c r="Z468" i="22" s="1"/>
  <c r="X469" i="22" a="1"/>
  <c r="X469" i="22" s="1"/>
  <c r="Z469" i="22" s="1"/>
  <c r="X470" i="22" a="1"/>
  <c r="X470" i="22" s="1"/>
  <c r="Z470" i="22" s="1"/>
  <c r="X471" i="22" a="1"/>
  <c r="X471" i="22" s="1"/>
  <c r="Z471" i="22" s="1"/>
  <c r="X472" i="22" a="1"/>
  <c r="X472" i="22" s="1"/>
  <c r="Z472" i="22" s="1"/>
  <c r="X473" i="22" a="1"/>
  <c r="X473" i="22" s="1"/>
  <c r="Z473" i="22" s="1"/>
  <c r="X474" i="22" a="1"/>
  <c r="X474" i="22" s="1"/>
  <c r="Z474" i="22" s="1"/>
  <c r="X475" i="22" a="1"/>
  <c r="X475" i="22" s="1"/>
  <c r="Z475" i="22" s="1"/>
  <c r="X476" i="22" a="1"/>
  <c r="X476" i="22" s="1"/>
  <c r="Z476" i="22" s="1"/>
  <c r="X477" i="22" a="1"/>
  <c r="X477" i="22" s="1"/>
  <c r="Z477" i="22" s="1"/>
  <c r="X478" i="22" a="1"/>
  <c r="X478" i="22" s="1"/>
  <c r="Z478" i="22" s="1"/>
  <c r="X479" i="22" a="1"/>
  <c r="X479" i="22" s="1"/>
  <c r="Z479" i="22" s="1"/>
  <c r="X480" i="22" a="1"/>
  <c r="X480" i="22" s="1"/>
  <c r="Z480" i="22" s="1"/>
  <c r="X481" i="22" a="1"/>
  <c r="X481" i="22" s="1"/>
  <c r="Z481" i="22" s="1"/>
  <c r="X482" i="22" a="1"/>
  <c r="X482" i="22" s="1"/>
  <c r="Z482" i="22" s="1"/>
  <c r="X483" i="22" a="1"/>
  <c r="X483" i="22" s="1"/>
  <c r="Z483" i="22" s="1"/>
  <c r="X484" i="22" a="1"/>
  <c r="X484" i="22" s="1"/>
  <c r="Z484" i="22" s="1"/>
  <c r="X485" i="22" a="1"/>
  <c r="X485" i="22" s="1"/>
  <c r="Z485" i="22" s="1"/>
  <c r="X486" i="22" a="1"/>
  <c r="X486" i="22" s="1"/>
  <c r="Z486" i="22" s="1"/>
  <c r="X487" i="22" a="1"/>
  <c r="X487" i="22" s="1"/>
  <c r="Z487" i="22" s="1"/>
  <c r="X488" i="22" a="1"/>
  <c r="X488" i="22" s="1"/>
  <c r="Z488" i="22" s="1"/>
  <c r="X489" i="22" a="1"/>
  <c r="X489" i="22" s="1"/>
  <c r="Z489" i="22" s="1"/>
  <c r="X490" i="22" a="1"/>
  <c r="X490" i="22" s="1"/>
  <c r="Z490" i="22" s="1"/>
  <c r="X491" i="22" a="1"/>
  <c r="X491" i="22" s="1"/>
  <c r="Z491" i="22" s="1"/>
  <c r="X492" i="22" a="1"/>
  <c r="X492" i="22" s="1"/>
  <c r="Z492" i="22" s="1"/>
  <c r="X493" i="22" a="1"/>
  <c r="X493" i="22" s="1"/>
  <c r="Z493" i="22" s="1"/>
  <c r="X494" i="22" a="1"/>
  <c r="X494" i="22" s="1"/>
  <c r="Z494" i="22" s="1"/>
  <c r="X495" i="22" a="1"/>
  <c r="X495" i="22" s="1"/>
  <c r="Z495" i="22" s="1"/>
  <c r="X496" i="22" a="1"/>
  <c r="X496" i="22" s="1"/>
  <c r="Z496" i="22" s="1"/>
  <c r="X497" i="22" a="1"/>
  <c r="X497" i="22" s="1"/>
  <c r="Z497" i="22" s="1"/>
  <c r="X498" i="22" a="1"/>
  <c r="X498" i="22" s="1"/>
  <c r="Z498" i="22" s="1"/>
  <c r="X499" i="22" a="1"/>
  <c r="X499" i="22" s="1"/>
  <c r="Z499" i="22" s="1"/>
  <c r="X500" i="22" a="1"/>
  <c r="X500" i="22" s="1"/>
  <c r="Z500" i="22" s="1"/>
  <c r="X501" i="22" a="1"/>
  <c r="X501" i="22" s="1"/>
  <c r="Z501" i="22" s="1"/>
  <c r="X502" i="22" a="1"/>
  <c r="X502" i="22" s="1"/>
  <c r="Z502" i="22" s="1"/>
  <c r="X503" i="22" a="1"/>
  <c r="X503" i="22" s="1"/>
  <c r="Z503" i="22" s="1"/>
  <c r="X504" i="22" a="1"/>
  <c r="X504" i="22" s="1"/>
  <c r="Z504" i="22" s="1"/>
  <c r="X505" i="22" a="1"/>
  <c r="X505" i="22" s="1"/>
  <c r="Z505" i="22" s="1"/>
  <c r="X506" i="22" a="1"/>
  <c r="X506" i="22" s="1"/>
  <c r="Z506" i="22" s="1"/>
  <c r="X507" i="22" a="1"/>
  <c r="X507" i="22" s="1"/>
  <c r="Z507" i="22" s="1"/>
  <c r="X508" i="22" a="1"/>
  <c r="X508" i="22" s="1"/>
  <c r="Z508" i="22" s="1"/>
  <c r="X509" i="22" a="1"/>
  <c r="X509" i="22" s="1"/>
  <c r="Z509" i="22" s="1"/>
  <c r="X510" i="22" a="1"/>
  <c r="X510" i="22" s="1"/>
  <c r="Z510" i="22" s="1"/>
  <c r="X511" i="22" a="1"/>
  <c r="X511" i="22" s="1"/>
  <c r="Z511" i="22" s="1"/>
  <c r="X512" i="22" a="1"/>
  <c r="X512" i="22" s="1"/>
  <c r="Z512" i="22" s="1"/>
  <c r="X513" i="22" a="1"/>
  <c r="X513" i="22" s="1"/>
  <c r="Z513" i="22" s="1"/>
  <c r="X514" i="22" a="1"/>
  <c r="X514" i="22" s="1"/>
  <c r="Z514" i="22" s="1"/>
  <c r="X515" i="22" a="1"/>
  <c r="X515" i="22" s="1"/>
  <c r="Z515" i="22" s="1"/>
  <c r="X516" i="22" a="1"/>
  <c r="X516" i="22" s="1"/>
  <c r="Z516" i="22" s="1"/>
  <c r="X517" i="22" a="1"/>
  <c r="X517" i="22" s="1"/>
  <c r="Z517" i="22" s="1"/>
  <c r="X518" i="22" a="1"/>
  <c r="X518" i="22" s="1"/>
  <c r="Z518" i="22" s="1"/>
  <c r="X519" i="22" a="1"/>
  <c r="X519" i="22" s="1"/>
  <c r="Z519" i="22" s="1"/>
  <c r="X520" i="22" a="1"/>
  <c r="X520" i="22" s="1"/>
  <c r="Z520" i="22" s="1"/>
  <c r="X521" i="22" a="1"/>
  <c r="X521" i="22" s="1"/>
  <c r="Z521" i="22" s="1"/>
  <c r="X522" i="22" a="1"/>
  <c r="X522" i="22" s="1"/>
  <c r="Z522" i="22" s="1"/>
  <c r="X523" i="22" a="1"/>
  <c r="X523" i="22" s="1"/>
  <c r="Z523" i="22" s="1"/>
  <c r="X524" i="22" a="1"/>
  <c r="X524" i="22" s="1"/>
  <c r="Z524" i="22" s="1"/>
  <c r="X525" i="22" a="1"/>
  <c r="X525" i="22" s="1"/>
  <c r="Z525" i="22" s="1"/>
  <c r="X526" i="22" a="1"/>
  <c r="X526" i="22" s="1"/>
  <c r="Z526" i="22" s="1"/>
  <c r="X527" i="22" a="1"/>
  <c r="X527" i="22" s="1"/>
  <c r="Z527" i="22" s="1"/>
  <c r="X528" i="22" a="1"/>
  <c r="X528" i="22" s="1"/>
  <c r="Z528" i="22" s="1"/>
  <c r="X530" i="22" a="1"/>
  <c r="X530" i="22" s="1"/>
  <c r="Z530" i="22" s="1"/>
  <c r="X531" i="22" a="1"/>
  <c r="X531" i="22" s="1"/>
  <c r="Z531" i="22" s="1"/>
  <c r="X532" i="22" a="1"/>
  <c r="X532" i="22" s="1"/>
  <c r="Z532" i="22" s="1"/>
  <c r="X533" i="22" a="1"/>
  <c r="X533" i="22" s="1"/>
  <c r="Z533" i="22" s="1"/>
  <c r="X534" i="22" a="1"/>
  <c r="X534" i="22" s="1"/>
  <c r="Z534" i="22" s="1"/>
  <c r="X535" i="22" a="1"/>
  <c r="X535" i="22" s="1"/>
  <c r="Z535" i="22" s="1"/>
  <c r="X536" i="22" a="1"/>
  <c r="X536" i="22" s="1"/>
  <c r="Z536" i="22" s="1"/>
  <c r="X537" i="22" a="1"/>
  <c r="X537" i="22" s="1"/>
  <c r="Z537" i="22" s="1"/>
  <c r="X538" i="22" a="1"/>
  <c r="X538" i="22" s="1"/>
  <c r="Z538" i="22" s="1"/>
  <c r="X539" i="22" a="1"/>
  <c r="X539" i="22" s="1"/>
  <c r="Z539" i="22" s="1"/>
  <c r="X540" i="22" a="1"/>
  <c r="X540" i="22" s="1"/>
  <c r="Z540" i="22" s="1"/>
  <c r="X541" i="22" a="1"/>
  <c r="X541" i="22" s="1"/>
  <c r="Z541" i="22" s="1"/>
  <c r="X542" i="22" a="1"/>
  <c r="X542" i="22" s="1"/>
  <c r="Z542" i="22" s="1"/>
  <c r="X543" i="22" a="1"/>
  <c r="X543" i="22" s="1"/>
  <c r="Z543" i="22" s="1"/>
  <c r="X544" i="22" a="1"/>
  <c r="X544" i="22" s="1"/>
  <c r="Z544" i="22" s="1"/>
  <c r="X545" i="22" a="1"/>
  <c r="X545" i="22" s="1"/>
  <c r="Z545" i="22" s="1"/>
  <c r="X546" i="22" a="1"/>
  <c r="X546" i="22" s="1"/>
  <c r="Z546" i="22" s="1"/>
  <c r="X547" i="22" a="1"/>
  <c r="X547" i="22" s="1"/>
  <c r="Z547" i="22" s="1"/>
  <c r="X548" i="22" a="1"/>
  <c r="X548" i="22" s="1"/>
  <c r="Z548" i="22" s="1"/>
  <c r="X549" i="22" a="1"/>
  <c r="X549" i="22" s="1"/>
  <c r="Z549" i="22" s="1"/>
  <c r="X550" i="22" a="1"/>
  <c r="X550" i="22" s="1"/>
  <c r="Z550" i="22" s="1"/>
  <c r="X551" i="22" a="1"/>
  <c r="X551" i="22" s="1"/>
  <c r="Z551" i="22" s="1"/>
  <c r="X552" i="22" a="1"/>
  <c r="X552" i="22" s="1"/>
  <c r="Z552" i="22" s="1"/>
  <c r="X553" i="22" a="1"/>
  <c r="X553" i="22" s="1"/>
  <c r="Z553" i="22" s="1"/>
  <c r="X554" i="22" a="1"/>
  <c r="X554" i="22" s="1"/>
  <c r="Z554" i="22" s="1"/>
  <c r="X555" i="22" a="1"/>
  <c r="X555" i="22" s="1"/>
  <c r="Z555" i="22" s="1"/>
  <c r="X556" i="22" a="1"/>
  <c r="X556" i="22" s="1"/>
  <c r="Z556" i="22" s="1"/>
  <c r="X557" i="22" a="1"/>
  <c r="X557" i="22" s="1"/>
  <c r="Z557" i="22" s="1"/>
  <c r="X558" i="22" a="1"/>
  <c r="X558" i="22" s="1"/>
  <c r="Z558" i="22" s="1"/>
  <c r="X559" i="22" a="1"/>
  <c r="X559" i="22" s="1"/>
  <c r="Z559" i="22" s="1"/>
  <c r="X560" i="22" a="1"/>
  <c r="X560" i="22" s="1"/>
  <c r="Z560" i="22" s="1"/>
  <c r="X561" i="22" a="1"/>
  <c r="X561" i="22" s="1"/>
  <c r="Z561" i="22" s="1"/>
  <c r="X562" i="22" a="1"/>
  <c r="X562" i="22" s="1"/>
  <c r="Z562" i="22" s="1"/>
  <c r="X563" i="22" a="1"/>
  <c r="X563" i="22" s="1"/>
  <c r="Z563" i="22" s="1"/>
  <c r="X564" i="22" a="1"/>
  <c r="X564" i="22" s="1"/>
  <c r="Z564" i="22" s="1"/>
  <c r="X565" i="22" a="1"/>
  <c r="X565" i="22" s="1"/>
  <c r="Z565" i="22" s="1"/>
  <c r="X566" i="22" a="1"/>
  <c r="X566" i="22" s="1"/>
  <c r="Z566" i="22" s="1"/>
  <c r="X567" i="22" a="1"/>
  <c r="X567" i="22" s="1"/>
  <c r="Z567" i="22" s="1"/>
  <c r="X568" i="22" a="1"/>
  <c r="X568" i="22" s="1"/>
  <c r="Z568" i="22" s="1"/>
  <c r="X569" i="22" a="1"/>
  <c r="X569" i="22" s="1"/>
  <c r="Z569" i="22" s="1"/>
  <c r="X570" i="22" a="1"/>
  <c r="X570" i="22" s="1"/>
  <c r="Z570" i="22" s="1"/>
  <c r="X571" i="22" a="1"/>
  <c r="X571" i="22" s="1"/>
  <c r="Z571" i="22" s="1"/>
  <c r="X572" i="22" a="1"/>
  <c r="X572" i="22" s="1"/>
  <c r="Z572" i="22" s="1"/>
  <c r="X573" i="22" a="1"/>
  <c r="X573" i="22" s="1"/>
  <c r="Z573" i="22" s="1"/>
  <c r="X574" i="22" a="1"/>
  <c r="X574" i="22" s="1"/>
  <c r="Z574" i="22" s="1"/>
  <c r="X575" i="22" a="1"/>
  <c r="X575" i="22" s="1"/>
  <c r="Z575" i="22" s="1"/>
  <c r="X576" i="22" a="1"/>
  <c r="X576" i="22" s="1"/>
  <c r="Z576" i="22" s="1"/>
  <c r="X577" i="22" a="1"/>
  <c r="X577" i="22" s="1"/>
  <c r="Z577" i="22" s="1"/>
  <c r="X578" i="22" a="1"/>
  <c r="X578" i="22" s="1"/>
  <c r="Z578" i="22" s="1"/>
  <c r="X579" i="22" a="1"/>
  <c r="X579" i="22" s="1"/>
  <c r="Z579" i="22" s="1"/>
  <c r="X580" i="22" a="1"/>
  <c r="X580" i="22" s="1"/>
  <c r="Z580" i="22" s="1"/>
  <c r="X581" i="22" a="1"/>
  <c r="X581" i="22" s="1"/>
  <c r="Z581" i="22" s="1"/>
  <c r="X582" i="22" a="1"/>
  <c r="X582" i="22" s="1"/>
  <c r="Z582" i="22" s="1"/>
  <c r="X583" i="22" a="1"/>
  <c r="X583" i="22" s="1"/>
  <c r="Z583" i="22" s="1"/>
  <c r="X584" i="22" a="1"/>
  <c r="X584" i="22" s="1"/>
  <c r="Z584" i="22" s="1"/>
  <c r="X585" i="22" a="1"/>
  <c r="X585" i="22" s="1"/>
  <c r="Z585" i="22" s="1"/>
  <c r="X586" i="22" a="1"/>
  <c r="X586" i="22" s="1"/>
  <c r="Z586" i="22" s="1"/>
  <c r="X587" i="22" a="1"/>
  <c r="X587" i="22" s="1"/>
  <c r="Z587" i="22" s="1"/>
  <c r="X588" i="22" a="1"/>
  <c r="X588" i="22" s="1"/>
  <c r="Z588" i="22" s="1"/>
  <c r="X589" i="22" a="1"/>
  <c r="X589" i="22" s="1"/>
  <c r="Z589" i="22" s="1"/>
  <c r="X590" i="22" a="1"/>
  <c r="X590" i="22" s="1"/>
  <c r="Z590" i="22" s="1"/>
  <c r="M53" i="26" l="1"/>
  <c r="M52" i="26"/>
  <c r="M50" i="26"/>
  <c r="M49" i="26"/>
  <c r="M48" i="26"/>
  <c r="M47" i="26"/>
  <c r="M46" i="26"/>
  <c r="M45" i="26"/>
  <c r="M43" i="26"/>
  <c r="M40" i="26"/>
  <c r="M38" i="26"/>
  <c r="M36" i="26"/>
  <c r="M33" i="26"/>
  <c r="M32" i="26"/>
  <c r="M31" i="26"/>
  <c r="M29" i="26"/>
  <c r="M51" i="26"/>
  <c r="M44" i="26"/>
  <c r="M41" i="26"/>
  <c r="M30" i="26"/>
  <c r="M39" i="26"/>
  <c r="M35" i="26"/>
  <c r="M42" i="26"/>
  <c r="M34" i="26"/>
  <c r="M37" i="26"/>
  <c r="J52" i="26"/>
  <c r="K52" i="26" s="1"/>
  <c r="L52" i="26" s="1"/>
  <c r="AQ52" i="26" s="1"/>
  <c r="J46" i="26"/>
  <c r="J43" i="26"/>
  <c r="J42" i="26"/>
  <c r="J37" i="26"/>
  <c r="T35" i="26" a="1"/>
  <c r="T35" i="26" s="1"/>
  <c r="I48" i="26"/>
  <c r="K48" i="26" s="1"/>
  <c r="L48" i="26" s="1"/>
  <c r="AQ48" i="26" s="1"/>
  <c r="I46" i="26"/>
  <c r="K46" i="26" s="1"/>
  <c r="L46" i="26" s="1"/>
  <c r="AQ46" i="26" s="1"/>
  <c r="I37" i="26"/>
  <c r="K37" i="26" s="1"/>
  <c r="L37" i="26" s="1"/>
  <c r="AQ37" i="26" s="1"/>
  <c r="I53" i="26"/>
  <c r="I50" i="26"/>
  <c r="I44" i="26"/>
  <c r="I40" i="26"/>
  <c r="J53" i="26"/>
  <c r="J45" i="26"/>
  <c r="J41" i="26"/>
  <c r="K41" i="26" s="1"/>
  <c r="L41" i="26" s="1"/>
  <c r="AQ41" i="26" s="1"/>
  <c r="I30" i="26"/>
  <c r="J50" i="26"/>
  <c r="J47" i="26"/>
  <c r="J44" i="26"/>
  <c r="J40" i="26"/>
  <c r="J39" i="26"/>
  <c r="J38" i="26"/>
  <c r="K38" i="26" s="1"/>
  <c r="L38" i="26" s="1"/>
  <c r="AQ38" i="26" s="1"/>
  <c r="J36" i="26"/>
  <c r="J35" i="26"/>
  <c r="J34" i="26"/>
  <c r="J33" i="26"/>
  <c r="K33" i="26" s="1"/>
  <c r="L33" i="26" s="1"/>
  <c r="AQ33" i="26" s="1"/>
  <c r="J32" i="26"/>
  <c r="J31" i="26"/>
  <c r="K31" i="26" s="1"/>
  <c r="L31" i="26" s="1"/>
  <c r="AQ31" i="26" s="1"/>
  <c r="J30" i="26"/>
  <c r="J29" i="26"/>
  <c r="K29" i="26" s="1"/>
  <c r="L29" i="26" s="1"/>
  <c r="AQ29" i="26" s="1"/>
  <c r="AR15" i="26"/>
  <c r="AR19" i="26"/>
  <c r="AR23" i="26"/>
  <c r="AR32" i="26"/>
  <c r="AR34" i="26"/>
  <c r="AR38" i="26"/>
  <c r="AR39" i="26"/>
  <c r="AR42" i="26"/>
  <c r="AR45" i="26"/>
  <c r="AR50" i="26"/>
  <c r="AG28" i="26"/>
  <c r="AG32" i="26"/>
  <c r="AG37" i="26"/>
  <c r="AG40" i="26"/>
  <c r="AG45" i="26"/>
  <c r="AG49" i="26"/>
  <c r="AR13" i="26"/>
  <c r="AR16" i="26"/>
  <c r="AR18" i="26"/>
  <c r="AR21" i="26"/>
  <c r="AR24" i="26"/>
  <c r="AR26" i="26"/>
  <c r="AR28" i="26"/>
  <c r="AR35" i="26"/>
  <c r="AR37" i="26"/>
  <c r="AR40" i="26"/>
  <c r="AR43" i="26"/>
  <c r="AR46" i="26"/>
  <c r="AR49" i="26"/>
  <c r="AR51" i="26"/>
  <c r="AR52" i="26"/>
  <c r="AR53" i="26"/>
  <c r="AG13" i="26"/>
  <c r="AG14" i="26"/>
  <c r="AG15" i="26"/>
  <c r="AG16" i="26"/>
  <c r="AG17" i="26"/>
  <c r="AG18" i="26"/>
  <c r="AG19" i="26"/>
  <c r="AG20" i="26"/>
  <c r="AG21" i="26"/>
  <c r="AG22" i="26"/>
  <c r="AG23" i="26"/>
  <c r="AG24" i="26"/>
  <c r="AG25" i="26"/>
  <c r="AG27" i="26"/>
  <c r="AG29" i="26"/>
  <c r="AG31" i="26"/>
  <c r="AG33" i="26"/>
  <c r="AG35" i="26"/>
  <c r="AG36" i="26"/>
  <c r="AG38" i="26"/>
  <c r="AG44" i="26"/>
  <c r="AG46" i="26"/>
  <c r="AG48" i="26"/>
  <c r="AG50" i="26"/>
  <c r="AG52" i="26"/>
  <c r="AG53" i="26"/>
  <c r="AR14" i="26"/>
  <c r="AR17" i="26"/>
  <c r="AR20" i="26"/>
  <c r="AR22" i="26"/>
  <c r="AR25" i="26"/>
  <c r="AR27" i="26"/>
  <c r="AR29" i="26"/>
  <c r="AR30" i="26"/>
  <c r="AR31" i="26"/>
  <c r="AR33" i="26"/>
  <c r="AR36" i="26"/>
  <c r="AR41" i="26"/>
  <c r="AR44" i="26"/>
  <c r="AR47" i="26"/>
  <c r="AR48" i="26"/>
  <c r="AG26" i="26"/>
  <c r="AG30" i="26"/>
  <c r="AG34" i="26"/>
  <c r="AG39" i="26"/>
  <c r="AG41" i="26"/>
  <c r="AG42" i="26"/>
  <c r="AG43" i="26"/>
  <c r="AG47" i="26"/>
  <c r="AG51" i="26"/>
  <c r="I39" i="26"/>
  <c r="I36" i="26"/>
  <c r="I34" i="26"/>
  <c r="I32" i="26"/>
  <c r="J22" i="26"/>
  <c r="J21" i="26"/>
  <c r="J20" i="26"/>
  <c r="M27" i="26"/>
  <c r="M26" i="26"/>
  <c r="M25" i="26"/>
  <c r="M24" i="26"/>
  <c r="M23" i="26"/>
  <c r="M22" i="26"/>
  <c r="M21" i="26"/>
  <c r="M20" i="26"/>
  <c r="M19" i="26"/>
  <c r="M28" i="26"/>
  <c r="M18" i="26"/>
  <c r="M17" i="26"/>
  <c r="M16" i="26"/>
  <c r="M15" i="26"/>
  <c r="M14" i="26"/>
  <c r="M13" i="26"/>
  <c r="I47" i="26"/>
  <c r="I35" i="26"/>
  <c r="K51" i="26"/>
  <c r="L51" i="26" s="1"/>
  <c r="AQ51" i="26" s="1"/>
  <c r="K49" i="26"/>
  <c r="L49" i="26" s="1"/>
  <c r="AQ49" i="26" s="1"/>
  <c r="I45" i="26"/>
  <c r="I43" i="26"/>
  <c r="I42" i="26"/>
  <c r="T44" i="26" a="1"/>
  <c r="T44" i="26" s="1"/>
  <c r="E12" i="26" a="1"/>
  <c r="E12" i="26" s="1"/>
  <c r="F12" i="26" a="1"/>
  <c r="F12" i="26" s="1"/>
  <c r="M12" i="26" a="1"/>
  <c r="Q12" i="26" a="1"/>
  <c r="Q12" i="26" s="1"/>
  <c r="S12" i="26" a="1"/>
  <c r="S12" i="26" s="1"/>
  <c r="H12" i="26" a="1"/>
  <c r="H12" i="26" s="1"/>
  <c r="P12" i="26" a="1"/>
  <c r="P12" i="26" s="1"/>
  <c r="G12" i="26" a="1"/>
  <c r="G12" i="26" s="1"/>
  <c r="U12" i="26" a="1"/>
  <c r="U12" i="26" s="1"/>
  <c r="B12" i="26"/>
  <c r="C12" i="26"/>
  <c r="D12" i="26" a="1"/>
  <c r="D12" i="26" s="1"/>
  <c r="AE26" i="26"/>
  <c r="AF26" i="26" s="1"/>
  <c r="AJ26" i="26" s="1"/>
  <c r="AK26" i="26" s="1"/>
  <c r="AL26" i="26" s="1"/>
  <c r="AB26" i="26"/>
  <c r="AE33" i="26"/>
  <c r="AF33" i="26" s="1"/>
  <c r="AJ33" i="26" s="1"/>
  <c r="AK33" i="26" s="1"/>
  <c r="AL33" i="26" s="1"/>
  <c r="AB33" i="26"/>
  <c r="AE35" i="26"/>
  <c r="AF35" i="26" s="1"/>
  <c r="AJ35" i="26" s="1"/>
  <c r="AB35" i="26"/>
  <c r="AE38" i="26"/>
  <c r="AF38" i="26" s="1"/>
  <c r="AB38" i="26"/>
  <c r="AE43" i="26"/>
  <c r="AF43" i="26" s="1"/>
  <c r="AB43" i="26"/>
  <c r="AE50" i="26"/>
  <c r="AF50" i="26" s="1"/>
  <c r="AB50" i="26"/>
  <c r="AE53" i="26"/>
  <c r="AF53" i="26" s="1"/>
  <c r="AB53" i="26"/>
  <c r="AM13" i="26"/>
  <c r="AM16" i="26"/>
  <c r="AM20" i="26"/>
  <c r="AM24" i="26"/>
  <c r="AM27" i="26"/>
  <c r="AM31" i="26"/>
  <c r="AM34" i="26"/>
  <c r="AM37" i="26"/>
  <c r="AM38" i="26"/>
  <c r="AM41" i="26"/>
  <c r="AE14" i="26"/>
  <c r="AF14" i="26" s="1"/>
  <c r="AB14" i="26"/>
  <c r="AE18" i="26"/>
  <c r="AF18" i="26" s="1"/>
  <c r="AB18" i="26"/>
  <c r="AE21" i="26"/>
  <c r="AF21" i="26" s="1"/>
  <c r="AB21" i="26"/>
  <c r="AE24" i="26"/>
  <c r="AF24" i="26" s="1"/>
  <c r="AB24" i="26"/>
  <c r="AE27" i="26"/>
  <c r="AF27" i="26" s="1"/>
  <c r="AB27" i="26"/>
  <c r="AE30" i="26"/>
  <c r="AF30" i="26" s="1"/>
  <c r="AB30" i="26"/>
  <c r="AE34" i="26"/>
  <c r="AF34" i="26" s="1"/>
  <c r="AB34" i="26"/>
  <c r="AE37" i="26"/>
  <c r="AF37" i="26" s="1"/>
  <c r="AB37" i="26"/>
  <c r="AE40" i="26"/>
  <c r="AF40" i="26" s="1"/>
  <c r="AB40" i="26"/>
  <c r="AE42" i="26"/>
  <c r="AF42" i="26" s="1"/>
  <c r="AB42" i="26"/>
  <c r="AM14" i="26"/>
  <c r="AM15" i="26"/>
  <c r="AM18" i="26"/>
  <c r="AM21" i="26"/>
  <c r="AM23" i="26"/>
  <c r="AM25" i="26"/>
  <c r="AM28" i="26"/>
  <c r="AM30" i="26"/>
  <c r="AM33" i="26"/>
  <c r="AM36" i="26"/>
  <c r="AM39" i="26"/>
  <c r="AM43" i="26"/>
  <c r="AM44" i="26"/>
  <c r="AM45" i="26"/>
  <c r="AM46" i="26"/>
  <c r="AM47" i="26"/>
  <c r="AM48" i="26"/>
  <c r="AM49" i="26"/>
  <c r="AM50" i="26"/>
  <c r="AM51" i="26"/>
  <c r="AM52" i="26"/>
  <c r="AM53" i="26"/>
  <c r="AE13" i="26"/>
  <c r="AF13" i="26" s="1"/>
  <c r="AB13" i="26"/>
  <c r="AE16" i="26"/>
  <c r="AF16" i="26" s="1"/>
  <c r="AB16" i="26"/>
  <c r="AE19" i="26"/>
  <c r="AF19" i="26" s="1"/>
  <c r="AB19" i="26"/>
  <c r="AE23" i="26"/>
  <c r="AF23" i="26" s="1"/>
  <c r="AB23" i="26"/>
  <c r="AE29" i="26"/>
  <c r="AF29" i="26" s="1"/>
  <c r="AB29" i="26"/>
  <c r="AE32" i="26"/>
  <c r="AF32" i="26" s="1"/>
  <c r="AB32" i="26"/>
  <c r="AE39" i="26"/>
  <c r="AF39" i="26" s="1"/>
  <c r="AB39" i="26"/>
  <c r="AE41" i="26"/>
  <c r="AF41" i="26" s="1"/>
  <c r="AB41" i="26"/>
  <c r="AE44" i="26"/>
  <c r="AF44" i="26" s="1"/>
  <c r="AB44" i="26"/>
  <c r="AE46" i="26"/>
  <c r="AF46" i="26" s="1"/>
  <c r="AB46" i="26"/>
  <c r="AE48" i="26"/>
  <c r="AF48" i="26" s="1"/>
  <c r="AB48" i="26"/>
  <c r="AE52" i="26"/>
  <c r="AF52" i="26" s="1"/>
  <c r="AB52" i="26"/>
  <c r="AM17" i="26"/>
  <c r="AM19" i="26"/>
  <c r="AM22" i="26"/>
  <c r="AM26" i="26"/>
  <c r="AM29" i="26"/>
  <c r="AM32" i="26"/>
  <c r="AM35" i="26"/>
  <c r="AM40" i="26"/>
  <c r="AM42" i="26"/>
  <c r="AE15" i="26"/>
  <c r="AF15" i="26" s="1"/>
  <c r="AB15" i="26"/>
  <c r="AE17" i="26"/>
  <c r="AF17" i="26" s="1"/>
  <c r="AB17" i="26"/>
  <c r="AE20" i="26"/>
  <c r="AF20" i="26" s="1"/>
  <c r="AB20" i="26"/>
  <c r="AE22" i="26"/>
  <c r="AF22" i="26" s="1"/>
  <c r="AB22" i="26"/>
  <c r="AE25" i="26"/>
  <c r="AF25" i="26" s="1"/>
  <c r="AB25" i="26"/>
  <c r="AE28" i="26"/>
  <c r="AF28" i="26" s="1"/>
  <c r="AB28" i="26"/>
  <c r="AE31" i="26"/>
  <c r="AF31" i="26" s="1"/>
  <c r="AB31" i="26"/>
  <c r="AE36" i="26"/>
  <c r="AF36" i="26" s="1"/>
  <c r="AB36" i="26"/>
  <c r="AE45" i="26"/>
  <c r="AF45" i="26" s="1"/>
  <c r="AB45" i="26"/>
  <c r="AE47" i="26"/>
  <c r="AF47" i="26" s="1"/>
  <c r="AB47" i="26"/>
  <c r="AE49" i="26"/>
  <c r="AF49" i="26" s="1"/>
  <c r="AB49" i="26"/>
  <c r="AE51" i="26"/>
  <c r="AF51" i="26" s="1"/>
  <c r="AB51" i="26"/>
  <c r="AB12" i="26" a="1"/>
  <c r="AM12" i="26" a="1"/>
  <c r="A10" i="28" s="1" a="1"/>
  <c r="AR12" i="26" a="1"/>
  <c r="AG12" i="26" a="1"/>
  <c r="I25" i="26"/>
  <c r="K25" i="26" s="1"/>
  <c r="L25" i="26" s="1"/>
  <c r="AQ25" i="26" s="1"/>
  <c r="I24" i="26"/>
  <c r="K24" i="26" s="1"/>
  <c r="L24" i="26" s="1"/>
  <c r="AQ24" i="26" s="1"/>
  <c r="I22" i="26"/>
  <c r="I18" i="26"/>
  <c r="K18" i="26" s="1"/>
  <c r="L18" i="26" s="1"/>
  <c r="AQ18" i="26" s="1"/>
  <c r="I14" i="26"/>
  <c r="K14" i="26" s="1"/>
  <c r="L14" i="26" s="1"/>
  <c r="AQ14" i="26" s="1"/>
  <c r="I13" i="26"/>
  <c r="J13" i="26"/>
  <c r="K13" i="26" s="1"/>
  <c r="L13" i="26" s="1"/>
  <c r="AQ13" i="26" s="1"/>
  <c r="I28" i="26"/>
  <c r="I26" i="26"/>
  <c r="K26" i="26" s="1"/>
  <c r="L26" i="26" s="1"/>
  <c r="AQ26" i="26" s="1"/>
  <c r="I23" i="26"/>
  <c r="K23" i="26" s="1"/>
  <c r="L23" i="26" s="1"/>
  <c r="AQ23" i="26" s="1"/>
  <c r="J28" i="26"/>
  <c r="J27" i="26"/>
  <c r="J19" i="26"/>
  <c r="J17" i="26"/>
  <c r="J15" i="26"/>
  <c r="T51" i="26" a="1"/>
  <c r="T51" i="26" s="1"/>
  <c r="T39" i="26" a="1"/>
  <c r="T39" i="26" s="1"/>
  <c r="T40" i="26" a="1"/>
  <c r="T40" i="26" s="1"/>
  <c r="I15" i="26"/>
  <c r="K15" i="26" s="1"/>
  <c r="L15" i="26" s="1"/>
  <c r="AQ15" i="26" s="1"/>
  <c r="I27" i="26"/>
  <c r="I21" i="26"/>
  <c r="I20" i="26"/>
  <c r="I19" i="26"/>
  <c r="I17" i="26"/>
  <c r="I16" i="26"/>
  <c r="K16" i="26" s="1"/>
  <c r="L16" i="26" s="1"/>
  <c r="AQ16" i="26" s="1"/>
  <c r="T46" i="26" a="1"/>
  <c r="T46" i="26" s="1"/>
  <c r="T50" i="26" a="1"/>
  <c r="T50" i="26" s="1"/>
  <c r="T16" i="26" a="1"/>
  <c r="T16" i="26" s="1"/>
  <c r="T26" i="26" a="1"/>
  <c r="T26" i="26" s="1"/>
  <c r="T22" i="26" a="1"/>
  <c r="T22" i="26" s="1"/>
  <c r="T15" i="26" a="1"/>
  <c r="T15" i="26" s="1"/>
  <c r="T19" i="26" a="1"/>
  <c r="T19" i="26" s="1"/>
  <c r="T18" i="26" a="1"/>
  <c r="T18" i="26" s="1"/>
  <c r="T23" i="26" a="1"/>
  <c r="T23" i="26" s="1"/>
  <c r="T21" i="26" a="1"/>
  <c r="T21" i="26" s="1"/>
  <c r="T12" i="26" a="1"/>
  <c r="T12" i="26" s="1"/>
  <c r="T28" i="26" a="1"/>
  <c r="T28" i="26" s="1"/>
  <c r="T49" i="26" a="1"/>
  <c r="T49" i="26" s="1"/>
  <c r="T32" i="26" a="1"/>
  <c r="T32" i="26" s="1"/>
  <c r="T29" i="26" a="1"/>
  <c r="T29" i="26" s="1"/>
  <c r="T27" i="26" a="1"/>
  <c r="T27" i="26" s="1"/>
  <c r="T48" i="26" a="1"/>
  <c r="T48" i="26" s="1"/>
  <c r="T24" i="26" a="1"/>
  <c r="T24" i="26" s="1"/>
  <c r="Z40" i="22"/>
  <c r="Z42" i="22"/>
  <c r="Y30" i="26" a="1"/>
  <c r="Y30" i="26" s="1"/>
  <c r="W30" i="26" a="1"/>
  <c r="W30" i="26" s="1"/>
  <c r="Z48" i="22"/>
  <c r="W34" i="26" a="1"/>
  <c r="W34" i="26" s="1"/>
  <c r="Y34" i="26" a="1"/>
  <c r="Y34" i="26" s="1"/>
  <c r="Z34" i="26" a="1"/>
  <c r="Z34" i="26" s="1"/>
  <c r="Z49" i="22"/>
  <c r="Z42" i="26" a="1"/>
  <c r="Z42" i="26" s="1"/>
  <c r="Y42" i="26" a="1"/>
  <c r="Y42" i="26" s="1"/>
  <c r="X42" i="26" a="1"/>
  <c r="X42" i="26" s="1"/>
  <c r="W42" i="26" a="1"/>
  <c r="W42" i="26" s="1"/>
  <c r="Z84" i="22"/>
  <c r="W20" i="26" a="1"/>
  <c r="W20" i="26" s="1"/>
  <c r="X20" i="26" a="1"/>
  <c r="X20" i="26" s="1"/>
  <c r="Y20" i="26" a="1"/>
  <c r="Y20" i="26" s="1"/>
  <c r="Z20" i="26" a="1"/>
  <c r="Z20" i="26" s="1"/>
  <c r="Z88" i="22"/>
  <c r="Z90" i="22"/>
  <c r="W44" i="26" a="1"/>
  <c r="W44" i="26" s="1"/>
  <c r="Z93" i="22"/>
  <c r="X38" i="26" a="1"/>
  <c r="X38" i="26" s="1"/>
  <c r="Y38" i="26" a="1"/>
  <c r="Y38" i="26" s="1"/>
  <c r="W38" i="26" a="1"/>
  <c r="W38" i="26" s="1"/>
  <c r="Z97" i="22"/>
  <c r="Y17" i="26" a="1"/>
  <c r="Y17" i="26" s="1"/>
  <c r="W17" i="26" a="1"/>
  <c r="W17" i="26" s="1"/>
  <c r="X17" i="26" a="1"/>
  <c r="X17" i="26" s="1"/>
  <c r="Z98" i="22"/>
  <c r="Z105" i="22"/>
  <c r="Z111" i="22"/>
  <c r="Z120" i="22"/>
  <c r="Y41" i="26" a="1"/>
  <c r="Y41" i="26" s="1"/>
  <c r="X41" i="26" a="1"/>
  <c r="X41" i="26" s="1"/>
  <c r="W41" i="26" a="1"/>
  <c r="W41" i="26" s="1"/>
  <c r="Z138" i="22"/>
  <c r="Z45" i="26" a="1"/>
  <c r="Z45" i="26" s="1"/>
  <c r="Y45" i="26" a="1"/>
  <c r="Y45" i="26" s="1"/>
  <c r="Z143" i="22"/>
  <c r="X51" i="26" a="1"/>
  <c r="X51" i="26" s="1"/>
  <c r="Y51" i="26" a="1"/>
  <c r="Y51" i="26" s="1"/>
  <c r="W51" i="26" a="1"/>
  <c r="W51" i="26" s="1"/>
  <c r="Z51" i="26" a="1"/>
  <c r="Z51" i="26" s="1"/>
  <c r="Z145" i="22"/>
  <c r="R12" i="26" a="1"/>
  <c r="R12" i="26" s="1"/>
  <c r="X39" i="22" a="1"/>
  <c r="X39" i="22" s="1"/>
  <c r="X43" i="22" a="1"/>
  <c r="X43" i="22" s="1"/>
  <c r="X44" i="22" a="1"/>
  <c r="X44" i="22" s="1"/>
  <c r="X45" i="22" a="1"/>
  <c r="X45" i="22" s="1"/>
  <c r="X47" i="22" a="1"/>
  <c r="X47" i="22" s="1"/>
  <c r="X50" i="22" a="1"/>
  <c r="X50" i="22" s="1"/>
  <c r="X51" i="22" a="1"/>
  <c r="X51" i="22" s="1"/>
  <c r="X52" i="22" a="1"/>
  <c r="X52" i="22" s="1"/>
  <c r="X53" i="22" a="1"/>
  <c r="X53" i="22" s="1"/>
  <c r="X54" i="22" a="1"/>
  <c r="X54" i="22" s="1"/>
  <c r="X55" i="22" a="1"/>
  <c r="X55" i="22" s="1"/>
  <c r="Z55" i="22" s="1"/>
  <c r="X56" i="22" a="1"/>
  <c r="X56" i="22" s="1"/>
  <c r="X57" i="22" a="1"/>
  <c r="X57" i="22" s="1"/>
  <c r="Z57" i="22" s="1"/>
  <c r="X58" i="22" a="1"/>
  <c r="X58" i="22" s="1"/>
  <c r="Z58" i="22" s="1"/>
  <c r="X59" i="22" a="1"/>
  <c r="X59" i="22" s="1"/>
  <c r="Z59" i="22" s="1"/>
  <c r="X60" i="22" a="1"/>
  <c r="X60" i="22" s="1"/>
  <c r="Z60" i="22" s="1"/>
  <c r="X61" i="22" a="1"/>
  <c r="X61" i="22" s="1"/>
  <c r="Z61" i="22" s="1"/>
  <c r="X62" i="22" a="1"/>
  <c r="X62" i="22" s="1"/>
  <c r="X63" i="22" a="1"/>
  <c r="X63" i="22" s="1"/>
  <c r="X64" i="22" a="1"/>
  <c r="X64" i="22" s="1"/>
  <c r="X65" i="22" a="1"/>
  <c r="X65" i="22" s="1"/>
  <c r="Z65" i="22" s="1"/>
  <c r="X66" i="22" a="1"/>
  <c r="X66" i="22" s="1"/>
  <c r="X67" i="22" a="1"/>
  <c r="X67" i="22" s="1"/>
  <c r="X68" i="22" a="1"/>
  <c r="X68" i="22" s="1"/>
  <c r="Z68" i="22" s="1"/>
  <c r="X70" i="22" a="1"/>
  <c r="X70" i="22" s="1"/>
  <c r="Z70" i="22" s="1"/>
  <c r="X71" i="22" a="1"/>
  <c r="X71" i="22" s="1"/>
  <c r="X73" i="22" a="1"/>
  <c r="X73" i="22" s="1"/>
  <c r="Z73" i="22" s="1"/>
  <c r="X74" i="22" a="1"/>
  <c r="X74" i="22" s="1"/>
  <c r="X75" i="22" a="1"/>
  <c r="X75" i="22" s="1"/>
  <c r="X34" i="26" s="1" a="1"/>
  <c r="X34" i="26" s="1"/>
  <c r="X76" i="22" a="1"/>
  <c r="X76" i="22" s="1"/>
  <c r="Z38" i="26" s="1" a="1"/>
  <c r="Z38" i="26" s="1"/>
  <c r="X77" i="22" a="1"/>
  <c r="X77" i="22" s="1"/>
  <c r="X79" i="22" a="1"/>
  <c r="X79" i="22" s="1"/>
  <c r="Z17" i="26" s="1" a="1"/>
  <c r="Z17" i="26" s="1"/>
  <c r="X80" i="22" a="1"/>
  <c r="X80" i="22" s="1"/>
  <c r="Z80" i="22" s="1"/>
  <c r="X81" i="22" a="1"/>
  <c r="X81" i="22" s="1"/>
  <c r="X82" i="22" a="1"/>
  <c r="X82" i="22" s="1"/>
  <c r="Z82" i="22" s="1"/>
  <c r="X83" i="22" a="1"/>
  <c r="X83" i="22" s="1"/>
  <c r="Z83" i="22" s="1"/>
  <c r="X85" i="22" a="1"/>
  <c r="X85" i="22" s="1"/>
  <c r="X341" i="22" a="1"/>
  <c r="X341" i="22" s="1"/>
  <c r="Z341" i="22" s="1"/>
  <c r="X377" i="22" a="1"/>
  <c r="X377" i="22" s="1"/>
  <c r="Z377" i="22" s="1"/>
  <c r="X380" i="22" a="1"/>
  <c r="X380" i="22" s="1"/>
  <c r="Z380" i="22" s="1"/>
  <c r="X400" i="22" a="1"/>
  <c r="X400" i="22" s="1"/>
  <c r="Z400" i="22" s="1"/>
  <c r="X403" i="22" a="1"/>
  <c r="X403" i="22" s="1"/>
  <c r="Z403" i="22" s="1"/>
  <c r="X405" i="22" a="1"/>
  <c r="X405" i="22" s="1"/>
  <c r="Z405" i="22" s="1"/>
  <c r="X406" i="22" a="1"/>
  <c r="X406" i="22" s="1"/>
  <c r="Z406" i="22" s="1"/>
  <c r="X417" i="22" a="1"/>
  <c r="X417" i="22" s="1"/>
  <c r="Z417" i="22" s="1"/>
  <c r="X443" i="22" a="1"/>
  <c r="X443" i="22" s="1"/>
  <c r="Z443" i="22" s="1"/>
  <c r="X529" i="22" a="1"/>
  <c r="X529" i="22" s="1"/>
  <c r="Z529" i="22" s="1"/>
  <c r="K22" i="26" l="1"/>
  <c r="K27" i="26"/>
  <c r="K21" i="26"/>
  <c r="L21" i="26" s="1"/>
  <c r="AQ21" i="26" s="1"/>
  <c r="K20" i="26"/>
  <c r="L20" i="26" s="1"/>
  <c r="AQ20" i="26" s="1"/>
  <c r="K19" i="26"/>
  <c r="Z41" i="26" a="1"/>
  <c r="Z41" i="26" s="1"/>
  <c r="AA41" i="26" s="1" a="1"/>
  <c r="AA41" i="26" s="1"/>
  <c r="Z44" i="26" a="1"/>
  <c r="Z44" i="26" s="1"/>
  <c r="X44" i="26" a="1"/>
  <c r="X44" i="26" s="1"/>
  <c r="Y44" i="26" a="1"/>
  <c r="Y44" i="26" s="1"/>
  <c r="AA44" i="26" s="1" a="1"/>
  <c r="AA44" i="26" s="1"/>
  <c r="X45" i="26" a="1"/>
  <c r="X45" i="26" s="1"/>
  <c r="W45" i="26" a="1"/>
  <c r="W45" i="26" s="1"/>
  <c r="Z81" i="22"/>
  <c r="Y53" i="26" a="1"/>
  <c r="Y53" i="26" s="1"/>
  <c r="Z53" i="26" a="1"/>
  <c r="Z53" i="26" s="1"/>
  <c r="X53" i="26" a="1"/>
  <c r="X53" i="26" s="1"/>
  <c r="W53" i="26" a="1"/>
  <c r="W53" i="26" s="1"/>
  <c r="AA53" i="26" s="1" a="1"/>
  <c r="AA53" i="26" s="1"/>
  <c r="K39" i="26"/>
  <c r="K36" i="26"/>
  <c r="K34" i="26"/>
  <c r="K32" i="26"/>
  <c r="K43" i="26"/>
  <c r="L43" i="26" s="1"/>
  <c r="AQ43" i="26" s="1"/>
  <c r="K42" i="26"/>
  <c r="AK35" i="26"/>
  <c r="AL35" i="26" s="1"/>
  <c r="K53" i="26"/>
  <c r="Z30" i="26" a="1"/>
  <c r="Z30" i="26" s="1"/>
  <c r="X30" i="26" a="1"/>
  <c r="X30" i="26" s="1"/>
  <c r="K50" i="26"/>
  <c r="L50" i="26" s="1"/>
  <c r="AQ50" i="26" s="1"/>
  <c r="K44" i="26"/>
  <c r="K40" i="26"/>
  <c r="L40" i="26" s="1"/>
  <c r="AQ40" i="26" s="1"/>
  <c r="K30" i="26"/>
  <c r="L30" i="26" s="1"/>
  <c r="AQ30" i="26" s="1"/>
  <c r="K47" i="26"/>
  <c r="L47" i="26" s="1"/>
  <c r="AQ47" i="26" s="1"/>
  <c r="K35" i="26"/>
  <c r="K45" i="26"/>
  <c r="L45" i="26" s="1"/>
  <c r="AQ45" i="26" s="1"/>
  <c r="I12" i="26"/>
  <c r="M12" i="26"/>
  <c r="J12" i="26"/>
  <c r="AJ38" i="26"/>
  <c r="AK38" i="26" s="1"/>
  <c r="AL38" i="26" s="1"/>
  <c r="AJ43" i="26"/>
  <c r="AK43" i="26" s="1"/>
  <c r="AL43" i="26" s="1"/>
  <c r="AJ50" i="26"/>
  <c r="AK50" i="26" s="1"/>
  <c r="AL50" i="26" s="1"/>
  <c r="AJ53" i="26"/>
  <c r="AK53" i="26" s="1"/>
  <c r="AL53" i="26" s="1"/>
  <c r="AJ14" i="26"/>
  <c r="AK14" i="26" s="1"/>
  <c r="AL14" i="26" s="1"/>
  <c r="AJ18" i="26"/>
  <c r="AK18" i="26" s="1"/>
  <c r="AL18" i="26" s="1"/>
  <c r="AJ21" i="26"/>
  <c r="AK21" i="26" s="1"/>
  <c r="AL21" i="26" s="1"/>
  <c r="AJ24" i="26"/>
  <c r="AK24" i="26" s="1"/>
  <c r="AL24" i="26" s="1"/>
  <c r="AJ27" i="26"/>
  <c r="AK27" i="26" s="1"/>
  <c r="AL27" i="26" s="1"/>
  <c r="AJ30" i="26"/>
  <c r="AK30" i="26" s="1"/>
  <c r="AL30" i="26" s="1"/>
  <c r="AJ34" i="26"/>
  <c r="AK34" i="26" s="1"/>
  <c r="AL34" i="26" s="1"/>
  <c r="AJ37" i="26"/>
  <c r="AK37" i="26" s="1"/>
  <c r="AL37" i="26" s="1"/>
  <c r="AJ40" i="26"/>
  <c r="AK40" i="26" s="1"/>
  <c r="AL40" i="26" s="1"/>
  <c r="AJ42" i="26"/>
  <c r="AK42" i="26" s="1"/>
  <c r="AL42" i="26" s="1"/>
  <c r="AJ16" i="26"/>
  <c r="AK16" i="26" s="1"/>
  <c r="AL16" i="26" s="1"/>
  <c r="AJ19" i="26"/>
  <c r="AK19" i="26" s="1"/>
  <c r="AL19" i="26" s="1"/>
  <c r="AJ29" i="26"/>
  <c r="AK29" i="26" s="1"/>
  <c r="AL29" i="26" s="1"/>
  <c r="AJ39" i="26"/>
  <c r="AK39" i="26" s="1"/>
  <c r="AL39" i="26" s="1"/>
  <c r="AJ13" i="26"/>
  <c r="AK13" i="26" s="1"/>
  <c r="AL13" i="26" s="1"/>
  <c r="AJ23" i="26"/>
  <c r="AK23" i="26" s="1"/>
  <c r="AL23" i="26" s="1"/>
  <c r="AJ32" i="26"/>
  <c r="AK32" i="26" s="1"/>
  <c r="AL32" i="26" s="1"/>
  <c r="AJ41" i="26"/>
  <c r="AK41" i="26" s="1"/>
  <c r="AL41" i="26" s="1"/>
  <c r="AJ44" i="26"/>
  <c r="AK44" i="26" s="1"/>
  <c r="AL44" i="26" s="1"/>
  <c r="AJ46" i="26"/>
  <c r="AK46" i="26" s="1"/>
  <c r="AL46" i="26" s="1"/>
  <c r="AJ48" i="26"/>
  <c r="AK48" i="26" s="1"/>
  <c r="AL48" i="26" s="1"/>
  <c r="AJ52" i="26"/>
  <c r="AK52" i="26" s="1"/>
  <c r="AL52" i="26" s="1"/>
  <c r="AJ15" i="26"/>
  <c r="AK15" i="26" s="1"/>
  <c r="AL15" i="26" s="1"/>
  <c r="AJ17" i="26"/>
  <c r="AK17" i="26" s="1"/>
  <c r="AL17" i="26" s="1"/>
  <c r="AJ20" i="26"/>
  <c r="AK20" i="26" s="1"/>
  <c r="AL20" i="26" s="1"/>
  <c r="AJ22" i="26"/>
  <c r="AK22" i="26" s="1"/>
  <c r="AL22" i="26" s="1"/>
  <c r="AJ25" i="26"/>
  <c r="AK25" i="26" s="1"/>
  <c r="AL25" i="26" s="1"/>
  <c r="AJ28" i="26"/>
  <c r="AK28" i="26" s="1"/>
  <c r="AL28" i="26" s="1"/>
  <c r="AJ31" i="26"/>
  <c r="AK31" i="26" s="1"/>
  <c r="AL31" i="26" s="1"/>
  <c r="AJ36" i="26"/>
  <c r="AK36" i="26" s="1"/>
  <c r="AL36" i="26" s="1"/>
  <c r="AJ45" i="26"/>
  <c r="AK45" i="26" s="1"/>
  <c r="AL45" i="26" s="1"/>
  <c r="AJ49" i="26"/>
  <c r="AK49" i="26" s="1"/>
  <c r="AL49" i="26" s="1"/>
  <c r="AJ51" i="26"/>
  <c r="AK51" i="26" s="1"/>
  <c r="AL51" i="26" s="1"/>
  <c r="AR12" i="26"/>
  <c r="AG12" i="26"/>
  <c r="AJ47" i="26"/>
  <c r="AK47" i="26" s="1"/>
  <c r="AL47" i="26" s="1"/>
  <c r="K17" i="26"/>
  <c r="L17" i="26" s="1"/>
  <c r="AQ17" i="26" s="1"/>
  <c r="B11" i="28" a="1"/>
  <c r="B14" i="28" a="1"/>
  <c r="B24" i="28" a="1"/>
  <c r="B18" i="28" a="1"/>
  <c r="B16" i="28" a="1"/>
  <c r="E18" i="28" a="1"/>
  <c r="E25" i="28" a="1"/>
  <c r="B22" i="28" a="1"/>
  <c r="B25" i="28" a="1"/>
  <c r="B26" i="28" a="1"/>
  <c r="B15" i="28" a="1"/>
  <c r="E15" i="28" a="1"/>
  <c r="E27" i="28" a="1"/>
  <c r="E31" i="28" a="1"/>
  <c r="B12" i="28" a="1"/>
  <c r="B17" i="28" a="1"/>
  <c r="B23" i="28" a="1"/>
  <c r="B19" i="28" a="1"/>
  <c r="B20" i="28" a="1"/>
  <c r="B28" i="28" a="1"/>
  <c r="B29" i="28" a="1"/>
  <c r="B30" i="28" a="1"/>
  <c r="B31" i="28" a="1"/>
  <c r="B32" i="28" a="1"/>
  <c r="B33" i="28" a="1"/>
  <c r="E11" i="28" a="1"/>
  <c r="E12" i="28" a="1"/>
  <c r="E13" i="28" a="1"/>
  <c r="E20" i="28" a="1"/>
  <c r="E32" i="28" a="1"/>
  <c r="B13" i="28" a="1"/>
  <c r="B21" i="28" a="1"/>
  <c r="B27" i="28" a="1"/>
  <c r="E14" i="28" a="1"/>
  <c r="E30" i="28" a="1"/>
  <c r="Z15" i="26" a="1"/>
  <c r="Z15" i="26" s="1"/>
  <c r="Y15" i="26" a="1"/>
  <c r="Y15" i="26" s="1"/>
  <c r="X25" i="26" a="1"/>
  <c r="X25" i="26" s="1"/>
  <c r="Z25" i="26" a="1"/>
  <c r="Z25" i="26" s="1"/>
  <c r="W25" i="26" a="1"/>
  <c r="W25" i="26" s="1"/>
  <c r="Y25" i="26" a="1"/>
  <c r="Y25" i="26" s="1"/>
  <c r="Y35" i="26" a="1"/>
  <c r="Y35" i="26" s="1"/>
  <c r="Z35" i="26" a="1"/>
  <c r="Z35" i="26" s="1"/>
  <c r="X35" i="26" a="1"/>
  <c r="X35" i="26" s="1"/>
  <c r="W35" i="26" a="1"/>
  <c r="W35" i="26" s="1"/>
  <c r="A10" i="28"/>
  <c r="AE12" i="26"/>
  <c r="AF12" i="26" s="1"/>
  <c r="AJ12" i="26" s="1"/>
  <c r="AK12" i="26" s="1"/>
  <c r="AL12" i="26" s="1"/>
  <c r="AB12" i="26"/>
  <c r="AM12" i="26"/>
  <c r="K28" i="26"/>
  <c r="L28" i="26" s="1"/>
  <c r="AQ28" i="26" s="1"/>
  <c r="V51" i="26" a="1"/>
  <c r="V51" i="26" s="1"/>
  <c r="X15" i="26" a="1"/>
  <c r="X15" i="26" s="1"/>
  <c r="W15" i="26" a="1"/>
  <c r="W15" i="26" s="1"/>
  <c r="V42" i="26" a="1"/>
  <c r="V42" i="26" s="1"/>
  <c r="V20" i="26" a="1"/>
  <c r="V20" i="26" s="1"/>
  <c r="Y21" i="26" a="1"/>
  <c r="Y21" i="26" s="1"/>
  <c r="W21" i="26" a="1"/>
  <c r="W21" i="26" s="1"/>
  <c r="Z21" i="26" a="1"/>
  <c r="Z21" i="26" s="1"/>
  <c r="X21" i="26" a="1"/>
  <c r="X21" i="26" s="1"/>
  <c r="AA38" i="26" a="1"/>
  <c r="AA38" i="26" s="1"/>
  <c r="AA42" i="26" a="1"/>
  <c r="AA42" i="26" s="1"/>
  <c r="AA51" i="26" a="1"/>
  <c r="AA51" i="26" s="1"/>
  <c r="AA17" i="26" a="1"/>
  <c r="AA17" i="26" s="1"/>
  <c r="AA34" i="26" a="1"/>
  <c r="AA34" i="26" s="1"/>
  <c r="AA20" i="26" a="1"/>
  <c r="AA20" i="26" s="1"/>
  <c r="Z39" i="22"/>
  <c r="Z22" i="26" a="1"/>
  <c r="Z22" i="26" s="1"/>
  <c r="W22" i="26" a="1"/>
  <c r="W22" i="26" s="1"/>
  <c r="Y22" i="26" a="1"/>
  <c r="Y22" i="26" s="1"/>
  <c r="X22" i="26" a="1"/>
  <c r="X22" i="26" s="1"/>
  <c r="Z43" i="22"/>
  <c r="X26" i="26" a="1"/>
  <c r="X26" i="26" s="1"/>
  <c r="Y26" i="26" a="1"/>
  <c r="Y26" i="26" s="1"/>
  <c r="W26" i="26" a="1"/>
  <c r="W26" i="26" s="1"/>
  <c r="Z26" i="26" a="1"/>
  <c r="Z26" i="26" s="1"/>
  <c r="Z44" i="22"/>
  <c r="V15" i="26" s="1" a="1"/>
  <c r="V15" i="26" s="1"/>
  <c r="X16" i="26" a="1"/>
  <c r="X16" i="26" s="1"/>
  <c r="Z16" i="26" a="1"/>
  <c r="Z16" i="26" s="1"/>
  <c r="Y16" i="26" a="1"/>
  <c r="Y16" i="26" s="1"/>
  <c r="W16" i="26" a="1"/>
  <c r="W16" i="26" s="1"/>
  <c r="Z45" i="22"/>
  <c r="W19" i="26" a="1"/>
  <c r="W19" i="26" s="1"/>
  <c r="X19" i="26" a="1"/>
  <c r="X19" i="26" s="1"/>
  <c r="Y19" i="26" a="1"/>
  <c r="Y19" i="26" s="1"/>
  <c r="Z19" i="26" a="1"/>
  <c r="Z19" i="26" s="1"/>
  <c r="Z47" i="22"/>
  <c r="W31" i="26" a="1"/>
  <c r="W31" i="26" s="1"/>
  <c r="Z31" i="26" a="1"/>
  <c r="Z31" i="26" s="1"/>
  <c r="Y31" i="26" a="1"/>
  <c r="Y31" i="26" s="1"/>
  <c r="X31" i="26" a="1"/>
  <c r="X31" i="26" s="1"/>
  <c r="Z50" i="22"/>
  <c r="V33" i="26" s="1" a="1"/>
  <c r="V33" i="26" s="1"/>
  <c r="Z33" i="26" a="1"/>
  <c r="Z33" i="26" s="1"/>
  <c r="X33" i="26" a="1"/>
  <c r="X33" i="26" s="1"/>
  <c r="Y33" i="26" a="1"/>
  <c r="Y33" i="26" s="1"/>
  <c r="W33" i="26" a="1"/>
  <c r="W33" i="26" s="1"/>
  <c r="Z51" i="22"/>
  <c r="Y24" i="26" a="1"/>
  <c r="Y24" i="26" s="1"/>
  <c r="X24" i="26" a="1"/>
  <c r="X24" i="26" s="1"/>
  <c r="W48" i="26" a="1"/>
  <c r="W48" i="26" s="1"/>
  <c r="W24" i="26" a="1"/>
  <c r="W24" i="26" s="1"/>
  <c r="Y27" i="26" a="1"/>
  <c r="Y27" i="26" s="1"/>
  <c r="Z48" i="26" a="1"/>
  <c r="Z48" i="26" s="1"/>
  <c r="X27" i="26" a="1"/>
  <c r="X27" i="26" s="1"/>
  <c r="W27" i="26" a="1"/>
  <c r="W27" i="26" s="1"/>
  <c r="Z24" i="26" a="1"/>
  <c r="Z24" i="26" s="1"/>
  <c r="Y48" i="26" a="1"/>
  <c r="Y48" i="26" s="1"/>
  <c r="X48" i="26" a="1"/>
  <c r="X48" i="26" s="1"/>
  <c r="Z27" i="26" a="1"/>
  <c r="Z27" i="26" s="1"/>
  <c r="Z52" i="22"/>
  <c r="V39" i="26" s="1" a="1"/>
  <c r="V39" i="26" s="1"/>
  <c r="W39" i="26" a="1"/>
  <c r="W39" i="26" s="1"/>
  <c r="Y39" i="26" a="1"/>
  <c r="Y39" i="26" s="1"/>
  <c r="Z39" i="26" a="1"/>
  <c r="Z39" i="26" s="1"/>
  <c r="X39" i="26" a="1"/>
  <c r="X39" i="26" s="1"/>
  <c r="Z53" i="22"/>
  <c r="Y28" i="26" a="1"/>
  <c r="Y28" i="26" s="1"/>
  <c r="Z28" i="26" a="1"/>
  <c r="Z28" i="26" s="1"/>
  <c r="Y49" i="26" a="1"/>
  <c r="Y49" i="26" s="1"/>
  <c r="Z49" i="26" a="1"/>
  <c r="Z49" i="26" s="1"/>
  <c r="X28" i="26" a="1"/>
  <c r="X28" i="26" s="1"/>
  <c r="W28" i="26" a="1"/>
  <c r="W28" i="26" s="1"/>
  <c r="W49" i="26" a="1"/>
  <c r="W49" i="26" s="1"/>
  <c r="X49" i="26" a="1"/>
  <c r="X49" i="26" s="1"/>
  <c r="Z54" i="22"/>
  <c r="Y14" i="26" a="1"/>
  <c r="Y14" i="26" s="1"/>
  <c r="X14" i="26" a="1"/>
  <c r="X14" i="26" s="1"/>
  <c r="Z14" i="26" a="1"/>
  <c r="Z14" i="26" s="1"/>
  <c r="W14" i="26" a="1"/>
  <c r="W14" i="26" s="1"/>
  <c r="Z56" i="22"/>
  <c r="V30" i="26" s="1" a="1"/>
  <c r="V30" i="26" s="1"/>
  <c r="W29" i="26" a="1"/>
  <c r="W29" i="26" s="1"/>
  <c r="Y32" i="26" a="1"/>
  <c r="Y32" i="26" s="1"/>
  <c r="X29" i="26" a="1"/>
  <c r="X29" i="26" s="1"/>
  <c r="X32" i="26" a="1"/>
  <c r="X32" i="26" s="1"/>
  <c r="Y29" i="26" a="1"/>
  <c r="Y29" i="26" s="1"/>
  <c r="W32" i="26" a="1"/>
  <c r="W32" i="26" s="1"/>
  <c r="Z32" i="26" a="1"/>
  <c r="Z32" i="26" s="1"/>
  <c r="Z29" i="26" a="1"/>
  <c r="Z29" i="26" s="1"/>
  <c r="Z62" i="22"/>
  <c r="Y23" i="26" a="1"/>
  <c r="Y23" i="26" s="1"/>
  <c r="X23" i="26" a="1"/>
  <c r="X23" i="26" s="1"/>
  <c r="W23" i="26" a="1"/>
  <c r="W23" i="26" s="1"/>
  <c r="Z23" i="26" a="1"/>
  <c r="Z23" i="26" s="1"/>
  <c r="Z63" i="22"/>
  <c r="Y37" i="26" a="1"/>
  <c r="Y37" i="26" s="1"/>
  <c r="W37" i="26" a="1"/>
  <c r="W37" i="26" s="1"/>
  <c r="Z37" i="26" a="1"/>
  <c r="Z37" i="26" s="1"/>
  <c r="X37" i="26" a="1"/>
  <c r="X37" i="26" s="1"/>
  <c r="Z64" i="22"/>
  <c r="V41" i="26" s="1" a="1"/>
  <c r="V41" i="26" s="1"/>
  <c r="W43" i="26" a="1"/>
  <c r="W43" i="26" s="1"/>
  <c r="Z43" i="26" a="1"/>
  <c r="Z43" i="26" s="1"/>
  <c r="X43" i="26" a="1"/>
  <c r="X43" i="26" s="1"/>
  <c r="Y43" i="26" a="1"/>
  <c r="Y43" i="26" s="1"/>
  <c r="Z66" i="22"/>
  <c r="Z50" i="26" a="1"/>
  <c r="Z50" i="26" s="1"/>
  <c r="Y50" i="26" a="1"/>
  <c r="Y50" i="26" s="1"/>
  <c r="W50" i="26" a="1"/>
  <c r="W50" i="26" s="1"/>
  <c r="X50" i="26" a="1"/>
  <c r="X50" i="26" s="1"/>
  <c r="Z67" i="22"/>
  <c r="V44" i="26" s="1" a="1"/>
  <c r="V44" i="26" s="1"/>
  <c r="Z46" i="26" a="1"/>
  <c r="Z46" i="26" s="1"/>
  <c r="Y46" i="26" a="1"/>
  <c r="Y46" i="26" s="1"/>
  <c r="W46" i="26" a="1"/>
  <c r="W46" i="26" s="1"/>
  <c r="X46" i="26" a="1"/>
  <c r="X46" i="26" s="1"/>
  <c r="Z71" i="22"/>
  <c r="V13" i="26" s="1" a="1"/>
  <c r="V13" i="26" s="1"/>
  <c r="W13" i="26" a="1"/>
  <c r="W13" i="26" s="1"/>
  <c r="Y13" i="26" a="1"/>
  <c r="Y13" i="26" s="1"/>
  <c r="Z13" i="26" a="1"/>
  <c r="Z13" i="26" s="1"/>
  <c r="X13" i="26" a="1"/>
  <c r="X13" i="26" s="1"/>
  <c r="Z74" i="22"/>
  <c r="Z75" i="22"/>
  <c r="Y36" i="26" a="1"/>
  <c r="Y36" i="26" s="1"/>
  <c r="Z36" i="26" a="1"/>
  <c r="Z36" i="26" s="1"/>
  <c r="X36" i="26" a="1"/>
  <c r="X36" i="26" s="1"/>
  <c r="W36" i="26" a="1"/>
  <c r="W36" i="26" s="1"/>
  <c r="Z76" i="22"/>
  <c r="X40" i="26" a="1"/>
  <c r="X40" i="26" s="1"/>
  <c r="W40" i="26" a="1"/>
  <c r="W40" i="26" s="1"/>
  <c r="Z40" i="26" a="1"/>
  <c r="Z40" i="26" s="1"/>
  <c r="Y40" i="26" a="1"/>
  <c r="Y40" i="26" s="1"/>
  <c r="Z77" i="22"/>
  <c r="V45" i="26" s="1" a="1"/>
  <c r="V45" i="26" s="1"/>
  <c r="Z47" i="26" a="1"/>
  <c r="Z47" i="26" s="1"/>
  <c r="W47" i="26" a="1"/>
  <c r="W47" i="26" s="1"/>
  <c r="X47" i="26" a="1"/>
  <c r="X47" i="26" s="1"/>
  <c r="Y47" i="26" a="1"/>
  <c r="Y47" i="26" s="1"/>
  <c r="Z79" i="22"/>
  <c r="X18" i="26" a="1"/>
  <c r="X18" i="26" s="1"/>
  <c r="Z18" i="26" a="1"/>
  <c r="Z18" i="26" s="1"/>
  <c r="Y18" i="26" a="1"/>
  <c r="Y18" i="26" s="1"/>
  <c r="W18" i="26" a="1"/>
  <c r="W18" i="26" s="1"/>
  <c r="Z85" i="22"/>
  <c r="V52" i="26" s="1" a="1"/>
  <c r="V52" i="26" s="1"/>
  <c r="W52" i="26" a="1"/>
  <c r="W52" i="26" s="1"/>
  <c r="Z52" i="26" a="1"/>
  <c r="Z52" i="26" s="1"/>
  <c r="Y52" i="26" a="1"/>
  <c r="Y52" i="26" s="1"/>
  <c r="X52" i="26" a="1"/>
  <c r="X52" i="26" s="1"/>
  <c r="Z12" i="26" a="1"/>
  <c r="Z12" i="26" s="1"/>
  <c r="Y12" i="26" a="1"/>
  <c r="Y12" i="26" s="1"/>
  <c r="X12" i="26" a="1"/>
  <c r="X12" i="26" s="1"/>
  <c r="W12" i="26" a="1"/>
  <c r="W12" i="26" s="1"/>
  <c r="AA45" i="26" l="1" a="1"/>
  <c r="AA45" i="26" s="1"/>
  <c r="L27" i="28" a="1"/>
  <c r="L27" i="28" s="1"/>
  <c r="L22" i="26"/>
  <c r="AQ22" i="26" s="1"/>
  <c r="E17" i="28" a="1"/>
  <c r="E17" i="28" s="1"/>
  <c r="L27" i="26"/>
  <c r="AQ27" i="26" s="1"/>
  <c r="E19" i="28" a="1"/>
  <c r="E19" i="28" s="1"/>
  <c r="L19" i="26"/>
  <c r="AQ19" i="26" s="1"/>
  <c r="E16" i="28" a="1"/>
  <c r="E16" i="28" s="1"/>
  <c r="AA30" i="26" a="1"/>
  <c r="AA30" i="26" s="1"/>
  <c r="AA35" i="26" a="1"/>
  <c r="AA35" i="26" s="1"/>
  <c r="L39" i="26"/>
  <c r="AQ39" i="26" s="1"/>
  <c r="E26" i="28" a="1"/>
  <c r="L36" i="26"/>
  <c r="AQ36" i="26" s="1"/>
  <c r="E24" i="28" a="1"/>
  <c r="L34" i="26"/>
  <c r="AQ34" i="26" s="1"/>
  <c r="E22" i="28" a="1"/>
  <c r="L32" i="26"/>
  <c r="AQ32" i="26" s="1"/>
  <c r="E21" i="28" a="1"/>
  <c r="L42" i="26"/>
  <c r="AQ42" i="26" s="1"/>
  <c r="L28" i="28" s="1" a="1"/>
  <c r="E28" i="28" a="1"/>
  <c r="L53" i="26"/>
  <c r="AQ53" i="26" s="1"/>
  <c r="E33" i="28" a="1"/>
  <c r="L44" i="26"/>
  <c r="AQ44" i="26" s="1"/>
  <c r="L29" i="28" s="1" a="1"/>
  <c r="E29" i="28" a="1"/>
  <c r="L35" i="26"/>
  <c r="AQ35" i="26" s="1"/>
  <c r="E23" i="28" a="1"/>
  <c r="B11" i="28"/>
  <c r="B14" i="28"/>
  <c r="B24" i="28"/>
  <c r="B18" i="28"/>
  <c r="B16" i="28"/>
  <c r="E18" i="28"/>
  <c r="E25" i="28"/>
  <c r="B22" i="28"/>
  <c r="B25" i="28"/>
  <c r="B26" i="28"/>
  <c r="B15" i="28"/>
  <c r="E15" i="28"/>
  <c r="E27" i="28"/>
  <c r="E31" i="28"/>
  <c r="B12" i="28"/>
  <c r="B17" i="28"/>
  <c r="B23" i="28"/>
  <c r="B19" i="28"/>
  <c r="B20" i="28"/>
  <c r="B28" i="28"/>
  <c r="B29" i="28"/>
  <c r="B30" i="28"/>
  <c r="B31" i="28"/>
  <c r="B32" i="28"/>
  <c r="B33" i="28"/>
  <c r="E11" i="28"/>
  <c r="E12" i="28"/>
  <c r="E13" i="28"/>
  <c r="E20" i="28"/>
  <c r="E32" i="28"/>
  <c r="B13" i="28"/>
  <c r="B21" i="28"/>
  <c r="B27" i="28"/>
  <c r="E14" i="28"/>
  <c r="E30" i="28"/>
  <c r="AA15" i="26" a="1"/>
  <c r="AA15" i="26" s="1"/>
  <c r="AA25" i="26" a="1"/>
  <c r="AA25" i="26" s="1"/>
  <c r="K12" i="26"/>
  <c r="L12" i="26" s="1"/>
  <c r="AQ12" i="26" s="1"/>
  <c r="AA14" i="26" a="1"/>
  <c r="AA14" i="26" s="1"/>
  <c r="AA18" i="26" a="1"/>
  <c r="AA18" i="26" s="1"/>
  <c r="E10" i="28" a="1"/>
  <c r="B10" i="28" a="1"/>
  <c r="AA21" i="26" a="1"/>
  <c r="AA21" i="26" s="1"/>
  <c r="V17" i="26" a="1"/>
  <c r="V17" i="26" s="1"/>
  <c r="L14" i="28" s="1" a="1"/>
  <c r="V22" i="26" a="1"/>
  <c r="V22" i="26" s="1"/>
  <c r="V31" i="26" a="1"/>
  <c r="V31" i="26" s="1"/>
  <c r="AA36" i="26" a="1"/>
  <c r="AA36" i="26" s="1"/>
  <c r="AA28" i="26" a="1"/>
  <c r="AA28" i="26" s="1"/>
  <c r="V46" i="26" a="1"/>
  <c r="V46" i="26" s="1"/>
  <c r="V47" i="26" a="1"/>
  <c r="V47" i="26" s="1"/>
  <c r="V37" i="26" a="1"/>
  <c r="V37" i="26" s="1"/>
  <c r="V35" i="26" a="1"/>
  <c r="V35" i="26" s="1"/>
  <c r="L23" i="28" s="1" a="1"/>
  <c r="V53" i="26" a="1"/>
  <c r="V53" i="26" s="1"/>
  <c r="L33" i="28" s="1" a="1"/>
  <c r="V36" i="26" a="1"/>
  <c r="V36" i="26" s="1"/>
  <c r="L24" i="28" s="1" a="1"/>
  <c r="V34" i="26" a="1"/>
  <c r="V34" i="26" s="1"/>
  <c r="L22" i="28" s="1" a="1"/>
  <c r="V40" i="26" a="1"/>
  <c r="V40" i="26" s="1"/>
  <c r="V38" i="26" a="1"/>
  <c r="V38" i="26" s="1"/>
  <c r="L25" i="28" s="1" a="1"/>
  <c r="V26" i="26" a="1"/>
  <c r="V26" i="26" s="1"/>
  <c r="V19" i="26" a="1"/>
  <c r="V19" i="26" s="1"/>
  <c r="V14" i="26" a="1"/>
  <c r="V14" i="26" s="1"/>
  <c r="L12" i="28" s="1" a="1"/>
  <c r="V23" i="26" a="1"/>
  <c r="V23" i="26" s="1"/>
  <c r="V18" i="26" a="1"/>
  <c r="V18" i="26" s="1"/>
  <c r="L15" i="28" s="1" a="1"/>
  <c r="V16" i="26" a="1"/>
  <c r="V16" i="26" s="1"/>
  <c r="V12" i="26" a="1"/>
  <c r="V12" i="26" s="1"/>
  <c r="V43" i="26" a="1"/>
  <c r="V43" i="26" s="1"/>
  <c r="V21" i="26" a="1"/>
  <c r="V21" i="26" s="1"/>
  <c r="V50" i="26" a="1"/>
  <c r="V50" i="26" s="1"/>
  <c r="V25" i="26" a="1"/>
  <c r="V25" i="26" s="1"/>
  <c r="L18" i="28" s="1" a="1"/>
  <c r="AA27" i="26" a="1"/>
  <c r="AA27" i="26" s="1"/>
  <c r="AA49" i="26" a="1"/>
  <c r="AA49" i="26" s="1"/>
  <c r="AA40" i="26" a="1"/>
  <c r="AA40" i="26" s="1"/>
  <c r="AA37" i="26" a="1"/>
  <c r="AA37" i="26" s="1"/>
  <c r="V27" i="26" a="1"/>
  <c r="V27" i="26" s="1"/>
  <c r="L19" i="28" s="1" a="1"/>
  <c r="V48" i="26" a="1"/>
  <c r="V48" i="26" s="1"/>
  <c r="L30" i="28" s="1" a="1"/>
  <c r="V24" i="26" a="1"/>
  <c r="V24" i="26" s="1"/>
  <c r="V49" i="26" a="1"/>
  <c r="V49" i="26" s="1"/>
  <c r="L31" i="28" s="1" a="1"/>
  <c r="V28" i="26" a="1"/>
  <c r="V28" i="26" s="1"/>
  <c r="V29" i="26" a="1"/>
  <c r="V29" i="26" s="1"/>
  <c r="V32" i="26" a="1"/>
  <c r="V32" i="26" s="1"/>
  <c r="L21" i="28" s="1" a="1"/>
  <c r="AA22" i="26" a="1"/>
  <c r="AA22" i="26" s="1"/>
  <c r="AA48" i="26" a="1"/>
  <c r="AA48" i="26" s="1"/>
  <c r="AA26" i="26" a="1"/>
  <c r="AA26" i="26" s="1"/>
  <c r="AA16" i="26" a="1"/>
  <c r="AA16" i="26" s="1"/>
  <c r="AA19" i="26" a="1"/>
  <c r="AA19" i="26" s="1"/>
  <c r="AA31" i="26" a="1"/>
  <c r="AA31" i="26" s="1"/>
  <c r="AA33" i="26" a="1"/>
  <c r="AA33" i="26" s="1"/>
  <c r="AA24" i="26" a="1"/>
  <c r="AA24" i="26" s="1"/>
  <c r="AA39" i="26" a="1"/>
  <c r="AA39" i="26" s="1"/>
  <c r="L26" i="28" s="1" a="1"/>
  <c r="AA29" i="26" a="1"/>
  <c r="AA29" i="26" s="1"/>
  <c r="AA32" i="26" a="1"/>
  <c r="AA32" i="26" s="1"/>
  <c r="AA23" i="26" a="1"/>
  <c r="AA23" i="26" s="1"/>
  <c r="AA43" i="26" a="1"/>
  <c r="AA43" i="26" s="1"/>
  <c r="AA50" i="26" a="1"/>
  <c r="AA50" i="26" s="1"/>
  <c r="AA46" i="26" a="1"/>
  <c r="AA46" i="26" s="1"/>
  <c r="AA13" i="26" a="1"/>
  <c r="AA13" i="26" s="1"/>
  <c r="L11" i="28" s="1" a="1"/>
  <c r="AA47" i="26" a="1"/>
  <c r="AA47" i="26" s="1"/>
  <c r="AA52" i="26" a="1"/>
  <c r="AA52" i="26" s="1"/>
  <c r="L32" i="28" s="1" a="1"/>
  <c r="AA12" i="26" a="1"/>
  <c r="AA12" i="26" s="1"/>
  <c r="L16" i="28" l="1" a="1"/>
  <c r="L16" i="28" s="1"/>
  <c r="L20" i="28" a="1"/>
  <c r="L20" i="28" s="1"/>
  <c r="L13" i="28" a="1"/>
  <c r="L13" i="28" s="1"/>
  <c r="L17" i="28" a="1"/>
  <c r="L17" i="28" s="1"/>
  <c r="L10" i="28" a="1"/>
  <c r="L10" i="28" s="1"/>
  <c r="L28" i="28"/>
  <c r="L29" i="28"/>
  <c r="E26" i="28"/>
  <c r="E29" i="28"/>
  <c r="E24" i="28"/>
  <c r="E22" i="28"/>
  <c r="E21" i="28"/>
  <c r="E28" i="28"/>
  <c r="E33" i="28"/>
  <c r="E23" i="28"/>
  <c r="F1" i="28"/>
  <c r="F2" i="28"/>
  <c r="F3" i="28"/>
  <c r="E10" i="28"/>
  <c r="B10" i="28"/>
  <c r="L14" i="28"/>
  <c r="L24" i="28"/>
  <c r="L23" i="28"/>
  <c r="L33" i="28"/>
  <c r="L22" i="28"/>
  <c r="L25" i="28"/>
  <c r="L12" i="28"/>
  <c r="L15" i="28"/>
  <c r="L18" i="28"/>
  <c r="L19" i="28"/>
  <c r="L30" i="28"/>
  <c r="L31" i="28"/>
  <c r="L21" i="28"/>
  <c r="L26" i="28"/>
  <c r="L11" i="28"/>
  <c r="L32" i="2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EDC290-0828-4377-BE76-312EE5A9EE58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D50FA46E-C272-4EC1-9B84-529602B2AFB0}" keepAlive="1" name="Query - 1_product_catalog_pricing" description="Connection to the '1_product_catalog_pricing' query in the workbook." type="5" refreshedVersion="8" background="1" saveData="1">
    <dbPr connection="Provider=Microsoft.Mashup.OleDb.1;Data Source=$Workbook$;Location=1_product_catalog_pricing;Extended Properties=&quot;&quot;" command="SELECT * FROM [1_product_catalog_pricing]"/>
  </connection>
  <connection id="3" xr16:uid="{C9896D11-9A84-4CF3-9CA5-CF4A58AC7096}" keepAlive="1" name="Query - 2_sales_transactions" description="Connection to the '2_sales_transactions' query in the workbook." type="5" refreshedVersion="8" background="1" saveData="1">
    <dbPr connection="Provider=Microsoft.Mashup.OleDb.1;Data Source=$Workbook$;Location=2_sales_transactions;Extended Properties=&quot;&quot;" command="SELECT * FROM [2_sales_transactions]"/>
  </connection>
  <connection id="4" xr16:uid="{F6D4C502-28D7-4CF4-99D4-00975C5ECE6C}" keepAlive="1" name="Query - 3_customer_segments" description="Connection to the '3_customer_segments' query in the workbook." type="5" refreshedVersion="8" background="1" saveData="1">
    <dbPr connection="Provider=Microsoft.Mashup.OleDb.1;Data Source=$Workbook$;Location=3_customer_segments;Extended Properties=&quot;&quot;" command="SELECT * FROM [3_customer_segments]"/>
  </connection>
  <connection id="5" xr16:uid="{121BA3A4-CB93-4A27-9948-58DA257E0682}" keepAlive="1" name="Query - 4_competitor_pricing(1)" description="Connection to the '4_competitor_pricing' query in the workbook." type="5" refreshedVersion="8" background="1" saveData="1">
    <dbPr connection="Provider=Microsoft.Mashup.OleDb.1;Data Source=$Workbook$;Location=4_competitor_pricing;Extended Properties=&quot;&quot;" command="SELECT * FROM [4_competitor_pricing]"/>
  </connection>
  <connection id="6" xr16:uid="{60E5B381-3EB1-436C-A5E5-AB216CA0B53B}" keepAlive="1" name="Query - Best Outcomes" description="Connection to the 'Best Outcomes' query in the workbook." type="5" refreshedVersion="8" background="1" saveData="1">
    <dbPr connection="Provider=Microsoft.Mashup.OleDb.1;Data Source=$Workbook$;Location=&quot;Best Outcomes&quot;;Extended Properties=&quot;&quot;" command="SELECT * FROM [Best Outcomes]"/>
  </connection>
  <connection id="7" xr16:uid="{9E089F71-B20D-4C4A-8736-B282E2DFA06C}" keepAlive="1" name="Query - Errors in 1_product_catalog_pricing" description="Connection to the 'Errors in 1_product_catalog_pricing' query in the workbook." type="5" refreshedVersion="0" background="1">
    <dbPr connection="Provider=Microsoft.Mashup.OleDb.1;Data Source=$Workbook$;Location=&quot;Errors in 1_product_catalog_pricing&quot;;Extended Properties=&quot;&quot;" command="SELECT * FROM [Errors in 1_product_catalog_pricing]"/>
  </connection>
  <connection id="8" xr16:uid="{02448003-E412-4ADD-8CAA-C7B3A80AAB3F}" keepAlive="1" name="Query - Transactions and Customer Information Joined" description="Connection to the 'Transactions and Customer Information Joined' query in the workbook." type="5" refreshedVersion="8" background="1" saveData="1">
    <dbPr connection="Provider=Microsoft.Mashup.OleDb.1;Data Source=$Workbook$;Location=&quot;Transactions and Customer Information Joined&quot;;Extended Properties=&quot;&quot;" command="SELECT * FROM [Transactions and Customer Information Joined]"/>
  </connection>
  <connection id="9" xr16:uid="{7BA74B6D-0694-4818-8484-BB0E940407D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0" xr16:uid="{FCAA4461-BC56-4B3B-A3E8-1896AF04B5BA}" name="WorksheetConnection_Analysis_Workbook.xlsx!_1_product_catalog_pricing" type="102" refreshedVersion="8" minRefreshableVersion="5">
    <extLst>
      <ext xmlns:x15="http://schemas.microsoft.com/office/spreadsheetml/2010/11/main" uri="{DE250136-89BD-433C-8126-D09CA5730AF9}">
        <x15:connection id="_1_product_catalog_pricing">
          <x15:rangePr sourceName="_xlcn.WorksheetConnection_Analysis_Workbook.xlsx_1_product_catalog_pricing1"/>
        </x15:connection>
      </ext>
    </extLst>
  </connection>
  <connection id="11" xr16:uid="{62F707E8-1CA2-4E90-97C1-AEFD0DE7FDBE}" name="WorksheetConnection_Analysis_Workbook.xlsx!_2_sales_transactions" type="102" refreshedVersion="8" minRefreshableVersion="5">
    <extLst>
      <ext xmlns:x15="http://schemas.microsoft.com/office/spreadsheetml/2010/11/main" uri="{DE250136-89BD-433C-8126-D09CA5730AF9}">
        <x15:connection id="_2_sales_transactions">
          <x15:rangePr sourceName="_xlcn.WorksheetConnection_Analysis_Workbook.xlsx_2_sales_transactions1"/>
        </x15:connection>
      </ext>
    </extLst>
  </connection>
  <connection id="12" xr16:uid="{B244A664-5B46-43D8-8AAE-320D0820BBF1}" name="WorksheetConnection_Analysis_Workbook.xlsx!_3_customer_segments" type="102" refreshedVersion="8" minRefreshableVersion="5">
    <extLst>
      <ext xmlns:x15="http://schemas.microsoft.com/office/spreadsheetml/2010/11/main" uri="{DE250136-89BD-433C-8126-D09CA5730AF9}">
        <x15:connection id="_3_customer_segments">
          <x15:rangePr sourceName="_xlcn.WorksheetConnection_Analysis_Workbook.xlsx_3_customer_segments1"/>
        </x15:connection>
      </ext>
    </extLst>
  </connection>
  <connection id="13" xr16:uid="{001A1E1A-9932-4070-936D-B9B0E1301CBC}" name="WorksheetConnection_Analysis_Workbook2.xlsx!_4_competitor_pricing_" type="102" refreshedVersion="8" minRefreshableVersion="5">
    <extLst>
      <ext xmlns:x15="http://schemas.microsoft.com/office/spreadsheetml/2010/11/main" uri="{DE250136-89BD-433C-8126-D09CA5730AF9}">
        <x15:connection id="_4_competitor_pricing_">
          <x15:rangePr sourceName="_xlcn.WorksheetConnection_Analysis_Workbook2.xlsx_4_competitor_pricing_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<sst xmlns="http://schemas.openxmlformats.org/spreadsheetml/2006/main" count="63539" uniqueCount="5470">
  <si>
    <t>SKU</t>
  </si>
  <si>
    <t>Product Name</t>
  </si>
  <si>
    <t>Category</t>
  </si>
  <si>
    <t>Brand</t>
  </si>
  <si>
    <t>Cost Price ($)</t>
  </si>
  <si>
    <t>Retail Price ($)</t>
  </si>
  <si>
    <t>Sale Price ($)</t>
  </si>
  <si>
    <t>Stock Units</t>
  </si>
  <si>
    <t>Rating (1-5)</t>
  </si>
  <si>
    <t>Review Count</t>
  </si>
  <si>
    <t>Is Active</t>
  </si>
  <si>
    <t>Launch Date</t>
  </si>
  <si>
    <t>SKU-1000</t>
  </si>
  <si>
    <t>Wireless Earbuds</t>
  </si>
  <si>
    <t>Electronics</t>
  </si>
  <si>
    <t>SoundWave</t>
  </si>
  <si>
    <t>Yes</t>
  </si>
  <si>
    <t>SKU-1001</t>
  </si>
  <si>
    <t>Bluetooth Speaker</t>
  </si>
  <si>
    <t>TechPro</t>
  </si>
  <si>
    <t>No</t>
  </si>
  <si>
    <t>SKU-1002</t>
  </si>
  <si>
    <t>Smart Watch</t>
  </si>
  <si>
    <t>SKU-1003</t>
  </si>
  <si>
    <t>Portable Charger</t>
  </si>
  <si>
    <t>SKU-1004</t>
  </si>
  <si>
    <t>USB-C Hub</t>
  </si>
  <si>
    <t>PixelEdge</t>
  </si>
  <si>
    <t>SKU-1005</t>
  </si>
  <si>
    <t>Webcam</t>
  </si>
  <si>
    <t>SKU-1006</t>
  </si>
  <si>
    <t>Mechanical Keyboard</t>
  </si>
  <si>
    <t>NovaTech</t>
  </si>
  <si>
    <t>SKU-1007</t>
  </si>
  <si>
    <t>Gaming Mouse</t>
  </si>
  <si>
    <t>SKU-1008</t>
  </si>
  <si>
    <t>LED Desk Lamp</t>
  </si>
  <si>
    <t>SKU-1009</t>
  </si>
  <si>
    <t>Phone Stand</t>
  </si>
  <si>
    <t>SKU-1010</t>
  </si>
  <si>
    <t>Slim Fit Jeans</t>
  </si>
  <si>
    <t>Apparel</t>
  </si>
  <si>
    <t>PureWear</t>
  </si>
  <si>
    <t>SKU-1011</t>
  </si>
  <si>
    <t>Graphic Tee</t>
  </si>
  <si>
    <t>UrbanThread</t>
  </si>
  <si>
    <t>SKU-1012</t>
  </si>
  <si>
    <t>Hoodie</t>
  </si>
  <si>
    <t>SKU-1013</t>
  </si>
  <si>
    <t>Running Shorts</t>
  </si>
  <si>
    <t>SKU-1014</t>
  </si>
  <si>
    <t>Wool Sweater</t>
  </si>
  <si>
    <t>StyleCo</t>
  </si>
  <si>
    <t>SKU-1015</t>
  </si>
  <si>
    <t>Denim Jacket</t>
  </si>
  <si>
    <t>SKU-1016</t>
  </si>
  <si>
    <t>Yoga Pants</t>
  </si>
  <si>
    <t>SKU-1017</t>
  </si>
  <si>
    <t>Baseball Cap</t>
  </si>
  <si>
    <t>FitForm</t>
  </si>
  <si>
    <t>SKU-1018</t>
  </si>
  <si>
    <t>Sneakers</t>
  </si>
  <si>
    <t>SKU-1019</t>
  </si>
  <si>
    <t>Canvas Tote Bag</t>
  </si>
  <si>
    <t>SKU-1020</t>
  </si>
  <si>
    <t>Coffee Maker</t>
  </si>
  <si>
    <t>Home &amp; Kitchen</t>
  </si>
  <si>
    <t>HomeEase</t>
  </si>
  <si>
    <t>SKU-1021</t>
  </si>
  <si>
    <t>Air Fryer</t>
  </si>
  <si>
    <t>CozyCraft</t>
  </si>
  <si>
    <t>SKU-1022</t>
  </si>
  <si>
    <t>Blender</t>
  </si>
  <si>
    <t>SKU-1023</t>
  </si>
  <si>
    <t>Non-stick Pan</t>
  </si>
  <si>
    <t>ChefLine</t>
  </si>
  <si>
    <t>SKU-1024</t>
  </si>
  <si>
    <t>Cutting Board</t>
  </si>
  <si>
    <t>SKU-1025</t>
  </si>
  <si>
    <t>Knife Set</t>
  </si>
  <si>
    <t>SKU-1026</t>
  </si>
  <si>
    <t>Dish Rack</t>
  </si>
  <si>
    <t>SKU-1027</t>
  </si>
  <si>
    <t>Storage Bins</t>
  </si>
  <si>
    <t>SKU-1028</t>
  </si>
  <si>
    <t>Throw Pillow</t>
  </si>
  <si>
    <t>SKU-1029</t>
  </si>
  <si>
    <t>Scented Candle</t>
  </si>
  <si>
    <t>SKU-1030</t>
  </si>
  <si>
    <t>Vitamin C Serum</t>
  </si>
  <si>
    <t>Beauty &amp; Personal Care</t>
  </si>
  <si>
    <t>NatureSoft</t>
  </si>
  <si>
    <t>SKU-1031</t>
  </si>
  <si>
    <t>SPF Moisturizer</t>
  </si>
  <si>
    <t>GlowLab</t>
  </si>
  <si>
    <t>SKU-1032</t>
  </si>
  <si>
    <t>Shampoo Bar</t>
  </si>
  <si>
    <t>PureSkin</t>
  </si>
  <si>
    <t>SKU-1033</t>
  </si>
  <si>
    <t>Electric Toothbrush</t>
  </si>
  <si>
    <t>LuxeGlow</t>
  </si>
  <si>
    <t>SKU-1034</t>
  </si>
  <si>
    <t>Face Mask Kit</t>
  </si>
  <si>
    <t>SKU-1035</t>
  </si>
  <si>
    <t>Lip Balm Set</t>
  </si>
  <si>
    <t>SKU-1036</t>
  </si>
  <si>
    <t>Body Lotion</t>
  </si>
  <si>
    <t>SKU-1037</t>
  </si>
  <si>
    <t>Perfume Roller</t>
  </si>
  <si>
    <t>SKU-1038</t>
  </si>
  <si>
    <t>Hair Ties Pack</t>
  </si>
  <si>
    <t>SKU-1039</t>
  </si>
  <si>
    <t>Nail Polish Set</t>
  </si>
  <si>
    <t>SKU-1040</t>
  </si>
  <si>
    <t>Resistance Bands</t>
  </si>
  <si>
    <t>Sports &amp; Outdoors</t>
  </si>
  <si>
    <t>SwiftSport</t>
  </si>
  <si>
    <t>SKU-1041</t>
  </si>
  <si>
    <t>Yoga Mat</t>
  </si>
  <si>
    <t>TrailBlaze</t>
  </si>
  <si>
    <t>SKU-1042</t>
  </si>
  <si>
    <t>Water Bottle</t>
  </si>
  <si>
    <t>SKU-1043</t>
  </si>
  <si>
    <t>Jump Rope</t>
  </si>
  <si>
    <t>ActiveGear</t>
  </si>
  <si>
    <t>SKU-1044</t>
  </si>
  <si>
    <t>Foam Roller</t>
  </si>
  <si>
    <t>SKU-1045</t>
  </si>
  <si>
    <t>Dumbbell Set</t>
  </si>
  <si>
    <t>SKU-1046</t>
  </si>
  <si>
    <t>Cycling Gloves</t>
  </si>
  <si>
    <t>SKU-1047</t>
  </si>
  <si>
    <t>Hiking Socks</t>
  </si>
  <si>
    <t>SKU-1048</t>
  </si>
  <si>
    <t>Gym Bag</t>
  </si>
  <si>
    <t>SKU-1049</t>
  </si>
  <si>
    <t>Protein Shaker</t>
  </si>
  <si>
    <t>Transaction ID</t>
  </si>
  <si>
    <t>Date</t>
  </si>
  <si>
    <t>Month</t>
  </si>
  <si>
    <t>Quarter</t>
  </si>
  <si>
    <t>Customer ID</t>
  </si>
  <si>
    <t>Channel</t>
  </si>
  <si>
    <t>Region</t>
  </si>
  <si>
    <t>Quantity</t>
  </si>
  <si>
    <t>Unit Price ($)</t>
  </si>
  <si>
    <t>Discount (%)</t>
  </si>
  <si>
    <t>Discount Amount ($)</t>
  </si>
  <si>
    <t>COGS ($)</t>
  </si>
  <si>
    <t>Gross Profit ($)</t>
  </si>
  <si>
    <t>Payment Method</t>
  </si>
  <si>
    <t>Order Status</t>
  </si>
  <si>
    <t>TXN-100001</t>
  </si>
  <si>
    <t>June</t>
  </si>
  <si>
    <t>Q2</t>
  </si>
  <si>
    <t>CUST-1920</t>
  </si>
  <si>
    <t>Mobile App</t>
  </si>
  <si>
    <t>Southeast</t>
  </si>
  <si>
    <t>Credit Card</t>
  </si>
  <si>
    <t>Completed</t>
  </si>
  <si>
    <t>TXN-100002</t>
  </si>
  <si>
    <t>February</t>
  </si>
  <si>
    <t>Q1</t>
  </si>
  <si>
    <t>CUST-2865</t>
  </si>
  <si>
    <t>Social Commerce</t>
  </si>
  <si>
    <t>Canada</t>
  </si>
  <si>
    <t>Buy Now Pay Later</t>
  </si>
  <si>
    <t>TXN-100003</t>
  </si>
  <si>
    <t>July</t>
  </si>
  <si>
    <t>Q3</t>
  </si>
  <si>
    <t>CUST-1999</t>
  </si>
  <si>
    <t>TXN-100004</t>
  </si>
  <si>
    <t>April</t>
  </si>
  <si>
    <t>CUST-4293</t>
  </si>
  <si>
    <t>Northeast</t>
  </si>
  <si>
    <t>TXN-100005</t>
  </si>
  <si>
    <t>August</t>
  </si>
  <si>
    <t>CUST-3734</t>
  </si>
  <si>
    <t>Marketplace</t>
  </si>
  <si>
    <t>UK</t>
  </si>
  <si>
    <t>Apple Pay</t>
  </si>
  <si>
    <t>Cancelled</t>
  </si>
  <si>
    <t>TXN-100006</t>
  </si>
  <si>
    <t>October</t>
  </si>
  <si>
    <t>Q4</t>
  </si>
  <si>
    <t>CUST-2826</t>
  </si>
  <si>
    <t>Returned</t>
  </si>
  <si>
    <t>TXN-100007</t>
  </si>
  <si>
    <t>November</t>
  </si>
  <si>
    <t>CUST-2135</t>
  </si>
  <si>
    <t>Debit Card</t>
  </si>
  <si>
    <t>TXN-100008</t>
  </si>
  <si>
    <t>May</t>
  </si>
  <si>
    <t>CUST-1960</t>
  </si>
  <si>
    <t>Midwest</t>
  </si>
  <si>
    <t>PayPal</t>
  </si>
  <si>
    <t>TXN-100009</t>
  </si>
  <si>
    <t>CUST-2568</t>
  </si>
  <si>
    <t>TXN-100010</t>
  </si>
  <si>
    <t>CUST-2908</t>
  </si>
  <si>
    <t>TXN-100011</t>
  </si>
  <si>
    <t>CUST-2558</t>
  </si>
  <si>
    <t>TXN-100012</t>
  </si>
  <si>
    <t>CUST-3204</t>
  </si>
  <si>
    <t>Southwest</t>
  </si>
  <si>
    <t>TXN-100013</t>
  </si>
  <si>
    <t>CUST-2376</t>
  </si>
  <si>
    <t>TXN-100014</t>
  </si>
  <si>
    <t>CUST-3311</t>
  </si>
  <si>
    <t>Website</t>
  </si>
  <si>
    <t>TXN-100015</t>
  </si>
  <si>
    <t>CUST-2552</t>
  </si>
  <si>
    <t>TXN-100016</t>
  </si>
  <si>
    <t>CUST-2033</t>
  </si>
  <si>
    <t>TXN-100017</t>
  </si>
  <si>
    <t>CUST-1281</t>
  </si>
  <si>
    <t>TXN-100018</t>
  </si>
  <si>
    <t>March</t>
  </si>
  <si>
    <t>CUST-1977</t>
  </si>
  <si>
    <t>TXN-100019</t>
  </si>
  <si>
    <t>CUST-4141</t>
  </si>
  <si>
    <t>TXN-100020</t>
  </si>
  <si>
    <t>CUST-4951</t>
  </si>
  <si>
    <t>TXN-100021</t>
  </si>
  <si>
    <t>CUST-1311</t>
  </si>
  <si>
    <t>TXN-100022</t>
  </si>
  <si>
    <t>September</t>
  </si>
  <si>
    <t>CUST-2754</t>
  </si>
  <si>
    <t>TXN-100023</t>
  </si>
  <si>
    <t>CUST-1432</t>
  </si>
  <si>
    <t>TXN-100024</t>
  </si>
  <si>
    <t>CUST-4954</t>
  </si>
  <si>
    <t>West</t>
  </si>
  <si>
    <t>TXN-100025</t>
  </si>
  <si>
    <t>CUST-2099</t>
  </si>
  <si>
    <t>TXN-100026</t>
  </si>
  <si>
    <t>CUST-3334</t>
  </si>
  <si>
    <t>TXN-100027</t>
  </si>
  <si>
    <t>CUST-2453</t>
  </si>
  <si>
    <t>TXN-100028</t>
  </si>
  <si>
    <t>January</t>
  </si>
  <si>
    <t>CUST-3116</t>
  </si>
  <si>
    <t>TXN-100029</t>
  </si>
  <si>
    <t>CUST-3645</t>
  </si>
  <si>
    <t>TXN-100030</t>
  </si>
  <si>
    <t>December</t>
  </si>
  <si>
    <t>CUST-1996</t>
  </si>
  <si>
    <t>TXN-100031</t>
  </si>
  <si>
    <t>CUST-2354</t>
  </si>
  <si>
    <t>TXN-100032</t>
  </si>
  <si>
    <t>CUST-3954</t>
  </si>
  <si>
    <t>TXN-100033</t>
  </si>
  <si>
    <t>CUST-4025</t>
  </si>
  <si>
    <t>TXN-100034</t>
  </si>
  <si>
    <t>CUST-2213</t>
  </si>
  <si>
    <t>TXN-100035</t>
  </si>
  <si>
    <t>CUST-4990</t>
  </si>
  <si>
    <t>TXN-100036</t>
  </si>
  <si>
    <t>CUST-3351</t>
  </si>
  <si>
    <t>TXN-100037</t>
  </si>
  <si>
    <t>CUST-4854</t>
  </si>
  <si>
    <t>TXN-100038</t>
  </si>
  <si>
    <t>CUST-3811</t>
  </si>
  <si>
    <t>TXN-100039</t>
  </si>
  <si>
    <t>CUST-3285</t>
  </si>
  <si>
    <t>TXN-100040</t>
  </si>
  <si>
    <t>CUST-2217</t>
  </si>
  <si>
    <t>TXN-100041</t>
  </si>
  <si>
    <t>CUST-3562</t>
  </si>
  <si>
    <t>TXN-100042</t>
  </si>
  <si>
    <t>CUST-1641</t>
  </si>
  <si>
    <t>TXN-100043</t>
  </si>
  <si>
    <t>CUST-2180</t>
  </si>
  <si>
    <t>TXN-100044</t>
  </si>
  <si>
    <t>CUST-3415</t>
  </si>
  <si>
    <t>TXN-100045</t>
  </si>
  <si>
    <t>CUST-1292</t>
  </si>
  <si>
    <t>TXN-100046</t>
  </si>
  <si>
    <t>CUST-2919</t>
  </si>
  <si>
    <t>TXN-100047</t>
  </si>
  <si>
    <t>CUST-3449</t>
  </si>
  <si>
    <t>TXN-100048</t>
  </si>
  <si>
    <t>CUST-4939</t>
  </si>
  <si>
    <t>TXN-100049</t>
  </si>
  <si>
    <t>CUST-3668</t>
  </si>
  <si>
    <t>TXN-100050</t>
  </si>
  <si>
    <t>CUST-2425</t>
  </si>
  <si>
    <t>TXN-100051</t>
  </si>
  <si>
    <t>CUST-3029</t>
  </si>
  <si>
    <t>TXN-100052</t>
  </si>
  <si>
    <t>TXN-100053</t>
  </si>
  <si>
    <t>CUST-1768</t>
  </si>
  <si>
    <t>TXN-100054</t>
  </si>
  <si>
    <t>CUST-3249</t>
  </si>
  <si>
    <t>TXN-100055</t>
  </si>
  <si>
    <t>CUST-4273</t>
  </si>
  <si>
    <t>TXN-100056</t>
  </si>
  <si>
    <t>CUST-1381</t>
  </si>
  <si>
    <t>TXN-100057</t>
  </si>
  <si>
    <t>CUST-3084</t>
  </si>
  <si>
    <t>TXN-100058</t>
  </si>
  <si>
    <t>CUST-2571</t>
  </si>
  <si>
    <t>TXN-100059</t>
  </si>
  <si>
    <t>CUST-2392</t>
  </si>
  <si>
    <t>TXN-100060</t>
  </si>
  <si>
    <t>CUST-3375</t>
  </si>
  <si>
    <t>TXN-100061</t>
  </si>
  <si>
    <t>CUST-3260</t>
  </si>
  <si>
    <t>TXN-100062</t>
  </si>
  <si>
    <t>CUST-1956</t>
  </si>
  <si>
    <t>TXN-100063</t>
  </si>
  <si>
    <t>CUST-4245</t>
  </si>
  <si>
    <t>TXN-100064</t>
  </si>
  <si>
    <t>CUST-4580</t>
  </si>
  <si>
    <t>TXN-100065</t>
  </si>
  <si>
    <t>CUST-4972</t>
  </si>
  <si>
    <t>TXN-100066</t>
  </si>
  <si>
    <t>CUST-4488</t>
  </si>
  <si>
    <t>TXN-100067</t>
  </si>
  <si>
    <t>CUST-1147</t>
  </si>
  <si>
    <t>TXN-100068</t>
  </si>
  <si>
    <t>CUST-4114</t>
  </si>
  <si>
    <t>TXN-100069</t>
  </si>
  <si>
    <t>CUST-2201</t>
  </si>
  <si>
    <t>TXN-100070</t>
  </si>
  <si>
    <t>CUST-4246</t>
  </si>
  <si>
    <t>TXN-100071</t>
  </si>
  <si>
    <t>CUST-1986</t>
  </si>
  <si>
    <t>TXN-100072</t>
  </si>
  <si>
    <t>CUST-3731</t>
  </si>
  <si>
    <t>TXN-100073</t>
  </si>
  <si>
    <t>CUST-4871</t>
  </si>
  <si>
    <t>TXN-100074</t>
  </si>
  <si>
    <t>CUST-1815</t>
  </si>
  <si>
    <t>TXN-100075</t>
  </si>
  <si>
    <t>CUST-3354</t>
  </si>
  <si>
    <t>TXN-100076</t>
  </si>
  <si>
    <t>CUST-3318</t>
  </si>
  <si>
    <t>TXN-100077</t>
  </si>
  <si>
    <t>CUST-1897</t>
  </si>
  <si>
    <t>TXN-100078</t>
  </si>
  <si>
    <t>CUST-1161</t>
  </si>
  <si>
    <t>TXN-100079</t>
  </si>
  <si>
    <t>CUST-1369</t>
  </si>
  <si>
    <t>TXN-100080</t>
  </si>
  <si>
    <t>CUST-4589</t>
  </si>
  <si>
    <t>TXN-100081</t>
  </si>
  <si>
    <t>CUST-4962</t>
  </si>
  <si>
    <t>TXN-100082</t>
  </si>
  <si>
    <t>CUST-4523</t>
  </si>
  <si>
    <t>TXN-100083</t>
  </si>
  <si>
    <t>CUST-3197</t>
  </si>
  <si>
    <t>TXN-100084</t>
  </si>
  <si>
    <t>CUST-4851</t>
  </si>
  <si>
    <t>TXN-100085</t>
  </si>
  <si>
    <t>CUST-3652</t>
  </si>
  <si>
    <t>TXN-100086</t>
  </si>
  <si>
    <t>CUST-1185</t>
  </si>
  <si>
    <t>TXN-100087</t>
  </si>
  <si>
    <t>CUST-2591</t>
  </si>
  <si>
    <t>TXN-100088</t>
  </si>
  <si>
    <t>CUST-1405</t>
  </si>
  <si>
    <t>TXN-100089</t>
  </si>
  <si>
    <t>CUST-2821</t>
  </si>
  <si>
    <t>TXN-100090</t>
  </si>
  <si>
    <t>CUST-2469</t>
  </si>
  <si>
    <t>TXN-100091</t>
  </si>
  <si>
    <t>CUST-1868</t>
  </si>
  <si>
    <t>TXN-100092</t>
  </si>
  <si>
    <t>CUST-1848</t>
  </si>
  <si>
    <t>TXN-100093</t>
  </si>
  <si>
    <t>CUST-1011</t>
  </si>
  <si>
    <t>TXN-100094</t>
  </si>
  <si>
    <t>CUST-1450</t>
  </si>
  <si>
    <t>TXN-100095</t>
  </si>
  <si>
    <t>CUST-2086</t>
  </si>
  <si>
    <t>TXN-100096</t>
  </si>
  <si>
    <t>CUST-4186</t>
  </si>
  <si>
    <t>TXN-100097</t>
  </si>
  <si>
    <t>CUST-3978</t>
  </si>
  <si>
    <t>TXN-100098</t>
  </si>
  <si>
    <t>CUST-1442</t>
  </si>
  <si>
    <t>TXN-100099</t>
  </si>
  <si>
    <t>CUST-1269</t>
  </si>
  <si>
    <t>TXN-100100</t>
  </si>
  <si>
    <t>CUST-3173</t>
  </si>
  <si>
    <t>TXN-100101</t>
  </si>
  <si>
    <t>CUST-1468</t>
  </si>
  <si>
    <t>TXN-100102</t>
  </si>
  <si>
    <t>CUST-2633</t>
  </si>
  <si>
    <t>TXN-100103</t>
  </si>
  <si>
    <t>CUST-2533</t>
  </si>
  <si>
    <t>TXN-100104</t>
  </si>
  <si>
    <t>CUST-1395</t>
  </si>
  <si>
    <t>TXN-100105</t>
  </si>
  <si>
    <t>CUST-2682</t>
  </si>
  <si>
    <t>TXN-100106</t>
  </si>
  <si>
    <t>CUST-3367</t>
  </si>
  <si>
    <t>TXN-100107</t>
  </si>
  <si>
    <t>CUST-2505</t>
  </si>
  <si>
    <t>TXN-100108</t>
  </si>
  <si>
    <t>CUST-4991</t>
  </si>
  <si>
    <t>TXN-100109</t>
  </si>
  <si>
    <t>CUST-4774</t>
  </si>
  <si>
    <t>TXN-100110</t>
  </si>
  <si>
    <t>CUST-4035</t>
  </si>
  <si>
    <t>TXN-100111</t>
  </si>
  <si>
    <t>CUST-1644</t>
  </si>
  <si>
    <t>TXN-100112</t>
  </si>
  <si>
    <t>TXN-100113</t>
  </si>
  <si>
    <t>CUST-2810</t>
  </si>
  <si>
    <t>TXN-100114</t>
  </si>
  <si>
    <t>CUST-2160</t>
  </si>
  <si>
    <t>TXN-100115</t>
  </si>
  <si>
    <t>CUST-1031</t>
  </si>
  <si>
    <t>TXN-100116</t>
  </si>
  <si>
    <t>CUST-1491</t>
  </si>
  <si>
    <t>TXN-100117</t>
  </si>
  <si>
    <t>CUST-1942</t>
  </si>
  <si>
    <t>TXN-100118</t>
  </si>
  <si>
    <t>CUST-4531</t>
  </si>
  <si>
    <t>TXN-100119</t>
  </si>
  <si>
    <t>CUST-2659</t>
  </si>
  <si>
    <t>TXN-100120</t>
  </si>
  <si>
    <t>CUST-4459</t>
  </si>
  <si>
    <t>TXN-100121</t>
  </si>
  <si>
    <t>CUST-4054</t>
  </si>
  <si>
    <t>TXN-100122</t>
  </si>
  <si>
    <t>CUST-1794</t>
  </si>
  <si>
    <t>TXN-100123</t>
  </si>
  <si>
    <t>CUST-1710</t>
  </si>
  <si>
    <t>TXN-100124</t>
  </si>
  <si>
    <t>CUST-4112</t>
  </si>
  <si>
    <t>TXN-100125</t>
  </si>
  <si>
    <t>CUST-1279</t>
  </si>
  <si>
    <t>TXN-100126</t>
  </si>
  <si>
    <t>CUST-1303</t>
  </si>
  <si>
    <t>TXN-100127</t>
  </si>
  <si>
    <t>CUST-1314</t>
  </si>
  <si>
    <t>TXN-100128</t>
  </si>
  <si>
    <t>CUST-4908</t>
  </si>
  <si>
    <t>TXN-100129</t>
  </si>
  <si>
    <t>CUST-4922</t>
  </si>
  <si>
    <t>TXN-100130</t>
  </si>
  <si>
    <t>CUST-1706</t>
  </si>
  <si>
    <t>TXN-100131</t>
  </si>
  <si>
    <t>CUST-4759</t>
  </si>
  <si>
    <t>TXN-100132</t>
  </si>
  <si>
    <t>CUST-3651</t>
  </si>
  <si>
    <t>TXN-100133</t>
  </si>
  <si>
    <t>CUST-3964</t>
  </si>
  <si>
    <t>TXN-100134</t>
  </si>
  <si>
    <t>CUST-4963</t>
  </si>
  <si>
    <t>TXN-100135</t>
  </si>
  <si>
    <t>CUST-4330</t>
  </si>
  <si>
    <t>TXN-100136</t>
  </si>
  <si>
    <t>CUST-1074</t>
  </si>
  <si>
    <t>TXN-100137</t>
  </si>
  <si>
    <t>CUST-1563</t>
  </si>
  <si>
    <t>TXN-100138</t>
  </si>
  <si>
    <t>TXN-100139</t>
  </si>
  <si>
    <t>CUST-4158</t>
  </si>
  <si>
    <t>TXN-100140</t>
  </si>
  <si>
    <t>CUST-4971</t>
  </si>
  <si>
    <t>TXN-100141</t>
  </si>
  <si>
    <t>CUST-4702</t>
  </si>
  <si>
    <t>TXN-100142</t>
  </si>
  <si>
    <t>CUST-3059</t>
  </si>
  <si>
    <t>TXN-100143</t>
  </si>
  <si>
    <t>CUST-2968</t>
  </si>
  <si>
    <t>TXN-100144</t>
  </si>
  <si>
    <t>CUST-2117</t>
  </si>
  <si>
    <t>TXN-100145</t>
  </si>
  <si>
    <t>CUST-4623</t>
  </si>
  <si>
    <t>TXN-100146</t>
  </si>
  <si>
    <t>CUST-1334</t>
  </si>
  <si>
    <t>TXN-100147</t>
  </si>
  <si>
    <t>TXN-100148</t>
  </si>
  <si>
    <t>CUST-1021</t>
  </si>
  <si>
    <t>TXN-100149</t>
  </si>
  <si>
    <t>CUST-1973</t>
  </si>
  <si>
    <t>TXN-100150</t>
  </si>
  <si>
    <t>CUST-4427</t>
  </si>
  <si>
    <t>TXN-100151</t>
  </si>
  <si>
    <t>CUST-2193</t>
  </si>
  <si>
    <t>TXN-100152</t>
  </si>
  <si>
    <t>CUST-3737</t>
  </si>
  <si>
    <t>TXN-100153</t>
  </si>
  <si>
    <t>CUST-1178</t>
  </si>
  <si>
    <t>TXN-100154</t>
  </si>
  <si>
    <t>CUST-4002</t>
  </si>
  <si>
    <t>TXN-100155</t>
  </si>
  <si>
    <t>CUST-2386</t>
  </si>
  <si>
    <t>TXN-100156</t>
  </si>
  <si>
    <t>CUST-1258</t>
  </si>
  <si>
    <t>TXN-100157</t>
  </si>
  <si>
    <t>CUST-4823</t>
  </si>
  <si>
    <t>TXN-100158</t>
  </si>
  <si>
    <t>CUST-1782</t>
  </si>
  <si>
    <t>TXN-100159</t>
  </si>
  <si>
    <t>CUST-2789</t>
  </si>
  <si>
    <t>TXN-100160</t>
  </si>
  <si>
    <t>CUST-3037</t>
  </si>
  <si>
    <t>TXN-100161</t>
  </si>
  <si>
    <t>CUST-3467</t>
  </si>
  <si>
    <t>TXN-100162</t>
  </si>
  <si>
    <t>CUST-2210</t>
  </si>
  <si>
    <t>TXN-100163</t>
  </si>
  <si>
    <t>CUST-1173</t>
  </si>
  <si>
    <t>TXN-100164</t>
  </si>
  <si>
    <t>CUST-3611</t>
  </si>
  <si>
    <t>TXN-100165</t>
  </si>
  <si>
    <t>CUST-3777</t>
  </si>
  <si>
    <t>TXN-100166</t>
  </si>
  <si>
    <t>CUST-4889</t>
  </si>
  <si>
    <t>TXN-100167</t>
  </si>
  <si>
    <t>CUST-3350</t>
  </si>
  <si>
    <t>TXN-100168</t>
  </si>
  <si>
    <t>CUST-1106</t>
  </si>
  <si>
    <t>TXN-100169</t>
  </si>
  <si>
    <t>CUST-3883</t>
  </si>
  <si>
    <t>TXN-100170</t>
  </si>
  <si>
    <t>CUST-1555</t>
  </si>
  <si>
    <t>TXN-100171</t>
  </si>
  <si>
    <t>CUST-3906</t>
  </si>
  <si>
    <t>TXN-100172</t>
  </si>
  <si>
    <t>CUST-4798</t>
  </si>
  <si>
    <t>TXN-100173</t>
  </si>
  <si>
    <t>CUST-1969</t>
  </si>
  <si>
    <t>TXN-100174</t>
  </si>
  <si>
    <t>CUST-1531</t>
  </si>
  <si>
    <t>TXN-100175</t>
  </si>
  <si>
    <t>CUST-4150</t>
  </si>
  <si>
    <t>TXN-100176</t>
  </si>
  <si>
    <t>CUST-2843</t>
  </si>
  <si>
    <t>TXN-100177</t>
  </si>
  <si>
    <t>CUST-2772</t>
  </si>
  <si>
    <t>TXN-100178</t>
  </si>
  <si>
    <t>CUST-2321</t>
  </si>
  <si>
    <t>TXN-100179</t>
  </si>
  <si>
    <t>CUST-4917</t>
  </si>
  <si>
    <t>TXN-100180</t>
  </si>
  <si>
    <t>CUST-1690</t>
  </si>
  <si>
    <t>TXN-100181</t>
  </si>
  <si>
    <t>CUST-1332</t>
  </si>
  <si>
    <t>TXN-100182</t>
  </si>
  <si>
    <t>CUST-2706</t>
  </si>
  <si>
    <t>TXN-100183</t>
  </si>
  <si>
    <t>CUST-4296</t>
  </si>
  <si>
    <t>TXN-100184</t>
  </si>
  <si>
    <t>CUST-2702</t>
  </si>
  <si>
    <t>TXN-100185</t>
  </si>
  <si>
    <t>CUST-4007</t>
  </si>
  <si>
    <t>TXN-100186</t>
  </si>
  <si>
    <t>CUST-2910</t>
  </si>
  <si>
    <t>TXN-100187</t>
  </si>
  <si>
    <t>CUST-4872</t>
  </si>
  <si>
    <t>TXN-100188</t>
  </si>
  <si>
    <t>CUST-4824</t>
  </si>
  <si>
    <t>TXN-100189</t>
  </si>
  <si>
    <t>TXN-100190</t>
  </si>
  <si>
    <t>CUST-2445</t>
  </si>
  <si>
    <t>TXN-100191</t>
  </si>
  <si>
    <t>CUST-1033</t>
  </si>
  <si>
    <t>TXN-100192</t>
  </si>
  <si>
    <t>CUST-2498</t>
  </si>
  <si>
    <t>TXN-100193</t>
  </si>
  <si>
    <t>CUST-2182</t>
  </si>
  <si>
    <t>TXN-100194</t>
  </si>
  <si>
    <t>CUST-3786</t>
  </si>
  <si>
    <t>TXN-100195</t>
  </si>
  <si>
    <t>CUST-4092</t>
  </si>
  <si>
    <t>TXN-100196</t>
  </si>
  <si>
    <t>CUST-1561</t>
  </si>
  <si>
    <t>TXN-100197</t>
  </si>
  <si>
    <t>CUST-1572</t>
  </si>
  <si>
    <t>TXN-100198</t>
  </si>
  <si>
    <t>CUST-3077</t>
  </si>
  <si>
    <t>TXN-100199</t>
  </si>
  <si>
    <t>CUST-3759</t>
  </si>
  <si>
    <t>TXN-100200</t>
  </si>
  <si>
    <t>CUST-2087</t>
  </si>
  <si>
    <t>TXN-100201</t>
  </si>
  <si>
    <t>CUST-3953</t>
  </si>
  <si>
    <t>TXN-100202</t>
  </si>
  <si>
    <t>CUST-2806</t>
  </si>
  <si>
    <t>TXN-100203</t>
  </si>
  <si>
    <t>CUST-4174</t>
  </si>
  <si>
    <t>TXN-100204</t>
  </si>
  <si>
    <t>CUST-3712</t>
  </si>
  <si>
    <t>TXN-100205</t>
  </si>
  <si>
    <t>CUST-3237</t>
  </si>
  <si>
    <t>TXN-100206</t>
  </si>
  <si>
    <t>TXN-100207</t>
  </si>
  <si>
    <t>CUST-3002</t>
  </si>
  <si>
    <t>TXN-100208</t>
  </si>
  <si>
    <t>CUST-3348</t>
  </si>
  <si>
    <t>TXN-100209</t>
  </si>
  <si>
    <t>CUST-2418</t>
  </si>
  <si>
    <t>TXN-100210</t>
  </si>
  <si>
    <t>CUST-2110</t>
  </si>
  <si>
    <t>TXN-100211</t>
  </si>
  <si>
    <t>CUST-3743</t>
  </si>
  <si>
    <t>TXN-100212</t>
  </si>
  <si>
    <t>CUST-1411</t>
  </si>
  <si>
    <t>TXN-100213</t>
  </si>
  <si>
    <t>CUST-1816</t>
  </si>
  <si>
    <t>TXN-100214</t>
  </si>
  <si>
    <t>CUST-1951</t>
  </si>
  <si>
    <t>TXN-100215</t>
  </si>
  <si>
    <t>CUST-1763</t>
  </si>
  <si>
    <t>TXN-100216</t>
  </si>
  <si>
    <t>CUST-2861</t>
  </si>
  <si>
    <t>TXN-100217</t>
  </si>
  <si>
    <t>TXN-100218</t>
  </si>
  <si>
    <t>CUST-4238</t>
  </si>
  <si>
    <t>TXN-100219</t>
  </si>
  <si>
    <t>CUST-3110</t>
  </si>
  <si>
    <t>TXN-100220</t>
  </si>
  <si>
    <t>CUST-4833</t>
  </si>
  <si>
    <t>TXN-100221</t>
  </si>
  <si>
    <t>CUST-4907</t>
  </si>
  <si>
    <t>TXN-100222</t>
  </si>
  <si>
    <t>CUST-3837</t>
  </si>
  <si>
    <t>TXN-100223</t>
  </si>
  <si>
    <t>CUST-3058</t>
  </si>
  <si>
    <t>TXN-100224</t>
  </si>
  <si>
    <t>CUST-2958</t>
  </si>
  <si>
    <t>TXN-100225</t>
  </si>
  <si>
    <t>CUST-4284</t>
  </si>
  <si>
    <t>TXN-100226</t>
  </si>
  <si>
    <t>CUST-2481</t>
  </si>
  <si>
    <t>TXN-100227</t>
  </si>
  <si>
    <t>CUST-1613</t>
  </si>
  <si>
    <t>TXN-100228</t>
  </si>
  <si>
    <t>TXN-100229</t>
  </si>
  <si>
    <t>CUST-2871</t>
  </si>
  <si>
    <t>TXN-100230</t>
  </si>
  <si>
    <t>CUST-4344</t>
  </si>
  <si>
    <t>TXN-100231</t>
  </si>
  <si>
    <t>CUST-3868</t>
  </si>
  <si>
    <t>TXN-100232</t>
  </si>
  <si>
    <t>CUST-1737</t>
  </si>
  <si>
    <t>TXN-100233</t>
  </si>
  <si>
    <t>CUST-2538</t>
  </si>
  <si>
    <t>TXN-100234</t>
  </si>
  <si>
    <t>CUST-3200</t>
  </si>
  <si>
    <t>TXN-100235</t>
  </si>
  <si>
    <t>CUST-3758</t>
  </si>
  <si>
    <t>TXN-100236</t>
  </si>
  <si>
    <t>CUST-2129</t>
  </si>
  <si>
    <t>TXN-100237</t>
  </si>
  <si>
    <t>CUST-1985</t>
  </si>
  <si>
    <t>TXN-100238</t>
  </si>
  <si>
    <t>CUST-3880</t>
  </si>
  <si>
    <t>TXN-100239</t>
  </si>
  <si>
    <t>CUST-4089</t>
  </si>
  <si>
    <t>TXN-100240</t>
  </si>
  <si>
    <t>CUST-4164</t>
  </si>
  <si>
    <t>TXN-100241</t>
  </si>
  <si>
    <t>CUST-2127</t>
  </si>
  <si>
    <t>TXN-100242</t>
  </si>
  <si>
    <t>CUST-1192</t>
  </si>
  <si>
    <t>TXN-100243</t>
  </si>
  <si>
    <t>CUST-2228</t>
  </si>
  <si>
    <t>TXN-100244</t>
  </si>
  <si>
    <t>CUST-1591</t>
  </si>
  <si>
    <t>TXN-100245</t>
  </si>
  <si>
    <t>CUST-2044</t>
  </si>
  <si>
    <t>TXN-100246</t>
  </si>
  <si>
    <t>CUST-1211</t>
  </si>
  <si>
    <t>TXN-100247</t>
  </si>
  <si>
    <t>CUST-3966</t>
  </si>
  <si>
    <t>TXN-100248</t>
  </si>
  <si>
    <t>CUST-4940</t>
  </si>
  <si>
    <t>TXN-100249</t>
  </si>
  <si>
    <t>CUST-3261</t>
  </si>
  <si>
    <t>TXN-100250</t>
  </si>
  <si>
    <t>CUST-2473</t>
  </si>
  <si>
    <t>TXN-100251</t>
  </si>
  <si>
    <t>CUST-2281</t>
  </si>
  <si>
    <t>TXN-100252</t>
  </si>
  <si>
    <t>CUST-3266</t>
  </si>
  <si>
    <t>TXN-100253</t>
  </si>
  <si>
    <t>CUST-4413</t>
  </si>
  <si>
    <t>TXN-100254</t>
  </si>
  <si>
    <t>CUST-4029</t>
  </si>
  <si>
    <t>TXN-100255</t>
  </si>
  <si>
    <t>CUST-3000</t>
  </si>
  <si>
    <t>TXN-100256</t>
  </si>
  <si>
    <t>CUST-1198</t>
  </si>
  <si>
    <t>TXN-100257</t>
  </si>
  <si>
    <t>CUST-3071</t>
  </si>
  <si>
    <t>TXN-100258</t>
  </si>
  <si>
    <t>CUST-1064</t>
  </si>
  <si>
    <t>TXN-100259</t>
  </si>
  <si>
    <t>CUST-3194</t>
  </si>
  <si>
    <t>TXN-100260</t>
  </si>
  <si>
    <t>CUST-1609</t>
  </si>
  <si>
    <t>TXN-100261</t>
  </si>
  <si>
    <t>CUST-1323</t>
  </si>
  <si>
    <t>TXN-100262</t>
  </si>
  <si>
    <t>CUST-4391</t>
  </si>
  <si>
    <t>TXN-100263</t>
  </si>
  <si>
    <t>CUST-2949</t>
  </si>
  <si>
    <t>TXN-100264</t>
  </si>
  <si>
    <t>CUST-3641</t>
  </si>
  <si>
    <t>TXN-100265</t>
  </si>
  <si>
    <t>CUST-4635</t>
  </si>
  <si>
    <t>TXN-100266</t>
  </si>
  <si>
    <t>CUST-3695</t>
  </si>
  <si>
    <t>TXN-100267</t>
  </si>
  <si>
    <t>CUST-4362</t>
  </si>
  <si>
    <t>TXN-100268</t>
  </si>
  <si>
    <t>CUST-3773</t>
  </si>
  <si>
    <t>TXN-100269</t>
  </si>
  <si>
    <t>CUST-2790</t>
  </si>
  <si>
    <t>TXN-100270</t>
  </si>
  <si>
    <t>CUST-1121</t>
  </si>
  <si>
    <t>TXN-100271</t>
  </si>
  <si>
    <t>CUST-2768</t>
  </si>
  <si>
    <t>TXN-100272</t>
  </si>
  <si>
    <t>CUST-3920</t>
  </si>
  <si>
    <t>TXN-100273</t>
  </si>
  <si>
    <t>CUST-2297</t>
  </si>
  <si>
    <t>TXN-100274</t>
  </si>
  <si>
    <t>CUST-1418</t>
  </si>
  <si>
    <t>TXN-100275</t>
  </si>
  <si>
    <t>CUST-1367</t>
  </si>
  <si>
    <t>TXN-100276</t>
  </si>
  <si>
    <t>CUST-1050</t>
  </si>
  <si>
    <t>TXN-100277</t>
  </si>
  <si>
    <t>CUST-1694</t>
  </si>
  <si>
    <t>TXN-100278</t>
  </si>
  <si>
    <t>CUST-1259</t>
  </si>
  <si>
    <t>TXN-100279</t>
  </si>
  <si>
    <t>CUST-2479</t>
  </si>
  <si>
    <t>TXN-100280</t>
  </si>
  <si>
    <t>CUST-1554</t>
  </si>
  <si>
    <t>TXN-100281</t>
  </si>
  <si>
    <t>CUST-2803</t>
  </si>
  <si>
    <t>TXN-100282</t>
  </si>
  <si>
    <t>CUST-1822</t>
  </si>
  <si>
    <t>TXN-100283</t>
  </si>
  <si>
    <t>CUST-3592</t>
  </si>
  <si>
    <t>TXN-100284</t>
  </si>
  <si>
    <t>CUST-2495</t>
  </si>
  <si>
    <t>TXN-100285</t>
  </si>
  <si>
    <t>CUST-1110</t>
  </si>
  <si>
    <t>TXN-100286</t>
  </si>
  <si>
    <t>CUST-3756</t>
  </si>
  <si>
    <t>TXN-100287</t>
  </si>
  <si>
    <t>CUST-4232</t>
  </si>
  <si>
    <t>TXN-100288</t>
  </si>
  <si>
    <t>CUST-4782</t>
  </si>
  <si>
    <t>TXN-100289</t>
  </si>
  <si>
    <t>CUST-3693</t>
  </si>
  <si>
    <t>TXN-100290</t>
  </si>
  <si>
    <t>CUST-4955</t>
  </si>
  <si>
    <t>TXN-100291</t>
  </si>
  <si>
    <t>TXN-100292</t>
  </si>
  <si>
    <t>CUST-2977</t>
  </si>
  <si>
    <t>TXN-100293</t>
  </si>
  <si>
    <t>CUST-2405</t>
  </si>
  <si>
    <t>TXN-100294</t>
  </si>
  <si>
    <t>CUST-2794</t>
  </si>
  <si>
    <t>TXN-100295</t>
  </si>
  <si>
    <t>CUST-3654</t>
  </si>
  <si>
    <t>TXN-100296</t>
  </si>
  <si>
    <t>CUST-2355</t>
  </si>
  <si>
    <t>TXN-100297</t>
  </si>
  <si>
    <t>CUST-3692</t>
  </si>
  <si>
    <t>TXN-100298</t>
  </si>
  <si>
    <t>CUST-2592</t>
  </si>
  <si>
    <t>TXN-100299</t>
  </si>
  <si>
    <t>CUST-4274</t>
  </si>
  <si>
    <t>TXN-100300</t>
  </si>
  <si>
    <t>CUST-4533</t>
  </si>
  <si>
    <t>TXN-100301</t>
  </si>
  <si>
    <t>TXN-100302</t>
  </si>
  <si>
    <t>CUST-1347</t>
  </si>
  <si>
    <t>TXN-100303</t>
  </si>
  <si>
    <t>CUST-3840</t>
  </si>
  <si>
    <t>TXN-100304</t>
  </si>
  <si>
    <t>CUST-2732</t>
  </si>
  <si>
    <t>TXN-100305</t>
  </si>
  <si>
    <t>CUST-1574</t>
  </si>
  <si>
    <t>TXN-100306</t>
  </si>
  <si>
    <t>CUST-1559</t>
  </si>
  <si>
    <t>TXN-100307</t>
  </si>
  <si>
    <t>CUST-3014</t>
  </si>
  <si>
    <t>TXN-100308</t>
  </si>
  <si>
    <t>CUST-4259</t>
  </si>
  <si>
    <t>TXN-100309</t>
  </si>
  <si>
    <t>CUST-3316</t>
  </si>
  <si>
    <t>TXN-100310</t>
  </si>
  <si>
    <t>CUST-4372</t>
  </si>
  <si>
    <t>TXN-100311</t>
  </si>
  <si>
    <t>CUST-4014</t>
  </si>
  <si>
    <t>TXN-100312</t>
  </si>
  <si>
    <t>CUST-2798</t>
  </si>
  <si>
    <t>TXN-100313</t>
  </si>
  <si>
    <t>CUST-3499</t>
  </si>
  <si>
    <t>TXN-100314</t>
  </si>
  <si>
    <t>CUST-3335</t>
  </si>
  <si>
    <t>TXN-100315</t>
  </si>
  <si>
    <t>CUST-2198</t>
  </si>
  <si>
    <t>TXN-100316</t>
  </si>
  <si>
    <t>CUST-4763</t>
  </si>
  <si>
    <t>TXN-100317</t>
  </si>
  <si>
    <t>CUST-4393</t>
  </si>
  <si>
    <t>TXN-100318</t>
  </si>
  <si>
    <t>CUST-2536</t>
  </si>
  <si>
    <t>TXN-100319</t>
  </si>
  <si>
    <t>CUST-2862</t>
  </si>
  <si>
    <t>TXN-100320</t>
  </si>
  <si>
    <t>CUST-3600</t>
  </si>
  <si>
    <t>TXN-100321</t>
  </si>
  <si>
    <t>CUST-3026</t>
  </si>
  <si>
    <t>TXN-100322</t>
  </si>
  <si>
    <t>CUST-4228</t>
  </si>
  <si>
    <t>TXN-100323</t>
  </si>
  <si>
    <t>CUST-4806</t>
  </si>
  <si>
    <t>TXN-100324</t>
  </si>
  <si>
    <t>CUST-4613</t>
  </si>
  <si>
    <t>TXN-100325</t>
  </si>
  <si>
    <t>CUST-2523</t>
  </si>
  <si>
    <t>TXN-100326</t>
  </si>
  <si>
    <t>CUST-1373</t>
  </si>
  <si>
    <t>TXN-100327</t>
  </si>
  <si>
    <t>CUST-3127</t>
  </si>
  <si>
    <t>TXN-100328</t>
  </si>
  <si>
    <t>CUST-2956</t>
  </si>
  <si>
    <t>TXN-100329</t>
  </si>
  <si>
    <t>TXN-100330</t>
  </si>
  <si>
    <t>CUST-3307</t>
  </si>
  <si>
    <t>TXN-100331</t>
  </si>
  <si>
    <t>CUST-4767</t>
  </si>
  <si>
    <t>TXN-100332</t>
  </si>
  <si>
    <t>CUST-3414</t>
  </si>
  <si>
    <t>TXN-100333</t>
  </si>
  <si>
    <t>CUST-1345</t>
  </si>
  <si>
    <t>TXN-100334</t>
  </si>
  <si>
    <t>CUST-1109</t>
  </si>
  <si>
    <t>TXN-100335</t>
  </si>
  <si>
    <t>TXN-100336</t>
  </si>
  <si>
    <t>CUST-3613</t>
  </si>
  <si>
    <t>TXN-100337</t>
  </si>
  <si>
    <t>CUST-2723</t>
  </si>
  <si>
    <t>TXN-100338</t>
  </si>
  <si>
    <t>CUST-1276</t>
  </si>
  <si>
    <t>TXN-100339</t>
  </si>
  <si>
    <t>CUST-3574</t>
  </si>
  <si>
    <t>TXN-100340</t>
  </si>
  <si>
    <t>CUST-2269</t>
  </si>
  <si>
    <t>TXN-100341</t>
  </si>
  <si>
    <t>CUST-3598</t>
  </si>
  <si>
    <t>TXN-100342</t>
  </si>
  <si>
    <t>CUST-1475</t>
  </si>
  <si>
    <t>TXN-100343</t>
  </si>
  <si>
    <t>CUST-3899</t>
  </si>
  <si>
    <t>TXN-100344</t>
  </si>
  <si>
    <t>CUST-4207</t>
  </si>
  <si>
    <t>TXN-100345</t>
  </si>
  <si>
    <t>CUST-4159</t>
  </si>
  <si>
    <t>TXN-100346</t>
  </si>
  <si>
    <t>CUST-4993</t>
  </si>
  <si>
    <t>TXN-100347</t>
  </si>
  <si>
    <t>CUST-1683</t>
  </si>
  <si>
    <t>TXN-100348</t>
  </si>
  <si>
    <t>CUST-1010</t>
  </si>
  <si>
    <t>TXN-100349</t>
  </si>
  <si>
    <t>CUST-4769</t>
  </si>
  <si>
    <t>TXN-100350</t>
  </si>
  <si>
    <t>CUST-2016</t>
  </si>
  <si>
    <t>TXN-100351</t>
  </si>
  <si>
    <t>CUST-3757</t>
  </si>
  <si>
    <t>TXN-100352</t>
  </si>
  <si>
    <t>CUST-4547</t>
  </si>
  <si>
    <t>TXN-100353</t>
  </si>
  <si>
    <t>CUST-1821</t>
  </si>
  <si>
    <t>TXN-100354</t>
  </si>
  <si>
    <t>CUST-4980</t>
  </si>
  <si>
    <t>TXN-100355</t>
  </si>
  <si>
    <t>CUST-4819</t>
  </si>
  <si>
    <t>TXN-100356</t>
  </si>
  <si>
    <t>CUST-4108</t>
  </si>
  <si>
    <t>TXN-100357</t>
  </si>
  <si>
    <t>CUST-4937</t>
  </si>
  <si>
    <t>TXN-100358</t>
  </si>
  <si>
    <t>CUST-2691</t>
  </si>
  <si>
    <t>TXN-100359</t>
  </si>
  <si>
    <t>CUST-1306</t>
  </si>
  <si>
    <t>TXN-100360</t>
  </si>
  <si>
    <t>CUST-4793</t>
  </si>
  <si>
    <t>TXN-100361</t>
  </si>
  <si>
    <t>CUST-4864</t>
  </si>
  <si>
    <t>TXN-100362</t>
  </si>
  <si>
    <t>TXN-100363</t>
  </si>
  <si>
    <t>CUST-2897</t>
  </si>
  <si>
    <t>TXN-100364</t>
  </si>
  <si>
    <t>CUST-3854</t>
  </si>
  <si>
    <t>TXN-100365</t>
  </si>
  <si>
    <t>CUST-3103</t>
  </si>
  <si>
    <t>TXN-100366</t>
  </si>
  <si>
    <t>CUST-3277</t>
  </si>
  <si>
    <t>TXN-100367</t>
  </si>
  <si>
    <t>CUST-4401</t>
  </si>
  <si>
    <t>TXN-100368</t>
  </si>
  <si>
    <t>CUST-2060</t>
  </si>
  <si>
    <t>TXN-100369</t>
  </si>
  <si>
    <t>CUST-1376</t>
  </si>
  <si>
    <t>TXN-100370</t>
  </si>
  <si>
    <t>CUST-4365</t>
  </si>
  <si>
    <t>TXN-100371</t>
  </si>
  <si>
    <t>CUST-1879</t>
  </si>
  <si>
    <t>TXN-100372</t>
  </si>
  <si>
    <t>CUST-3527</t>
  </si>
  <si>
    <t>TXN-100373</t>
  </si>
  <si>
    <t>CUST-2145</t>
  </si>
  <si>
    <t>TXN-100374</t>
  </si>
  <si>
    <t>CUST-4255</t>
  </si>
  <si>
    <t>TXN-100375</t>
  </si>
  <si>
    <t>CUST-3057</t>
  </si>
  <si>
    <t>TXN-100376</t>
  </si>
  <si>
    <t>CUST-1120</t>
  </si>
  <si>
    <t>TXN-100377</t>
  </si>
  <si>
    <t>CUST-2015</t>
  </si>
  <si>
    <t>TXN-100378</t>
  </si>
  <si>
    <t>TXN-100379</t>
  </si>
  <si>
    <t>CUST-3881</t>
  </si>
  <si>
    <t>TXN-100380</t>
  </si>
  <si>
    <t>CUST-3220</t>
  </si>
  <si>
    <t>TXN-100381</t>
  </si>
  <si>
    <t>CUST-1896</t>
  </si>
  <si>
    <t>TXN-100382</t>
  </si>
  <si>
    <t>CUST-2395</t>
  </si>
  <si>
    <t>TXN-100383</t>
  </si>
  <si>
    <t>CUST-4756</t>
  </si>
  <si>
    <t>TXN-100384</t>
  </si>
  <si>
    <t>CUST-4858</t>
  </si>
  <si>
    <t>TXN-100385</t>
  </si>
  <si>
    <t>CUST-3999</t>
  </si>
  <si>
    <t>TXN-100386</t>
  </si>
  <si>
    <t>CUST-3412</t>
  </si>
  <si>
    <t>TXN-100387</t>
  </si>
  <si>
    <t>CUST-4886</t>
  </si>
  <si>
    <t>TXN-100388</t>
  </si>
  <si>
    <t>CUST-1904</t>
  </si>
  <si>
    <t>TXN-100389</t>
  </si>
  <si>
    <t>CUST-2308</t>
  </si>
  <si>
    <t>TXN-100390</t>
  </si>
  <si>
    <t>CUST-2022</t>
  </si>
  <si>
    <t>TXN-100391</t>
  </si>
  <si>
    <t>TXN-100392</t>
  </si>
  <si>
    <t>CUST-1415</t>
  </si>
  <si>
    <t>TXN-100393</t>
  </si>
  <si>
    <t>CUST-2207</t>
  </si>
  <si>
    <t>TXN-100394</t>
  </si>
  <si>
    <t>CUST-1659</t>
  </si>
  <si>
    <t>TXN-100395</t>
  </si>
  <si>
    <t>CUST-2766</t>
  </si>
  <si>
    <t>TXN-100396</t>
  </si>
  <si>
    <t>TXN-100397</t>
  </si>
  <si>
    <t>CUST-1392</t>
  </si>
  <si>
    <t>TXN-100398</t>
  </si>
  <si>
    <t>CUST-1015</t>
  </si>
  <si>
    <t>TXN-100399</t>
  </si>
  <si>
    <t>CUST-1847</t>
  </si>
  <si>
    <t>TXN-100400</t>
  </si>
  <si>
    <t>CUST-2928</t>
  </si>
  <si>
    <t>TXN-100401</t>
  </si>
  <si>
    <t>CUST-4626</t>
  </si>
  <si>
    <t>TXN-100402</t>
  </si>
  <si>
    <t>CUST-2078</t>
  </si>
  <si>
    <t>TXN-100403</t>
  </si>
  <si>
    <t>CUST-3733</t>
  </si>
  <si>
    <t>TXN-100404</t>
  </si>
  <si>
    <t>CUST-4443</t>
  </si>
  <si>
    <t>TXN-100405</t>
  </si>
  <si>
    <t>CUST-2950</t>
  </si>
  <si>
    <t>TXN-100406</t>
  </si>
  <si>
    <t>CUST-1708</t>
  </si>
  <si>
    <t>TXN-100407</t>
  </si>
  <si>
    <t>CUST-2783</t>
  </si>
  <si>
    <t>TXN-100408</t>
  </si>
  <si>
    <t>CUST-1356</t>
  </si>
  <si>
    <t>TXN-100409</t>
  </si>
  <si>
    <t>TXN-100410</t>
  </si>
  <si>
    <t>CUST-1612</t>
  </si>
  <si>
    <t>TXN-100411</t>
  </si>
  <si>
    <t>CUST-4193</t>
  </si>
  <si>
    <t>TXN-100412</t>
  </si>
  <si>
    <t>CUST-3682</t>
  </si>
  <si>
    <t>TXN-100413</t>
  </si>
  <si>
    <t>CUST-1589</t>
  </si>
  <si>
    <t>TXN-100414</t>
  </si>
  <si>
    <t>CUST-4771</t>
  </si>
  <si>
    <t>TXN-100415</t>
  </si>
  <si>
    <t>CUST-4515</t>
  </si>
  <si>
    <t>TXN-100416</t>
  </si>
  <si>
    <t>CUST-2103</t>
  </si>
  <si>
    <t>TXN-100417</t>
  </si>
  <si>
    <t>CUST-4034</t>
  </si>
  <si>
    <t>TXN-100418</t>
  </si>
  <si>
    <t>TXN-100419</t>
  </si>
  <si>
    <t>CUST-4428</t>
  </si>
  <si>
    <t>TXN-100420</t>
  </si>
  <si>
    <t>CUST-2122</t>
  </si>
  <si>
    <t>TXN-100421</t>
  </si>
  <si>
    <t>CUST-1990</t>
  </si>
  <si>
    <t>TXN-100422</t>
  </si>
  <si>
    <t>CUST-2432</t>
  </si>
  <si>
    <t>TXN-100423</t>
  </si>
  <si>
    <t>CUST-1667</t>
  </si>
  <si>
    <t>TXN-100424</t>
  </si>
  <si>
    <t>CUST-2677</t>
  </si>
  <si>
    <t>TXN-100425</t>
  </si>
  <si>
    <t>CUST-1916</t>
  </si>
  <si>
    <t>TXN-100426</t>
  </si>
  <si>
    <t>CUST-2880</t>
  </si>
  <si>
    <t>TXN-100427</t>
  </si>
  <si>
    <t>CUST-1030</t>
  </si>
  <si>
    <t>TXN-100428</t>
  </si>
  <si>
    <t>CUST-2973</t>
  </si>
  <si>
    <t>TXN-100429</t>
  </si>
  <si>
    <t>CUST-4900</t>
  </si>
  <si>
    <t>TXN-100430</t>
  </si>
  <si>
    <t>CUST-2655</t>
  </si>
  <si>
    <t>TXN-100431</t>
  </si>
  <si>
    <t>CUST-4714</t>
  </si>
  <si>
    <t>TXN-100432</t>
  </si>
  <si>
    <t>TXN-100433</t>
  </si>
  <si>
    <t>CUST-4590</t>
  </si>
  <si>
    <t>TXN-100434</t>
  </si>
  <si>
    <t>CUST-4124</t>
  </si>
  <si>
    <t>TXN-100435</t>
  </si>
  <si>
    <t>CUST-2722</t>
  </si>
  <si>
    <t>TXN-100436</t>
  </si>
  <si>
    <t>CUST-2927</t>
  </si>
  <si>
    <t>TXN-100437</t>
  </si>
  <si>
    <t>CUST-3049</t>
  </si>
  <si>
    <t>TXN-100438</t>
  </si>
  <si>
    <t>CUST-1562</t>
  </si>
  <si>
    <t>TXN-100439</t>
  </si>
  <si>
    <t>CUST-4190</t>
  </si>
  <si>
    <t>TXN-100440</t>
  </si>
  <si>
    <t>CUST-2120</t>
  </si>
  <si>
    <t>TXN-100441</t>
  </si>
  <si>
    <t>CUST-1530</t>
  </si>
  <si>
    <t>TXN-100442</t>
  </si>
  <si>
    <t>CUST-1154</t>
  </si>
  <si>
    <t>TXN-100443</t>
  </si>
  <si>
    <t>CUST-1016</t>
  </si>
  <si>
    <t>TXN-100444</t>
  </si>
  <si>
    <t>CUST-3411</t>
  </si>
  <si>
    <t>TXN-100445</t>
  </si>
  <si>
    <t>CUST-3442</t>
  </si>
  <si>
    <t>TXN-100446</t>
  </si>
  <si>
    <t>CUST-1675</t>
  </si>
  <si>
    <t>TXN-100447</t>
  </si>
  <si>
    <t>TXN-100448</t>
  </si>
  <si>
    <t>CUST-3552</t>
  </si>
  <si>
    <t>TXN-100449</t>
  </si>
  <si>
    <t>CUST-1474</t>
  </si>
  <si>
    <t>TXN-100450</t>
  </si>
  <si>
    <t>CUST-1627</t>
  </si>
  <si>
    <t>TXN-100451</t>
  </si>
  <si>
    <t>CUST-2105</t>
  </si>
  <si>
    <t>TXN-100452</t>
  </si>
  <si>
    <t>CUST-4214</t>
  </si>
  <si>
    <t>TXN-100453</t>
  </si>
  <si>
    <t>CUST-4985</t>
  </si>
  <si>
    <t>TXN-100454</t>
  </si>
  <si>
    <t>CUST-4728</t>
  </si>
  <si>
    <t>TXN-100455</t>
  </si>
  <si>
    <t>CUST-1364</t>
  </si>
  <si>
    <t>TXN-100456</t>
  </si>
  <si>
    <t>CUST-1307</t>
  </si>
  <si>
    <t>TXN-100457</t>
  </si>
  <si>
    <t>CUST-1408</t>
  </si>
  <si>
    <t>TXN-100458</t>
  </si>
  <si>
    <t>CUST-1389</t>
  </si>
  <si>
    <t>TXN-100459</t>
  </si>
  <si>
    <t>CUST-2098</t>
  </si>
  <si>
    <t>TXN-100460</t>
  </si>
  <si>
    <t>CUST-2113</t>
  </si>
  <si>
    <t>TXN-100461</t>
  </si>
  <si>
    <t>CUST-3851</t>
  </si>
  <si>
    <t>TXN-100462</t>
  </si>
  <si>
    <t>CUST-3778</t>
  </si>
  <si>
    <t>TXN-100463</t>
  </si>
  <si>
    <t>TXN-100464</t>
  </si>
  <si>
    <t>CUST-2071</t>
  </si>
  <si>
    <t>TXN-100465</t>
  </si>
  <si>
    <t>CUST-3126</t>
  </si>
  <si>
    <t>TXN-100466</t>
  </si>
  <si>
    <t>CUST-4653</t>
  </si>
  <si>
    <t>TXN-100467</t>
  </si>
  <si>
    <t>TXN-100468</t>
  </si>
  <si>
    <t>CUST-3254</t>
  </si>
  <si>
    <t>TXN-100469</t>
  </si>
  <si>
    <t>CUST-2835</t>
  </si>
  <si>
    <t>TXN-100470</t>
  </si>
  <si>
    <t>CUST-1072</t>
  </si>
  <si>
    <t>TXN-100471</t>
  </si>
  <si>
    <t>CUST-4243</t>
  </si>
  <si>
    <t>TXN-100472</t>
  </si>
  <si>
    <t>CUST-4380</t>
  </si>
  <si>
    <t>TXN-100473</t>
  </si>
  <si>
    <t>CUST-2488</t>
  </si>
  <si>
    <t>TXN-100474</t>
  </si>
  <si>
    <t>CUST-4950</t>
  </si>
  <si>
    <t>TXN-100475</t>
  </si>
  <si>
    <t>CUST-3016</t>
  </si>
  <si>
    <t>TXN-100476</t>
  </si>
  <si>
    <t>CUST-4810</t>
  </si>
  <si>
    <t>TXN-100477</t>
  </si>
  <si>
    <t>CUST-1190</t>
  </si>
  <si>
    <t>TXN-100478</t>
  </si>
  <si>
    <t>CUST-3172</t>
  </si>
  <si>
    <t>TXN-100479</t>
  </si>
  <si>
    <t>CUST-1711</t>
  </si>
  <si>
    <t>TXN-100480</t>
  </si>
  <si>
    <t>CUST-2714</t>
  </si>
  <si>
    <t>TXN-100481</t>
  </si>
  <si>
    <t>CUST-1565</t>
  </si>
  <si>
    <t>TXN-100482</t>
  </si>
  <si>
    <t>CUST-3591</t>
  </si>
  <si>
    <t>TXN-100483</t>
  </si>
  <si>
    <t>CUST-4773</t>
  </si>
  <si>
    <t>TXN-100484</t>
  </si>
  <si>
    <t>CUST-4116</t>
  </si>
  <si>
    <t>TXN-100485</t>
  </si>
  <si>
    <t>CUST-2171</t>
  </si>
  <si>
    <t>TXN-100486</t>
  </si>
  <si>
    <t>CUST-1217</t>
  </si>
  <si>
    <t>TXN-100487</t>
  </si>
  <si>
    <t>CUST-3828</t>
  </si>
  <si>
    <t>TXN-100488</t>
  </si>
  <si>
    <t>CUST-4555</t>
  </si>
  <si>
    <t>TXN-100489</t>
  </si>
  <si>
    <t>TXN-100490</t>
  </si>
  <si>
    <t>CUST-1831</t>
  </si>
  <si>
    <t>TXN-100491</t>
  </si>
  <si>
    <t>CUST-2204</t>
  </si>
  <si>
    <t>TXN-100492</t>
  </si>
  <si>
    <t>CUST-2755</t>
  </si>
  <si>
    <t>TXN-100493</t>
  </si>
  <si>
    <t>TXN-100494</t>
  </si>
  <si>
    <t>CUST-3521</t>
  </si>
  <si>
    <t>TXN-100495</t>
  </si>
  <si>
    <t>CUST-2301</t>
  </si>
  <si>
    <t>TXN-100496</t>
  </si>
  <si>
    <t>CUST-3199</t>
  </si>
  <si>
    <t>TXN-100497</t>
  </si>
  <si>
    <t>CUST-2202</t>
  </si>
  <si>
    <t>TXN-100498</t>
  </si>
  <si>
    <t>CUST-2417</t>
  </si>
  <si>
    <t>TXN-100499</t>
  </si>
  <si>
    <t>CUST-2562</t>
  </si>
  <si>
    <t>TXN-100500</t>
  </si>
  <si>
    <t>CUST-4367</t>
  </si>
  <si>
    <t>TXN-100501</t>
  </si>
  <si>
    <t>CUST-1788</t>
  </si>
  <si>
    <t>TXN-100502</t>
  </si>
  <si>
    <t>CUST-1863</t>
  </si>
  <si>
    <t>TXN-100503</t>
  </si>
  <si>
    <t>CUST-4059</t>
  </si>
  <si>
    <t>TXN-100504</t>
  </si>
  <si>
    <t>CUST-1729</t>
  </si>
  <si>
    <t>TXN-100505</t>
  </si>
  <si>
    <t>CUST-2847</t>
  </si>
  <si>
    <t>TXN-100506</t>
  </si>
  <si>
    <t>CUST-3627</t>
  </si>
  <si>
    <t>TXN-100507</t>
  </si>
  <si>
    <t>CUST-1434</t>
  </si>
  <si>
    <t>TXN-100508</t>
  </si>
  <si>
    <t>TXN-100509</t>
  </si>
  <si>
    <t>CUST-4263</t>
  </si>
  <si>
    <t>TXN-100510</t>
  </si>
  <si>
    <t>CUST-4583</t>
  </si>
  <si>
    <t>TXN-100511</t>
  </si>
  <si>
    <t>CUST-4878</t>
  </si>
  <si>
    <t>TXN-100512</t>
  </si>
  <si>
    <t>CUST-1583</t>
  </si>
  <si>
    <t>TXN-100513</t>
  </si>
  <si>
    <t>CUST-3748</t>
  </si>
  <si>
    <t>TXN-100514</t>
  </si>
  <si>
    <t>CUST-1275</t>
  </si>
  <si>
    <t>TXN-100515</t>
  </si>
  <si>
    <t>CUST-3749</t>
  </si>
  <si>
    <t>TXN-100516</t>
  </si>
  <si>
    <t>CUST-2845</t>
  </si>
  <si>
    <t>TXN-100517</t>
  </si>
  <si>
    <t>CUST-4926</t>
  </si>
  <si>
    <t>TXN-100518</t>
  </si>
  <si>
    <t>CUST-2786</t>
  </si>
  <si>
    <t>TXN-100519</t>
  </si>
  <si>
    <t>CUST-2824</t>
  </si>
  <si>
    <t>TXN-100520</t>
  </si>
  <si>
    <t>CUST-3484</t>
  </si>
  <si>
    <t>TXN-100521</t>
  </si>
  <si>
    <t>CUST-1313</t>
  </si>
  <si>
    <t>TXN-100522</t>
  </si>
  <si>
    <t>CUST-1871</t>
  </si>
  <si>
    <t>TXN-100523</t>
  </si>
  <si>
    <t>TXN-100524</t>
  </si>
  <si>
    <t>CUST-1370</t>
  </si>
  <si>
    <t>TXN-100525</t>
  </si>
  <si>
    <t>CUST-3802</t>
  </si>
  <si>
    <t>TXN-100526</t>
  </si>
  <si>
    <t>CUST-4885</t>
  </si>
  <si>
    <t>TXN-100527</t>
  </si>
  <si>
    <t>CUST-1949</t>
  </si>
  <si>
    <t>TXN-100528</t>
  </si>
  <si>
    <t>CUST-2589</t>
  </si>
  <si>
    <t>TXN-100529</t>
  </si>
  <si>
    <t>CUST-4966</t>
  </si>
  <si>
    <t>TXN-100530</t>
  </si>
  <si>
    <t>CUST-2550</t>
  </si>
  <si>
    <t>TXN-100531</t>
  </si>
  <si>
    <t>CUST-2662</t>
  </si>
  <si>
    <t>TXN-100532</t>
  </si>
  <si>
    <t>CUST-2801</t>
  </si>
  <si>
    <t>TXN-100533</t>
  </si>
  <si>
    <t>CUST-1765</t>
  </si>
  <si>
    <t>TXN-100534</t>
  </si>
  <si>
    <t>CUST-3950</t>
  </si>
  <si>
    <t>TXN-100535</t>
  </si>
  <si>
    <t>CUST-1091</t>
  </si>
  <si>
    <t>TXN-100536</t>
  </si>
  <si>
    <t>CUST-3099</t>
  </si>
  <si>
    <t>TXN-100537</t>
  </si>
  <si>
    <t>CUST-4924</t>
  </si>
  <si>
    <t>TXN-100538</t>
  </si>
  <si>
    <t>CUST-2839</t>
  </si>
  <si>
    <t>TXN-100539</t>
  </si>
  <si>
    <t>CUST-4254</t>
  </si>
  <si>
    <t>TXN-100540</t>
  </si>
  <si>
    <t>CUST-3419</t>
  </si>
  <si>
    <t>TXN-100541</t>
  </si>
  <si>
    <t>CUST-3141</t>
  </si>
  <si>
    <t>TXN-100542</t>
  </si>
  <si>
    <t>CUST-3456</t>
  </si>
  <si>
    <t>TXN-100543</t>
  </si>
  <si>
    <t>CUST-3700</t>
  </si>
  <si>
    <t>TXN-100544</t>
  </si>
  <si>
    <t>CUST-2517</t>
  </si>
  <si>
    <t>TXN-100545</t>
  </si>
  <si>
    <t>CUST-2435</t>
  </si>
  <si>
    <t>TXN-100546</t>
  </si>
  <si>
    <t>TXN-100547</t>
  </si>
  <si>
    <t>CUST-1482</t>
  </si>
  <si>
    <t>TXN-100548</t>
  </si>
  <si>
    <t>CUST-2745</t>
  </si>
  <si>
    <t>TXN-100549</t>
  </si>
  <si>
    <t>CUST-3787</t>
  </si>
  <si>
    <t>TXN-100550</t>
  </si>
  <si>
    <t>CUST-3290</t>
  </si>
  <si>
    <t>TXN-100551</t>
  </si>
  <si>
    <t>CUST-4502</t>
  </si>
  <si>
    <t>TXN-100552</t>
  </si>
  <si>
    <t>CUST-3082</t>
  </si>
  <si>
    <t>TXN-100553</t>
  </si>
  <si>
    <t>TXN-100554</t>
  </si>
  <si>
    <t>CUST-2077</t>
  </si>
  <si>
    <t>TXN-100555</t>
  </si>
  <si>
    <t>CUST-3687</t>
  </si>
  <si>
    <t>TXN-100556</t>
  </si>
  <si>
    <t>TXN-100557</t>
  </si>
  <si>
    <t>CUST-3091</t>
  </si>
  <si>
    <t>TXN-100558</t>
  </si>
  <si>
    <t>CUST-4996</t>
  </si>
  <si>
    <t>TXN-100559</t>
  </si>
  <si>
    <t>CUST-1820</t>
  </si>
  <si>
    <t>TXN-100560</t>
  </si>
  <si>
    <t>CUST-4747</t>
  </si>
  <si>
    <t>TXN-100561</t>
  </si>
  <si>
    <t>TXN-100562</t>
  </si>
  <si>
    <t>CUST-3060</t>
  </si>
  <si>
    <t>TXN-100563</t>
  </si>
  <si>
    <t>CUST-4956</t>
  </si>
  <si>
    <t>TXN-100564</t>
  </si>
  <si>
    <t>CUST-3791</t>
  </si>
  <si>
    <t>TXN-100565</t>
  </si>
  <si>
    <t>CUST-3595</t>
  </si>
  <si>
    <t>TXN-100566</t>
  </si>
  <si>
    <t>CUST-1039</t>
  </si>
  <si>
    <t>TXN-100567</t>
  </si>
  <si>
    <t>CUST-4814</t>
  </si>
  <si>
    <t>TXN-100568</t>
  </si>
  <si>
    <t>TXN-100569</t>
  </si>
  <si>
    <t>CUST-1846</t>
  </si>
  <si>
    <t>TXN-100570</t>
  </si>
  <si>
    <t>TXN-100571</t>
  </si>
  <si>
    <t>CUST-2520</t>
  </si>
  <si>
    <t>TXN-100572</t>
  </si>
  <si>
    <t>CUST-2147</t>
  </si>
  <si>
    <t>TXN-100573</t>
  </si>
  <si>
    <t>CUST-1133</t>
  </si>
  <si>
    <t>TXN-100574</t>
  </si>
  <si>
    <t>CUST-1034</t>
  </si>
  <si>
    <t>TXN-100575</t>
  </si>
  <si>
    <t>CUST-3509</t>
  </si>
  <si>
    <t>TXN-100576</t>
  </si>
  <si>
    <t>TXN-100577</t>
  </si>
  <si>
    <t>TXN-100578</t>
  </si>
  <si>
    <t>CUST-1936</t>
  </si>
  <si>
    <t>TXN-100579</t>
  </si>
  <si>
    <t>CUST-1803</t>
  </si>
  <si>
    <t>TXN-100580</t>
  </si>
  <si>
    <t>CUST-1550</t>
  </si>
  <si>
    <t>TXN-100581</t>
  </si>
  <si>
    <t>TXN-100582</t>
  </si>
  <si>
    <t>CUST-2064</t>
  </si>
  <si>
    <t>TXN-100583</t>
  </si>
  <si>
    <t>CUST-1496</t>
  </si>
  <si>
    <t>TXN-100584</t>
  </si>
  <si>
    <t>CUST-2454</t>
  </si>
  <si>
    <t>TXN-100585</t>
  </si>
  <si>
    <t>CUST-3513</t>
  </si>
  <si>
    <t>TXN-100586</t>
  </si>
  <si>
    <t>CUST-3508</t>
  </si>
  <si>
    <t>TXN-100587</t>
  </si>
  <si>
    <t>TXN-100588</t>
  </si>
  <si>
    <t>CUST-4198</t>
  </si>
  <si>
    <t>TXN-100589</t>
  </si>
  <si>
    <t>CUST-4498</t>
  </si>
  <si>
    <t>TXN-100590</t>
  </si>
  <si>
    <t>CUST-2626</t>
  </si>
  <si>
    <t>TXN-100591</t>
  </si>
  <si>
    <t>CUST-3146</t>
  </si>
  <si>
    <t>TXN-100592</t>
  </si>
  <si>
    <t>CUST-2267</t>
  </si>
  <si>
    <t>TXN-100593</t>
  </si>
  <si>
    <t>CUST-4434</t>
  </si>
  <si>
    <t>TXN-100594</t>
  </si>
  <si>
    <t>CUST-4829</t>
  </si>
  <si>
    <t>TXN-100595</t>
  </si>
  <si>
    <t>CUST-2870</t>
  </si>
  <si>
    <t>TXN-100596</t>
  </si>
  <si>
    <t>TXN-100597</t>
  </si>
  <si>
    <t>CUST-1043</t>
  </si>
  <si>
    <t>TXN-100598</t>
  </si>
  <si>
    <t>CUST-3817</t>
  </si>
  <si>
    <t>TXN-100599</t>
  </si>
  <si>
    <t>CUST-3445</t>
  </si>
  <si>
    <t>TXN-100600</t>
  </si>
  <si>
    <t>TXN-100601</t>
  </si>
  <si>
    <t>CUST-2729</t>
  </si>
  <si>
    <t>TXN-100602</t>
  </si>
  <si>
    <t>CUST-4495</t>
  </si>
  <si>
    <t>TXN-100603</t>
  </si>
  <si>
    <t>CUST-2114</t>
  </si>
  <si>
    <t>TXN-100604</t>
  </si>
  <si>
    <t>CUST-1761</t>
  </si>
  <si>
    <t>TXN-100605</t>
  </si>
  <si>
    <t>CUST-1953</t>
  </si>
  <si>
    <t>TXN-100606</t>
  </si>
  <si>
    <t>CUST-4218</t>
  </si>
  <si>
    <t>TXN-100607</t>
  </si>
  <si>
    <t>CUST-1229</t>
  </si>
  <si>
    <t>TXN-100608</t>
  </si>
  <si>
    <t>CUST-4668</t>
  </si>
  <si>
    <t>TXN-100609</t>
  </si>
  <si>
    <t>CUST-2012</t>
  </si>
  <si>
    <t>TXN-100610</t>
  </si>
  <si>
    <t>TXN-100611</t>
  </si>
  <si>
    <t>CUST-3615</t>
  </si>
  <si>
    <t>TXN-100612</t>
  </si>
  <si>
    <t>TXN-100613</t>
  </si>
  <si>
    <t>CUST-1036</t>
  </si>
  <si>
    <t>TXN-100614</t>
  </si>
  <si>
    <t>CUST-2018</t>
  </si>
  <si>
    <t>TXN-100615</t>
  </si>
  <si>
    <t>CUST-3640</t>
  </si>
  <si>
    <t>TXN-100616</t>
  </si>
  <si>
    <t>CUST-3287</t>
  </si>
  <si>
    <t>TXN-100617</t>
  </si>
  <si>
    <t>CUST-2026</t>
  </si>
  <si>
    <t>TXN-100618</t>
  </si>
  <si>
    <t>CUST-1764</t>
  </si>
  <si>
    <t>TXN-100619</t>
  </si>
  <si>
    <t>CUST-1634</t>
  </si>
  <si>
    <t>TXN-100620</t>
  </si>
  <si>
    <t>CUST-3072</t>
  </si>
  <si>
    <t>TXN-100621</t>
  </si>
  <si>
    <t>CUST-1978</t>
  </si>
  <si>
    <t>TXN-100622</t>
  </si>
  <si>
    <t>TXN-100623</t>
  </si>
  <si>
    <t>CUST-3143</t>
  </si>
  <si>
    <t>TXN-100624</t>
  </si>
  <si>
    <t>CUST-1784</t>
  </si>
  <si>
    <t>TXN-100625</t>
  </si>
  <si>
    <t>CUST-3872</t>
  </si>
  <si>
    <t>TXN-100626</t>
  </si>
  <si>
    <t>CUST-3685</t>
  </si>
  <si>
    <t>TXN-100627</t>
  </si>
  <si>
    <t>CUST-4045</t>
  </si>
  <si>
    <t>TXN-100628</t>
  </si>
  <si>
    <t>TXN-100629</t>
  </si>
  <si>
    <t>CUST-3177</t>
  </si>
  <si>
    <t>TXN-100630</t>
  </si>
  <si>
    <t>CUST-4880</t>
  </si>
  <si>
    <t>TXN-100631</t>
  </si>
  <si>
    <t>CUST-3361</t>
  </si>
  <si>
    <t>TXN-100632</t>
  </si>
  <si>
    <t>CUST-3252</t>
  </si>
  <si>
    <t>TXN-100633</t>
  </si>
  <si>
    <t>CUST-3253</t>
  </si>
  <si>
    <t>TXN-100634</t>
  </si>
  <si>
    <t>CUST-3492</t>
  </si>
  <si>
    <t>TXN-100635</t>
  </si>
  <si>
    <t>CUST-2832</t>
  </si>
  <si>
    <t>TXN-100636</t>
  </si>
  <si>
    <t>CUST-4646</t>
  </si>
  <si>
    <t>TXN-100637</t>
  </si>
  <si>
    <t>CUST-4368</t>
  </si>
  <si>
    <t>TXN-100638</t>
  </si>
  <si>
    <t>CUST-2885</t>
  </si>
  <si>
    <t>TXN-100639</t>
  </si>
  <si>
    <t>CUST-4322</t>
  </si>
  <si>
    <t>TXN-100640</t>
  </si>
  <si>
    <t>CUST-3963</t>
  </si>
  <si>
    <t>TXN-100641</t>
  </si>
  <si>
    <t>CUST-2230</t>
  </si>
  <si>
    <t>TXN-100642</t>
  </si>
  <si>
    <t>TXN-100643</t>
  </si>
  <si>
    <t>CUST-2566</t>
  </si>
  <si>
    <t>TXN-100644</t>
  </si>
  <si>
    <t>CUST-3858</t>
  </si>
  <si>
    <t>TXN-100645</t>
  </si>
  <si>
    <t>CUST-2186</t>
  </si>
  <si>
    <t>TXN-100646</t>
  </si>
  <si>
    <t>CUST-3245</t>
  </si>
  <si>
    <t>TXN-100647</t>
  </si>
  <si>
    <t>CUST-1534</t>
  </si>
  <si>
    <t>TXN-100648</t>
  </si>
  <si>
    <t>TXN-100649</t>
  </si>
  <si>
    <t>CUST-4785</t>
  </si>
  <si>
    <t>TXN-100650</t>
  </si>
  <si>
    <t>CUST-2411</t>
  </si>
  <si>
    <t>TXN-100651</t>
  </si>
  <si>
    <t>CUST-2804</t>
  </si>
  <si>
    <t>TXN-100652</t>
  </si>
  <si>
    <t>CUST-1460</t>
  </si>
  <si>
    <t>TXN-100653</t>
  </si>
  <si>
    <t>CUST-4294</t>
  </si>
  <si>
    <t>TXN-100654</t>
  </si>
  <si>
    <t>CUST-1867</t>
  </si>
  <si>
    <t>TXN-100655</t>
  </si>
  <si>
    <t>CUST-3847</t>
  </si>
  <si>
    <t>TXN-100656</t>
  </si>
  <si>
    <t>CUST-2163</t>
  </si>
  <si>
    <t>TXN-100657</t>
  </si>
  <si>
    <t>CUST-1272</t>
  </si>
  <si>
    <t>TXN-100658</t>
  </si>
  <si>
    <t>CUST-2583</t>
  </si>
  <si>
    <t>TXN-100659</t>
  </si>
  <si>
    <t>TXN-100660</t>
  </si>
  <si>
    <t>CUST-4777</t>
  </si>
  <si>
    <t>TXN-100661</t>
  </si>
  <si>
    <t>TXN-100662</t>
  </si>
  <si>
    <t>CUST-3563</t>
  </si>
  <si>
    <t>TXN-100663</t>
  </si>
  <si>
    <t>CUST-4674</t>
  </si>
  <si>
    <t>TXN-100664</t>
  </si>
  <si>
    <t>TXN-100665</t>
  </si>
  <si>
    <t>CUST-2348</t>
  </si>
  <si>
    <t>TXN-100666</t>
  </si>
  <si>
    <t>CUST-3801</t>
  </si>
  <si>
    <t>TXN-100667</t>
  </si>
  <si>
    <t>TXN-100668</t>
  </si>
  <si>
    <t>CUST-4438</t>
  </si>
  <si>
    <t>TXN-100669</t>
  </si>
  <si>
    <t>TXN-100670</t>
  </si>
  <si>
    <t>TXN-100671</t>
  </si>
  <si>
    <t>TXN-100672</t>
  </si>
  <si>
    <t>CUST-2531</t>
  </si>
  <si>
    <t>TXN-100673</t>
  </si>
  <si>
    <t>CUST-1926</t>
  </si>
  <si>
    <t>TXN-100674</t>
  </si>
  <si>
    <t>CUST-1830</t>
  </si>
  <si>
    <t>TXN-100675</t>
  </si>
  <si>
    <t>CUST-4550</t>
  </si>
  <si>
    <t>TXN-100676</t>
  </si>
  <si>
    <t>CUST-3949</t>
  </si>
  <si>
    <t>TXN-100677</t>
  </si>
  <si>
    <t>CUST-2849</t>
  </si>
  <si>
    <t>TXN-100678</t>
  </si>
  <si>
    <t>CUST-3284</t>
  </si>
  <si>
    <t>TXN-100679</t>
  </si>
  <si>
    <t>CUST-4168</t>
  </si>
  <si>
    <t>TXN-100680</t>
  </si>
  <si>
    <t>CUST-4701</t>
  </si>
  <si>
    <t>TXN-100681</t>
  </si>
  <si>
    <t>CUST-4841</t>
  </si>
  <si>
    <t>TXN-100682</t>
  </si>
  <si>
    <t>CUST-3417</t>
  </si>
  <si>
    <t>TXN-100683</t>
  </si>
  <si>
    <t>TXN-100684</t>
  </si>
  <si>
    <t>CUST-3507</t>
  </si>
  <si>
    <t>TXN-100685</t>
  </si>
  <si>
    <t>CUST-4568</t>
  </si>
  <si>
    <t>TXN-100686</t>
  </si>
  <si>
    <t>TXN-100687</t>
  </si>
  <si>
    <t>CUST-4135</t>
  </si>
  <si>
    <t>TXN-100688</t>
  </si>
  <si>
    <t>CUST-1974</t>
  </si>
  <si>
    <t>TXN-100689</t>
  </si>
  <si>
    <t>CUST-3458</t>
  </si>
  <si>
    <t>TXN-100690</t>
  </si>
  <si>
    <t>CUST-1607</t>
  </si>
  <si>
    <t>TXN-100691</t>
  </si>
  <si>
    <t>CUST-4432</t>
  </si>
  <si>
    <t>TXN-100692</t>
  </si>
  <si>
    <t>CUST-3752</t>
  </si>
  <si>
    <t>TXN-100693</t>
  </si>
  <si>
    <t>CUST-2475</t>
  </si>
  <si>
    <t>TXN-100694</t>
  </si>
  <si>
    <t>CUST-4106</t>
  </si>
  <si>
    <t>TXN-100695</t>
  </si>
  <si>
    <t>CUST-3845</t>
  </si>
  <si>
    <t>TXN-100696</t>
  </si>
  <si>
    <t>CUST-3506</t>
  </si>
  <si>
    <t>TXN-100697</t>
  </si>
  <si>
    <t>CUST-3477</t>
  </si>
  <si>
    <t>TXN-100698</t>
  </si>
  <si>
    <t>CUST-3304</t>
  </si>
  <si>
    <t>TXN-100699</t>
  </si>
  <si>
    <t>CUST-1792</t>
  </si>
  <si>
    <t>TXN-100700</t>
  </si>
  <si>
    <t>CUST-4275</t>
  </si>
  <si>
    <t>TXN-100701</t>
  </si>
  <si>
    <t>CUST-1824</t>
  </si>
  <si>
    <t>TXN-100702</t>
  </si>
  <si>
    <t>CUST-1466</t>
  </si>
  <si>
    <t>TXN-100703</t>
  </si>
  <si>
    <t>TXN-100704</t>
  </si>
  <si>
    <t>CUST-2972</t>
  </si>
  <si>
    <t>TXN-100705</t>
  </si>
  <si>
    <t>CUST-4800</t>
  </si>
  <si>
    <t>TXN-100706</t>
  </si>
  <si>
    <t>CUST-1076</t>
  </si>
  <si>
    <t>TXN-100707</t>
  </si>
  <si>
    <t>CUST-2389</t>
  </si>
  <si>
    <t>TXN-100708</t>
  </si>
  <si>
    <t>CUST-1478</t>
  </si>
  <si>
    <t>TXN-100709</t>
  </si>
  <si>
    <t>CUST-4592</t>
  </si>
  <si>
    <t>TXN-100710</t>
  </si>
  <si>
    <t>CUST-2532</t>
  </si>
  <si>
    <t>TXN-100711</t>
  </si>
  <si>
    <t>CUST-4706</t>
  </si>
  <si>
    <t>TXN-100712</t>
  </si>
  <si>
    <t>CUST-1586</t>
  </si>
  <si>
    <t>TXN-100713</t>
  </si>
  <si>
    <t>CUST-3923</t>
  </si>
  <si>
    <t>TXN-100714</t>
  </si>
  <si>
    <t>CUST-4642</t>
  </si>
  <si>
    <t>TXN-100715</t>
  </si>
  <si>
    <t>CUST-2314</t>
  </si>
  <si>
    <t>TXN-100716</t>
  </si>
  <si>
    <t>TXN-100717</t>
  </si>
  <si>
    <t>CUST-3292</t>
  </si>
  <si>
    <t>TXN-100718</t>
  </si>
  <si>
    <t>CUST-4863</t>
  </si>
  <si>
    <t>TXN-100719</t>
  </si>
  <si>
    <t>CUST-3214</t>
  </si>
  <si>
    <t>TXN-100720</t>
  </si>
  <si>
    <t>CUST-1220</t>
  </si>
  <si>
    <t>TXN-100721</t>
  </si>
  <si>
    <t>CUST-2279</t>
  </si>
  <si>
    <t>TXN-100722</t>
  </si>
  <si>
    <t>CUST-1380</t>
  </si>
  <si>
    <t>TXN-100723</t>
  </si>
  <si>
    <t>TXN-100724</t>
  </si>
  <si>
    <t>CUST-4757</t>
  </si>
  <si>
    <t>TXN-100725</t>
  </si>
  <si>
    <t>CUST-1462</t>
  </si>
  <si>
    <t>TXN-100726</t>
  </si>
  <si>
    <t>CUST-1521</t>
  </si>
  <si>
    <t>TXN-100727</t>
  </si>
  <si>
    <t>CUST-3182</t>
  </si>
  <si>
    <t>TXN-100728</t>
  </si>
  <si>
    <t>CUST-4989</t>
  </si>
  <si>
    <t>TXN-100729</t>
  </si>
  <si>
    <t>CUST-3323</t>
  </si>
  <si>
    <t>TXN-100730</t>
  </si>
  <si>
    <t>TXN-100731</t>
  </si>
  <si>
    <t>TXN-100732</t>
  </si>
  <si>
    <t>TXN-100733</t>
  </si>
  <si>
    <t>CUST-4634</t>
  </si>
  <si>
    <t>TXN-100734</t>
  </si>
  <si>
    <t>TXN-100735</t>
  </si>
  <si>
    <t>CUST-1365</t>
  </si>
  <si>
    <t>TXN-100736</t>
  </si>
  <si>
    <t>CUST-4690</t>
  </si>
  <si>
    <t>TXN-100737</t>
  </si>
  <si>
    <t>CUST-1963</t>
  </si>
  <si>
    <t>TXN-100738</t>
  </si>
  <si>
    <t>CUST-2663</t>
  </si>
  <si>
    <t>TXN-100739</t>
  </si>
  <si>
    <t>CUST-1770</t>
  </si>
  <si>
    <t>TXN-100740</t>
  </si>
  <si>
    <t>CUST-1514</t>
  </si>
  <si>
    <t>TXN-100741</t>
  </si>
  <si>
    <t>TXN-100742</t>
  </si>
  <si>
    <t>TXN-100743</t>
  </si>
  <si>
    <t>CUST-3476</t>
  </si>
  <si>
    <t>TXN-100744</t>
  </si>
  <si>
    <t>CUST-3360</t>
  </si>
  <si>
    <t>TXN-100745</t>
  </si>
  <si>
    <t>TXN-100746</t>
  </si>
  <si>
    <t>CUST-1362</t>
  </si>
  <si>
    <t>TXN-100747</t>
  </si>
  <si>
    <t>TXN-100748</t>
  </si>
  <si>
    <t>CUST-2724</t>
  </si>
  <si>
    <t>TXN-100749</t>
  </si>
  <si>
    <t>CUST-4069</t>
  </si>
  <si>
    <t>TXN-100750</t>
  </si>
  <si>
    <t>CUST-3346</t>
  </si>
  <si>
    <t>TXN-100751</t>
  </si>
  <si>
    <t>CUST-1519</t>
  </si>
  <si>
    <t>TXN-100752</t>
  </si>
  <si>
    <t>CUST-1058</t>
  </si>
  <si>
    <t>TXN-100753</t>
  </si>
  <si>
    <t>CUST-2514</t>
  </si>
  <si>
    <t>TXN-100754</t>
  </si>
  <si>
    <t>TXN-100755</t>
  </si>
  <si>
    <t>TXN-100756</t>
  </si>
  <si>
    <t>CUST-2082</t>
  </si>
  <si>
    <t>TXN-100757</t>
  </si>
  <si>
    <t>CUST-4056</t>
  </si>
  <si>
    <t>TXN-100758</t>
  </si>
  <si>
    <t>CUST-1048</t>
  </si>
  <si>
    <t>TXN-100759</t>
  </si>
  <si>
    <t>CUST-4915</t>
  </si>
  <si>
    <t>TXN-100760</t>
  </si>
  <si>
    <t>CUST-2093</t>
  </si>
  <si>
    <t>TXN-100761</t>
  </si>
  <si>
    <t>TXN-100762</t>
  </si>
  <si>
    <t>CUST-4406</t>
  </si>
  <si>
    <t>TXN-100763</t>
  </si>
  <si>
    <t>CUST-2439</t>
  </si>
  <si>
    <t>TXN-100764</t>
  </si>
  <si>
    <t>TXN-100765</t>
  </si>
  <si>
    <t>CUST-1353</t>
  </si>
  <si>
    <t>TXN-100766</t>
  </si>
  <si>
    <t>CUST-2912</t>
  </si>
  <si>
    <t>TXN-100767</t>
  </si>
  <si>
    <t>CUST-4153</t>
  </si>
  <si>
    <t>TXN-100768</t>
  </si>
  <si>
    <t>CUST-2362</t>
  </si>
  <si>
    <t>TXN-100769</t>
  </si>
  <si>
    <t>TXN-100770</t>
  </si>
  <si>
    <t>CUST-3635</t>
  </si>
  <si>
    <t>TXN-100771</t>
  </si>
  <si>
    <t>CUST-3980</t>
  </si>
  <si>
    <t>TXN-100772</t>
  </si>
  <si>
    <t>CUST-1003</t>
  </si>
  <si>
    <t>TXN-100773</t>
  </si>
  <si>
    <t>TXN-100774</t>
  </si>
  <si>
    <t>CUST-1013</t>
  </si>
  <si>
    <t>TXN-100775</t>
  </si>
  <si>
    <t>CUST-2240</t>
  </si>
  <si>
    <t>TXN-100776</t>
  </si>
  <si>
    <t>TXN-100777</t>
  </si>
  <si>
    <t>TXN-100778</t>
  </si>
  <si>
    <t>CUST-4625</t>
  </si>
  <si>
    <t>TXN-100779</t>
  </si>
  <si>
    <t>CUST-1976</t>
  </si>
  <si>
    <t>TXN-100780</t>
  </si>
  <si>
    <t>CUST-4952</t>
  </si>
  <si>
    <t>TXN-100781</t>
  </si>
  <si>
    <t>CUST-2660</t>
  </si>
  <si>
    <t>TXN-100782</t>
  </si>
  <si>
    <t>CUST-1954</t>
  </si>
  <si>
    <t>TXN-100783</t>
  </si>
  <si>
    <t>CUST-1187</t>
  </si>
  <si>
    <t>TXN-100784</t>
  </si>
  <si>
    <t>CUST-2868</t>
  </si>
  <si>
    <t>TXN-100785</t>
  </si>
  <si>
    <t>TXN-100786</t>
  </si>
  <si>
    <t>CUST-4997</t>
  </si>
  <si>
    <t>TXN-100787</t>
  </si>
  <si>
    <t>CUST-1494</t>
  </si>
  <si>
    <t>TXN-100788</t>
  </si>
  <si>
    <t>CUST-2796</t>
  </si>
  <si>
    <t>TXN-100789</t>
  </si>
  <si>
    <t>TXN-100790</t>
  </si>
  <si>
    <t>CUST-3431</t>
  </si>
  <si>
    <t>TXN-100791</t>
  </si>
  <si>
    <t>CUST-3142</t>
  </si>
  <si>
    <t>TXN-100792</t>
  </si>
  <si>
    <t>CUST-3937</t>
  </si>
  <si>
    <t>TXN-100793</t>
  </si>
  <si>
    <t>CUST-1965</t>
  </si>
  <si>
    <t>TXN-100794</t>
  </si>
  <si>
    <t>CUST-3078</t>
  </si>
  <si>
    <t>TXN-100795</t>
  </si>
  <si>
    <t>CUST-3806</t>
  </si>
  <si>
    <t>TXN-100796</t>
  </si>
  <si>
    <t>CUST-2491</t>
  </si>
  <si>
    <t>TXN-100797</t>
  </si>
  <si>
    <t>CUST-4032</t>
  </si>
  <si>
    <t>TXN-100798</t>
  </si>
  <si>
    <t>CUST-1290</t>
  </si>
  <si>
    <t>TXN-100799</t>
  </si>
  <si>
    <t>CUST-4060</t>
  </si>
  <si>
    <t>TXN-100800</t>
  </si>
  <si>
    <t>CUST-4563</t>
  </si>
  <si>
    <t>TXN-100801</t>
  </si>
  <si>
    <t>CUST-1593</t>
  </si>
  <si>
    <t>TXN-100802</t>
  </si>
  <si>
    <t>CUST-3948</t>
  </si>
  <si>
    <t>TXN-100803</t>
  </si>
  <si>
    <t>CUST-3835</t>
  </si>
  <si>
    <t>TXN-100804</t>
  </si>
  <si>
    <t>TXN-100805</t>
  </si>
  <si>
    <t>TXN-100806</t>
  </si>
  <si>
    <t>TXN-100807</t>
  </si>
  <si>
    <t>CUST-2778</t>
  </si>
  <si>
    <t>TXN-100808</t>
  </si>
  <si>
    <t>TXN-100809</t>
  </si>
  <si>
    <t>TXN-100810</t>
  </si>
  <si>
    <t>CUST-1979</t>
  </si>
  <si>
    <t>TXN-100811</t>
  </si>
  <si>
    <t>TXN-100812</t>
  </si>
  <si>
    <t>CUST-3567</t>
  </si>
  <si>
    <t>TXN-100813</t>
  </si>
  <si>
    <t>CUST-2214</t>
  </si>
  <si>
    <t>TXN-100814</t>
  </si>
  <si>
    <t>CUST-1331</t>
  </si>
  <si>
    <t>TXN-100815</t>
  </si>
  <si>
    <t>TXN-100816</t>
  </si>
  <si>
    <t>CUST-3288</t>
  </si>
  <si>
    <t>TXN-100817</t>
  </si>
  <si>
    <t>CUST-3658</t>
  </si>
  <si>
    <t>TXN-100818</t>
  </si>
  <si>
    <t>CUST-4677</t>
  </si>
  <si>
    <t>TXN-100819</t>
  </si>
  <si>
    <t>CUST-2853</t>
  </si>
  <si>
    <t>TXN-100820</t>
  </si>
  <si>
    <t>CUST-2507</t>
  </si>
  <si>
    <t>TXN-100821</t>
  </si>
  <si>
    <t>CUST-4925</t>
  </si>
  <si>
    <t>TXN-100822</t>
  </si>
  <si>
    <t>TXN-100823</t>
  </si>
  <si>
    <t>CUST-2720</t>
  </si>
  <si>
    <t>TXN-100824</t>
  </si>
  <si>
    <t>CUST-4419</t>
  </si>
  <si>
    <t>TXN-100825</t>
  </si>
  <si>
    <t>CUST-3727</t>
  </si>
  <si>
    <t>TXN-100826</t>
  </si>
  <si>
    <t>CUST-1928</t>
  </si>
  <si>
    <t>TXN-100827</t>
  </si>
  <si>
    <t>CUST-4916</t>
  </si>
  <si>
    <t>TXN-100828</t>
  </si>
  <si>
    <t>TXN-100829</t>
  </si>
  <si>
    <t>CUST-2805</t>
  </si>
  <si>
    <t>TXN-100830</t>
  </si>
  <si>
    <t>CUST-2408</t>
  </si>
  <si>
    <t>TXN-100831</t>
  </si>
  <si>
    <t>CUST-2657</t>
  </si>
  <si>
    <t>TXN-100832</t>
  </si>
  <si>
    <t>TXN-100833</t>
  </si>
  <si>
    <t>CUST-3984</t>
  </si>
  <si>
    <t>TXN-100834</t>
  </si>
  <si>
    <t>TXN-100835</t>
  </si>
  <si>
    <t>CUST-2336</t>
  </si>
  <si>
    <t>TXN-100836</t>
  </si>
  <si>
    <t>CUST-1801</t>
  </si>
  <si>
    <t>TXN-100837</t>
  </si>
  <si>
    <t>CUST-1796</t>
  </si>
  <si>
    <t>TXN-100838</t>
  </si>
  <si>
    <t>CUST-2628</t>
  </si>
  <si>
    <t>TXN-100839</t>
  </si>
  <si>
    <t>CUST-2412</t>
  </si>
  <si>
    <t>TXN-100840</t>
  </si>
  <si>
    <t>CUST-4037</t>
  </si>
  <si>
    <t>TXN-100841</t>
  </si>
  <si>
    <t>CUST-1571</t>
  </si>
  <si>
    <t>TXN-100842</t>
  </si>
  <si>
    <t>CUST-4097</t>
  </si>
  <si>
    <t>TXN-100843</t>
  </si>
  <si>
    <t>CUST-3276</t>
  </si>
  <si>
    <t>TXN-100844</t>
  </si>
  <si>
    <t>CUST-2185</t>
  </si>
  <si>
    <t>TXN-100845</t>
  </si>
  <si>
    <t>CUST-1919</t>
  </si>
  <si>
    <t>TXN-100846</t>
  </si>
  <si>
    <t>CUST-2935</t>
  </si>
  <si>
    <t>TXN-100847</t>
  </si>
  <si>
    <t>CUST-2002</t>
  </si>
  <si>
    <t>TXN-100848</t>
  </si>
  <si>
    <t>TXN-100849</t>
  </si>
  <si>
    <t>TXN-100850</t>
  </si>
  <si>
    <t>CUST-2888</t>
  </si>
  <si>
    <t>TXN-100851</t>
  </si>
  <si>
    <t>CUST-4735</t>
  </si>
  <si>
    <t>TXN-100852</t>
  </si>
  <si>
    <t>CUST-4139</t>
  </si>
  <si>
    <t>TXN-100853</t>
  </si>
  <si>
    <t>CUST-4573</t>
  </si>
  <si>
    <t>TXN-100854</t>
  </si>
  <si>
    <t>TXN-100855</t>
  </si>
  <si>
    <t>CUST-2687</t>
  </si>
  <si>
    <t>TXN-100856</t>
  </si>
  <si>
    <t>CUST-4256</t>
  </si>
  <si>
    <t>TXN-100857</t>
  </si>
  <si>
    <t>CUST-2426</t>
  </si>
  <si>
    <t>TXN-100858</t>
  </si>
  <si>
    <t>CUST-2247</t>
  </si>
  <si>
    <t>TXN-100859</t>
  </si>
  <si>
    <t>CUST-2259</t>
  </si>
  <si>
    <t>TXN-100860</t>
  </si>
  <si>
    <t>CUST-4173</t>
  </si>
  <si>
    <t>TXN-100861</t>
  </si>
  <si>
    <t>TXN-100862</t>
  </si>
  <si>
    <t>CUST-1042</t>
  </si>
  <si>
    <t>TXN-100863</t>
  </si>
  <si>
    <t>TXN-100864</t>
  </si>
  <si>
    <t>TXN-100865</t>
  </si>
  <si>
    <t>CUST-3931</t>
  </si>
  <si>
    <t>TXN-100866</t>
  </si>
  <si>
    <t>CUST-4486</t>
  </si>
  <si>
    <t>TXN-100867</t>
  </si>
  <si>
    <t>CUST-2554</t>
  </si>
  <si>
    <t>TXN-100868</t>
  </si>
  <si>
    <t>CUST-1506</t>
  </si>
  <si>
    <t>TXN-100869</t>
  </si>
  <si>
    <t>CUST-3282</t>
  </si>
  <si>
    <t>TXN-100870</t>
  </si>
  <si>
    <t>CUST-3459</t>
  </si>
  <si>
    <t>TXN-100871</t>
  </si>
  <si>
    <t>CUST-1773</t>
  </si>
  <si>
    <t>TXN-100872</t>
  </si>
  <si>
    <t>TXN-100873</t>
  </si>
  <si>
    <t>CUST-2617</t>
  </si>
  <si>
    <t>TXN-100874</t>
  </si>
  <si>
    <t>CUST-4994</t>
  </si>
  <si>
    <t>TXN-100875</t>
  </si>
  <si>
    <t>CUST-3970</t>
  </si>
  <si>
    <t>TXN-100876</t>
  </si>
  <si>
    <t>CUST-3730</t>
  </si>
  <si>
    <t>TXN-100877</t>
  </si>
  <si>
    <t>TXN-100878</t>
  </si>
  <si>
    <t>CUST-4400</t>
  </si>
  <si>
    <t>TXN-100879</t>
  </si>
  <si>
    <t>CUST-3547</t>
  </si>
  <si>
    <t>TXN-100880</t>
  </si>
  <si>
    <t>CUST-1827</t>
  </si>
  <si>
    <t>TXN-100881</t>
  </si>
  <si>
    <t>CUST-4315</t>
  </si>
  <si>
    <t>TXN-100882</t>
  </si>
  <si>
    <t>CUST-4493</t>
  </si>
  <si>
    <t>TXN-100883</t>
  </si>
  <si>
    <t>CUST-4524</t>
  </si>
  <si>
    <t>TXN-100884</t>
  </si>
  <si>
    <t>CUST-2996</t>
  </si>
  <si>
    <t>TXN-100885</t>
  </si>
  <si>
    <t>CUST-4499</t>
  </si>
  <si>
    <t>TXN-100886</t>
  </si>
  <si>
    <t>CUST-3526</t>
  </si>
  <si>
    <t>TXN-100887</t>
  </si>
  <si>
    <t>CUST-1525</t>
  </si>
  <si>
    <t>TXN-100888</t>
  </si>
  <si>
    <t>CUST-2753</t>
  </si>
  <si>
    <t>TXN-100889</t>
  </si>
  <si>
    <t>TXN-100890</t>
  </si>
  <si>
    <t>CUST-1080</t>
  </si>
  <si>
    <t>TXN-100891</t>
  </si>
  <si>
    <t>CUST-3850</t>
  </si>
  <si>
    <t>TXN-100892</t>
  </si>
  <si>
    <t>CUST-1400</t>
  </si>
  <si>
    <t>TXN-100893</t>
  </si>
  <si>
    <t>CUST-2226</t>
  </si>
  <si>
    <t>TXN-100894</t>
  </si>
  <si>
    <t>CUST-1876</t>
  </si>
  <si>
    <t>TXN-100895</t>
  </si>
  <si>
    <t>CUST-3558</t>
  </si>
  <si>
    <t>TXN-100896</t>
  </si>
  <si>
    <t>CUST-3320</t>
  </si>
  <si>
    <t>TXN-100897</t>
  </si>
  <si>
    <t>CUST-2773</t>
  </si>
  <si>
    <t>TXN-100898</t>
  </si>
  <si>
    <t>CUST-1739</t>
  </si>
  <si>
    <t>TXN-100899</t>
  </si>
  <si>
    <t>TXN-100900</t>
  </si>
  <si>
    <t>CUST-1245</t>
  </si>
  <si>
    <t>TXN-100901</t>
  </si>
  <si>
    <t>TXN-100902</t>
  </si>
  <si>
    <t>CUST-4465</t>
  </si>
  <si>
    <t>TXN-100903</t>
  </si>
  <si>
    <t>CUST-1465</t>
  </si>
  <si>
    <t>TXN-100904</t>
  </si>
  <si>
    <t>TXN-100905</t>
  </si>
  <si>
    <t>CUST-2058</t>
  </si>
  <si>
    <t>TXN-100906</t>
  </si>
  <si>
    <t>CUST-4204</t>
  </si>
  <si>
    <t>TXN-100907</t>
  </si>
  <si>
    <t>CUST-4688</t>
  </si>
  <si>
    <t>TXN-100908</t>
  </si>
  <si>
    <t>CUST-3338</t>
  </si>
  <si>
    <t>TXN-100909</t>
  </si>
  <si>
    <t>TXN-100910</t>
  </si>
  <si>
    <t>CUST-4831</t>
  </si>
  <si>
    <t>TXN-100911</t>
  </si>
  <si>
    <t>CUST-2672</t>
  </si>
  <si>
    <t>TXN-100912</t>
  </si>
  <si>
    <t>CUST-2296</t>
  </si>
  <si>
    <t>TXN-100913</t>
  </si>
  <si>
    <t>CUST-4364</t>
  </si>
  <si>
    <t>TXN-100914</t>
  </si>
  <si>
    <t>CUST-1981</t>
  </si>
  <si>
    <t>TXN-100915</t>
  </si>
  <si>
    <t>CUST-1499</t>
  </si>
  <si>
    <t>TXN-100916</t>
  </si>
  <si>
    <t>TXN-100917</t>
  </si>
  <si>
    <t>CUST-2664</t>
  </si>
  <si>
    <t>TXN-100918</t>
  </si>
  <si>
    <t>CUST-3938</t>
  </si>
  <si>
    <t>TXN-100919</t>
  </si>
  <si>
    <t>CUST-2441</t>
  </si>
  <si>
    <t>TXN-100920</t>
  </si>
  <si>
    <t>TXN-100921</t>
  </si>
  <si>
    <t>CUST-2251</t>
  </si>
  <si>
    <t>TXN-100922</t>
  </si>
  <si>
    <t>CUST-4125</t>
  </si>
  <si>
    <t>TXN-100923</t>
  </si>
  <si>
    <t>CUST-2067</t>
  </si>
  <si>
    <t>TXN-100924</t>
  </si>
  <si>
    <t>TXN-100925</t>
  </si>
  <si>
    <t>CUST-3650</t>
  </si>
  <si>
    <t>TXN-100926</t>
  </si>
  <si>
    <t>CUST-3531</t>
  </si>
  <si>
    <t>TXN-100927</t>
  </si>
  <si>
    <t>CUST-1480</t>
  </si>
  <si>
    <t>TXN-100928</t>
  </si>
  <si>
    <t>CUST-3024</t>
  </si>
  <si>
    <t>TXN-100929</t>
  </si>
  <si>
    <t>CUST-2564</t>
  </si>
  <si>
    <t>TXN-100930</t>
  </si>
  <si>
    <t>CUST-1775</t>
  </si>
  <si>
    <t>TXN-100931</t>
  </si>
  <si>
    <t>CUST-3530</t>
  </si>
  <si>
    <t>TXN-100932</t>
  </si>
  <si>
    <t>CUST-2920</t>
  </si>
  <si>
    <t>TXN-100933</t>
  </si>
  <si>
    <t>CUST-3901</t>
  </si>
  <si>
    <t>TXN-100934</t>
  </si>
  <si>
    <t>CUST-1213</t>
  </si>
  <si>
    <t>TXN-100935</t>
  </si>
  <si>
    <t>CUST-3066</t>
  </si>
  <si>
    <t>TXN-100936</t>
  </si>
  <si>
    <t>CUST-2066</t>
  </si>
  <si>
    <t>TXN-100937</t>
  </si>
  <si>
    <t>CUST-3909</t>
  </si>
  <si>
    <t>TXN-100938</t>
  </si>
  <si>
    <t>CUST-4570</t>
  </si>
  <si>
    <t>TXN-100939</t>
  </si>
  <si>
    <t>CUST-3117</t>
  </si>
  <si>
    <t>TXN-100940</t>
  </si>
  <si>
    <t>TXN-100941</t>
  </si>
  <si>
    <t>CUST-2926</t>
  </si>
  <si>
    <t>TXN-100942</t>
  </si>
  <si>
    <t>CUST-2460</t>
  </si>
  <si>
    <t>TXN-100943</t>
  </si>
  <si>
    <t>CUST-1383</t>
  </si>
  <si>
    <t>TXN-100944</t>
  </si>
  <si>
    <t>CUST-3398</t>
  </si>
  <si>
    <t>TXN-100945</t>
  </si>
  <si>
    <t>CUST-2008</t>
  </si>
  <si>
    <t>TXN-100946</t>
  </si>
  <si>
    <t>TXN-100947</t>
  </si>
  <si>
    <t>TXN-100948</t>
  </si>
  <si>
    <t>TXN-100949</t>
  </si>
  <si>
    <t>CUST-2158</t>
  </si>
  <si>
    <t>TXN-100950</t>
  </si>
  <si>
    <t>CUST-2045</t>
  </si>
  <si>
    <t>TXN-100951</t>
  </si>
  <si>
    <t>CUST-4192</t>
  </si>
  <si>
    <t>TXN-100952</t>
  </si>
  <si>
    <t>TXN-100953</t>
  </si>
  <si>
    <t>TXN-100954</t>
  </si>
  <si>
    <t>TXN-100955</t>
  </si>
  <si>
    <t>CUST-2744</t>
  </si>
  <si>
    <t>TXN-100956</t>
  </si>
  <si>
    <t>TXN-100957</t>
  </si>
  <si>
    <t>CUST-1324</t>
  </si>
  <si>
    <t>TXN-100958</t>
  </si>
  <si>
    <t>TXN-100959</t>
  </si>
  <si>
    <t>CUST-1440</t>
  </si>
  <si>
    <t>TXN-100960</t>
  </si>
  <si>
    <t>TXN-100961</t>
  </si>
  <si>
    <t>CUST-4452</t>
  </si>
  <si>
    <t>TXN-100962</t>
  </si>
  <si>
    <t>CUST-3965</t>
  </si>
  <si>
    <t>TXN-100963</t>
  </si>
  <si>
    <t>CUST-1864</t>
  </si>
  <si>
    <t>TXN-100964</t>
  </si>
  <si>
    <t>CUST-1073</t>
  </si>
  <si>
    <t>TXN-100965</t>
  </si>
  <si>
    <t>TXN-100966</t>
  </si>
  <si>
    <t>CUST-1358</t>
  </si>
  <si>
    <t>TXN-100967</t>
  </si>
  <si>
    <t>CUST-4518</t>
  </si>
  <si>
    <t>TXN-100968</t>
  </si>
  <si>
    <t>TXN-100969</t>
  </si>
  <si>
    <t>CUST-1477</t>
  </si>
  <si>
    <t>TXN-100970</t>
  </si>
  <si>
    <t>CUST-3397</t>
  </si>
  <si>
    <t>TXN-100971</t>
  </si>
  <si>
    <t>CUST-1420</t>
  </si>
  <si>
    <t>TXN-100972</t>
  </si>
  <si>
    <t>CUST-2637</t>
  </si>
  <si>
    <t>TXN-100973</t>
  </si>
  <si>
    <t>CUST-3163</t>
  </si>
  <si>
    <t>TXN-100974</t>
  </si>
  <si>
    <t>CUST-2708</t>
  </si>
  <si>
    <t>TXN-100975</t>
  </si>
  <si>
    <t>TXN-100976</t>
  </si>
  <si>
    <t>CUST-3079</t>
  </si>
  <si>
    <t>TXN-100977</t>
  </si>
  <si>
    <t>CUST-3961</t>
  </si>
  <si>
    <t>TXN-100978</t>
  </si>
  <si>
    <t>CUST-4068</t>
  </si>
  <si>
    <t>TXN-100979</t>
  </si>
  <si>
    <t>CUST-3015</t>
  </si>
  <si>
    <t>TXN-100980</t>
  </si>
  <si>
    <t>TXN-100981</t>
  </si>
  <si>
    <t>CUST-1130</t>
  </si>
  <si>
    <t>TXN-100982</t>
  </si>
  <si>
    <t>CUST-1917</t>
  </si>
  <si>
    <t>TXN-100983</t>
  </si>
  <si>
    <t>CUST-2095</t>
  </si>
  <si>
    <t>TXN-100984</t>
  </si>
  <si>
    <t>CUST-4795</t>
  </si>
  <si>
    <t>TXN-100985</t>
  </si>
  <si>
    <t>CUST-1171</t>
  </si>
  <si>
    <t>TXN-100986</t>
  </si>
  <si>
    <t>CUST-3900</t>
  </si>
  <si>
    <t>TXN-100987</t>
  </si>
  <si>
    <t>CUST-2489</t>
  </si>
  <si>
    <t>TXN-100988</t>
  </si>
  <si>
    <t>CUST-2004</t>
  </si>
  <si>
    <t>TXN-100989</t>
  </si>
  <si>
    <t>CUST-3929</t>
  </si>
  <si>
    <t>TXN-100990</t>
  </si>
  <si>
    <t>TXN-100991</t>
  </si>
  <si>
    <t>CUST-1596</t>
  </si>
  <si>
    <t>TXN-100992</t>
  </si>
  <si>
    <t>CUST-4163</t>
  </si>
  <si>
    <t>TXN-100993</t>
  </si>
  <si>
    <t>CUST-1618</t>
  </si>
  <si>
    <t>TXN-100994</t>
  </si>
  <si>
    <t>CUST-3267</t>
  </si>
  <si>
    <t>TXN-100995</t>
  </si>
  <si>
    <t>CUST-4770</t>
  </si>
  <si>
    <t>TXN-100996</t>
  </si>
  <si>
    <t>CUST-4229</t>
  </si>
  <si>
    <t>TXN-100997</t>
  </si>
  <si>
    <t>CUST-1151</t>
  </si>
  <si>
    <t>TXN-100998</t>
  </si>
  <si>
    <t>CUST-3095</t>
  </si>
  <si>
    <t>TXN-100999</t>
  </si>
  <si>
    <t>CUST-3426</t>
  </si>
  <si>
    <t>TXN-101000</t>
  </si>
  <si>
    <t>CUST-4447</t>
  </si>
  <si>
    <t>Segment</t>
  </si>
  <si>
    <t>Acquisition Channel</t>
  </si>
  <si>
    <t>Join Date</t>
  </si>
  <si>
    <t>Last Order Date</t>
  </si>
  <si>
    <t>Days Since Last Order</t>
  </si>
  <si>
    <t>Total Orders</t>
  </si>
  <si>
    <t>Lifetime Value ($)</t>
  </si>
  <si>
    <t>Avg Order Value ($)</t>
  </si>
  <si>
    <t>Preferred Category</t>
  </si>
  <si>
    <t>Email Subscriber</t>
  </si>
  <si>
    <t>Discount Sensitivity</t>
  </si>
  <si>
    <t>NPS Score</t>
  </si>
  <si>
    <t>Age Group</t>
  </si>
  <si>
    <t>CUST-1000</t>
  </si>
  <si>
    <t>Loyal High-Value</t>
  </si>
  <si>
    <t>Influencer</t>
  </si>
  <si>
    <t>Medium</t>
  </si>
  <si>
    <t>55+</t>
  </si>
  <si>
    <t>CUST-1001</t>
  </si>
  <si>
    <t>At-Risk Churner</t>
  </si>
  <si>
    <t>Paid Social</t>
  </si>
  <si>
    <t>CUST-1002</t>
  </si>
  <si>
    <t>Dormant</t>
  </si>
  <si>
    <t>Email Campaign</t>
  </si>
  <si>
    <t>Low</t>
  </si>
  <si>
    <t>18-24</t>
  </si>
  <si>
    <t>Occasional Buyer</t>
  </si>
  <si>
    <t>CUST-1004</t>
  </si>
  <si>
    <t>New Customer</t>
  </si>
  <si>
    <t>Referral</t>
  </si>
  <si>
    <t>CUST-1005</t>
  </si>
  <si>
    <t>CUST-1006</t>
  </si>
  <si>
    <t>CUST-1007</t>
  </si>
  <si>
    <t>CUST-1008</t>
  </si>
  <si>
    <t>CUST-1009</t>
  </si>
  <si>
    <t>High</t>
  </si>
  <si>
    <t>25-34</t>
  </si>
  <si>
    <t>Direct</t>
  </si>
  <si>
    <t>45-54</t>
  </si>
  <si>
    <t>CUST-1012</t>
  </si>
  <si>
    <t>Organic Search</t>
  </si>
  <si>
    <t>CUST-1014</t>
  </si>
  <si>
    <t>Deal Hunter</t>
  </si>
  <si>
    <t>CUST-1017</t>
  </si>
  <si>
    <t>CUST-1018</t>
  </si>
  <si>
    <t>CUST-1019</t>
  </si>
  <si>
    <t>CUST-1020</t>
  </si>
  <si>
    <t>CUST-1022</t>
  </si>
  <si>
    <t>CUST-1023</t>
  </si>
  <si>
    <t>CUST-1024</t>
  </si>
  <si>
    <t>35-44</t>
  </si>
  <si>
    <t>CUST-1025</t>
  </si>
  <si>
    <t>CUST-1026</t>
  </si>
  <si>
    <t>CUST-1027</t>
  </si>
  <si>
    <t>CUST-1028</t>
  </si>
  <si>
    <t>CUST-1029</t>
  </si>
  <si>
    <t>CUST-1032</t>
  </si>
  <si>
    <t>CUST-1035</t>
  </si>
  <si>
    <t>CUST-1037</t>
  </si>
  <si>
    <t>CUST-1038</t>
  </si>
  <si>
    <t>CUST-1040</t>
  </si>
  <si>
    <t>CUST-1041</t>
  </si>
  <si>
    <t>CUST-1044</t>
  </si>
  <si>
    <t>CUST-1045</t>
  </si>
  <si>
    <t>CUST-1046</t>
  </si>
  <si>
    <t>CUST-1047</t>
  </si>
  <si>
    <t>CUST-1049</t>
  </si>
  <si>
    <t>CUST-1051</t>
  </si>
  <si>
    <t>CUST-1052</t>
  </si>
  <si>
    <t>CUST-1053</t>
  </si>
  <si>
    <t>CUST-1054</t>
  </si>
  <si>
    <t>CUST-1055</t>
  </si>
  <si>
    <t>CUST-1056</t>
  </si>
  <si>
    <t>CUST-1057</t>
  </si>
  <si>
    <t>CUST-1059</t>
  </si>
  <si>
    <t>CUST-1060</t>
  </si>
  <si>
    <t>CUST-1061</t>
  </si>
  <si>
    <t>CUST-1062</t>
  </si>
  <si>
    <t>CUST-1063</t>
  </si>
  <si>
    <t>CUST-1065</t>
  </si>
  <si>
    <t>CUST-1066</t>
  </si>
  <si>
    <t>CUST-1067</t>
  </si>
  <si>
    <t>CUST-1068</t>
  </si>
  <si>
    <t>CUST-1069</t>
  </si>
  <si>
    <t>CUST-1070</t>
  </si>
  <si>
    <t>CUST-1071</t>
  </si>
  <si>
    <t>CUST-1075</t>
  </si>
  <si>
    <t>CUST-1077</t>
  </si>
  <si>
    <t>CUST-1078</t>
  </si>
  <si>
    <t>CUST-1079</t>
  </si>
  <si>
    <t>CUST-1081</t>
  </si>
  <si>
    <t>CUST-1082</t>
  </si>
  <si>
    <t>CUST-1083</t>
  </si>
  <si>
    <t>CUST-1084</t>
  </si>
  <si>
    <t>CUST-1085</t>
  </si>
  <si>
    <t>CUST-1086</t>
  </si>
  <si>
    <t>CUST-1087</t>
  </si>
  <si>
    <t>CUST-1088</t>
  </si>
  <si>
    <t>CUST-1089</t>
  </si>
  <si>
    <t>CUST-1090</t>
  </si>
  <si>
    <t>CUST-1092</t>
  </si>
  <si>
    <t>CUST-1093</t>
  </si>
  <si>
    <t>CUST-1094</t>
  </si>
  <si>
    <t>CUST-1095</t>
  </si>
  <si>
    <t>CUST-1096</t>
  </si>
  <si>
    <t>CUST-1097</t>
  </si>
  <si>
    <t>CUST-1098</t>
  </si>
  <si>
    <t>CUST-1099</t>
  </si>
  <si>
    <t>CUST-1100</t>
  </si>
  <si>
    <t>CUST-1101</t>
  </si>
  <si>
    <t>CUST-1102</t>
  </si>
  <si>
    <t>CUST-1103</t>
  </si>
  <si>
    <t>CUST-1104</t>
  </si>
  <si>
    <t>CUST-1105</t>
  </si>
  <si>
    <t>CUST-1107</t>
  </si>
  <si>
    <t>CUST-1108</t>
  </si>
  <si>
    <t>CUST-1111</t>
  </si>
  <si>
    <t>CUST-1112</t>
  </si>
  <si>
    <t>CUST-1113</t>
  </si>
  <si>
    <t>CUST-1114</t>
  </si>
  <si>
    <t>CUST-1115</t>
  </si>
  <si>
    <t>CUST-1116</t>
  </si>
  <si>
    <t>CUST-1117</t>
  </si>
  <si>
    <t>CUST-1118</t>
  </si>
  <si>
    <t>CUST-1119</t>
  </si>
  <si>
    <t>CUST-1122</t>
  </si>
  <si>
    <t>CUST-1123</t>
  </si>
  <si>
    <t>CUST-1124</t>
  </si>
  <si>
    <t>CUST-1125</t>
  </si>
  <si>
    <t>CUST-1126</t>
  </si>
  <si>
    <t>CUST-1127</t>
  </si>
  <si>
    <t>CUST-1128</t>
  </si>
  <si>
    <t>CUST-1129</t>
  </si>
  <si>
    <t>CUST-1131</t>
  </si>
  <si>
    <t>CUST-1132</t>
  </si>
  <si>
    <t>CUST-1134</t>
  </si>
  <si>
    <t>CUST-1135</t>
  </si>
  <si>
    <t>CUST-1136</t>
  </si>
  <si>
    <t>CUST-1137</t>
  </si>
  <si>
    <t>CUST-1138</t>
  </si>
  <si>
    <t>CUST-1139</t>
  </si>
  <si>
    <t>CUST-1140</t>
  </si>
  <si>
    <t>CUST-1141</t>
  </si>
  <si>
    <t>CUST-1142</t>
  </si>
  <si>
    <t>CUST-1143</t>
  </si>
  <si>
    <t>CUST-1144</t>
  </si>
  <si>
    <t>CUST-1145</t>
  </si>
  <si>
    <t>CUST-1146</t>
  </si>
  <si>
    <t>CUST-1148</t>
  </si>
  <si>
    <t>CUST-1149</t>
  </si>
  <si>
    <t>CUST-1150</t>
  </si>
  <si>
    <t>CUST-1152</t>
  </si>
  <si>
    <t>CUST-1153</t>
  </si>
  <si>
    <t>CUST-1155</t>
  </si>
  <si>
    <t>CUST-1156</t>
  </si>
  <si>
    <t>CUST-1157</t>
  </si>
  <si>
    <t>CUST-1158</t>
  </si>
  <si>
    <t>CUST-1159</t>
  </si>
  <si>
    <t>CUST-1160</t>
  </si>
  <si>
    <t>CUST-1162</t>
  </si>
  <si>
    <t>CUST-1163</t>
  </si>
  <si>
    <t>CUST-1164</t>
  </si>
  <si>
    <t>CUST-1165</t>
  </si>
  <si>
    <t>CUST-1166</t>
  </si>
  <si>
    <t>CUST-1167</t>
  </si>
  <si>
    <t>CUST-1168</t>
  </si>
  <si>
    <t>CUST-1169</t>
  </si>
  <si>
    <t>CUST-1170</t>
  </si>
  <si>
    <t>CUST-1172</t>
  </si>
  <si>
    <t>CUST-1174</t>
  </si>
  <si>
    <t>CUST-1175</t>
  </si>
  <si>
    <t>CUST-1176</t>
  </si>
  <si>
    <t>CUST-1177</t>
  </si>
  <si>
    <t>CUST-1179</t>
  </si>
  <si>
    <t>CUST-1180</t>
  </si>
  <si>
    <t>CUST-1181</t>
  </si>
  <si>
    <t>CUST-1182</t>
  </si>
  <si>
    <t>CUST-1183</t>
  </si>
  <si>
    <t>CUST-1184</t>
  </si>
  <si>
    <t>CUST-1186</t>
  </si>
  <si>
    <t>CUST-1188</t>
  </si>
  <si>
    <t>CUST-1189</t>
  </si>
  <si>
    <t>CUST-1191</t>
  </si>
  <si>
    <t>CUST-1193</t>
  </si>
  <si>
    <t>CUST-1194</t>
  </si>
  <si>
    <t>CUST-1195</t>
  </si>
  <si>
    <t>CUST-1196</t>
  </si>
  <si>
    <t>CUST-1197</t>
  </si>
  <si>
    <t>CUST-1199</t>
  </si>
  <si>
    <t>CUST-1200</t>
  </si>
  <si>
    <t>CUST-1201</t>
  </si>
  <si>
    <t>CUST-1202</t>
  </si>
  <si>
    <t>CUST-1203</t>
  </si>
  <si>
    <t>CUST-1204</t>
  </si>
  <si>
    <t>CUST-1205</t>
  </si>
  <si>
    <t>CUST-1206</t>
  </si>
  <si>
    <t>CUST-1207</t>
  </si>
  <si>
    <t>CUST-1208</t>
  </si>
  <si>
    <t>CUST-1209</t>
  </si>
  <si>
    <t>CUST-1210</t>
  </si>
  <si>
    <t>CUST-1212</t>
  </si>
  <si>
    <t>CUST-1214</t>
  </si>
  <si>
    <t>CUST-1215</t>
  </si>
  <si>
    <t>CUST-1216</t>
  </si>
  <si>
    <t>CUST-1218</t>
  </si>
  <si>
    <t>CUST-1219</t>
  </si>
  <si>
    <t>CUST-1221</t>
  </si>
  <si>
    <t>CUST-1222</t>
  </si>
  <si>
    <t>CUST-1223</t>
  </si>
  <si>
    <t>CUST-1224</t>
  </si>
  <si>
    <t>CUST-1225</t>
  </si>
  <si>
    <t>CUST-1226</t>
  </si>
  <si>
    <t>CUST-1227</t>
  </si>
  <si>
    <t>CUST-1228</t>
  </si>
  <si>
    <t>CUST-1230</t>
  </si>
  <si>
    <t>CUST-1231</t>
  </si>
  <si>
    <t>CUST-1232</t>
  </si>
  <si>
    <t>CUST-1233</t>
  </si>
  <si>
    <t>CUST-1234</t>
  </si>
  <si>
    <t>CUST-1235</t>
  </si>
  <si>
    <t>CUST-1236</t>
  </si>
  <si>
    <t>CUST-1237</t>
  </si>
  <si>
    <t>CUST-1238</t>
  </si>
  <si>
    <t>CUST-1239</t>
  </si>
  <si>
    <t>CUST-1240</t>
  </si>
  <si>
    <t>CUST-1241</t>
  </si>
  <si>
    <t>CUST-1242</t>
  </si>
  <si>
    <t>CUST-1243</t>
  </si>
  <si>
    <t>CUST-1244</t>
  </si>
  <si>
    <t>CUST-1246</t>
  </si>
  <si>
    <t>CUST-1247</t>
  </si>
  <si>
    <t>CUST-1248</t>
  </si>
  <si>
    <t>CUST-1249</t>
  </si>
  <si>
    <t>CUST-1250</t>
  </si>
  <si>
    <t>CUST-1251</t>
  </si>
  <si>
    <t>CUST-1252</t>
  </si>
  <si>
    <t>CUST-1253</t>
  </si>
  <si>
    <t>CUST-1254</t>
  </si>
  <si>
    <t>CUST-1255</t>
  </si>
  <si>
    <t>CUST-1256</t>
  </si>
  <si>
    <t>CUST-1257</t>
  </si>
  <si>
    <t>CUST-1260</t>
  </si>
  <si>
    <t>CUST-1261</t>
  </si>
  <si>
    <t>CUST-1262</t>
  </si>
  <si>
    <t>CUST-1263</t>
  </si>
  <si>
    <t>CUST-1264</t>
  </si>
  <si>
    <t>CUST-1265</t>
  </si>
  <si>
    <t>CUST-1266</t>
  </si>
  <si>
    <t>CUST-1267</t>
  </si>
  <si>
    <t>CUST-1268</t>
  </si>
  <si>
    <t>CUST-1270</t>
  </si>
  <si>
    <t>CUST-1271</t>
  </si>
  <si>
    <t>CUST-1273</t>
  </si>
  <si>
    <t>CUST-1274</t>
  </si>
  <si>
    <t>CUST-1277</t>
  </si>
  <si>
    <t>CUST-1278</t>
  </si>
  <si>
    <t>CUST-1280</t>
  </si>
  <si>
    <t>CUST-1282</t>
  </si>
  <si>
    <t>CUST-1283</t>
  </si>
  <si>
    <t>CUST-1284</t>
  </si>
  <si>
    <t>CUST-1285</t>
  </si>
  <si>
    <t>CUST-1286</t>
  </si>
  <si>
    <t>CUST-1287</t>
  </si>
  <si>
    <t>CUST-1288</t>
  </si>
  <si>
    <t>CUST-1289</t>
  </si>
  <si>
    <t>CUST-1291</t>
  </si>
  <si>
    <t>CUST-1293</t>
  </si>
  <si>
    <t>CUST-1294</t>
  </si>
  <si>
    <t>CUST-1295</t>
  </si>
  <si>
    <t>CUST-1296</t>
  </si>
  <si>
    <t>CUST-1297</t>
  </si>
  <si>
    <t>CUST-1298</t>
  </si>
  <si>
    <t>CUST-1299</t>
  </si>
  <si>
    <t>CUST-1300</t>
  </si>
  <si>
    <t>CUST-1301</t>
  </si>
  <si>
    <t>CUST-1302</t>
  </si>
  <si>
    <t>CUST-1304</t>
  </si>
  <si>
    <t>CUST-1305</t>
  </si>
  <si>
    <t>CUST-1308</t>
  </si>
  <si>
    <t>CUST-1309</t>
  </si>
  <si>
    <t>CUST-1310</t>
  </si>
  <si>
    <t>CUST-1312</t>
  </si>
  <si>
    <t>CUST-1315</t>
  </si>
  <si>
    <t>CUST-1316</t>
  </si>
  <si>
    <t>CUST-1317</t>
  </si>
  <si>
    <t>CUST-1318</t>
  </si>
  <si>
    <t>CUST-1319</t>
  </si>
  <si>
    <t>CUST-1320</t>
  </si>
  <si>
    <t>CUST-1321</t>
  </si>
  <si>
    <t>CUST-1322</t>
  </si>
  <si>
    <t>CUST-1325</t>
  </si>
  <si>
    <t>CUST-1326</t>
  </si>
  <si>
    <t>CUST-1327</t>
  </si>
  <si>
    <t>CUST-1328</t>
  </si>
  <si>
    <t>CUST-1329</t>
  </si>
  <si>
    <t>CUST-1330</t>
  </si>
  <si>
    <t>CUST-1333</t>
  </si>
  <si>
    <t>CUST-1335</t>
  </si>
  <si>
    <t>CUST-1336</t>
  </si>
  <si>
    <t>CUST-1337</t>
  </si>
  <si>
    <t>CUST-1338</t>
  </si>
  <si>
    <t>CUST-1339</t>
  </si>
  <si>
    <t>CUST-1340</t>
  </si>
  <si>
    <t>CUST-1341</t>
  </si>
  <si>
    <t>CUST-1342</t>
  </si>
  <si>
    <t>CUST-1343</t>
  </si>
  <si>
    <t>CUST-1344</t>
  </si>
  <si>
    <t>CUST-1346</t>
  </si>
  <si>
    <t>CUST-1348</t>
  </si>
  <si>
    <t>CUST-1349</t>
  </si>
  <si>
    <t>CUST-1350</t>
  </si>
  <si>
    <t>CUST-1351</t>
  </si>
  <si>
    <t>CUST-1352</t>
  </si>
  <si>
    <t>CUST-1354</t>
  </si>
  <si>
    <t>CUST-1355</t>
  </si>
  <si>
    <t>CUST-1357</t>
  </si>
  <si>
    <t>CUST-1359</t>
  </si>
  <si>
    <t>CUST-1360</t>
  </si>
  <si>
    <t>CUST-1361</t>
  </si>
  <si>
    <t>CUST-1363</t>
  </si>
  <si>
    <t>CUST-1366</t>
  </si>
  <si>
    <t>CUST-1368</t>
  </si>
  <si>
    <t>CUST-1371</t>
  </si>
  <si>
    <t>CUST-1372</t>
  </si>
  <si>
    <t>CUST-1374</t>
  </si>
  <si>
    <t>CUST-1375</t>
  </si>
  <si>
    <t>CUST-1377</t>
  </si>
  <si>
    <t>CUST-1378</t>
  </si>
  <si>
    <t>CUST-1379</t>
  </si>
  <si>
    <t>CUST-1382</t>
  </si>
  <si>
    <t>CUST-1384</t>
  </si>
  <si>
    <t>CUST-1385</t>
  </si>
  <si>
    <t>CUST-1386</t>
  </si>
  <si>
    <t>CUST-1387</t>
  </si>
  <si>
    <t>CUST-1388</t>
  </si>
  <si>
    <t>CUST-1390</t>
  </si>
  <si>
    <t>CUST-1391</t>
  </si>
  <si>
    <t>CUST-1393</t>
  </si>
  <si>
    <t>CUST-1394</t>
  </si>
  <si>
    <t>CUST-1396</t>
  </si>
  <si>
    <t>CUST-1397</t>
  </si>
  <si>
    <t>CUST-1398</t>
  </si>
  <si>
    <t>CUST-1399</t>
  </si>
  <si>
    <t>CUST-1401</t>
  </si>
  <si>
    <t>CUST-1402</t>
  </si>
  <si>
    <t>CUST-1403</t>
  </si>
  <si>
    <t>CUST-1404</t>
  </si>
  <si>
    <t>CUST-1406</t>
  </si>
  <si>
    <t>CUST-1407</t>
  </si>
  <si>
    <t>CUST-1409</t>
  </si>
  <si>
    <t>CUST-1410</t>
  </si>
  <si>
    <t>CUST-1412</t>
  </si>
  <si>
    <t>CUST-1413</t>
  </si>
  <si>
    <t>CUST-1414</t>
  </si>
  <si>
    <t>CUST-1416</t>
  </si>
  <si>
    <t>CUST-1417</t>
  </si>
  <si>
    <t>CUST-1419</t>
  </si>
  <si>
    <t>CUST-1421</t>
  </si>
  <si>
    <t>CUST-1422</t>
  </si>
  <si>
    <t>CUST-1423</t>
  </si>
  <si>
    <t>CUST-1424</t>
  </si>
  <si>
    <t>CUST-1425</t>
  </si>
  <si>
    <t>CUST-1426</t>
  </si>
  <si>
    <t>CUST-1427</t>
  </si>
  <si>
    <t>CUST-1428</t>
  </si>
  <si>
    <t>CUST-1429</t>
  </si>
  <si>
    <t>CUST-1430</t>
  </si>
  <si>
    <t>CUST-1431</t>
  </si>
  <si>
    <t>CUST-1433</t>
  </si>
  <si>
    <t>CUST-1435</t>
  </si>
  <si>
    <t>CUST-1436</t>
  </si>
  <si>
    <t>CUST-1437</t>
  </si>
  <si>
    <t>CUST-1438</t>
  </si>
  <si>
    <t>CUST-1439</t>
  </si>
  <si>
    <t>CUST-1441</t>
  </si>
  <si>
    <t>CUST-1443</t>
  </si>
  <si>
    <t>CUST-1444</t>
  </si>
  <si>
    <t>CUST-1445</t>
  </si>
  <si>
    <t>CUST-1446</t>
  </si>
  <si>
    <t>CUST-1447</t>
  </si>
  <si>
    <t>CUST-1448</t>
  </si>
  <si>
    <t>CUST-1449</t>
  </si>
  <si>
    <t>CUST-1451</t>
  </si>
  <si>
    <t>CUST-1452</t>
  </si>
  <si>
    <t>CUST-1453</t>
  </si>
  <si>
    <t>CUST-1454</t>
  </si>
  <si>
    <t>CUST-1455</t>
  </si>
  <si>
    <t>CUST-1456</t>
  </si>
  <si>
    <t>CUST-1457</t>
  </si>
  <si>
    <t>CUST-1458</t>
  </si>
  <si>
    <t>CUST-1459</t>
  </si>
  <si>
    <t>CUST-1461</t>
  </si>
  <si>
    <t>CUST-1463</t>
  </si>
  <si>
    <t>CUST-1464</t>
  </si>
  <si>
    <t>CUST-1467</t>
  </si>
  <si>
    <t>CUST-1469</t>
  </si>
  <si>
    <t>CUST-1470</t>
  </si>
  <si>
    <t>CUST-1471</t>
  </si>
  <si>
    <t>CUST-1472</t>
  </si>
  <si>
    <t>CUST-1473</t>
  </si>
  <si>
    <t>CUST-1476</t>
  </si>
  <si>
    <t>CUST-1479</t>
  </si>
  <si>
    <t>CUST-1481</t>
  </si>
  <si>
    <t>CUST-1483</t>
  </si>
  <si>
    <t>CUST-1484</t>
  </si>
  <si>
    <t>CUST-1485</t>
  </si>
  <si>
    <t>CUST-1486</t>
  </si>
  <si>
    <t>CUST-1487</t>
  </si>
  <si>
    <t>CUST-1488</t>
  </si>
  <si>
    <t>CUST-1489</t>
  </si>
  <si>
    <t>CUST-1490</t>
  </si>
  <si>
    <t>CUST-1492</t>
  </si>
  <si>
    <t>CUST-1493</t>
  </si>
  <si>
    <t>CUST-1495</t>
  </si>
  <si>
    <t>CUST-1497</t>
  </si>
  <si>
    <t>CUST-1498</t>
  </si>
  <si>
    <t>CUST-1500</t>
  </si>
  <si>
    <t>CUST-1501</t>
  </si>
  <si>
    <t>CUST-1502</t>
  </si>
  <si>
    <t>CUST-1503</t>
  </si>
  <si>
    <t>CUST-1504</t>
  </si>
  <si>
    <t>CUST-1505</t>
  </si>
  <si>
    <t>CUST-1507</t>
  </si>
  <si>
    <t>CUST-1508</t>
  </si>
  <si>
    <t>CUST-1509</t>
  </si>
  <si>
    <t>CUST-1510</t>
  </si>
  <si>
    <t>CUST-1511</t>
  </si>
  <si>
    <t>CUST-1512</t>
  </si>
  <si>
    <t>CUST-1513</t>
  </si>
  <si>
    <t>CUST-1515</t>
  </si>
  <si>
    <t>CUST-1516</t>
  </si>
  <si>
    <t>CUST-1517</t>
  </si>
  <si>
    <t>CUST-1518</t>
  </si>
  <si>
    <t>CUST-1520</t>
  </si>
  <si>
    <t>CUST-1522</t>
  </si>
  <si>
    <t>CUST-1523</t>
  </si>
  <si>
    <t>CUST-1524</t>
  </si>
  <si>
    <t>CUST-1526</t>
  </si>
  <si>
    <t>CUST-1527</t>
  </si>
  <si>
    <t>CUST-1528</t>
  </si>
  <si>
    <t>CUST-1529</t>
  </si>
  <si>
    <t>CUST-1532</t>
  </si>
  <si>
    <t>CUST-1533</t>
  </si>
  <si>
    <t>CUST-1535</t>
  </si>
  <si>
    <t>CUST-1536</t>
  </si>
  <si>
    <t>CUST-1537</t>
  </si>
  <si>
    <t>CUST-1538</t>
  </si>
  <si>
    <t>CUST-1539</t>
  </si>
  <si>
    <t>CUST-1540</t>
  </si>
  <si>
    <t>CUST-1541</t>
  </si>
  <si>
    <t>CUST-1542</t>
  </si>
  <si>
    <t>CUST-1543</t>
  </si>
  <si>
    <t>CUST-1544</t>
  </si>
  <si>
    <t>CUST-1545</t>
  </si>
  <si>
    <t>CUST-1546</t>
  </si>
  <si>
    <t>CUST-1547</t>
  </si>
  <si>
    <t>CUST-1548</t>
  </si>
  <si>
    <t>CUST-1549</t>
  </si>
  <si>
    <t>CUST-1551</t>
  </si>
  <si>
    <t>CUST-1552</t>
  </si>
  <si>
    <t>CUST-1553</t>
  </si>
  <si>
    <t>CUST-1556</t>
  </si>
  <si>
    <t>CUST-1557</t>
  </si>
  <si>
    <t>CUST-1558</t>
  </si>
  <si>
    <t>CUST-1560</t>
  </si>
  <si>
    <t>CUST-1564</t>
  </si>
  <si>
    <t>CUST-1566</t>
  </si>
  <si>
    <t>CUST-1567</t>
  </si>
  <si>
    <t>CUST-1568</t>
  </si>
  <si>
    <t>CUST-1569</t>
  </si>
  <si>
    <t>CUST-1570</t>
  </si>
  <si>
    <t>CUST-1573</t>
  </si>
  <si>
    <t>CUST-1575</t>
  </si>
  <si>
    <t>CUST-1576</t>
  </si>
  <si>
    <t>CUST-1577</t>
  </si>
  <si>
    <t>CUST-1578</t>
  </si>
  <si>
    <t>CUST-1579</t>
  </si>
  <si>
    <t>CUST-1580</t>
  </si>
  <si>
    <t>CUST-1581</t>
  </si>
  <si>
    <t>CUST-1582</t>
  </si>
  <si>
    <t>CUST-1584</t>
  </si>
  <si>
    <t>CUST-1585</t>
  </si>
  <si>
    <t>CUST-1587</t>
  </si>
  <si>
    <t>CUST-1588</t>
  </si>
  <si>
    <t>CUST-1590</t>
  </si>
  <si>
    <t>CUST-1592</t>
  </si>
  <si>
    <t>CUST-1594</t>
  </si>
  <si>
    <t>CUST-1595</t>
  </si>
  <si>
    <t>CUST-1597</t>
  </si>
  <si>
    <t>CUST-1598</t>
  </si>
  <si>
    <t>CUST-1599</t>
  </si>
  <si>
    <t>CUST-1600</t>
  </si>
  <si>
    <t>CUST-1601</t>
  </si>
  <si>
    <t>CUST-1602</t>
  </si>
  <si>
    <t>CUST-1603</t>
  </si>
  <si>
    <t>CUST-1604</t>
  </si>
  <si>
    <t>CUST-1605</t>
  </si>
  <si>
    <t>CUST-1606</t>
  </si>
  <si>
    <t>CUST-1608</t>
  </si>
  <si>
    <t>CUST-1610</t>
  </si>
  <si>
    <t>CUST-1611</t>
  </si>
  <si>
    <t>CUST-1614</t>
  </si>
  <si>
    <t>CUST-1615</t>
  </si>
  <si>
    <t>CUST-1616</t>
  </si>
  <si>
    <t>CUST-1617</t>
  </si>
  <si>
    <t>CUST-1619</t>
  </si>
  <si>
    <t>CUST-1620</t>
  </si>
  <si>
    <t>CUST-1621</t>
  </si>
  <si>
    <t>CUST-1622</t>
  </si>
  <si>
    <t>CUST-1623</t>
  </si>
  <si>
    <t>CUST-1624</t>
  </si>
  <si>
    <t>CUST-1625</t>
  </si>
  <si>
    <t>CUST-1626</t>
  </si>
  <si>
    <t>CUST-1628</t>
  </si>
  <si>
    <t>CUST-1629</t>
  </si>
  <si>
    <t>CUST-1630</t>
  </si>
  <si>
    <t>CUST-1631</t>
  </si>
  <si>
    <t>CUST-1632</t>
  </si>
  <si>
    <t>CUST-1633</t>
  </si>
  <si>
    <t>CUST-1635</t>
  </si>
  <si>
    <t>CUST-1636</t>
  </si>
  <si>
    <t>CUST-1637</t>
  </si>
  <si>
    <t>CUST-1638</t>
  </si>
  <si>
    <t>CUST-1639</t>
  </si>
  <si>
    <t>CUST-1640</t>
  </si>
  <si>
    <t>CUST-1642</t>
  </si>
  <si>
    <t>CUST-1643</t>
  </si>
  <si>
    <t>CUST-1645</t>
  </si>
  <si>
    <t>CUST-1646</t>
  </si>
  <si>
    <t>CUST-1647</t>
  </si>
  <si>
    <t>CUST-1648</t>
  </si>
  <si>
    <t>CUST-1649</t>
  </si>
  <si>
    <t>CUST-1650</t>
  </si>
  <si>
    <t>CUST-1651</t>
  </si>
  <si>
    <t>CUST-1652</t>
  </si>
  <si>
    <t>CUST-1653</t>
  </si>
  <si>
    <t>CUST-1654</t>
  </si>
  <si>
    <t>CUST-1655</t>
  </si>
  <si>
    <t>CUST-1656</t>
  </si>
  <si>
    <t>CUST-1657</t>
  </si>
  <si>
    <t>CUST-1658</t>
  </si>
  <si>
    <t>CUST-1660</t>
  </si>
  <si>
    <t>CUST-1661</t>
  </si>
  <si>
    <t>CUST-1662</t>
  </si>
  <si>
    <t>CUST-1663</t>
  </si>
  <si>
    <t>CUST-1664</t>
  </si>
  <si>
    <t>CUST-1665</t>
  </si>
  <si>
    <t>CUST-1666</t>
  </si>
  <si>
    <t>CUST-1668</t>
  </si>
  <si>
    <t>CUST-1669</t>
  </si>
  <si>
    <t>CUST-1670</t>
  </si>
  <si>
    <t>CUST-1671</t>
  </si>
  <si>
    <t>CUST-1672</t>
  </si>
  <si>
    <t>CUST-1673</t>
  </si>
  <si>
    <t>CUST-1674</t>
  </si>
  <si>
    <t>CUST-1676</t>
  </si>
  <si>
    <t>CUST-1677</t>
  </si>
  <si>
    <t>CUST-1678</t>
  </si>
  <si>
    <t>CUST-1679</t>
  </si>
  <si>
    <t>CUST-1680</t>
  </si>
  <si>
    <t>CUST-1681</t>
  </si>
  <si>
    <t>CUST-1682</t>
  </si>
  <si>
    <t>CUST-1684</t>
  </si>
  <si>
    <t>CUST-1685</t>
  </si>
  <si>
    <t>CUST-1686</t>
  </si>
  <si>
    <t>CUST-1687</t>
  </si>
  <si>
    <t>CUST-1688</t>
  </si>
  <si>
    <t>CUST-1689</t>
  </si>
  <si>
    <t>CUST-1691</t>
  </si>
  <si>
    <t>CUST-1692</t>
  </si>
  <si>
    <t>CUST-1693</t>
  </si>
  <si>
    <t>CUST-1695</t>
  </si>
  <si>
    <t>CUST-1696</t>
  </si>
  <si>
    <t>CUST-1697</t>
  </si>
  <si>
    <t>CUST-1698</t>
  </si>
  <si>
    <t>CUST-1699</t>
  </si>
  <si>
    <t>CUST-1700</t>
  </si>
  <si>
    <t>CUST-1701</t>
  </si>
  <si>
    <t>CUST-1702</t>
  </si>
  <si>
    <t>CUST-1703</t>
  </si>
  <si>
    <t>CUST-1704</t>
  </si>
  <si>
    <t>CUST-1705</t>
  </si>
  <si>
    <t>CUST-1707</t>
  </si>
  <si>
    <t>CUST-1709</t>
  </si>
  <si>
    <t>CUST-1712</t>
  </si>
  <si>
    <t>CUST-1713</t>
  </si>
  <si>
    <t>CUST-1714</t>
  </si>
  <si>
    <t>CUST-1715</t>
  </si>
  <si>
    <t>CUST-1716</t>
  </si>
  <si>
    <t>CUST-1717</t>
  </si>
  <si>
    <t>CUST-1718</t>
  </si>
  <si>
    <t>CUST-1719</t>
  </si>
  <si>
    <t>CUST-1720</t>
  </si>
  <si>
    <t>CUST-1721</t>
  </si>
  <si>
    <t>CUST-1722</t>
  </si>
  <si>
    <t>CUST-1723</t>
  </si>
  <si>
    <t>CUST-1724</t>
  </si>
  <si>
    <t>CUST-1725</t>
  </si>
  <si>
    <t>CUST-1726</t>
  </si>
  <si>
    <t>CUST-1727</t>
  </si>
  <si>
    <t>CUST-1728</t>
  </si>
  <si>
    <t>CUST-1730</t>
  </si>
  <si>
    <t>CUST-1731</t>
  </si>
  <si>
    <t>CUST-1732</t>
  </si>
  <si>
    <t>CUST-1733</t>
  </si>
  <si>
    <t>CUST-1734</t>
  </si>
  <si>
    <t>CUST-1735</t>
  </si>
  <si>
    <t>CUST-1736</t>
  </si>
  <si>
    <t>CUST-1738</t>
  </si>
  <si>
    <t>CUST-1740</t>
  </si>
  <si>
    <t>CUST-1741</t>
  </si>
  <si>
    <t>CUST-1742</t>
  </si>
  <si>
    <t>CUST-1743</t>
  </si>
  <si>
    <t>CUST-1744</t>
  </si>
  <si>
    <t>CUST-1745</t>
  </si>
  <si>
    <t>CUST-1746</t>
  </si>
  <si>
    <t>CUST-1747</t>
  </si>
  <si>
    <t>CUST-1748</t>
  </si>
  <si>
    <t>CUST-1749</t>
  </si>
  <si>
    <t>CUST-1750</t>
  </si>
  <si>
    <t>CUST-1751</t>
  </si>
  <si>
    <t>CUST-1752</t>
  </si>
  <si>
    <t>CUST-1753</t>
  </si>
  <si>
    <t>CUST-1754</t>
  </si>
  <si>
    <t>CUST-1755</t>
  </si>
  <si>
    <t>CUST-1756</t>
  </si>
  <si>
    <t>CUST-1757</t>
  </si>
  <si>
    <t>CUST-1758</t>
  </si>
  <si>
    <t>CUST-1759</t>
  </si>
  <si>
    <t>CUST-1760</t>
  </si>
  <si>
    <t>CUST-1762</t>
  </si>
  <si>
    <t>CUST-1766</t>
  </si>
  <si>
    <t>CUST-1767</t>
  </si>
  <si>
    <t>CUST-1769</t>
  </si>
  <si>
    <t>CUST-1771</t>
  </si>
  <si>
    <t>CUST-1772</t>
  </si>
  <si>
    <t>CUST-1774</t>
  </si>
  <si>
    <t>CUST-1776</t>
  </si>
  <si>
    <t>CUST-1777</t>
  </si>
  <si>
    <t>CUST-1778</t>
  </si>
  <si>
    <t>CUST-1779</t>
  </si>
  <si>
    <t>CUST-1780</t>
  </si>
  <si>
    <t>CUST-1781</t>
  </si>
  <si>
    <t>CUST-1783</t>
  </si>
  <si>
    <t>CUST-1785</t>
  </si>
  <si>
    <t>CUST-1786</t>
  </si>
  <si>
    <t>CUST-1787</t>
  </si>
  <si>
    <t>CUST-1789</t>
  </si>
  <si>
    <t>CUST-1790</t>
  </si>
  <si>
    <t>CUST-1791</t>
  </si>
  <si>
    <t>CUST-1793</t>
  </si>
  <si>
    <t>CUST-1795</t>
  </si>
  <si>
    <t>CUST-1797</t>
  </si>
  <si>
    <t>CUST-1798</t>
  </si>
  <si>
    <t>CUST-1799</t>
  </si>
  <si>
    <t>CUST-1800</t>
  </si>
  <si>
    <t>CUST-1802</t>
  </si>
  <si>
    <t>CUST-1804</t>
  </si>
  <si>
    <t>CUST-1805</t>
  </si>
  <si>
    <t>CUST-1806</t>
  </si>
  <si>
    <t>CUST-1807</t>
  </si>
  <si>
    <t>CUST-1808</t>
  </si>
  <si>
    <t>CUST-1809</t>
  </si>
  <si>
    <t>CUST-1810</t>
  </si>
  <si>
    <t>CUST-1811</t>
  </si>
  <si>
    <t>CUST-1812</t>
  </si>
  <si>
    <t>CUST-1813</t>
  </si>
  <si>
    <t>CUST-1814</t>
  </si>
  <si>
    <t>CUST-1817</t>
  </si>
  <si>
    <t>CUST-1818</t>
  </si>
  <si>
    <t>CUST-1819</t>
  </si>
  <si>
    <t>CUST-1823</t>
  </si>
  <si>
    <t>CUST-1825</t>
  </si>
  <si>
    <t>CUST-1826</t>
  </si>
  <si>
    <t>CUST-1828</t>
  </si>
  <si>
    <t>CUST-1829</t>
  </si>
  <si>
    <t>CUST-1832</t>
  </si>
  <si>
    <t>CUST-1833</t>
  </si>
  <si>
    <t>CUST-1834</t>
  </si>
  <si>
    <t>CUST-1835</t>
  </si>
  <si>
    <t>CUST-1836</t>
  </si>
  <si>
    <t>CUST-1837</t>
  </si>
  <si>
    <t>CUST-1838</t>
  </si>
  <si>
    <t>CUST-1839</t>
  </si>
  <si>
    <t>CUST-1840</t>
  </si>
  <si>
    <t>CUST-1841</t>
  </si>
  <si>
    <t>CUST-1842</t>
  </si>
  <si>
    <t>CUST-1843</t>
  </si>
  <si>
    <t>CUST-1844</t>
  </si>
  <si>
    <t>CUST-1845</t>
  </si>
  <si>
    <t>CUST-1849</t>
  </si>
  <si>
    <t>CUST-1850</t>
  </si>
  <si>
    <t>CUST-1851</t>
  </si>
  <si>
    <t>CUST-1852</t>
  </si>
  <si>
    <t>CUST-1853</t>
  </si>
  <si>
    <t>CUST-1854</t>
  </si>
  <si>
    <t>CUST-1855</t>
  </si>
  <si>
    <t>CUST-1856</t>
  </si>
  <si>
    <t>CUST-1857</t>
  </si>
  <si>
    <t>CUST-1858</t>
  </si>
  <si>
    <t>CUST-1859</t>
  </si>
  <si>
    <t>CUST-1860</t>
  </si>
  <si>
    <t>CUST-1861</t>
  </si>
  <si>
    <t>CUST-1862</t>
  </si>
  <si>
    <t>CUST-1865</t>
  </si>
  <si>
    <t>CUST-1866</t>
  </si>
  <si>
    <t>CUST-1869</t>
  </si>
  <si>
    <t>CUST-1870</t>
  </si>
  <si>
    <t>CUST-1872</t>
  </si>
  <si>
    <t>CUST-1873</t>
  </si>
  <si>
    <t>CUST-1874</t>
  </si>
  <si>
    <t>CUST-1875</t>
  </si>
  <si>
    <t>CUST-1877</t>
  </si>
  <si>
    <t>CUST-1878</t>
  </si>
  <si>
    <t>CUST-1880</t>
  </si>
  <si>
    <t>CUST-1881</t>
  </si>
  <si>
    <t>CUST-1882</t>
  </si>
  <si>
    <t>CUST-1883</t>
  </si>
  <si>
    <t>CUST-1884</t>
  </si>
  <si>
    <t>CUST-1885</t>
  </si>
  <si>
    <t>CUST-1886</t>
  </si>
  <si>
    <t>CUST-1887</t>
  </si>
  <si>
    <t>CUST-1888</t>
  </si>
  <si>
    <t>CUST-1889</t>
  </si>
  <si>
    <t>CUST-1890</t>
  </si>
  <si>
    <t>CUST-1891</t>
  </si>
  <si>
    <t>CUST-1892</t>
  </si>
  <si>
    <t>CUST-1893</t>
  </si>
  <si>
    <t>CUST-1894</t>
  </si>
  <si>
    <t>CUST-1895</t>
  </si>
  <si>
    <t>CUST-1898</t>
  </si>
  <si>
    <t>CUST-1899</t>
  </si>
  <si>
    <t>CUST-1900</t>
  </si>
  <si>
    <t>CUST-1901</t>
  </si>
  <si>
    <t>CUST-1902</t>
  </si>
  <si>
    <t>CUST-1903</t>
  </si>
  <si>
    <t>CUST-1905</t>
  </si>
  <si>
    <t>CUST-1906</t>
  </si>
  <si>
    <t>CUST-1907</t>
  </si>
  <si>
    <t>CUST-1908</t>
  </si>
  <si>
    <t>CUST-1909</t>
  </si>
  <si>
    <t>CUST-1910</t>
  </si>
  <si>
    <t>CUST-1911</t>
  </si>
  <si>
    <t>CUST-1912</t>
  </si>
  <si>
    <t>CUST-1913</t>
  </si>
  <si>
    <t>CUST-1914</t>
  </si>
  <si>
    <t>CUST-1915</t>
  </si>
  <si>
    <t>CUST-1918</t>
  </si>
  <si>
    <t>CUST-1921</t>
  </si>
  <si>
    <t>CUST-1922</t>
  </si>
  <si>
    <t>CUST-1923</t>
  </si>
  <si>
    <t>CUST-1924</t>
  </si>
  <si>
    <t>CUST-1925</t>
  </si>
  <si>
    <t>CUST-1927</t>
  </si>
  <si>
    <t>CUST-1929</t>
  </si>
  <si>
    <t>CUST-1930</t>
  </si>
  <si>
    <t>CUST-1931</t>
  </si>
  <si>
    <t>CUST-1932</t>
  </si>
  <si>
    <t>CUST-1933</t>
  </si>
  <si>
    <t>CUST-1934</t>
  </si>
  <si>
    <t>CUST-1935</t>
  </si>
  <si>
    <t>CUST-1937</t>
  </si>
  <si>
    <t>CUST-1938</t>
  </si>
  <si>
    <t>CUST-1939</t>
  </si>
  <si>
    <t>CUST-1940</t>
  </si>
  <si>
    <t>CUST-1941</t>
  </si>
  <si>
    <t>CUST-1943</t>
  </si>
  <si>
    <t>CUST-1944</t>
  </si>
  <si>
    <t>CUST-1945</t>
  </si>
  <si>
    <t>CUST-1946</t>
  </si>
  <si>
    <t>CUST-1947</t>
  </si>
  <si>
    <t>CUST-1948</t>
  </si>
  <si>
    <t>CUST-1950</t>
  </si>
  <si>
    <t>CUST-1952</t>
  </si>
  <si>
    <t>CUST-1955</t>
  </si>
  <si>
    <t>CUST-1957</t>
  </si>
  <si>
    <t>CUST-1958</t>
  </si>
  <si>
    <t>CUST-1959</t>
  </si>
  <si>
    <t>CUST-1961</t>
  </si>
  <si>
    <t>CUST-1962</t>
  </si>
  <si>
    <t>CUST-1964</t>
  </si>
  <si>
    <t>CUST-1966</t>
  </si>
  <si>
    <t>CUST-1967</t>
  </si>
  <si>
    <t>CUST-1968</t>
  </si>
  <si>
    <t>CUST-1970</t>
  </si>
  <si>
    <t>CUST-1971</t>
  </si>
  <si>
    <t>CUST-1972</t>
  </si>
  <si>
    <t>CUST-1975</t>
  </si>
  <si>
    <t>CUST-1980</t>
  </si>
  <si>
    <t>CUST-1982</t>
  </si>
  <si>
    <t>CUST-1983</t>
  </si>
  <si>
    <t>CUST-1984</t>
  </si>
  <si>
    <t>CUST-1987</t>
  </si>
  <si>
    <t>CUST-1988</t>
  </si>
  <si>
    <t>CUST-1989</t>
  </si>
  <si>
    <t>CUST-1991</t>
  </si>
  <si>
    <t>CUST-1992</t>
  </si>
  <si>
    <t>CUST-1993</t>
  </si>
  <si>
    <t>CUST-1994</t>
  </si>
  <si>
    <t>CUST-1995</t>
  </si>
  <si>
    <t>CUST-1997</t>
  </si>
  <si>
    <t>CUST-1998</t>
  </si>
  <si>
    <t>CUST-2000</t>
  </si>
  <si>
    <t>CUST-2001</t>
  </si>
  <si>
    <t>CUST-2003</t>
  </si>
  <si>
    <t>CUST-2005</t>
  </si>
  <si>
    <t>CUST-2006</t>
  </si>
  <si>
    <t>CUST-2007</t>
  </si>
  <si>
    <t>CUST-2009</t>
  </si>
  <si>
    <t>CUST-2010</t>
  </si>
  <si>
    <t>CUST-2011</t>
  </si>
  <si>
    <t>CUST-2013</t>
  </si>
  <si>
    <t>CUST-2014</t>
  </si>
  <si>
    <t>CUST-2017</t>
  </si>
  <si>
    <t>CUST-2019</t>
  </si>
  <si>
    <t>CUST-2020</t>
  </si>
  <si>
    <t>CUST-2021</t>
  </si>
  <si>
    <t>CUST-2023</t>
  </si>
  <si>
    <t>CUST-2024</t>
  </si>
  <si>
    <t>CUST-2025</t>
  </si>
  <si>
    <t>CUST-2027</t>
  </si>
  <si>
    <t>CUST-2028</t>
  </si>
  <si>
    <t>CUST-2029</t>
  </si>
  <si>
    <t>CUST-2030</t>
  </si>
  <si>
    <t>CUST-2031</t>
  </si>
  <si>
    <t>CUST-2032</t>
  </si>
  <si>
    <t>CUST-2034</t>
  </si>
  <si>
    <t>CUST-2035</t>
  </si>
  <si>
    <t>CUST-2036</t>
  </si>
  <si>
    <t>CUST-2037</t>
  </si>
  <si>
    <t>CUST-2038</t>
  </si>
  <si>
    <t>CUST-2039</t>
  </si>
  <si>
    <t>CUST-2040</t>
  </si>
  <si>
    <t>CUST-2041</t>
  </si>
  <si>
    <t>CUST-2042</t>
  </si>
  <si>
    <t>CUST-2043</t>
  </si>
  <si>
    <t>CUST-2046</t>
  </si>
  <si>
    <t>CUST-2047</t>
  </si>
  <si>
    <t>CUST-2048</t>
  </si>
  <si>
    <t>CUST-2049</t>
  </si>
  <si>
    <t>CUST-2050</t>
  </si>
  <si>
    <t>CUST-2051</t>
  </si>
  <si>
    <t>CUST-2052</t>
  </si>
  <si>
    <t>CUST-2053</t>
  </si>
  <si>
    <t>CUST-2054</t>
  </si>
  <si>
    <t>CUST-2055</t>
  </si>
  <si>
    <t>CUST-2056</t>
  </si>
  <si>
    <t>CUST-2057</t>
  </si>
  <si>
    <t>CUST-2059</t>
  </si>
  <si>
    <t>CUST-2061</t>
  </si>
  <si>
    <t>CUST-2062</t>
  </si>
  <si>
    <t>CUST-2063</t>
  </si>
  <si>
    <t>CUST-2065</t>
  </si>
  <si>
    <t>CUST-2068</t>
  </si>
  <si>
    <t>CUST-2069</t>
  </si>
  <si>
    <t>CUST-2070</t>
  </si>
  <si>
    <t>CUST-2072</t>
  </si>
  <si>
    <t>CUST-2073</t>
  </si>
  <si>
    <t>CUST-2074</t>
  </si>
  <si>
    <t>CUST-2075</t>
  </si>
  <si>
    <t>CUST-2076</t>
  </si>
  <si>
    <t>CUST-2079</t>
  </si>
  <si>
    <t>CUST-2080</t>
  </si>
  <si>
    <t>CUST-2081</t>
  </si>
  <si>
    <t>CUST-2083</t>
  </si>
  <si>
    <t>CUST-2084</t>
  </si>
  <si>
    <t>CUST-2085</t>
  </si>
  <si>
    <t>CUST-2088</t>
  </si>
  <si>
    <t>CUST-2089</t>
  </si>
  <si>
    <t>CUST-2090</t>
  </si>
  <si>
    <t>CUST-2091</t>
  </si>
  <si>
    <t>CUST-2092</t>
  </si>
  <si>
    <t>CUST-2094</t>
  </si>
  <si>
    <t>CUST-2096</t>
  </si>
  <si>
    <t>CUST-2097</t>
  </si>
  <si>
    <t>CUST-2100</t>
  </si>
  <si>
    <t>CUST-2101</t>
  </si>
  <si>
    <t>CUST-2102</t>
  </si>
  <si>
    <t>CUST-2104</t>
  </si>
  <si>
    <t>CUST-2106</t>
  </si>
  <si>
    <t>CUST-2107</t>
  </si>
  <si>
    <t>CUST-2108</t>
  </si>
  <si>
    <t>CUST-2109</t>
  </si>
  <si>
    <t>CUST-2111</t>
  </si>
  <si>
    <t>CUST-2112</t>
  </si>
  <si>
    <t>CUST-2115</t>
  </si>
  <si>
    <t>CUST-2116</t>
  </si>
  <si>
    <t>CUST-2118</t>
  </si>
  <si>
    <t>CUST-2119</t>
  </si>
  <si>
    <t>CUST-2121</t>
  </si>
  <si>
    <t>CUST-2123</t>
  </si>
  <si>
    <t>CUST-2124</t>
  </si>
  <si>
    <t>CUST-2125</t>
  </si>
  <si>
    <t>CUST-2126</t>
  </si>
  <si>
    <t>CUST-2128</t>
  </si>
  <si>
    <t>CUST-2130</t>
  </si>
  <si>
    <t>CUST-2131</t>
  </si>
  <si>
    <t>CUST-2132</t>
  </si>
  <si>
    <t>CUST-2133</t>
  </si>
  <si>
    <t>CUST-2134</t>
  </si>
  <si>
    <t>CUST-2136</t>
  </si>
  <si>
    <t>CUST-2137</t>
  </si>
  <si>
    <t>CUST-2138</t>
  </si>
  <si>
    <t>CUST-2139</t>
  </si>
  <si>
    <t>CUST-2140</t>
  </si>
  <si>
    <t>CUST-2141</t>
  </si>
  <si>
    <t>CUST-2142</t>
  </si>
  <si>
    <t>CUST-2143</t>
  </si>
  <si>
    <t>CUST-2144</t>
  </si>
  <si>
    <t>CUST-2146</t>
  </si>
  <si>
    <t>CUST-2148</t>
  </si>
  <si>
    <t>CUST-2149</t>
  </si>
  <si>
    <t>CUST-2150</t>
  </si>
  <si>
    <t>CUST-2151</t>
  </si>
  <si>
    <t>CUST-2152</t>
  </si>
  <si>
    <t>CUST-2153</t>
  </si>
  <si>
    <t>CUST-2154</t>
  </si>
  <si>
    <t>CUST-2155</t>
  </si>
  <si>
    <t>CUST-2156</t>
  </si>
  <si>
    <t>CUST-2157</t>
  </si>
  <si>
    <t>CUST-2159</t>
  </si>
  <si>
    <t>CUST-2161</t>
  </si>
  <si>
    <t>CUST-2162</t>
  </si>
  <si>
    <t>CUST-2164</t>
  </si>
  <si>
    <t>CUST-2165</t>
  </si>
  <si>
    <t>CUST-2166</t>
  </si>
  <si>
    <t>CUST-2167</t>
  </si>
  <si>
    <t>CUST-2168</t>
  </si>
  <si>
    <t>CUST-2169</t>
  </si>
  <si>
    <t>CUST-2170</t>
  </si>
  <si>
    <t>CUST-2172</t>
  </si>
  <si>
    <t>CUST-2173</t>
  </si>
  <si>
    <t>CUST-2174</t>
  </si>
  <si>
    <t>CUST-2175</t>
  </si>
  <si>
    <t>CUST-2176</t>
  </si>
  <si>
    <t>CUST-2177</t>
  </si>
  <si>
    <t>CUST-2178</t>
  </si>
  <si>
    <t>CUST-2179</t>
  </si>
  <si>
    <t>CUST-2181</t>
  </si>
  <si>
    <t>CUST-2183</t>
  </si>
  <si>
    <t>CUST-2184</t>
  </si>
  <si>
    <t>CUST-2187</t>
  </si>
  <si>
    <t>CUST-2188</t>
  </si>
  <si>
    <t>CUST-2189</t>
  </si>
  <si>
    <t>CUST-2190</t>
  </si>
  <si>
    <t>CUST-2191</t>
  </si>
  <si>
    <t>CUST-2192</t>
  </si>
  <si>
    <t>CUST-2194</t>
  </si>
  <si>
    <t>CUST-2195</t>
  </si>
  <si>
    <t>CUST-2196</t>
  </si>
  <si>
    <t>CUST-2197</t>
  </si>
  <si>
    <t>CUST-2199</t>
  </si>
  <si>
    <t>CUST-2200</t>
  </si>
  <si>
    <t>CUST-2203</t>
  </si>
  <si>
    <t>CUST-2205</t>
  </si>
  <si>
    <t>CUST-2206</t>
  </si>
  <si>
    <t>CUST-2208</t>
  </si>
  <si>
    <t>CUST-2209</t>
  </si>
  <si>
    <t>CUST-2211</t>
  </si>
  <si>
    <t>CUST-2212</t>
  </si>
  <si>
    <t>CUST-2215</t>
  </si>
  <si>
    <t>CUST-2216</t>
  </si>
  <si>
    <t>CUST-2218</t>
  </si>
  <si>
    <t>CUST-2219</t>
  </si>
  <si>
    <t>CUST-2220</t>
  </si>
  <si>
    <t>CUST-2221</t>
  </si>
  <si>
    <t>CUST-2222</t>
  </si>
  <si>
    <t>CUST-2223</t>
  </si>
  <si>
    <t>CUST-2224</t>
  </si>
  <si>
    <t>CUST-2225</t>
  </si>
  <si>
    <t>CUST-2227</t>
  </si>
  <si>
    <t>CUST-2229</t>
  </si>
  <si>
    <t>CUST-2231</t>
  </si>
  <si>
    <t>CUST-2232</t>
  </si>
  <si>
    <t>CUST-2233</t>
  </si>
  <si>
    <t>CUST-2234</t>
  </si>
  <si>
    <t>CUST-2235</t>
  </si>
  <si>
    <t>CUST-2236</t>
  </si>
  <si>
    <t>CUST-2237</t>
  </si>
  <si>
    <t>CUST-2238</t>
  </si>
  <si>
    <t>CUST-2239</t>
  </si>
  <si>
    <t>CUST-2241</t>
  </si>
  <si>
    <t>CUST-2242</t>
  </si>
  <si>
    <t>CUST-2243</t>
  </si>
  <si>
    <t>CUST-2244</t>
  </si>
  <si>
    <t>CUST-2245</t>
  </si>
  <si>
    <t>CUST-2246</t>
  </si>
  <si>
    <t>CUST-2248</t>
  </si>
  <si>
    <t>CUST-2249</t>
  </si>
  <si>
    <t>CUST-2250</t>
  </si>
  <si>
    <t>CUST-2252</t>
  </si>
  <si>
    <t>CUST-2253</t>
  </si>
  <si>
    <t>CUST-2254</t>
  </si>
  <si>
    <t>CUST-2255</t>
  </si>
  <si>
    <t>CUST-2256</t>
  </si>
  <si>
    <t>CUST-2257</t>
  </si>
  <si>
    <t>CUST-2258</t>
  </si>
  <si>
    <t>CUST-2260</t>
  </si>
  <si>
    <t>CUST-2261</t>
  </si>
  <si>
    <t>CUST-2262</t>
  </si>
  <si>
    <t>CUST-2263</t>
  </si>
  <si>
    <t>CUST-2264</t>
  </si>
  <si>
    <t>CUST-2265</t>
  </si>
  <si>
    <t>CUST-2266</t>
  </si>
  <si>
    <t>CUST-2268</t>
  </si>
  <si>
    <t>CUST-2270</t>
  </si>
  <si>
    <t>CUST-2271</t>
  </si>
  <si>
    <t>CUST-2272</t>
  </si>
  <si>
    <t>CUST-2273</t>
  </si>
  <si>
    <t>CUST-2274</t>
  </si>
  <si>
    <t>CUST-2275</t>
  </si>
  <si>
    <t>CUST-2276</t>
  </si>
  <si>
    <t>CUST-2277</t>
  </si>
  <si>
    <t>CUST-2278</t>
  </si>
  <si>
    <t>CUST-2280</t>
  </si>
  <si>
    <t>CUST-2282</t>
  </si>
  <si>
    <t>CUST-2283</t>
  </si>
  <si>
    <t>CUST-2284</t>
  </si>
  <si>
    <t>CUST-2285</t>
  </si>
  <si>
    <t>CUST-2286</t>
  </si>
  <si>
    <t>CUST-2287</t>
  </si>
  <si>
    <t>CUST-2288</t>
  </si>
  <si>
    <t>CUST-2289</t>
  </si>
  <si>
    <t>CUST-2290</t>
  </si>
  <si>
    <t>CUST-2291</t>
  </si>
  <si>
    <t>CUST-2292</t>
  </si>
  <si>
    <t>CUST-2293</t>
  </si>
  <si>
    <t>CUST-2294</t>
  </si>
  <si>
    <t>CUST-2295</t>
  </si>
  <si>
    <t>CUST-2298</t>
  </si>
  <si>
    <t>CUST-2299</t>
  </si>
  <si>
    <t>CUST-2300</t>
  </si>
  <si>
    <t>CUST-2302</t>
  </si>
  <si>
    <t>CUST-2303</t>
  </si>
  <si>
    <t>CUST-2304</t>
  </si>
  <si>
    <t>CUST-2305</t>
  </si>
  <si>
    <t>CUST-2306</t>
  </si>
  <si>
    <t>CUST-2307</t>
  </si>
  <si>
    <t>CUST-2309</t>
  </si>
  <si>
    <t>CUST-2310</t>
  </si>
  <si>
    <t>CUST-2311</t>
  </si>
  <si>
    <t>CUST-2312</t>
  </si>
  <si>
    <t>CUST-2313</t>
  </si>
  <si>
    <t>CUST-2315</t>
  </si>
  <si>
    <t>CUST-2316</t>
  </si>
  <si>
    <t>CUST-2317</t>
  </si>
  <si>
    <t>CUST-2318</t>
  </si>
  <si>
    <t>CUST-2319</t>
  </si>
  <si>
    <t>CUST-2320</t>
  </si>
  <si>
    <t>CUST-2322</t>
  </si>
  <si>
    <t>CUST-2323</t>
  </si>
  <si>
    <t>CUST-2324</t>
  </si>
  <si>
    <t>CUST-2325</t>
  </si>
  <si>
    <t>CUST-2326</t>
  </si>
  <si>
    <t>CUST-2327</t>
  </si>
  <si>
    <t>CUST-2328</t>
  </si>
  <si>
    <t>CUST-2329</t>
  </si>
  <si>
    <t>CUST-2330</t>
  </si>
  <si>
    <t>CUST-2331</t>
  </si>
  <si>
    <t>CUST-2332</t>
  </si>
  <si>
    <t>CUST-2333</t>
  </si>
  <si>
    <t>CUST-2334</t>
  </si>
  <si>
    <t>CUST-2335</t>
  </si>
  <si>
    <t>CUST-2337</t>
  </si>
  <si>
    <t>CUST-2338</t>
  </si>
  <si>
    <t>CUST-2339</t>
  </si>
  <si>
    <t>CUST-2340</t>
  </si>
  <si>
    <t>CUST-2341</t>
  </si>
  <si>
    <t>CUST-2342</t>
  </si>
  <si>
    <t>CUST-2343</t>
  </si>
  <si>
    <t>CUST-2344</t>
  </si>
  <si>
    <t>CUST-2345</t>
  </si>
  <si>
    <t>CUST-2346</t>
  </si>
  <si>
    <t>CUST-2347</t>
  </si>
  <si>
    <t>CUST-2349</t>
  </si>
  <si>
    <t>CUST-2350</t>
  </si>
  <si>
    <t>CUST-2351</t>
  </si>
  <si>
    <t>CUST-2352</t>
  </si>
  <si>
    <t>CUST-2353</t>
  </si>
  <si>
    <t>CUST-2356</t>
  </si>
  <si>
    <t>CUST-2357</t>
  </si>
  <si>
    <t>CUST-2358</t>
  </si>
  <si>
    <t>CUST-2359</t>
  </si>
  <si>
    <t>CUST-2360</t>
  </si>
  <si>
    <t>CUST-2361</t>
  </si>
  <si>
    <t>CUST-2363</t>
  </si>
  <si>
    <t>CUST-2364</t>
  </si>
  <si>
    <t>CUST-2365</t>
  </si>
  <si>
    <t>CUST-2366</t>
  </si>
  <si>
    <t>CUST-2367</t>
  </si>
  <si>
    <t>CUST-2368</t>
  </si>
  <si>
    <t>CUST-2369</t>
  </si>
  <si>
    <t>CUST-2370</t>
  </si>
  <si>
    <t>CUST-2371</t>
  </si>
  <si>
    <t>CUST-2372</t>
  </si>
  <si>
    <t>CUST-2373</t>
  </si>
  <si>
    <t>CUST-2374</t>
  </si>
  <si>
    <t>CUST-2375</t>
  </si>
  <si>
    <t>CUST-2377</t>
  </si>
  <si>
    <t>CUST-2378</t>
  </si>
  <si>
    <t>CUST-2379</t>
  </si>
  <si>
    <t>CUST-2380</t>
  </si>
  <si>
    <t>CUST-2381</t>
  </si>
  <si>
    <t>CUST-2382</t>
  </si>
  <si>
    <t>CUST-2383</t>
  </si>
  <si>
    <t>CUST-2384</t>
  </si>
  <si>
    <t>CUST-2385</t>
  </si>
  <si>
    <t>CUST-2387</t>
  </si>
  <si>
    <t>CUST-2388</t>
  </si>
  <si>
    <t>CUST-2390</t>
  </si>
  <si>
    <t>CUST-2391</t>
  </si>
  <si>
    <t>CUST-2393</t>
  </si>
  <si>
    <t>CUST-2394</t>
  </si>
  <si>
    <t>CUST-2396</t>
  </si>
  <si>
    <t>CUST-2397</t>
  </si>
  <si>
    <t>CUST-2398</t>
  </si>
  <si>
    <t>CUST-2399</t>
  </si>
  <si>
    <t>CUST-2400</t>
  </si>
  <si>
    <t>CUST-2401</t>
  </si>
  <si>
    <t>CUST-2402</t>
  </si>
  <si>
    <t>CUST-2403</t>
  </si>
  <si>
    <t>CUST-2404</t>
  </si>
  <si>
    <t>CUST-2406</t>
  </si>
  <si>
    <t>CUST-2407</t>
  </si>
  <si>
    <t>CUST-2409</t>
  </si>
  <si>
    <t>CUST-2410</t>
  </si>
  <si>
    <t>CUST-2413</t>
  </si>
  <si>
    <t>CUST-2414</t>
  </si>
  <si>
    <t>CUST-2415</t>
  </si>
  <si>
    <t>CUST-2416</t>
  </si>
  <si>
    <t>CUST-2419</t>
  </si>
  <si>
    <t>CUST-2420</t>
  </si>
  <si>
    <t>CUST-2421</t>
  </si>
  <si>
    <t>CUST-2422</t>
  </si>
  <si>
    <t>CUST-2423</t>
  </si>
  <si>
    <t>CUST-2424</t>
  </si>
  <si>
    <t>CUST-2427</t>
  </si>
  <si>
    <t>CUST-2428</t>
  </si>
  <si>
    <t>CUST-2429</t>
  </si>
  <si>
    <t>CUST-2430</t>
  </si>
  <si>
    <t>CUST-2431</t>
  </si>
  <si>
    <t>CUST-2433</t>
  </si>
  <si>
    <t>CUST-2434</t>
  </si>
  <si>
    <t>CUST-2436</t>
  </si>
  <si>
    <t>CUST-2437</t>
  </si>
  <si>
    <t>CUST-2438</t>
  </si>
  <si>
    <t>CUST-2440</t>
  </si>
  <si>
    <t>CUST-2442</t>
  </si>
  <si>
    <t>CUST-2443</t>
  </si>
  <si>
    <t>CUST-2444</t>
  </si>
  <si>
    <t>CUST-2446</t>
  </si>
  <si>
    <t>CUST-2447</t>
  </si>
  <si>
    <t>CUST-2448</t>
  </si>
  <si>
    <t>CUST-2449</t>
  </si>
  <si>
    <t>CUST-2450</t>
  </si>
  <si>
    <t>CUST-2451</t>
  </si>
  <si>
    <t>CUST-2452</t>
  </si>
  <si>
    <t>CUST-2455</t>
  </si>
  <si>
    <t>CUST-2456</t>
  </si>
  <si>
    <t>CUST-2457</t>
  </si>
  <si>
    <t>CUST-2458</t>
  </si>
  <si>
    <t>CUST-2459</t>
  </si>
  <si>
    <t>CUST-2461</t>
  </si>
  <si>
    <t>CUST-2462</t>
  </si>
  <si>
    <t>CUST-2463</t>
  </si>
  <si>
    <t>CUST-2464</t>
  </si>
  <si>
    <t>CUST-2465</t>
  </si>
  <si>
    <t>CUST-2466</t>
  </si>
  <si>
    <t>CUST-2467</t>
  </si>
  <si>
    <t>CUST-2468</t>
  </si>
  <si>
    <t>CUST-2470</t>
  </si>
  <si>
    <t>CUST-2471</t>
  </si>
  <si>
    <t>CUST-2472</t>
  </si>
  <si>
    <t>CUST-2474</t>
  </si>
  <si>
    <t>CUST-2476</t>
  </si>
  <si>
    <t>CUST-2477</t>
  </si>
  <si>
    <t>CUST-2478</t>
  </si>
  <si>
    <t>CUST-2480</t>
  </si>
  <si>
    <t>CUST-2482</t>
  </si>
  <si>
    <t>CUST-2483</t>
  </si>
  <si>
    <t>CUST-2484</t>
  </si>
  <si>
    <t>CUST-2485</t>
  </si>
  <si>
    <t>CUST-2486</t>
  </si>
  <si>
    <t>CUST-2487</t>
  </si>
  <si>
    <t>CUST-2490</t>
  </si>
  <si>
    <t>CUST-2492</t>
  </si>
  <si>
    <t>CUST-2493</t>
  </si>
  <si>
    <t>CUST-2494</t>
  </si>
  <si>
    <t>CUST-2496</t>
  </si>
  <si>
    <t>CUST-2497</t>
  </si>
  <si>
    <t>CUST-2499</t>
  </si>
  <si>
    <t>CUST-2500</t>
  </si>
  <si>
    <t>CUST-2501</t>
  </si>
  <si>
    <t>CUST-2502</t>
  </si>
  <si>
    <t>CUST-2503</t>
  </si>
  <si>
    <t>CUST-2504</t>
  </si>
  <si>
    <t>CUST-2506</t>
  </si>
  <si>
    <t>CUST-2508</t>
  </si>
  <si>
    <t>CUST-2509</t>
  </si>
  <si>
    <t>CUST-2510</t>
  </si>
  <si>
    <t>CUST-2511</t>
  </si>
  <si>
    <t>CUST-2512</t>
  </si>
  <si>
    <t>CUST-2513</t>
  </si>
  <si>
    <t>CUST-2515</t>
  </si>
  <si>
    <t>CUST-2516</t>
  </si>
  <si>
    <t>CUST-2518</t>
  </si>
  <si>
    <t>CUST-2519</t>
  </si>
  <si>
    <t>CUST-2521</t>
  </si>
  <si>
    <t>CUST-2522</t>
  </si>
  <si>
    <t>CUST-2524</t>
  </si>
  <si>
    <t>CUST-2525</t>
  </si>
  <si>
    <t>CUST-2526</t>
  </si>
  <si>
    <t>CUST-2527</t>
  </si>
  <si>
    <t>CUST-2528</t>
  </si>
  <si>
    <t>CUST-2529</t>
  </si>
  <si>
    <t>CUST-2530</t>
  </si>
  <si>
    <t>CUST-2534</t>
  </si>
  <si>
    <t>CUST-2535</t>
  </si>
  <si>
    <t>CUST-2537</t>
  </si>
  <si>
    <t>CUST-2539</t>
  </si>
  <si>
    <t>CUST-2540</t>
  </si>
  <si>
    <t>CUST-2541</t>
  </si>
  <si>
    <t>CUST-2542</t>
  </si>
  <si>
    <t>CUST-2543</t>
  </si>
  <si>
    <t>CUST-2544</t>
  </si>
  <si>
    <t>CUST-2545</t>
  </si>
  <si>
    <t>CUST-2546</t>
  </si>
  <si>
    <t>CUST-2547</t>
  </si>
  <si>
    <t>CUST-2548</t>
  </si>
  <si>
    <t>CUST-2549</t>
  </si>
  <si>
    <t>CUST-2551</t>
  </si>
  <si>
    <t>CUST-2553</t>
  </si>
  <si>
    <t>CUST-2555</t>
  </si>
  <si>
    <t>CUST-2556</t>
  </si>
  <si>
    <t>CUST-2557</t>
  </si>
  <si>
    <t>CUST-2559</t>
  </si>
  <si>
    <t>CUST-2560</t>
  </si>
  <si>
    <t>CUST-2561</t>
  </si>
  <si>
    <t>CUST-2563</t>
  </si>
  <si>
    <t>CUST-2565</t>
  </si>
  <si>
    <t>CUST-2567</t>
  </si>
  <si>
    <t>CUST-2569</t>
  </si>
  <si>
    <t>CUST-2570</t>
  </si>
  <si>
    <t>CUST-2572</t>
  </si>
  <si>
    <t>CUST-2573</t>
  </si>
  <si>
    <t>CUST-2574</t>
  </si>
  <si>
    <t>CUST-2575</t>
  </si>
  <si>
    <t>CUST-2576</t>
  </si>
  <si>
    <t>CUST-2577</t>
  </si>
  <si>
    <t>CUST-2578</t>
  </si>
  <si>
    <t>CUST-2579</t>
  </si>
  <si>
    <t>CUST-2580</t>
  </si>
  <si>
    <t>CUST-2581</t>
  </si>
  <si>
    <t>CUST-2582</t>
  </si>
  <si>
    <t>CUST-2584</t>
  </si>
  <si>
    <t>CUST-2585</t>
  </si>
  <si>
    <t>CUST-2586</t>
  </si>
  <si>
    <t>CUST-2587</t>
  </si>
  <si>
    <t>CUST-2588</t>
  </si>
  <si>
    <t>CUST-2590</t>
  </si>
  <si>
    <t>CUST-2593</t>
  </si>
  <si>
    <t>CUST-2594</t>
  </si>
  <si>
    <t>CUST-2595</t>
  </si>
  <si>
    <t>CUST-2596</t>
  </si>
  <si>
    <t>CUST-2597</t>
  </si>
  <si>
    <t>CUST-2598</t>
  </si>
  <si>
    <t>CUST-2599</t>
  </si>
  <si>
    <t>CUST-2600</t>
  </si>
  <si>
    <t>CUST-2601</t>
  </si>
  <si>
    <t>CUST-2602</t>
  </si>
  <si>
    <t>CUST-2603</t>
  </si>
  <si>
    <t>CUST-2604</t>
  </si>
  <si>
    <t>CUST-2605</t>
  </si>
  <si>
    <t>CUST-2606</t>
  </si>
  <si>
    <t>CUST-2607</t>
  </si>
  <si>
    <t>CUST-2608</t>
  </si>
  <si>
    <t>CUST-2609</t>
  </si>
  <si>
    <t>CUST-2610</t>
  </si>
  <si>
    <t>CUST-2611</t>
  </si>
  <si>
    <t>CUST-2612</t>
  </si>
  <si>
    <t>CUST-2613</t>
  </si>
  <si>
    <t>CUST-2614</t>
  </si>
  <si>
    <t>CUST-2615</t>
  </si>
  <si>
    <t>CUST-2616</t>
  </si>
  <si>
    <t>CUST-2618</t>
  </si>
  <si>
    <t>CUST-2619</t>
  </si>
  <si>
    <t>CUST-2620</t>
  </si>
  <si>
    <t>CUST-2621</t>
  </si>
  <si>
    <t>CUST-2622</t>
  </si>
  <si>
    <t>CUST-2623</t>
  </si>
  <si>
    <t>CUST-2624</t>
  </si>
  <si>
    <t>CUST-2625</t>
  </si>
  <si>
    <t>CUST-2627</t>
  </si>
  <si>
    <t>CUST-2629</t>
  </si>
  <si>
    <t>CUST-2630</t>
  </si>
  <si>
    <t>CUST-2631</t>
  </si>
  <si>
    <t>CUST-2632</t>
  </si>
  <si>
    <t>CUST-2634</t>
  </si>
  <si>
    <t>CUST-2635</t>
  </si>
  <si>
    <t>CUST-2636</t>
  </si>
  <si>
    <t>CUST-2638</t>
  </si>
  <si>
    <t>CUST-2639</t>
  </si>
  <si>
    <t>CUST-2640</t>
  </si>
  <si>
    <t>CUST-2641</t>
  </si>
  <si>
    <t>CUST-2642</t>
  </si>
  <si>
    <t>CUST-2643</t>
  </si>
  <si>
    <t>CUST-2644</t>
  </si>
  <si>
    <t>CUST-2645</t>
  </si>
  <si>
    <t>CUST-2646</t>
  </si>
  <si>
    <t>CUST-2647</t>
  </si>
  <si>
    <t>CUST-2648</t>
  </si>
  <si>
    <t>CUST-2649</t>
  </si>
  <si>
    <t>CUST-2650</t>
  </si>
  <si>
    <t>CUST-2651</t>
  </si>
  <si>
    <t>CUST-2652</t>
  </si>
  <si>
    <t>CUST-2653</t>
  </si>
  <si>
    <t>CUST-2654</t>
  </si>
  <si>
    <t>CUST-2656</t>
  </si>
  <si>
    <t>CUST-2658</t>
  </si>
  <si>
    <t>CUST-2661</t>
  </si>
  <si>
    <t>CUST-2665</t>
  </si>
  <si>
    <t>CUST-2666</t>
  </si>
  <si>
    <t>CUST-2667</t>
  </si>
  <si>
    <t>CUST-2668</t>
  </si>
  <si>
    <t>CUST-2669</t>
  </si>
  <si>
    <t>CUST-2670</t>
  </si>
  <si>
    <t>CUST-2671</t>
  </si>
  <si>
    <t>CUST-2673</t>
  </si>
  <si>
    <t>CUST-2674</t>
  </si>
  <si>
    <t>CUST-2675</t>
  </si>
  <si>
    <t>CUST-2676</t>
  </si>
  <si>
    <t>CUST-2678</t>
  </si>
  <si>
    <t>CUST-2679</t>
  </si>
  <si>
    <t>CUST-2680</t>
  </si>
  <si>
    <t>CUST-2681</t>
  </si>
  <si>
    <t>CUST-2683</t>
  </si>
  <si>
    <t>CUST-2684</t>
  </si>
  <si>
    <t>CUST-2685</t>
  </si>
  <si>
    <t>CUST-2686</t>
  </si>
  <si>
    <t>CUST-2688</t>
  </si>
  <si>
    <t>CUST-2689</t>
  </si>
  <si>
    <t>CUST-2690</t>
  </si>
  <si>
    <t>CUST-2692</t>
  </si>
  <si>
    <t>CUST-2693</t>
  </si>
  <si>
    <t>CUST-2694</t>
  </si>
  <si>
    <t>CUST-2695</t>
  </si>
  <si>
    <t>CUST-2696</t>
  </si>
  <si>
    <t>CUST-2697</t>
  </si>
  <si>
    <t>CUST-2698</t>
  </si>
  <si>
    <t>CUST-2699</t>
  </si>
  <si>
    <t>CUST-2700</t>
  </si>
  <si>
    <t>CUST-2701</t>
  </si>
  <si>
    <t>CUST-2703</t>
  </si>
  <si>
    <t>CUST-2704</t>
  </si>
  <si>
    <t>CUST-2705</t>
  </si>
  <si>
    <t>CUST-2707</t>
  </si>
  <si>
    <t>CUST-2709</t>
  </si>
  <si>
    <t>CUST-2710</t>
  </si>
  <si>
    <t>CUST-2711</t>
  </si>
  <si>
    <t>CUST-2712</t>
  </si>
  <si>
    <t>CUST-2713</t>
  </si>
  <si>
    <t>CUST-2715</t>
  </si>
  <si>
    <t>CUST-2716</t>
  </si>
  <si>
    <t>CUST-2717</t>
  </si>
  <si>
    <t>CUST-2718</t>
  </si>
  <si>
    <t>CUST-2719</t>
  </si>
  <si>
    <t>CUST-2721</t>
  </si>
  <si>
    <t>CUST-2725</t>
  </si>
  <si>
    <t>CUST-2726</t>
  </si>
  <si>
    <t>CUST-2727</t>
  </si>
  <si>
    <t>CUST-2728</t>
  </si>
  <si>
    <t>CUST-2730</t>
  </si>
  <si>
    <t>CUST-2731</t>
  </si>
  <si>
    <t>CUST-2733</t>
  </si>
  <si>
    <t>CUST-2734</t>
  </si>
  <si>
    <t>CUST-2735</t>
  </si>
  <si>
    <t>CUST-2736</t>
  </si>
  <si>
    <t>CUST-2737</t>
  </si>
  <si>
    <t>CUST-2738</t>
  </si>
  <si>
    <t>CUST-2739</t>
  </si>
  <si>
    <t>CUST-2740</t>
  </si>
  <si>
    <t>CUST-2741</t>
  </si>
  <si>
    <t>CUST-2742</t>
  </si>
  <si>
    <t>CUST-2743</t>
  </si>
  <si>
    <t>CUST-2746</t>
  </si>
  <si>
    <t>CUST-2747</t>
  </si>
  <si>
    <t>CUST-2748</t>
  </si>
  <si>
    <t>CUST-2749</t>
  </si>
  <si>
    <t>CUST-2750</t>
  </si>
  <si>
    <t>CUST-2751</t>
  </si>
  <si>
    <t>CUST-2752</t>
  </si>
  <si>
    <t>CUST-2756</t>
  </si>
  <si>
    <t>CUST-2757</t>
  </si>
  <si>
    <t>CUST-2758</t>
  </si>
  <si>
    <t>CUST-2759</t>
  </si>
  <si>
    <t>CUST-2760</t>
  </si>
  <si>
    <t>CUST-2761</t>
  </si>
  <si>
    <t>CUST-2762</t>
  </si>
  <si>
    <t>CUST-2763</t>
  </si>
  <si>
    <t>CUST-2764</t>
  </si>
  <si>
    <t>CUST-2765</t>
  </si>
  <si>
    <t>CUST-2767</t>
  </si>
  <si>
    <t>CUST-2769</t>
  </si>
  <si>
    <t>CUST-2770</t>
  </si>
  <si>
    <t>CUST-2771</t>
  </si>
  <si>
    <t>CUST-2774</t>
  </si>
  <si>
    <t>CUST-2775</t>
  </si>
  <si>
    <t>CUST-2776</t>
  </si>
  <si>
    <t>CUST-2777</t>
  </si>
  <si>
    <t>CUST-2779</t>
  </si>
  <si>
    <t>CUST-2780</t>
  </si>
  <si>
    <t>CUST-2781</t>
  </si>
  <si>
    <t>CUST-2782</t>
  </si>
  <si>
    <t>CUST-2784</t>
  </si>
  <si>
    <t>CUST-2785</t>
  </si>
  <si>
    <t>CUST-2787</t>
  </si>
  <si>
    <t>CUST-2788</t>
  </si>
  <si>
    <t>CUST-2791</t>
  </si>
  <si>
    <t>CUST-2792</t>
  </si>
  <si>
    <t>CUST-2793</t>
  </si>
  <si>
    <t>CUST-2795</t>
  </si>
  <si>
    <t>CUST-2797</t>
  </si>
  <si>
    <t>CUST-2799</t>
  </si>
  <si>
    <t>CUST-2800</t>
  </si>
  <si>
    <t>CUST-2802</t>
  </si>
  <si>
    <t>CUST-2807</t>
  </si>
  <si>
    <t>CUST-2808</t>
  </si>
  <si>
    <t>CUST-2809</t>
  </si>
  <si>
    <t>CUST-2811</t>
  </si>
  <si>
    <t>CUST-2812</t>
  </si>
  <si>
    <t>CUST-2813</t>
  </si>
  <si>
    <t>CUST-2814</t>
  </si>
  <si>
    <t>CUST-2815</t>
  </si>
  <si>
    <t>CUST-2816</t>
  </si>
  <si>
    <t>CUST-2817</t>
  </si>
  <si>
    <t>CUST-2818</t>
  </si>
  <si>
    <t>CUST-2819</t>
  </si>
  <si>
    <t>CUST-2820</t>
  </si>
  <si>
    <t>CUST-2822</t>
  </si>
  <si>
    <t>CUST-2823</t>
  </si>
  <si>
    <t>CUST-2825</t>
  </si>
  <si>
    <t>CUST-2827</t>
  </si>
  <si>
    <t>CUST-2828</t>
  </si>
  <si>
    <t>CUST-2829</t>
  </si>
  <si>
    <t>CUST-2830</t>
  </si>
  <si>
    <t>CUST-2831</t>
  </si>
  <si>
    <t>CUST-2833</t>
  </si>
  <si>
    <t>CUST-2834</t>
  </si>
  <si>
    <t>CUST-2836</t>
  </si>
  <si>
    <t>CUST-2837</t>
  </si>
  <si>
    <t>CUST-2838</t>
  </si>
  <si>
    <t>CUST-2840</t>
  </si>
  <si>
    <t>CUST-2841</t>
  </si>
  <si>
    <t>CUST-2842</t>
  </si>
  <si>
    <t>CUST-2844</t>
  </si>
  <si>
    <t>CUST-2846</t>
  </si>
  <si>
    <t>CUST-2848</t>
  </si>
  <si>
    <t>CUST-2850</t>
  </si>
  <si>
    <t>CUST-2851</t>
  </si>
  <si>
    <t>CUST-2852</t>
  </si>
  <si>
    <t>CUST-2854</t>
  </si>
  <si>
    <t>CUST-2855</t>
  </si>
  <si>
    <t>CUST-2856</t>
  </si>
  <si>
    <t>CUST-2857</t>
  </si>
  <si>
    <t>CUST-2858</t>
  </si>
  <si>
    <t>CUST-2859</t>
  </si>
  <si>
    <t>CUST-2860</t>
  </si>
  <si>
    <t>CUST-2863</t>
  </si>
  <si>
    <t>CUST-2864</t>
  </si>
  <si>
    <t>CUST-2866</t>
  </si>
  <si>
    <t>CUST-2867</t>
  </si>
  <si>
    <t>CUST-2869</t>
  </si>
  <si>
    <t>CUST-2872</t>
  </si>
  <si>
    <t>CUST-2873</t>
  </si>
  <si>
    <t>CUST-2874</t>
  </si>
  <si>
    <t>CUST-2875</t>
  </si>
  <si>
    <t>CUST-2876</t>
  </si>
  <si>
    <t>CUST-2877</t>
  </si>
  <si>
    <t>CUST-2878</t>
  </si>
  <si>
    <t>CUST-2879</t>
  </si>
  <si>
    <t>CUST-2881</t>
  </si>
  <si>
    <t>CUST-2882</t>
  </si>
  <si>
    <t>CUST-2883</t>
  </si>
  <si>
    <t>CUST-2884</t>
  </si>
  <si>
    <t>CUST-2886</t>
  </si>
  <si>
    <t>CUST-2887</t>
  </si>
  <si>
    <t>CUST-2889</t>
  </si>
  <si>
    <t>CUST-2890</t>
  </si>
  <si>
    <t>CUST-2891</t>
  </si>
  <si>
    <t>CUST-2892</t>
  </si>
  <si>
    <t>CUST-2893</t>
  </si>
  <si>
    <t>CUST-2894</t>
  </si>
  <si>
    <t>CUST-2895</t>
  </si>
  <si>
    <t>CUST-2896</t>
  </si>
  <si>
    <t>CUST-2898</t>
  </si>
  <si>
    <t>CUST-2899</t>
  </si>
  <si>
    <t>CUST-2900</t>
  </si>
  <si>
    <t>CUST-2901</t>
  </si>
  <si>
    <t>CUST-2902</t>
  </si>
  <si>
    <t>CUST-2903</t>
  </si>
  <si>
    <t>CUST-2904</t>
  </si>
  <si>
    <t>CUST-2905</t>
  </si>
  <si>
    <t>CUST-2906</t>
  </si>
  <si>
    <t>CUST-2907</t>
  </si>
  <si>
    <t>CUST-2909</t>
  </si>
  <si>
    <t>CUST-2911</t>
  </si>
  <si>
    <t>CUST-2913</t>
  </si>
  <si>
    <t>CUST-2914</t>
  </si>
  <si>
    <t>CUST-2915</t>
  </si>
  <si>
    <t>CUST-2916</t>
  </si>
  <si>
    <t>CUST-2917</t>
  </si>
  <si>
    <t>CUST-2918</t>
  </si>
  <si>
    <t>CUST-2921</t>
  </si>
  <si>
    <t>CUST-2922</t>
  </si>
  <si>
    <t>CUST-2923</t>
  </si>
  <si>
    <t>CUST-2924</t>
  </si>
  <si>
    <t>CUST-2925</t>
  </si>
  <si>
    <t>CUST-2929</t>
  </si>
  <si>
    <t>CUST-2930</t>
  </si>
  <si>
    <t>CUST-2931</t>
  </si>
  <si>
    <t>CUST-2932</t>
  </si>
  <si>
    <t>CUST-2933</t>
  </si>
  <si>
    <t>CUST-2934</t>
  </si>
  <si>
    <t>CUST-2936</t>
  </si>
  <si>
    <t>CUST-2937</t>
  </si>
  <si>
    <t>CUST-2938</t>
  </si>
  <si>
    <t>CUST-2939</t>
  </si>
  <si>
    <t>CUST-2940</t>
  </si>
  <si>
    <t>CUST-2941</t>
  </si>
  <si>
    <t>CUST-2942</t>
  </si>
  <si>
    <t>CUST-2943</t>
  </si>
  <si>
    <t>CUST-2944</t>
  </si>
  <si>
    <t>CUST-2945</t>
  </si>
  <si>
    <t>CUST-2946</t>
  </si>
  <si>
    <t>CUST-2947</t>
  </si>
  <si>
    <t>CUST-2948</t>
  </si>
  <si>
    <t>CUST-2951</t>
  </si>
  <si>
    <t>CUST-2952</t>
  </si>
  <si>
    <t>CUST-2953</t>
  </si>
  <si>
    <t>CUST-2954</t>
  </si>
  <si>
    <t>CUST-2955</t>
  </si>
  <si>
    <t>CUST-2957</t>
  </si>
  <si>
    <t>CUST-2959</t>
  </si>
  <si>
    <t>CUST-2960</t>
  </si>
  <si>
    <t>CUST-2961</t>
  </si>
  <si>
    <t>CUST-2962</t>
  </si>
  <si>
    <t>CUST-2963</t>
  </si>
  <si>
    <t>CUST-2964</t>
  </si>
  <si>
    <t>CUST-2965</t>
  </si>
  <si>
    <t>CUST-2966</t>
  </si>
  <si>
    <t>CUST-2967</t>
  </si>
  <si>
    <t>CUST-2969</t>
  </si>
  <si>
    <t>CUST-2970</t>
  </si>
  <si>
    <t>CUST-2971</t>
  </si>
  <si>
    <t>CUST-2974</t>
  </si>
  <si>
    <t>CUST-2975</t>
  </si>
  <si>
    <t>CUST-2976</t>
  </si>
  <si>
    <t>CUST-2978</t>
  </si>
  <si>
    <t>CUST-2979</t>
  </si>
  <si>
    <t>CUST-2980</t>
  </si>
  <si>
    <t>CUST-2981</t>
  </si>
  <si>
    <t>CUST-2982</t>
  </si>
  <si>
    <t>CUST-2983</t>
  </si>
  <si>
    <t>CUST-2984</t>
  </si>
  <si>
    <t>CUST-2985</t>
  </si>
  <si>
    <t>CUST-2986</t>
  </si>
  <si>
    <t>CUST-2987</t>
  </si>
  <si>
    <t>CUST-2988</t>
  </si>
  <si>
    <t>CUST-2989</t>
  </si>
  <si>
    <t>CUST-2990</t>
  </si>
  <si>
    <t>CUST-2991</t>
  </si>
  <si>
    <t>CUST-2992</t>
  </si>
  <si>
    <t>CUST-2993</t>
  </si>
  <si>
    <t>CUST-2994</t>
  </si>
  <si>
    <t>CUST-2995</t>
  </si>
  <si>
    <t>CUST-2997</t>
  </si>
  <si>
    <t>CUST-2998</t>
  </si>
  <si>
    <t>CUST-2999</t>
  </si>
  <si>
    <t>CUST-3001</t>
  </si>
  <si>
    <t>CUST-3003</t>
  </si>
  <si>
    <t>CUST-3004</t>
  </si>
  <si>
    <t>CUST-3005</t>
  </si>
  <si>
    <t>CUST-3006</t>
  </si>
  <si>
    <t>CUST-3007</t>
  </si>
  <si>
    <t>CUST-3008</t>
  </si>
  <si>
    <t>CUST-3009</t>
  </si>
  <si>
    <t>CUST-3010</t>
  </si>
  <si>
    <t>CUST-3011</t>
  </si>
  <si>
    <t>CUST-3012</t>
  </si>
  <si>
    <t>CUST-3013</t>
  </si>
  <si>
    <t>CUST-3017</t>
  </si>
  <si>
    <t>CUST-3018</t>
  </si>
  <si>
    <t>CUST-3019</t>
  </si>
  <si>
    <t>CUST-3020</t>
  </si>
  <si>
    <t>CUST-3021</t>
  </si>
  <si>
    <t>CUST-3022</t>
  </si>
  <si>
    <t>CUST-3023</t>
  </si>
  <si>
    <t>CUST-3025</t>
  </si>
  <si>
    <t>CUST-3027</t>
  </si>
  <si>
    <t>CUST-3028</t>
  </si>
  <si>
    <t>CUST-3030</t>
  </si>
  <si>
    <t>CUST-3031</t>
  </si>
  <si>
    <t>CUST-3032</t>
  </si>
  <si>
    <t>CUST-3033</t>
  </si>
  <si>
    <t>CUST-3034</t>
  </si>
  <si>
    <t>CUST-3035</t>
  </si>
  <si>
    <t>CUST-3036</t>
  </si>
  <si>
    <t>CUST-3038</t>
  </si>
  <si>
    <t>CUST-3039</t>
  </si>
  <si>
    <t>CUST-3040</t>
  </si>
  <si>
    <t>CUST-3041</t>
  </si>
  <si>
    <t>CUST-3042</t>
  </si>
  <si>
    <t>CUST-3043</t>
  </si>
  <si>
    <t>CUST-3044</t>
  </si>
  <si>
    <t>CUST-3045</t>
  </si>
  <si>
    <t>CUST-3046</t>
  </si>
  <si>
    <t>CUST-3047</t>
  </si>
  <si>
    <t>CUST-3048</t>
  </si>
  <si>
    <t>CUST-3050</t>
  </si>
  <si>
    <t>CUST-3051</t>
  </si>
  <si>
    <t>CUST-3052</t>
  </si>
  <si>
    <t>CUST-3053</t>
  </si>
  <si>
    <t>CUST-3054</t>
  </si>
  <si>
    <t>CUST-3055</t>
  </si>
  <si>
    <t>CUST-3056</t>
  </si>
  <si>
    <t>CUST-3061</t>
  </si>
  <si>
    <t>CUST-3062</t>
  </si>
  <si>
    <t>CUST-3063</t>
  </si>
  <si>
    <t>CUST-3064</t>
  </si>
  <si>
    <t>CUST-3065</t>
  </si>
  <si>
    <t>CUST-3067</t>
  </si>
  <si>
    <t>CUST-3068</t>
  </si>
  <si>
    <t>CUST-3069</t>
  </si>
  <si>
    <t>CUST-3070</t>
  </si>
  <si>
    <t>CUST-3073</t>
  </si>
  <si>
    <t>CUST-3074</t>
  </si>
  <si>
    <t>CUST-3075</t>
  </si>
  <si>
    <t>CUST-3076</t>
  </si>
  <si>
    <t>CUST-3080</t>
  </si>
  <si>
    <t>CUST-3081</t>
  </si>
  <si>
    <t>CUST-3083</t>
  </si>
  <si>
    <t>CUST-3085</t>
  </si>
  <si>
    <t>CUST-3086</t>
  </si>
  <si>
    <t>CUST-3087</t>
  </si>
  <si>
    <t>CUST-3088</t>
  </si>
  <si>
    <t>CUST-3089</t>
  </si>
  <si>
    <t>CUST-3090</t>
  </si>
  <si>
    <t>CUST-3092</t>
  </si>
  <si>
    <t>CUST-3093</t>
  </si>
  <si>
    <t>CUST-3094</t>
  </si>
  <si>
    <t>CUST-3096</t>
  </si>
  <si>
    <t>CUST-3097</t>
  </si>
  <si>
    <t>CUST-3098</t>
  </si>
  <si>
    <t>CUST-3100</t>
  </si>
  <si>
    <t>CUST-3101</t>
  </si>
  <si>
    <t>CUST-3102</t>
  </si>
  <si>
    <t>CUST-3104</t>
  </si>
  <si>
    <t>CUST-3105</t>
  </si>
  <si>
    <t>CUST-3106</t>
  </si>
  <si>
    <t>CUST-3107</t>
  </si>
  <si>
    <t>CUST-3108</t>
  </si>
  <si>
    <t>CUST-3109</t>
  </si>
  <si>
    <t>CUST-3111</t>
  </si>
  <si>
    <t>CUST-3112</t>
  </si>
  <si>
    <t>CUST-3113</t>
  </si>
  <si>
    <t>CUST-3114</t>
  </si>
  <si>
    <t>CUST-3115</t>
  </si>
  <si>
    <t>CUST-3118</t>
  </si>
  <si>
    <t>CUST-3119</t>
  </si>
  <si>
    <t>CUST-3120</t>
  </si>
  <si>
    <t>CUST-3121</t>
  </si>
  <si>
    <t>CUST-3122</t>
  </si>
  <si>
    <t>CUST-3123</t>
  </si>
  <si>
    <t>CUST-3124</t>
  </si>
  <si>
    <t>CUST-3125</t>
  </si>
  <si>
    <t>CUST-3128</t>
  </si>
  <si>
    <t>CUST-3129</t>
  </si>
  <si>
    <t>CUST-3130</t>
  </si>
  <si>
    <t>CUST-3131</t>
  </si>
  <si>
    <t>CUST-3132</t>
  </si>
  <si>
    <t>CUST-3133</t>
  </si>
  <si>
    <t>CUST-3134</t>
  </si>
  <si>
    <t>CUST-3135</t>
  </si>
  <si>
    <t>CUST-3136</t>
  </si>
  <si>
    <t>CUST-3137</t>
  </si>
  <si>
    <t>CUST-3138</t>
  </si>
  <si>
    <t>CUST-3139</t>
  </si>
  <si>
    <t>CUST-3140</t>
  </si>
  <si>
    <t>CUST-3144</t>
  </si>
  <si>
    <t>CUST-3145</t>
  </si>
  <si>
    <t>CUST-3147</t>
  </si>
  <si>
    <t>CUST-3148</t>
  </si>
  <si>
    <t>CUST-3149</t>
  </si>
  <si>
    <t>CUST-3150</t>
  </si>
  <si>
    <t>CUST-3151</t>
  </si>
  <si>
    <t>CUST-3152</t>
  </si>
  <si>
    <t>CUST-3153</t>
  </si>
  <si>
    <t>CUST-3154</t>
  </si>
  <si>
    <t>CUST-3155</t>
  </si>
  <si>
    <t>CUST-3156</t>
  </si>
  <si>
    <t>CUST-3157</t>
  </si>
  <si>
    <t>CUST-3158</t>
  </si>
  <si>
    <t>CUST-3159</t>
  </si>
  <si>
    <t>CUST-3160</t>
  </si>
  <si>
    <t>CUST-3161</t>
  </si>
  <si>
    <t>CUST-3162</t>
  </si>
  <si>
    <t>CUST-3164</t>
  </si>
  <si>
    <t>CUST-3165</t>
  </si>
  <si>
    <t>CUST-3166</t>
  </si>
  <si>
    <t>CUST-3167</t>
  </si>
  <si>
    <t>CUST-3168</t>
  </si>
  <si>
    <t>CUST-3169</t>
  </si>
  <si>
    <t>CUST-3170</t>
  </si>
  <si>
    <t>CUST-3171</t>
  </si>
  <si>
    <t>CUST-3174</t>
  </si>
  <si>
    <t>CUST-3175</t>
  </si>
  <si>
    <t>CUST-3176</t>
  </si>
  <si>
    <t>CUST-3178</t>
  </si>
  <si>
    <t>CUST-3179</t>
  </si>
  <si>
    <t>CUST-3180</t>
  </si>
  <si>
    <t>CUST-3181</t>
  </si>
  <si>
    <t>CUST-3183</t>
  </si>
  <si>
    <t>CUST-3184</t>
  </si>
  <si>
    <t>CUST-3185</t>
  </si>
  <si>
    <t>CUST-3186</t>
  </si>
  <si>
    <t>CUST-3187</t>
  </si>
  <si>
    <t>CUST-3188</t>
  </si>
  <si>
    <t>CUST-3189</t>
  </si>
  <si>
    <t>CUST-3190</t>
  </si>
  <si>
    <t>CUST-3191</t>
  </si>
  <si>
    <t>CUST-3192</t>
  </si>
  <si>
    <t>CUST-3193</t>
  </si>
  <si>
    <t>CUST-3195</t>
  </si>
  <si>
    <t>CUST-3196</t>
  </si>
  <si>
    <t>CUST-3198</t>
  </si>
  <si>
    <t>CUST-3201</t>
  </si>
  <si>
    <t>CUST-3202</t>
  </si>
  <si>
    <t>CUST-3203</t>
  </si>
  <si>
    <t>CUST-3205</t>
  </si>
  <si>
    <t>CUST-3206</t>
  </si>
  <si>
    <t>CUST-3207</t>
  </si>
  <si>
    <t>CUST-3208</t>
  </si>
  <si>
    <t>CUST-3209</t>
  </si>
  <si>
    <t>CUST-3210</t>
  </si>
  <si>
    <t>CUST-3211</t>
  </si>
  <si>
    <t>CUST-3212</t>
  </si>
  <si>
    <t>CUST-3213</t>
  </si>
  <si>
    <t>CUST-3215</t>
  </si>
  <si>
    <t>CUST-3216</t>
  </si>
  <si>
    <t>CUST-3217</t>
  </si>
  <si>
    <t>CUST-3218</t>
  </si>
  <si>
    <t>CUST-3219</t>
  </si>
  <si>
    <t>CUST-3221</t>
  </si>
  <si>
    <t>CUST-3222</t>
  </si>
  <si>
    <t>CUST-3223</t>
  </si>
  <si>
    <t>CUST-3224</t>
  </si>
  <si>
    <t>CUST-3225</t>
  </si>
  <si>
    <t>CUST-3226</t>
  </si>
  <si>
    <t>CUST-3227</t>
  </si>
  <si>
    <t>CUST-3228</t>
  </si>
  <si>
    <t>CUST-3229</t>
  </si>
  <si>
    <t>CUST-3230</t>
  </si>
  <si>
    <t>CUST-3231</t>
  </si>
  <si>
    <t>CUST-3232</t>
  </si>
  <si>
    <t>CUST-3233</t>
  </si>
  <si>
    <t>CUST-3234</t>
  </si>
  <si>
    <t>CUST-3235</t>
  </si>
  <si>
    <t>CUST-3236</t>
  </si>
  <si>
    <t>CUST-3238</t>
  </si>
  <si>
    <t>CUST-3239</t>
  </si>
  <si>
    <t>CUST-3240</t>
  </si>
  <si>
    <t>CUST-3241</t>
  </si>
  <si>
    <t>CUST-3242</t>
  </si>
  <si>
    <t>CUST-3243</t>
  </si>
  <si>
    <t>CUST-3244</t>
  </si>
  <si>
    <t>CUST-3246</t>
  </si>
  <si>
    <t>CUST-3247</t>
  </si>
  <si>
    <t>CUST-3248</t>
  </si>
  <si>
    <t>CUST-3250</t>
  </si>
  <si>
    <t>CUST-3251</t>
  </si>
  <si>
    <t>CUST-3255</t>
  </si>
  <si>
    <t>CUST-3256</t>
  </si>
  <si>
    <t>CUST-3257</t>
  </si>
  <si>
    <t>CUST-3258</t>
  </si>
  <si>
    <t>CUST-3259</t>
  </si>
  <si>
    <t>CUST-3262</t>
  </si>
  <si>
    <t>CUST-3263</t>
  </si>
  <si>
    <t>CUST-3264</t>
  </si>
  <si>
    <t>CUST-3265</t>
  </si>
  <si>
    <t>CUST-3268</t>
  </si>
  <si>
    <t>CUST-3269</t>
  </si>
  <si>
    <t>CUST-3270</t>
  </si>
  <si>
    <t>CUST-3271</t>
  </si>
  <si>
    <t>CUST-3272</t>
  </si>
  <si>
    <t>CUST-3273</t>
  </si>
  <si>
    <t>CUST-3274</t>
  </si>
  <si>
    <t>CUST-3275</t>
  </si>
  <si>
    <t>CUST-3278</t>
  </si>
  <si>
    <t>CUST-3279</t>
  </si>
  <si>
    <t>CUST-3280</t>
  </si>
  <si>
    <t>CUST-3281</t>
  </si>
  <si>
    <t>CUST-3283</t>
  </si>
  <si>
    <t>CUST-3286</t>
  </si>
  <si>
    <t>CUST-3289</t>
  </si>
  <si>
    <t>CUST-3291</t>
  </si>
  <si>
    <t>CUST-3293</t>
  </si>
  <si>
    <t>CUST-3294</t>
  </si>
  <si>
    <t>CUST-3295</t>
  </si>
  <si>
    <t>CUST-3296</t>
  </si>
  <si>
    <t>CUST-3297</t>
  </si>
  <si>
    <t>CUST-3298</t>
  </si>
  <si>
    <t>CUST-3299</t>
  </si>
  <si>
    <t>CUST-3300</t>
  </si>
  <si>
    <t>CUST-3301</t>
  </si>
  <si>
    <t>CUST-3302</t>
  </si>
  <si>
    <t>CUST-3303</t>
  </si>
  <si>
    <t>CUST-3305</t>
  </si>
  <si>
    <t>CUST-3306</t>
  </si>
  <si>
    <t>CUST-3308</t>
  </si>
  <si>
    <t>CUST-3309</t>
  </si>
  <si>
    <t>CUST-3310</t>
  </si>
  <si>
    <t>CUST-3312</t>
  </si>
  <si>
    <t>CUST-3313</t>
  </si>
  <si>
    <t>CUST-3314</t>
  </si>
  <si>
    <t>CUST-3315</t>
  </si>
  <si>
    <t>CUST-3317</t>
  </si>
  <si>
    <t>CUST-3319</t>
  </si>
  <si>
    <t>CUST-3321</t>
  </si>
  <si>
    <t>CUST-3322</t>
  </si>
  <si>
    <t>CUST-3324</t>
  </si>
  <si>
    <t>CUST-3325</t>
  </si>
  <si>
    <t>CUST-3326</t>
  </si>
  <si>
    <t>CUST-3327</t>
  </si>
  <si>
    <t>CUST-3328</t>
  </si>
  <si>
    <t>CUST-3329</t>
  </si>
  <si>
    <t>CUST-3330</t>
  </si>
  <si>
    <t>CUST-3331</t>
  </si>
  <si>
    <t>CUST-3332</t>
  </si>
  <si>
    <t>CUST-3333</t>
  </si>
  <si>
    <t>CUST-3336</t>
  </si>
  <si>
    <t>CUST-3337</t>
  </si>
  <si>
    <t>CUST-3339</t>
  </si>
  <si>
    <t>CUST-3340</t>
  </si>
  <si>
    <t>CUST-3341</t>
  </si>
  <si>
    <t>CUST-3342</t>
  </si>
  <si>
    <t>CUST-3343</t>
  </si>
  <si>
    <t>CUST-3344</t>
  </si>
  <si>
    <t>CUST-3345</t>
  </si>
  <si>
    <t>CUST-3347</t>
  </si>
  <si>
    <t>CUST-3349</t>
  </si>
  <si>
    <t>CUST-3352</t>
  </si>
  <si>
    <t>CUST-3353</t>
  </si>
  <si>
    <t>CUST-3355</t>
  </si>
  <si>
    <t>CUST-3356</t>
  </si>
  <si>
    <t>CUST-3357</t>
  </si>
  <si>
    <t>CUST-3358</t>
  </si>
  <si>
    <t>CUST-3359</t>
  </si>
  <si>
    <t>CUST-3362</t>
  </si>
  <si>
    <t>CUST-3363</t>
  </si>
  <si>
    <t>CUST-3364</t>
  </si>
  <si>
    <t>CUST-3365</t>
  </si>
  <si>
    <t>CUST-3366</t>
  </si>
  <si>
    <t>CUST-3368</t>
  </si>
  <si>
    <t>CUST-3369</t>
  </si>
  <si>
    <t>CUST-3370</t>
  </si>
  <si>
    <t>CUST-3371</t>
  </si>
  <si>
    <t>CUST-3372</t>
  </si>
  <si>
    <t>CUST-3373</t>
  </si>
  <si>
    <t>CUST-3374</t>
  </si>
  <si>
    <t>CUST-3376</t>
  </si>
  <si>
    <t>CUST-3377</t>
  </si>
  <si>
    <t>CUST-3378</t>
  </si>
  <si>
    <t>CUST-3379</t>
  </si>
  <si>
    <t>CUST-3380</t>
  </si>
  <si>
    <t>CUST-3381</t>
  </si>
  <si>
    <t>CUST-3382</t>
  </si>
  <si>
    <t>CUST-3383</t>
  </si>
  <si>
    <t>CUST-3384</t>
  </si>
  <si>
    <t>CUST-3385</t>
  </si>
  <si>
    <t>CUST-3386</t>
  </si>
  <si>
    <t>CUST-3387</t>
  </si>
  <si>
    <t>CUST-3388</t>
  </si>
  <si>
    <t>CUST-3389</t>
  </si>
  <si>
    <t>CUST-3390</t>
  </si>
  <si>
    <t>CUST-3391</t>
  </si>
  <si>
    <t>CUST-3392</t>
  </si>
  <si>
    <t>CUST-3393</t>
  </si>
  <si>
    <t>CUST-3394</t>
  </si>
  <si>
    <t>CUST-3395</t>
  </si>
  <si>
    <t>CUST-3396</t>
  </si>
  <si>
    <t>CUST-3399</t>
  </si>
  <si>
    <t>CUST-3400</t>
  </si>
  <si>
    <t>CUST-3401</t>
  </si>
  <si>
    <t>CUST-3402</t>
  </si>
  <si>
    <t>CUST-3403</t>
  </si>
  <si>
    <t>CUST-3404</t>
  </si>
  <si>
    <t>CUST-3405</t>
  </si>
  <si>
    <t>CUST-3406</t>
  </si>
  <si>
    <t>CUST-3407</t>
  </si>
  <si>
    <t>CUST-3408</t>
  </si>
  <si>
    <t>CUST-3409</t>
  </si>
  <si>
    <t>CUST-3410</t>
  </si>
  <si>
    <t>CUST-3413</t>
  </si>
  <si>
    <t>CUST-3416</t>
  </si>
  <si>
    <t>CUST-3418</t>
  </si>
  <si>
    <t>CUST-3420</t>
  </si>
  <si>
    <t>CUST-3421</t>
  </si>
  <si>
    <t>CUST-3422</t>
  </si>
  <si>
    <t>CUST-3423</t>
  </si>
  <si>
    <t>CUST-3424</t>
  </si>
  <si>
    <t>CUST-3425</t>
  </si>
  <si>
    <t>CUST-3427</t>
  </si>
  <si>
    <t>CUST-3428</t>
  </si>
  <si>
    <t>CUST-3429</t>
  </si>
  <si>
    <t>CUST-3430</t>
  </si>
  <si>
    <t>CUST-3432</t>
  </si>
  <si>
    <t>CUST-3433</t>
  </si>
  <si>
    <t>CUST-3434</t>
  </si>
  <si>
    <t>CUST-3435</t>
  </si>
  <si>
    <t>CUST-3436</t>
  </si>
  <si>
    <t>CUST-3437</t>
  </si>
  <si>
    <t>CUST-3438</t>
  </si>
  <si>
    <t>CUST-3439</t>
  </si>
  <si>
    <t>CUST-3440</t>
  </si>
  <si>
    <t>CUST-3441</t>
  </si>
  <si>
    <t>CUST-3443</t>
  </si>
  <si>
    <t>CUST-3444</t>
  </si>
  <si>
    <t>CUST-3446</t>
  </si>
  <si>
    <t>CUST-3447</t>
  </si>
  <si>
    <t>CUST-3448</t>
  </si>
  <si>
    <t>CUST-3450</t>
  </si>
  <si>
    <t>CUST-3451</t>
  </si>
  <si>
    <t>CUST-3452</t>
  </si>
  <si>
    <t>CUST-3453</t>
  </si>
  <si>
    <t>CUST-3454</t>
  </si>
  <si>
    <t>CUST-3455</t>
  </si>
  <si>
    <t>CUST-3457</t>
  </si>
  <si>
    <t>CUST-3460</t>
  </si>
  <si>
    <t>CUST-3461</t>
  </si>
  <si>
    <t>CUST-3462</t>
  </si>
  <si>
    <t>CUST-3463</t>
  </si>
  <si>
    <t>CUST-3464</t>
  </si>
  <si>
    <t>CUST-3465</t>
  </si>
  <si>
    <t>CUST-3466</t>
  </si>
  <si>
    <t>CUST-3468</t>
  </si>
  <si>
    <t>CUST-3469</t>
  </si>
  <si>
    <t>CUST-3470</t>
  </si>
  <si>
    <t>CUST-3471</t>
  </si>
  <si>
    <t>CUST-3472</t>
  </si>
  <si>
    <t>CUST-3473</t>
  </si>
  <si>
    <t>CUST-3474</t>
  </si>
  <si>
    <t>CUST-3475</t>
  </si>
  <si>
    <t>CUST-3478</t>
  </si>
  <si>
    <t>CUST-3479</t>
  </si>
  <si>
    <t>CUST-3480</t>
  </si>
  <si>
    <t>CUST-3481</t>
  </si>
  <si>
    <t>CUST-3482</t>
  </si>
  <si>
    <t>CUST-3483</t>
  </si>
  <si>
    <t>CUST-3485</t>
  </si>
  <si>
    <t>CUST-3486</t>
  </si>
  <si>
    <t>CUST-3487</t>
  </si>
  <si>
    <t>CUST-3488</t>
  </si>
  <si>
    <t>CUST-3489</t>
  </si>
  <si>
    <t>CUST-3490</t>
  </si>
  <si>
    <t>CUST-3491</t>
  </si>
  <si>
    <t>CUST-3493</t>
  </si>
  <si>
    <t>CUST-3494</t>
  </si>
  <si>
    <t>CUST-3495</t>
  </si>
  <si>
    <t>CUST-3496</t>
  </si>
  <si>
    <t>CUST-3497</t>
  </si>
  <si>
    <t>CUST-3498</t>
  </si>
  <si>
    <t>CUST-3500</t>
  </si>
  <si>
    <t>CUST-3501</t>
  </si>
  <si>
    <t>CUST-3502</t>
  </si>
  <si>
    <t>CUST-3503</t>
  </si>
  <si>
    <t>CUST-3504</t>
  </si>
  <si>
    <t>CUST-3505</t>
  </si>
  <si>
    <t>CUST-3510</t>
  </si>
  <si>
    <t>CUST-3511</t>
  </si>
  <si>
    <t>CUST-3512</t>
  </si>
  <si>
    <t>CUST-3514</t>
  </si>
  <si>
    <t>CUST-3515</t>
  </si>
  <si>
    <t>CUST-3516</t>
  </si>
  <si>
    <t>CUST-3517</t>
  </si>
  <si>
    <t>CUST-3518</t>
  </si>
  <si>
    <t>CUST-3519</t>
  </si>
  <si>
    <t>CUST-3520</t>
  </si>
  <si>
    <t>CUST-3522</t>
  </si>
  <si>
    <t>CUST-3523</t>
  </si>
  <si>
    <t>CUST-3524</t>
  </si>
  <si>
    <t>CUST-3525</t>
  </si>
  <si>
    <t>CUST-3528</t>
  </si>
  <si>
    <t>CUST-3529</t>
  </si>
  <si>
    <t>CUST-3532</t>
  </si>
  <si>
    <t>CUST-3533</t>
  </si>
  <si>
    <t>CUST-3534</t>
  </si>
  <si>
    <t>CUST-3535</t>
  </si>
  <si>
    <t>CUST-3536</t>
  </si>
  <si>
    <t>CUST-3537</t>
  </si>
  <si>
    <t>CUST-3538</t>
  </si>
  <si>
    <t>CUST-3539</t>
  </si>
  <si>
    <t>CUST-3540</t>
  </si>
  <si>
    <t>CUST-3541</t>
  </si>
  <si>
    <t>CUST-3542</t>
  </si>
  <si>
    <t>CUST-3543</t>
  </si>
  <si>
    <t>CUST-3544</t>
  </si>
  <si>
    <t>CUST-3545</t>
  </si>
  <si>
    <t>CUST-3546</t>
  </si>
  <si>
    <t>CUST-3548</t>
  </si>
  <si>
    <t>CUST-3549</t>
  </si>
  <si>
    <t>CUST-3550</t>
  </si>
  <si>
    <t>CUST-3551</t>
  </si>
  <si>
    <t>CUST-3553</t>
  </si>
  <si>
    <t>CUST-3554</t>
  </si>
  <si>
    <t>CUST-3555</t>
  </si>
  <si>
    <t>CUST-3556</t>
  </si>
  <si>
    <t>CUST-3557</t>
  </si>
  <si>
    <t>CUST-3559</t>
  </si>
  <si>
    <t>CUST-3560</t>
  </si>
  <si>
    <t>CUST-3561</t>
  </si>
  <si>
    <t>CUST-3564</t>
  </si>
  <si>
    <t>CUST-3565</t>
  </si>
  <si>
    <t>CUST-3566</t>
  </si>
  <si>
    <t>CUST-3568</t>
  </si>
  <si>
    <t>CUST-3569</t>
  </si>
  <si>
    <t>CUST-3570</t>
  </si>
  <si>
    <t>CUST-3571</t>
  </si>
  <si>
    <t>CUST-3572</t>
  </si>
  <si>
    <t>CUST-3573</t>
  </si>
  <si>
    <t>CUST-3575</t>
  </si>
  <si>
    <t>CUST-3576</t>
  </si>
  <si>
    <t>CUST-3577</t>
  </si>
  <si>
    <t>CUST-3578</t>
  </si>
  <si>
    <t>CUST-3579</t>
  </si>
  <si>
    <t>CUST-3580</t>
  </si>
  <si>
    <t>CUST-3581</t>
  </si>
  <si>
    <t>CUST-3582</t>
  </si>
  <si>
    <t>CUST-3583</t>
  </si>
  <si>
    <t>CUST-3584</t>
  </si>
  <si>
    <t>CUST-3585</t>
  </si>
  <si>
    <t>CUST-3586</t>
  </si>
  <si>
    <t>CUST-3587</t>
  </si>
  <si>
    <t>CUST-3588</t>
  </si>
  <si>
    <t>CUST-3589</t>
  </si>
  <si>
    <t>CUST-3590</t>
  </si>
  <si>
    <t>CUST-3593</t>
  </si>
  <si>
    <t>CUST-3594</t>
  </si>
  <si>
    <t>CUST-3596</t>
  </si>
  <si>
    <t>CUST-3597</t>
  </si>
  <si>
    <t>CUST-3599</t>
  </si>
  <si>
    <t>CUST-3601</t>
  </si>
  <si>
    <t>CUST-3602</t>
  </si>
  <si>
    <t>CUST-3603</t>
  </si>
  <si>
    <t>CUST-3604</t>
  </si>
  <si>
    <t>CUST-3605</t>
  </si>
  <si>
    <t>CUST-3606</t>
  </si>
  <si>
    <t>CUST-3607</t>
  </si>
  <si>
    <t>CUST-3608</t>
  </si>
  <si>
    <t>CUST-3609</t>
  </si>
  <si>
    <t>CUST-3610</t>
  </si>
  <si>
    <t>CUST-3612</t>
  </si>
  <si>
    <t>CUST-3614</t>
  </si>
  <si>
    <t>CUST-3616</t>
  </si>
  <si>
    <t>CUST-3617</t>
  </si>
  <si>
    <t>CUST-3618</t>
  </si>
  <si>
    <t>CUST-3619</t>
  </si>
  <si>
    <t>CUST-3620</t>
  </si>
  <si>
    <t>CUST-3621</t>
  </si>
  <si>
    <t>CUST-3622</t>
  </si>
  <si>
    <t>CUST-3623</t>
  </si>
  <si>
    <t>CUST-3624</t>
  </si>
  <si>
    <t>CUST-3625</t>
  </si>
  <si>
    <t>CUST-3626</t>
  </si>
  <si>
    <t>CUST-3628</t>
  </si>
  <si>
    <t>CUST-3629</t>
  </si>
  <si>
    <t>CUST-3630</t>
  </si>
  <si>
    <t>CUST-3631</t>
  </si>
  <si>
    <t>CUST-3632</t>
  </si>
  <si>
    <t>CUST-3633</t>
  </si>
  <si>
    <t>CUST-3634</t>
  </si>
  <si>
    <t>CUST-3636</t>
  </si>
  <si>
    <t>CUST-3637</t>
  </si>
  <si>
    <t>CUST-3638</t>
  </si>
  <si>
    <t>CUST-3639</t>
  </si>
  <si>
    <t>CUST-3642</t>
  </si>
  <si>
    <t>CUST-3643</t>
  </si>
  <si>
    <t>CUST-3644</t>
  </si>
  <si>
    <t>CUST-3646</t>
  </si>
  <si>
    <t>CUST-3647</t>
  </si>
  <si>
    <t>CUST-3648</t>
  </si>
  <si>
    <t>CUST-3649</t>
  </si>
  <si>
    <t>CUST-3653</t>
  </si>
  <si>
    <t>CUST-3655</t>
  </si>
  <si>
    <t>CUST-3656</t>
  </si>
  <si>
    <t>CUST-3657</t>
  </si>
  <si>
    <t>CUST-3659</t>
  </si>
  <si>
    <t>CUST-3660</t>
  </si>
  <si>
    <t>CUST-3661</t>
  </si>
  <si>
    <t>CUST-3662</t>
  </si>
  <si>
    <t>CUST-3663</t>
  </si>
  <si>
    <t>CUST-3664</t>
  </si>
  <si>
    <t>CUST-3665</t>
  </si>
  <si>
    <t>CUST-3666</t>
  </si>
  <si>
    <t>CUST-3667</t>
  </si>
  <si>
    <t>CUST-3669</t>
  </si>
  <si>
    <t>CUST-3670</t>
  </si>
  <si>
    <t>CUST-3671</t>
  </si>
  <si>
    <t>CUST-3672</t>
  </si>
  <si>
    <t>CUST-3673</t>
  </si>
  <si>
    <t>CUST-3674</t>
  </si>
  <si>
    <t>CUST-3675</t>
  </si>
  <si>
    <t>CUST-3676</t>
  </si>
  <si>
    <t>CUST-3677</t>
  </si>
  <si>
    <t>CUST-3678</t>
  </si>
  <si>
    <t>CUST-3679</t>
  </si>
  <si>
    <t>CUST-3680</t>
  </si>
  <si>
    <t>CUST-3681</t>
  </si>
  <si>
    <t>CUST-3683</t>
  </si>
  <si>
    <t>CUST-3684</t>
  </si>
  <si>
    <t>CUST-3686</t>
  </si>
  <si>
    <t>CUST-3688</t>
  </si>
  <si>
    <t>CUST-3689</t>
  </si>
  <si>
    <t>CUST-3690</t>
  </si>
  <si>
    <t>CUST-3691</t>
  </si>
  <si>
    <t>CUST-3694</t>
  </si>
  <si>
    <t>CUST-3696</t>
  </si>
  <si>
    <t>CUST-3697</t>
  </si>
  <si>
    <t>CUST-3698</t>
  </si>
  <si>
    <t>CUST-3699</t>
  </si>
  <si>
    <t>CUST-3701</t>
  </si>
  <si>
    <t>CUST-3702</t>
  </si>
  <si>
    <t>CUST-3703</t>
  </si>
  <si>
    <t>CUST-3704</t>
  </si>
  <si>
    <t>CUST-3705</t>
  </si>
  <si>
    <t>CUST-3706</t>
  </si>
  <si>
    <t>CUST-3707</t>
  </si>
  <si>
    <t>CUST-3708</t>
  </si>
  <si>
    <t>CUST-3709</t>
  </si>
  <si>
    <t>CUST-3710</t>
  </si>
  <si>
    <t>CUST-3711</t>
  </si>
  <si>
    <t>CUST-3713</t>
  </si>
  <si>
    <t>CUST-3714</t>
  </si>
  <si>
    <t>CUST-3715</t>
  </si>
  <si>
    <t>CUST-3716</t>
  </si>
  <si>
    <t>CUST-3717</t>
  </si>
  <si>
    <t>CUST-3718</t>
  </si>
  <si>
    <t>CUST-3719</t>
  </si>
  <si>
    <t>CUST-3720</t>
  </si>
  <si>
    <t>CUST-3721</t>
  </si>
  <si>
    <t>CUST-3722</t>
  </si>
  <si>
    <t>CUST-3723</t>
  </si>
  <si>
    <t>CUST-3724</t>
  </si>
  <si>
    <t>CUST-3725</t>
  </si>
  <si>
    <t>CUST-3726</t>
  </si>
  <si>
    <t>CUST-3728</t>
  </si>
  <si>
    <t>CUST-3729</t>
  </si>
  <si>
    <t>CUST-3732</t>
  </si>
  <si>
    <t>CUST-3735</t>
  </si>
  <si>
    <t>CUST-3736</t>
  </si>
  <si>
    <t>CUST-3738</t>
  </si>
  <si>
    <t>CUST-3739</t>
  </si>
  <si>
    <t>CUST-3740</t>
  </si>
  <si>
    <t>CUST-3741</t>
  </si>
  <si>
    <t>CUST-3742</t>
  </si>
  <si>
    <t>CUST-3744</t>
  </si>
  <si>
    <t>CUST-3745</t>
  </si>
  <si>
    <t>CUST-3746</t>
  </si>
  <si>
    <t>CUST-3747</t>
  </si>
  <si>
    <t>CUST-3750</t>
  </si>
  <si>
    <t>CUST-3751</t>
  </si>
  <si>
    <t>CUST-3753</t>
  </si>
  <si>
    <t>CUST-3754</t>
  </si>
  <si>
    <t>CUST-3755</t>
  </si>
  <si>
    <t>CUST-3760</t>
  </si>
  <si>
    <t>CUST-3761</t>
  </si>
  <si>
    <t>CUST-3762</t>
  </si>
  <si>
    <t>CUST-3763</t>
  </si>
  <si>
    <t>CUST-3764</t>
  </si>
  <si>
    <t>CUST-3765</t>
  </si>
  <si>
    <t>CUST-3766</t>
  </si>
  <si>
    <t>CUST-3767</t>
  </si>
  <si>
    <t>CUST-3768</t>
  </si>
  <si>
    <t>CUST-3769</t>
  </si>
  <si>
    <t>CUST-3770</t>
  </si>
  <si>
    <t>CUST-3771</t>
  </si>
  <si>
    <t>CUST-3772</t>
  </si>
  <si>
    <t>CUST-3774</t>
  </si>
  <si>
    <t>CUST-3775</t>
  </si>
  <si>
    <t>CUST-3776</t>
  </si>
  <si>
    <t>CUST-3779</t>
  </si>
  <si>
    <t>CUST-3780</t>
  </si>
  <si>
    <t>CUST-3781</t>
  </si>
  <si>
    <t>CUST-3782</t>
  </si>
  <si>
    <t>CUST-3783</t>
  </si>
  <si>
    <t>CUST-3784</t>
  </si>
  <si>
    <t>CUST-3785</t>
  </si>
  <si>
    <t>CUST-3788</t>
  </si>
  <si>
    <t>CUST-3789</t>
  </si>
  <si>
    <t>CUST-3790</t>
  </si>
  <si>
    <t>CUST-3792</t>
  </si>
  <si>
    <t>CUST-3793</t>
  </si>
  <si>
    <t>CUST-3794</t>
  </si>
  <si>
    <t>CUST-3795</t>
  </si>
  <si>
    <t>CUST-3796</t>
  </si>
  <si>
    <t>CUST-3797</t>
  </si>
  <si>
    <t>CUST-3798</t>
  </si>
  <si>
    <t>CUST-3799</t>
  </si>
  <si>
    <t>CUST-3800</t>
  </si>
  <si>
    <t>CUST-3803</t>
  </si>
  <si>
    <t>CUST-3804</t>
  </si>
  <si>
    <t>CUST-3805</t>
  </si>
  <si>
    <t>CUST-3807</t>
  </si>
  <si>
    <t>CUST-3808</t>
  </si>
  <si>
    <t>CUST-3809</t>
  </si>
  <si>
    <t>CUST-3810</t>
  </si>
  <si>
    <t>CUST-3812</t>
  </si>
  <si>
    <t>CUST-3813</t>
  </si>
  <si>
    <t>CUST-3814</t>
  </si>
  <si>
    <t>CUST-3815</t>
  </si>
  <si>
    <t>CUST-3816</t>
  </si>
  <si>
    <t>CUST-3818</t>
  </si>
  <si>
    <t>CUST-3819</t>
  </si>
  <si>
    <t>CUST-3820</t>
  </si>
  <si>
    <t>CUST-3821</t>
  </si>
  <si>
    <t>CUST-3822</t>
  </si>
  <si>
    <t>CUST-3823</t>
  </si>
  <si>
    <t>CUST-3824</t>
  </si>
  <si>
    <t>CUST-3825</t>
  </si>
  <si>
    <t>CUST-3826</t>
  </si>
  <si>
    <t>CUST-3827</t>
  </si>
  <si>
    <t>CUST-3829</t>
  </si>
  <si>
    <t>CUST-3830</t>
  </si>
  <si>
    <t>CUST-3831</t>
  </si>
  <si>
    <t>CUST-3832</t>
  </si>
  <si>
    <t>CUST-3833</t>
  </si>
  <si>
    <t>CUST-3834</t>
  </si>
  <si>
    <t>CUST-3836</t>
  </si>
  <si>
    <t>CUST-3838</t>
  </si>
  <si>
    <t>CUST-3839</t>
  </si>
  <si>
    <t>CUST-3841</t>
  </si>
  <si>
    <t>CUST-3842</t>
  </si>
  <si>
    <t>CUST-3843</t>
  </si>
  <si>
    <t>CUST-3844</t>
  </si>
  <si>
    <t>CUST-3846</t>
  </si>
  <si>
    <t>CUST-3848</t>
  </si>
  <si>
    <t>CUST-3849</t>
  </si>
  <si>
    <t>CUST-3852</t>
  </si>
  <si>
    <t>CUST-3853</t>
  </si>
  <si>
    <t>CUST-3855</t>
  </si>
  <si>
    <t>CUST-3856</t>
  </si>
  <si>
    <t>CUST-3857</t>
  </si>
  <si>
    <t>CUST-3859</t>
  </si>
  <si>
    <t>CUST-3860</t>
  </si>
  <si>
    <t>CUST-3861</t>
  </si>
  <si>
    <t>CUST-3862</t>
  </si>
  <si>
    <t>CUST-3863</t>
  </si>
  <si>
    <t>CUST-3864</t>
  </si>
  <si>
    <t>CUST-3865</t>
  </si>
  <si>
    <t>CUST-3866</t>
  </si>
  <si>
    <t>CUST-3867</t>
  </si>
  <si>
    <t>CUST-3869</t>
  </si>
  <si>
    <t>CUST-3870</t>
  </si>
  <si>
    <t>CUST-3871</t>
  </si>
  <si>
    <t>CUST-3873</t>
  </si>
  <si>
    <t>CUST-3874</t>
  </si>
  <si>
    <t>CUST-3875</t>
  </si>
  <si>
    <t>CUST-3876</t>
  </si>
  <si>
    <t>CUST-3877</t>
  </si>
  <si>
    <t>CUST-3878</t>
  </si>
  <si>
    <t>CUST-3879</t>
  </si>
  <si>
    <t>CUST-3882</t>
  </si>
  <si>
    <t>CUST-3884</t>
  </si>
  <si>
    <t>CUST-3885</t>
  </si>
  <si>
    <t>CUST-3886</t>
  </si>
  <si>
    <t>CUST-3887</t>
  </si>
  <si>
    <t>CUST-3888</t>
  </si>
  <si>
    <t>CUST-3889</t>
  </si>
  <si>
    <t>CUST-3890</t>
  </si>
  <si>
    <t>CUST-3891</t>
  </si>
  <si>
    <t>CUST-3892</t>
  </si>
  <si>
    <t>CUST-3893</t>
  </si>
  <si>
    <t>CUST-3894</t>
  </si>
  <si>
    <t>CUST-3895</t>
  </si>
  <si>
    <t>CUST-3896</t>
  </si>
  <si>
    <t>CUST-3897</t>
  </si>
  <si>
    <t>CUST-3898</t>
  </si>
  <si>
    <t>CUST-3902</t>
  </si>
  <si>
    <t>CUST-3903</t>
  </si>
  <si>
    <t>CUST-3904</t>
  </si>
  <si>
    <t>CUST-3905</t>
  </si>
  <si>
    <t>CUST-3907</t>
  </si>
  <si>
    <t>CUST-3908</t>
  </si>
  <si>
    <t>CUST-3910</t>
  </si>
  <si>
    <t>CUST-3911</t>
  </si>
  <si>
    <t>CUST-3912</t>
  </si>
  <si>
    <t>CUST-3913</t>
  </si>
  <si>
    <t>CUST-3914</t>
  </si>
  <si>
    <t>CUST-3915</t>
  </si>
  <si>
    <t>CUST-3916</t>
  </si>
  <si>
    <t>CUST-3917</t>
  </si>
  <si>
    <t>CUST-3918</t>
  </si>
  <si>
    <t>CUST-3919</t>
  </si>
  <si>
    <t>CUST-3921</t>
  </si>
  <si>
    <t>CUST-3922</t>
  </si>
  <si>
    <t>CUST-3924</t>
  </si>
  <si>
    <t>CUST-3925</t>
  </si>
  <si>
    <t>CUST-3926</t>
  </si>
  <si>
    <t>CUST-3927</t>
  </si>
  <si>
    <t>CUST-3928</t>
  </si>
  <si>
    <t>CUST-3930</t>
  </si>
  <si>
    <t>CUST-3932</t>
  </si>
  <si>
    <t>CUST-3933</t>
  </si>
  <si>
    <t>CUST-3934</t>
  </si>
  <si>
    <t>CUST-3935</t>
  </si>
  <si>
    <t>CUST-3936</t>
  </si>
  <si>
    <t>CUST-3939</t>
  </si>
  <si>
    <t>CUST-3940</t>
  </si>
  <si>
    <t>CUST-3941</t>
  </si>
  <si>
    <t>CUST-3942</t>
  </si>
  <si>
    <t>CUST-3943</t>
  </si>
  <si>
    <t>CUST-3944</t>
  </si>
  <si>
    <t>CUST-3945</t>
  </si>
  <si>
    <t>CUST-3946</t>
  </si>
  <si>
    <t>CUST-3947</t>
  </si>
  <si>
    <t>CUST-3951</t>
  </si>
  <si>
    <t>CUST-3952</t>
  </si>
  <si>
    <t>CUST-3955</t>
  </si>
  <si>
    <t>CUST-3956</t>
  </si>
  <si>
    <t>CUST-3957</t>
  </si>
  <si>
    <t>CUST-3958</t>
  </si>
  <si>
    <t>CUST-3959</t>
  </si>
  <si>
    <t>CUST-3960</t>
  </si>
  <si>
    <t>CUST-3962</t>
  </si>
  <si>
    <t>CUST-3967</t>
  </si>
  <si>
    <t>CUST-3968</t>
  </si>
  <si>
    <t>CUST-3969</t>
  </si>
  <si>
    <t>CUST-3971</t>
  </si>
  <si>
    <t>CUST-3972</t>
  </si>
  <si>
    <t>CUST-3973</t>
  </si>
  <si>
    <t>CUST-3974</t>
  </si>
  <si>
    <t>CUST-3975</t>
  </si>
  <si>
    <t>CUST-3976</t>
  </si>
  <si>
    <t>CUST-3977</t>
  </si>
  <si>
    <t>CUST-3979</t>
  </si>
  <si>
    <t>CUST-3981</t>
  </si>
  <si>
    <t>CUST-3982</t>
  </si>
  <si>
    <t>CUST-3983</t>
  </si>
  <si>
    <t>CUST-3985</t>
  </si>
  <si>
    <t>CUST-3986</t>
  </si>
  <si>
    <t>CUST-3987</t>
  </si>
  <si>
    <t>CUST-3988</t>
  </si>
  <si>
    <t>CUST-3989</t>
  </si>
  <si>
    <t>CUST-3990</t>
  </si>
  <si>
    <t>CUST-3991</t>
  </si>
  <si>
    <t>CUST-3992</t>
  </si>
  <si>
    <t>CUST-3993</t>
  </si>
  <si>
    <t>CUST-3994</t>
  </si>
  <si>
    <t>CUST-3995</t>
  </si>
  <si>
    <t>CUST-3996</t>
  </si>
  <si>
    <t>CUST-3997</t>
  </si>
  <si>
    <t>CUST-3998</t>
  </si>
  <si>
    <t>CUST-4000</t>
  </si>
  <si>
    <t>CUST-4001</t>
  </si>
  <si>
    <t>CUST-4003</t>
  </si>
  <si>
    <t>CUST-4004</t>
  </si>
  <si>
    <t>CUST-4005</t>
  </si>
  <si>
    <t>CUST-4006</t>
  </si>
  <si>
    <t>CUST-4008</t>
  </si>
  <si>
    <t>CUST-4009</t>
  </si>
  <si>
    <t>CUST-4010</t>
  </si>
  <si>
    <t>CUST-4011</t>
  </si>
  <si>
    <t>CUST-4012</t>
  </si>
  <si>
    <t>CUST-4013</t>
  </si>
  <si>
    <t>CUST-4015</t>
  </si>
  <si>
    <t>CUST-4016</t>
  </si>
  <si>
    <t>CUST-4017</t>
  </si>
  <si>
    <t>CUST-4018</t>
  </si>
  <si>
    <t>CUST-4019</t>
  </si>
  <si>
    <t>CUST-4020</t>
  </si>
  <si>
    <t>CUST-4021</t>
  </si>
  <si>
    <t>CUST-4022</t>
  </si>
  <si>
    <t>CUST-4023</t>
  </si>
  <si>
    <t>CUST-4024</t>
  </si>
  <si>
    <t>CUST-4026</t>
  </si>
  <si>
    <t>CUST-4027</t>
  </si>
  <si>
    <t>CUST-4028</t>
  </si>
  <si>
    <t>CUST-4030</t>
  </si>
  <si>
    <t>CUST-4031</t>
  </si>
  <si>
    <t>CUST-4033</t>
  </si>
  <si>
    <t>CUST-4036</t>
  </si>
  <si>
    <t>CUST-4038</t>
  </si>
  <si>
    <t>CUST-4039</t>
  </si>
  <si>
    <t>CUST-4040</t>
  </si>
  <si>
    <t>CUST-4041</t>
  </si>
  <si>
    <t>CUST-4042</t>
  </si>
  <si>
    <t>CUST-4043</t>
  </si>
  <si>
    <t>CUST-4044</t>
  </si>
  <si>
    <t>CUST-4046</t>
  </si>
  <si>
    <t>CUST-4047</t>
  </si>
  <si>
    <t>CUST-4048</t>
  </si>
  <si>
    <t>CUST-4049</t>
  </si>
  <si>
    <t>CUST-4050</t>
  </si>
  <si>
    <t>CUST-4051</t>
  </si>
  <si>
    <t>CUST-4052</t>
  </si>
  <si>
    <t>CUST-4053</t>
  </si>
  <si>
    <t>CUST-4055</t>
  </si>
  <si>
    <t>CUST-4057</t>
  </si>
  <si>
    <t>CUST-4058</t>
  </si>
  <si>
    <t>CUST-4061</t>
  </si>
  <si>
    <t>CUST-4062</t>
  </si>
  <si>
    <t>CUST-4063</t>
  </si>
  <si>
    <t>CUST-4064</t>
  </si>
  <si>
    <t>CUST-4065</t>
  </si>
  <si>
    <t>CUST-4066</t>
  </si>
  <si>
    <t>CUST-4067</t>
  </si>
  <si>
    <t>CUST-4070</t>
  </si>
  <si>
    <t>CUST-4071</t>
  </si>
  <si>
    <t>CUST-4072</t>
  </si>
  <si>
    <t>CUST-4073</t>
  </si>
  <si>
    <t>CUST-4074</t>
  </si>
  <si>
    <t>CUST-4075</t>
  </si>
  <si>
    <t>CUST-4076</t>
  </si>
  <si>
    <t>CUST-4077</t>
  </si>
  <si>
    <t>CUST-4078</t>
  </si>
  <si>
    <t>CUST-4079</t>
  </si>
  <si>
    <t>CUST-4080</t>
  </si>
  <si>
    <t>CUST-4081</t>
  </si>
  <si>
    <t>CUST-4082</t>
  </si>
  <si>
    <t>CUST-4083</t>
  </si>
  <si>
    <t>CUST-4084</t>
  </si>
  <si>
    <t>CUST-4085</t>
  </si>
  <si>
    <t>CUST-4086</t>
  </si>
  <si>
    <t>CUST-4087</t>
  </si>
  <si>
    <t>CUST-4088</t>
  </si>
  <si>
    <t>CUST-4090</t>
  </si>
  <si>
    <t>CUST-4091</t>
  </si>
  <si>
    <t>CUST-4093</t>
  </si>
  <si>
    <t>CUST-4094</t>
  </si>
  <si>
    <t>CUST-4095</t>
  </si>
  <si>
    <t>CUST-4096</t>
  </si>
  <si>
    <t>CUST-4098</t>
  </si>
  <si>
    <t>CUST-4099</t>
  </si>
  <si>
    <t>CUST-4100</t>
  </si>
  <si>
    <t>CUST-4101</t>
  </si>
  <si>
    <t>CUST-4102</t>
  </si>
  <si>
    <t>CUST-4103</t>
  </si>
  <si>
    <t>CUST-4104</t>
  </si>
  <si>
    <t>CUST-4105</t>
  </si>
  <si>
    <t>CUST-4107</t>
  </si>
  <si>
    <t>CUST-4109</t>
  </si>
  <si>
    <t>CUST-4110</t>
  </si>
  <si>
    <t>CUST-4111</t>
  </si>
  <si>
    <t>CUST-4113</t>
  </si>
  <si>
    <t>CUST-4115</t>
  </si>
  <si>
    <t>CUST-4117</t>
  </si>
  <si>
    <t>CUST-4118</t>
  </si>
  <si>
    <t>CUST-4119</t>
  </si>
  <si>
    <t>CUST-4120</t>
  </si>
  <si>
    <t>CUST-4121</t>
  </si>
  <si>
    <t>CUST-4122</t>
  </si>
  <si>
    <t>CUST-4123</t>
  </si>
  <si>
    <t>CUST-4126</t>
  </si>
  <si>
    <t>CUST-4127</t>
  </si>
  <si>
    <t>CUST-4128</t>
  </si>
  <si>
    <t>CUST-4129</t>
  </si>
  <si>
    <t>CUST-4130</t>
  </si>
  <si>
    <t>CUST-4131</t>
  </si>
  <si>
    <t>CUST-4132</t>
  </si>
  <si>
    <t>CUST-4133</t>
  </si>
  <si>
    <t>CUST-4134</t>
  </si>
  <si>
    <t>CUST-4136</t>
  </si>
  <si>
    <t>CUST-4137</t>
  </si>
  <si>
    <t>CUST-4138</t>
  </si>
  <si>
    <t>CUST-4140</t>
  </si>
  <si>
    <t>CUST-4142</t>
  </si>
  <si>
    <t>CUST-4143</t>
  </si>
  <si>
    <t>CUST-4144</t>
  </si>
  <si>
    <t>CUST-4145</t>
  </si>
  <si>
    <t>CUST-4146</t>
  </si>
  <si>
    <t>CUST-4147</t>
  </si>
  <si>
    <t>CUST-4148</t>
  </si>
  <si>
    <t>CUST-4149</t>
  </si>
  <si>
    <t>CUST-4151</t>
  </si>
  <si>
    <t>CUST-4152</t>
  </si>
  <si>
    <t>CUST-4154</t>
  </si>
  <si>
    <t>CUST-4155</t>
  </si>
  <si>
    <t>CUST-4156</t>
  </si>
  <si>
    <t>CUST-4157</t>
  </si>
  <si>
    <t>CUST-4160</t>
  </si>
  <si>
    <t>CUST-4161</t>
  </si>
  <si>
    <t>CUST-4162</t>
  </si>
  <si>
    <t>CUST-4165</t>
  </si>
  <si>
    <t>CUST-4166</t>
  </si>
  <si>
    <t>CUST-4167</t>
  </si>
  <si>
    <t>CUST-4169</t>
  </si>
  <si>
    <t>CUST-4170</t>
  </si>
  <si>
    <t>CUST-4171</t>
  </si>
  <si>
    <t>CUST-4172</t>
  </si>
  <si>
    <t>CUST-4175</t>
  </si>
  <si>
    <t>CUST-4176</t>
  </si>
  <si>
    <t>CUST-4177</t>
  </si>
  <si>
    <t>CUST-4178</t>
  </si>
  <si>
    <t>CUST-4179</t>
  </si>
  <si>
    <t>CUST-4180</t>
  </si>
  <si>
    <t>CUST-4181</t>
  </si>
  <si>
    <t>CUST-4182</t>
  </si>
  <si>
    <t>CUST-4183</t>
  </si>
  <si>
    <t>CUST-4184</t>
  </si>
  <si>
    <t>CUST-4185</t>
  </si>
  <si>
    <t>CUST-4187</t>
  </si>
  <si>
    <t>CUST-4188</t>
  </si>
  <si>
    <t>CUST-4189</t>
  </si>
  <si>
    <t>CUST-4191</t>
  </si>
  <si>
    <t>CUST-4194</t>
  </si>
  <si>
    <t>CUST-4195</t>
  </si>
  <si>
    <t>CUST-4196</t>
  </si>
  <si>
    <t>CUST-4197</t>
  </si>
  <si>
    <t>CUST-4199</t>
  </si>
  <si>
    <t>CUST-4200</t>
  </si>
  <si>
    <t>CUST-4201</t>
  </si>
  <si>
    <t>CUST-4202</t>
  </si>
  <si>
    <t>CUST-4203</t>
  </si>
  <si>
    <t>CUST-4205</t>
  </si>
  <si>
    <t>CUST-4206</t>
  </si>
  <si>
    <t>CUST-4208</t>
  </si>
  <si>
    <t>CUST-4209</t>
  </si>
  <si>
    <t>CUST-4210</t>
  </si>
  <si>
    <t>CUST-4211</t>
  </si>
  <si>
    <t>CUST-4212</t>
  </si>
  <si>
    <t>CUST-4213</t>
  </si>
  <si>
    <t>CUST-4215</t>
  </si>
  <si>
    <t>CUST-4216</t>
  </si>
  <si>
    <t>CUST-4217</t>
  </si>
  <si>
    <t>CUST-4219</t>
  </si>
  <si>
    <t>CUST-4220</t>
  </si>
  <si>
    <t>CUST-4221</t>
  </si>
  <si>
    <t>CUST-4222</t>
  </si>
  <si>
    <t>CUST-4223</t>
  </si>
  <si>
    <t>CUST-4224</t>
  </si>
  <si>
    <t>CUST-4225</t>
  </si>
  <si>
    <t>CUST-4226</t>
  </si>
  <si>
    <t>CUST-4227</t>
  </si>
  <si>
    <t>CUST-4230</t>
  </si>
  <si>
    <t>CUST-4231</t>
  </si>
  <si>
    <t>CUST-4233</t>
  </si>
  <si>
    <t>CUST-4234</t>
  </si>
  <si>
    <t>CUST-4235</t>
  </si>
  <si>
    <t>CUST-4236</t>
  </si>
  <si>
    <t>CUST-4237</t>
  </si>
  <si>
    <t>CUST-4239</t>
  </si>
  <si>
    <t>CUST-4240</t>
  </si>
  <si>
    <t>CUST-4241</t>
  </si>
  <si>
    <t>CUST-4242</t>
  </si>
  <si>
    <t>CUST-4244</t>
  </si>
  <si>
    <t>CUST-4247</t>
  </si>
  <si>
    <t>CUST-4248</t>
  </si>
  <si>
    <t>CUST-4249</t>
  </si>
  <si>
    <t>CUST-4250</t>
  </si>
  <si>
    <t>CUST-4251</t>
  </si>
  <si>
    <t>CUST-4252</t>
  </si>
  <si>
    <t>CUST-4253</t>
  </si>
  <si>
    <t>CUST-4257</t>
  </si>
  <si>
    <t>CUST-4258</t>
  </si>
  <si>
    <t>CUST-4260</t>
  </si>
  <si>
    <t>CUST-4261</t>
  </si>
  <si>
    <t>CUST-4262</t>
  </si>
  <si>
    <t>CUST-4264</t>
  </si>
  <si>
    <t>CUST-4265</t>
  </si>
  <si>
    <t>CUST-4266</t>
  </si>
  <si>
    <t>CUST-4267</t>
  </si>
  <si>
    <t>CUST-4268</t>
  </si>
  <si>
    <t>CUST-4269</t>
  </si>
  <si>
    <t>CUST-4270</t>
  </si>
  <si>
    <t>CUST-4271</t>
  </si>
  <si>
    <t>CUST-4272</t>
  </si>
  <si>
    <t>CUST-4276</t>
  </si>
  <si>
    <t>CUST-4277</t>
  </si>
  <si>
    <t>CUST-4278</t>
  </si>
  <si>
    <t>CUST-4279</t>
  </si>
  <si>
    <t>CUST-4280</t>
  </si>
  <si>
    <t>CUST-4281</t>
  </si>
  <si>
    <t>CUST-4282</t>
  </si>
  <si>
    <t>CUST-4283</t>
  </si>
  <si>
    <t>CUST-4285</t>
  </si>
  <si>
    <t>CUST-4286</t>
  </si>
  <si>
    <t>CUST-4287</t>
  </si>
  <si>
    <t>CUST-4288</t>
  </si>
  <si>
    <t>CUST-4289</t>
  </si>
  <si>
    <t>CUST-4290</t>
  </si>
  <si>
    <t>CUST-4291</t>
  </si>
  <si>
    <t>CUST-4292</t>
  </si>
  <si>
    <t>CUST-4295</t>
  </si>
  <si>
    <t>CUST-4297</t>
  </si>
  <si>
    <t>CUST-4298</t>
  </si>
  <si>
    <t>CUST-4299</t>
  </si>
  <si>
    <t>CUST-4300</t>
  </si>
  <si>
    <t>CUST-4301</t>
  </si>
  <si>
    <t>CUST-4302</t>
  </si>
  <si>
    <t>CUST-4303</t>
  </si>
  <si>
    <t>CUST-4304</t>
  </si>
  <si>
    <t>CUST-4305</t>
  </si>
  <si>
    <t>CUST-4306</t>
  </si>
  <si>
    <t>CUST-4307</t>
  </si>
  <si>
    <t>CUST-4308</t>
  </si>
  <si>
    <t>CUST-4309</t>
  </si>
  <si>
    <t>CUST-4310</t>
  </si>
  <si>
    <t>CUST-4311</t>
  </si>
  <si>
    <t>CUST-4312</t>
  </si>
  <si>
    <t>CUST-4313</t>
  </si>
  <si>
    <t>CUST-4314</t>
  </si>
  <si>
    <t>CUST-4316</t>
  </si>
  <si>
    <t>CUST-4317</t>
  </si>
  <si>
    <t>CUST-4318</t>
  </si>
  <si>
    <t>CUST-4319</t>
  </si>
  <si>
    <t>CUST-4320</t>
  </si>
  <si>
    <t>CUST-4321</t>
  </si>
  <si>
    <t>CUST-4323</t>
  </si>
  <si>
    <t>CUST-4324</t>
  </si>
  <si>
    <t>CUST-4325</t>
  </si>
  <si>
    <t>CUST-4326</t>
  </si>
  <si>
    <t>CUST-4327</t>
  </si>
  <si>
    <t>CUST-4328</t>
  </si>
  <si>
    <t>CUST-4329</t>
  </si>
  <si>
    <t>CUST-4331</t>
  </si>
  <si>
    <t>CUST-4332</t>
  </si>
  <si>
    <t>CUST-4333</t>
  </si>
  <si>
    <t>CUST-4334</t>
  </si>
  <si>
    <t>CUST-4335</t>
  </si>
  <si>
    <t>CUST-4336</t>
  </si>
  <si>
    <t>CUST-4337</t>
  </si>
  <si>
    <t>CUST-4338</t>
  </si>
  <si>
    <t>CUST-4339</t>
  </si>
  <si>
    <t>CUST-4340</t>
  </si>
  <si>
    <t>CUST-4341</t>
  </si>
  <si>
    <t>CUST-4342</t>
  </si>
  <si>
    <t>CUST-4343</t>
  </si>
  <si>
    <t>CUST-4345</t>
  </si>
  <si>
    <t>CUST-4346</t>
  </si>
  <si>
    <t>CUST-4347</t>
  </si>
  <si>
    <t>CUST-4348</t>
  </si>
  <si>
    <t>CUST-4349</t>
  </si>
  <si>
    <t>CUST-4350</t>
  </si>
  <si>
    <t>CUST-4351</t>
  </si>
  <si>
    <t>CUST-4352</t>
  </si>
  <si>
    <t>CUST-4353</t>
  </si>
  <si>
    <t>CUST-4354</t>
  </si>
  <si>
    <t>CUST-4355</t>
  </si>
  <si>
    <t>CUST-4356</t>
  </si>
  <si>
    <t>CUST-4357</t>
  </si>
  <si>
    <t>CUST-4358</t>
  </si>
  <si>
    <t>CUST-4359</t>
  </si>
  <si>
    <t>CUST-4360</t>
  </si>
  <si>
    <t>CUST-4361</t>
  </si>
  <si>
    <t>CUST-4363</t>
  </si>
  <si>
    <t>CUST-4366</t>
  </si>
  <si>
    <t>CUST-4369</t>
  </si>
  <si>
    <t>CUST-4370</t>
  </si>
  <si>
    <t>CUST-4371</t>
  </si>
  <si>
    <t>CUST-4373</t>
  </si>
  <si>
    <t>CUST-4374</t>
  </si>
  <si>
    <t>CUST-4375</t>
  </si>
  <si>
    <t>CUST-4376</t>
  </si>
  <si>
    <t>CUST-4377</t>
  </si>
  <si>
    <t>CUST-4378</t>
  </si>
  <si>
    <t>CUST-4379</t>
  </si>
  <si>
    <t>CUST-4381</t>
  </si>
  <si>
    <t>CUST-4382</t>
  </si>
  <si>
    <t>CUST-4383</t>
  </si>
  <si>
    <t>CUST-4384</t>
  </si>
  <si>
    <t>CUST-4385</t>
  </si>
  <si>
    <t>CUST-4386</t>
  </si>
  <si>
    <t>CUST-4387</t>
  </si>
  <si>
    <t>CUST-4388</t>
  </si>
  <si>
    <t>CUST-4389</t>
  </si>
  <si>
    <t>CUST-4390</t>
  </si>
  <si>
    <t>CUST-4392</t>
  </si>
  <si>
    <t>CUST-4394</t>
  </si>
  <si>
    <t>CUST-4395</t>
  </si>
  <si>
    <t>CUST-4396</t>
  </si>
  <si>
    <t>CUST-4397</t>
  </si>
  <si>
    <t>CUST-4398</t>
  </si>
  <si>
    <t>CUST-4399</t>
  </si>
  <si>
    <t>CUST-4402</t>
  </si>
  <si>
    <t>CUST-4403</t>
  </si>
  <si>
    <t>CUST-4404</t>
  </si>
  <si>
    <t>CUST-4405</t>
  </si>
  <si>
    <t>CUST-4407</t>
  </si>
  <si>
    <t>CUST-4408</t>
  </si>
  <si>
    <t>CUST-4409</t>
  </si>
  <si>
    <t>CUST-4410</t>
  </si>
  <si>
    <t>CUST-4411</t>
  </si>
  <si>
    <t>CUST-4412</t>
  </si>
  <si>
    <t>CUST-4414</t>
  </si>
  <si>
    <t>CUST-4415</t>
  </si>
  <si>
    <t>CUST-4416</t>
  </si>
  <si>
    <t>CUST-4417</t>
  </si>
  <si>
    <t>CUST-4418</t>
  </si>
  <si>
    <t>CUST-4420</t>
  </si>
  <si>
    <t>CUST-4421</t>
  </si>
  <si>
    <t>CUST-4422</t>
  </si>
  <si>
    <t>CUST-4423</t>
  </si>
  <si>
    <t>CUST-4424</t>
  </si>
  <si>
    <t>CUST-4425</t>
  </si>
  <si>
    <t>CUST-4426</t>
  </si>
  <si>
    <t>CUST-4429</t>
  </si>
  <si>
    <t>CUST-4430</t>
  </si>
  <si>
    <t>CUST-4431</t>
  </si>
  <si>
    <t>CUST-4433</t>
  </si>
  <si>
    <t>CUST-4435</t>
  </si>
  <si>
    <t>CUST-4436</t>
  </si>
  <si>
    <t>CUST-4437</t>
  </si>
  <si>
    <t>CUST-4439</t>
  </si>
  <si>
    <t>CUST-4440</t>
  </si>
  <si>
    <t>CUST-4441</t>
  </si>
  <si>
    <t>CUST-4442</t>
  </si>
  <si>
    <t>CUST-4444</t>
  </si>
  <si>
    <t>CUST-4445</t>
  </si>
  <si>
    <t>CUST-4446</t>
  </si>
  <si>
    <t>CUST-4448</t>
  </si>
  <si>
    <t>CUST-4449</t>
  </si>
  <si>
    <t>CUST-4450</t>
  </si>
  <si>
    <t>CUST-4451</t>
  </si>
  <si>
    <t>CUST-4453</t>
  </si>
  <si>
    <t>CUST-4454</t>
  </si>
  <si>
    <t>CUST-4455</t>
  </si>
  <si>
    <t>CUST-4456</t>
  </si>
  <si>
    <t>CUST-4457</t>
  </si>
  <si>
    <t>CUST-4458</t>
  </si>
  <si>
    <t>CUST-4460</t>
  </si>
  <si>
    <t>CUST-4461</t>
  </si>
  <si>
    <t>CUST-4462</t>
  </si>
  <si>
    <t>CUST-4463</t>
  </si>
  <si>
    <t>CUST-4464</t>
  </si>
  <si>
    <t>CUST-4466</t>
  </si>
  <si>
    <t>CUST-4467</t>
  </si>
  <si>
    <t>CUST-4468</t>
  </si>
  <si>
    <t>CUST-4469</t>
  </si>
  <si>
    <t>CUST-4470</t>
  </si>
  <si>
    <t>CUST-4471</t>
  </si>
  <si>
    <t>CUST-4472</t>
  </si>
  <si>
    <t>CUST-4473</t>
  </si>
  <si>
    <t>CUST-4474</t>
  </si>
  <si>
    <t>CUST-4475</t>
  </si>
  <si>
    <t>CUST-4476</t>
  </si>
  <si>
    <t>CUST-4477</t>
  </si>
  <si>
    <t>CUST-4478</t>
  </si>
  <si>
    <t>CUST-4479</t>
  </si>
  <si>
    <t>CUST-4480</t>
  </si>
  <si>
    <t>CUST-4481</t>
  </si>
  <si>
    <t>CUST-4482</t>
  </si>
  <si>
    <t>CUST-4483</t>
  </si>
  <si>
    <t>CUST-4484</t>
  </si>
  <si>
    <t>CUST-4485</t>
  </si>
  <si>
    <t>CUST-4487</t>
  </si>
  <si>
    <t>CUST-4489</t>
  </si>
  <si>
    <t>CUST-4490</t>
  </si>
  <si>
    <t>CUST-4491</t>
  </si>
  <si>
    <t>CUST-4492</t>
  </si>
  <si>
    <t>CUST-4494</t>
  </si>
  <si>
    <t>CUST-4496</t>
  </si>
  <si>
    <t>CUST-4497</t>
  </si>
  <si>
    <t>CUST-4500</t>
  </si>
  <si>
    <t>CUST-4501</t>
  </si>
  <si>
    <t>CUST-4503</t>
  </si>
  <si>
    <t>CUST-4504</t>
  </si>
  <si>
    <t>CUST-4505</t>
  </si>
  <si>
    <t>CUST-4506</t>
  </si>
  <si>
    <t>CUST-4507</t>
  </si>
  <si>
    <t>CUST-4508</t>
  </si>
  <si>
    <t>CUST-4509</t>
  </si>
  <si>
    <t>CUST-4510</t>
  </si>
  <si>
    <t>CUST-4511</t>
  </si>
  <si>
    <t>CUST-4512</t>
  </si>
  <si>
    <t>CUST-4513</t>
  </si>
  <si>
    <t>CUST-4514</t>
  </si>
  <si>
    <t>CUST-4516</t>
  </si>
  <si>
    <t>CUST-4517</t>
  </si>
  <si>
    <t>CUST-4519</t>
  </si>
  <si>
    <t>CUST-4520</t>
  </si>
  <si>
    <t>CUST-4521</t>
  </si>
  <si>
    <t>CUST-4522</t>
  </si>
  <si>
    <t>CUST-4525</t>
  </si>
  <si>
    <t>CUST-4526</t>
  </si>
  <si>
    <t>CUST-4527</t>
  </si>
  <si>
    <t>CUST-4528</t>
  </si>
  <si>
    <t>CUST-4529</t>
  </si>
  <si>
    <t>CUST-4530</t>
  </si>
  <si>
    <t>CUST-4532</t>
  </si>
  <si>
    <t>CUST-4534</t>
  </si>
  <si>
    <t>CUST-4535</t>
  </si>
  <si>
    <t>CUST-4536</t>
  </si>
  <si>
    <t>CUST-4537</t>
  </si>
  <si>
    <t>CUST-4538</t>
  </si>
  <si>
    <t>CUST-4539</t>
  </si>
  <si>
    <t>CUST-4540</t>
  </si>
  <si>
    <t>CUST-4541</t>
  </si>
  <si>
    <t>CUST-4542</t>
  </si>
  <si>
    <t>CUST-4543</t>
  </si>
  <si>
    <t>CUST-4544</t>
  </si>
  <si>
    <t>CUST-4545</t>
  </si>
  <si>
    <t>CUST-4546</t>
  </si>
  <si>
    <t>CUST-4548</t>
  </si>
  <si>
    <t>CUST-4549</t>
  </si>
  <si>
    <t>CUST-4551</t>
  </si>
  <si>
    <t>CUST-4552</t>
  </si>
  <si>
    <t>CUST-4553</t>
  </si>
  <si>
    <t>CUST-4554</t>
  </si>
  <si>
    <t>CUST-4556</t>
  </si>
  <si>
    <t>CUST-4557</t>
  </si>
  <si>
    <t>CUST-4558</t>
  </si>
  <si>
    <t>CUST-4559</t>
  </si>
  <si>
    <t>CUST-4560</t>
  </si>
  <si>
    <t>CUST-4561</t>
  </si>
  <si>
    <t>CUST-4562</t>
  </si>
  <si>
    <t>CUST-4564</t>
  </si>
  <si>
    <t>CUST-4565</t>
  </si>
  <si>
    <t>CUST-4566</t>
  </si>
  <si>
    <t>CUST-4567</t>
  </si>
  <si>
    <t>CUST-4569</t>
  </si>
  <si>
    <t>CUST-4571</t>
  </si>
  <si>
    <t>CUST-4572</t>
  </si>
  <si>
    <t>CUST-4574</t>
  </si>
  <si>
    <t>CUST-4575</t>
  </si>
  <si>
    <t>CUST-4576</t>
  </si>
  <si>
    <t>CUST-4577</t>
  </si>
  <si>
    <t>CUST-4578</t>
  </si>
  <si>
    <t>CUST-4579</t>
  </si>
  <si>
    <t>CUST-4581</t>
  </si>
  <si>
    <t>CUST-4582</t>
  </si>
  <si>
    <t>CUST-4584</t>
  </si>
  <si>
    <t>CUST-4585</t>
  </si>
  <si>
    <t>CUST-4586</t>
  </si>
  <si>
    <t>CUST-4587</t>
  </si>
  <si>
    <t>CUST-4588</t>
  </si>
  <si>
    <t>CUST-4591</t>
  </si>
  <si>
    <t>CUST-4593</t>
  </si>
  <si>
    <t>CUST-4594</t>
  </si>
  <si>
    <t>CUST-4595</t>
  </si>
  <si>
    <t>CUST-4596</t>
  </si>
  <si>
    <t>CUST-4597</t>
  </si>
  <si>
    <t>CUST-4598</t>
  </si>
  <si>
    <t>CUST-4599</t>
  </si>
  <si>
    <t>CUST-4600</t>
  </si>
  <si>
    <t>CUST-4601</t>
  </si>
  <si>
    <t>CUST-4602</t>
  </si>
  <si>
    <t>CUST-4603</t>
  </si>
  <si>
    <t>CUST-4604</t>
  </si>
  <si>
    <t>CUST-4605</t>
  </si>
  <si>
    <t>CUST-4606</t>
  </si>
  <si>
    <t>CUST-4607</t>
  </si>
  <si>
    <t>CUST-4608</t>
  </si>
  <si>
    <t>CUST-4609</t>
  </si>
  <si>
    <t>CUST-4610</t>
  </si>
  <si>
    <t>CUST-4611</t>
  </si>
  <si>
    <t>CUST-4612</t>
  </si>
  <si>
    <t>CUST-4614</t>
  </si>
  <si>
    <t>CUST-4615</t>
  </si>
  <si>
    <t>CUST-4616</t>
  </si>
  <si>
    <t>CUST-4617</t>
  </si>
  <si>
    <t>CUST-4618</t>
  </si>
  <si>
    <t>CUST-4619</t>
  </si>
  <si>
    <t>CUST-4620</t>
  </si>
  <si>
    <t>CUST-4621</t>
  </si>
  <si>
    <t>CUST-4622</t>
  </si>
  <si>
    <t>CUST-4624</t>
  </si>
  <si>
    <t>CUST-4627</t>
  </si>
  <si>
    <t>CUST-4628</t>
  </si>
  <si>
    <t>CUST-4629</t>
  </si>
  <si>
    <t>CUST-4630</t>
  </si>
  <si>
    <t>CUST-4631</t>
  </si>
  <si>
    <t>CUST-4632</t>
  </si>
  <si>
    <t>CUST-4633</t>
  </si>
  <si>
    <t>CUST-4636</t>
  </si>
  <si>
    <t>CUST-4637</t>
  </si>
  <si>
    <t>CUST-4638</t>
  </si>
  <si>
    <t>CUST-4639</t>
  </si>
  <si>
    <t>CUST-4640</t>
  </si>
  <si>
    <t>CUST-4641</t>
  </si>
  <si>
    <t>CUST-4643</t>
  </si>
  <si>
    <t>CUST-4644</t>
  </si>
  <si>
    <t>CUST-4645</t>
  </si>
  <si>
    <t>CUST-4647</t>
  </si>
  <si>
    <t>CUST-4648</t>
  </si>
  <si>
    <t>CUST-4649</t>
  </si>
  <si>
    <t>CUST-4650</t>
  </si>
  <si>
    <t>CUST-4651</t>
  </si>
  <si>
    <t>CUST-4652</t>
  </si>
  <si>
    <t>CUST-4654</t>
  </si>
  <si>
    <t>CUST-4655</t>
  </si>
  <si>
    <t>CUST-4656</t>
  </si>
  <si>
    <t>CUST-4657</t>
  </si>
  <si>
    <t>CUST-4658</t>
  </si>
  <si>
    <t>CUST-4659</t>
  </si>
  <si>
    <t>CUST-4660</t>
  </si>
  <si>
    <t>CUST-4661</t>
  </si>
  <si>
    <t>CUST-4662</t>
  </si>
  <si>
    <t>CUST-4663</t>
  </si>
  <si>
    <t>CUST-4664</t>
  </si>
  <si>
    <t>CUST-4665</t>
  </si>
  <si>
    <t>CUST-4666</t>
  </si>
  <si>
    <t>CUST-4667</t>
  </si>
  <si>
    <t>CUST-4669</t>
  </si>
  <si>
    <t>CUST-4670</t>
  </si>
  <si>
    <t>CUST-4671</t>
  </si>
  <si>
    <t>CUST-4672</t>
  </si>
  <si>
    <t>CUST-4673</t>
  </si>
  <si>
    <t>CUST-4675</t>
  </si>
  <si>
    <t>CUST-4676</t>
  </si>
  <si>
    <t>CUST-4678</t>
  </si>
  <si>
    <t>CUST-4679</t>
  </si>
  <si>
    <t>CUST-4680</t>
  </si>
  <si>
    <t>CUST-4681</t>
  </si>
  <si>
    <t>CUST-4682</t>
  </si>
  <si>
    <t>CUST-4683</t>
  </si>
  <si>
    <t>CUST-4684</t>
  </si>
  <si>
    <t>CUST-4685</t>
  </si>
  <si>
    <t>CUST-4686</t>
  </si>
  <si>
    <t>CUST-4687</t>
  </si>
  <si>
    <t>CUST-4689</t>
  </si>
  <si>
    <t>CUST-4691</t>
  </si>
  <si>
    <t>CUST-4692</t>
  </si>
  <si>
    <t>CUST-4693</t>
  </si>
  <si>
    <t>CUST-4694</t>
  </si>
  <si>
    <t>CUST-4695</t>
  </si>
  <si>
    <t>CUST-4696</t>
  </si>
  <si>
    <t>CUST-4697</t>
  </si>
  <si>
    <t>CUST-4698</t>
  </si>
  <si>
    <t>CUST-4699</t>
  </si>
  <si>
    <t>CUST-4700</t>
  </si>
  <si>
    <t>CUST-4703</t>
  </si>
  <si>
    <t>CUST-4704</t>
  </si>
  <si>
    <t>CUST-4705</t>
  </si>
  <si>
    <t>CUST-4707</t>
  </si>
  <si>
    <t>CUST-4708</t>
  </si>
  <si>
    <t>CUST-4709</t>
  </si>
  <si>
    <t>CUST-4710</t>
  </si>
  <si>
    <t>CUST-4711</t>
  </si>
  <si>
    <t>CUST-4712</t>
  </si>
  <si>
    <t>CUST-4713</t>
  </si>
  <si>
    <t>CUST-4715</t>
  </si>
  <si>
    <t>CUST-4716</t>
  </si>
  <si>
    <t>CUST-4717</t>
  </si>
  <si>
    <t>CUST-4718</t>
  </si>
  <si>
    <t>CUST-4719</t>
  </si>
  <si>
    <t>CUST-4720</t>
  </si>
  <si>
    <t>CUST-4721</t>
  </si>
  <si>
    <t>CUST-4722</t>
  </si>
  <si>
    <t>CUST-4723</t>
  </si>
  <si>
    <t>CUST-4724</t>
  </si>
  <si>
    <t>CUST-4725</t>
  </si>
  <si>
    <t>CUST-4726</t>
  </si>
  <si>
    <t>CUST-4727</t>
  </si>
  <si>
    <t>CUST-4729</t>
  </si>
  <si>
    <t>CUST-4730</t>
  </si>
  <si>
    <t>CUST-4731</t>
  </si>
  <si>
    <t>CUST-4732</t>
  </si>
  <si>
    <t>CUST-4733</t>
  </si>
  <si>
    <t>CUST-4734</t>
  </si>
  <si>
    <t>CUST-4736</t>
  </si>
  <si>
    <t>CUST-4737</t>
  </si>
  <si>
    <t>CUST-4738</t>
  </si>
  <si>
    <t>CUST-4739</t>
  </si>
  <si>
    <t>CUST-4740</t>
  </si>
  <si>
    <t>CUST-4741</t>
  </si>
  <si>
    <t>CUST-4742</t>
  </si>
  <si>
    <t>CUST-4743</t>
  </si>
  <si>
    <t>CUST-4744</t>
  </si>
  <si>
    <t>CUST-4745</t>
  </si>
  <si>
    <t>CUST-4746</t>
  </si>
  <si>
    <t>CUST-4748</t>
  </si>
  <si>
    <t>CUST-4749</t>
  </si>
  <si>
    <t>CUST-4750</t>
  </si>
  <si>
    <t>CUST-4751</t>
  </si>
  <si>
    <t>CUST-4752</t>
  </si>
  <si>
    <t>CUST-4753</t>
  </si>
  <si>
    <t>CUST-4754</t>
  </si>
  <si>
    <t>CUST-4755</t>
  </si>
  <si>
    <t>CUST-4758</t>
  </si>
  <si>
    <t>CUST-4760</t>
  </si>
  <si>
    <t>CUST-4761</t>
  </si>
  <si>
    <t>CUST-4762</t>
  </si>
  <si>
    <t>CUST-4764</t>
  </si>
  <si>
    <t>CUST-4765</t>
  </si>
  <si>
    <t>CUST-4766</t>
  </si>
  <si>
    <t>CUST-4768</t>
  </si>
  <si>
    <t>CUST-4772</t>
  </si>
  <si>
    <t>CUST-4775</t>
  </si>
  <si>
    <t>CUST-4776</t>
  </si>
  <si>
    <t>CUST-4778</t>
  </si>
  <si>
    <t>CUST-4779</t>
  </si>
  <si>
    <t>CUST-4780</t>
  </si>
  <si>
    <t>CUST-4781</t>
  </si>
  <si>
    <t>CUST-4783</t>
  </si>
  <si>
    <t>CUST-4784</t>
  </si>
  <si>
    <t>CUST-4786</t>
  </si>
  <si>
    <t>CUST-4787</t>
  </si>
  <si>
    <t>CUST-4788</t>
  </si>
  <si>
    <t>CUST-4789</t>
  </si>
  <si>
    <t>CUST-4790</t>
  </si>
  <si>
    <t>CUST-4791</t>
  </si>
  <si>
    <t>CUST-4792</t>
  </si>
  <si>
    <t>CUST-4794</t>
  </si>
  <si>
    <t>CUST-4796</t>
  </si>
  <si>
    <t>CUST-4797</t>
  </si>
  <si>
    <t>CUST-4799</t>
  </si>
  <si>
    <t>CUST-4801</t>
  </si>
  <si>
    <t>CUST-4802</t>
  </si>
  <si>
    <t>CUST-4803</t>
  </si>
  <si>
    <t>CUST-4804</t>
  </si>
  <si>
    <t>CUST-4805</t>
  </si>
  <si>
    <t>CUST-4807</t>
  </si>
  <si>
    <t>CUST-4808</t>
  </si>
  <si>
    <t>CUST-4809</t>
  </si>
  <si>
    <t>CUST-4811</t>
  </si>
  <si>
    <t>CUST-4812</t>
  </si>
  <si>
    <t>CUST-4813</t>
  </si>
  <si>
    <t>CUST-4815</t>
  </si>
  <si>
    <t>CUST-4816</t>
  </si>
  <si>
    <t>CUST-4817</t>
  </si>
  <si>
    <t>CUST-4818</t>
  </si>
  <si>
    <t>CUST-4820</t>
  </si>
  <si>
    <t>CUST-4821</t>
  </si>
  <si>
    <t>CUST-4822</t>
  </si>
  <si>
    <t>CUST-4825</t>
  </si>
  <si>
    <t>CUST-4826</t>
  </si>
  <si>
    <t>CUST-4827</t>
  </si>
  <si>
    <t>CUST-4828</t>
  </si>
  <si>
    <t>CUST-4830</t>
  </si>
  <si>
    <t>CUST-4832</t>
  </si>
  <si>
    <t>CUST-4834</t>
  </si>
  <si>
    <t>CUST-4835</t>
  </si>
  <si>
    <t>CUST-4836</t>
  </si>
  <si>
    <t>CUST-4837</t>
  </si>
  <si>
    <t>CUST-4838</t>
  </si>
  <si>
    <t>CUST-4839</t>
  </si>
  <si>
    <t>CUST-4840</t>
  </si>
  <si>
    <t>CUST-4842</t>
  </si>
  <si>
    <t>CUST-4843</t>
  </si>
  <si>
    <t>CUST-4844</t>
  </si>
  <si>
    <t>CUST-4845</t>
  </si>
  <si>
    <t>CUST-4846</t>
  </si>
  <si>
    <t>CUST-4847</t>
  </si>
  <si>
    <t>CUST-4848</t>
  </si>
  <si>
    <t>CUST-4849</t>
  </si>
  <si>
    <t>CUST-4850</t>
  </si>
  <si>
    <t>CUST-4852</t>
  </si>
  <si>
    <t>CUST-4853</t>
  </si>
  <si>
    <t>CUST-4855</t>
  </si>
  <si>
    <t>CUST-4856</t>
  </si>
  <si>
    <t>CUST-4857</t>
  </si>
  <si>
    <t>CUST-4859</t>
  </si>
  <si>
    <t>CUST-4860</t>
  </si>
  <si>
    <t>CUST-4861</t>
  </si>
  <si>
    <t>CUST-4862</t>
  </si>
  <si>
    <t>CUST-4865</t>
  </si>
  <si>
    <t>CUST-4866</t>
  </si>
  <si>
    <t>CUST-4867</t>
  </si>
  <si>
    <t>CUST-4868</t>
  </si>
  <si>
    <t>CUST-4869</t>
  </si>
  <si>
    <t>CUST-4870</t>
  </si>
  <si>
    <t>CUST-4873</t>
  </si>
  <si>
    <t>CUST-4874</t>
  </si>
  <si>
    <t>CUST-4875</t>
  </si>
  <si>
    <t>CUST-4876</t>
  </si>
  <si>
    <t>CUST-4877</t>
  </si>
  <si>
    <t>CUST-4879</t>
  </si>
  <si>
    <t>CUST-4881</t>
  </si>
  <si>
    <t>CUST-4882</t>
  </si>
  <si>
    <t>CUST-4883</t>
  </si>
  <si>
    <t>CUST-4884</t>
  </si>
  <si>
    <t>CUST-4887</t>
  </si>
  <si>
    <t>CUST-4888</t>
  </si>
  <si>
    <t>CUST-4890</t>
  </si>
  <si>
    <t>CUST-4891</t>
  </si>
  <si>
    <t>CUST-4892</t>
  </si>
  <si>
    <t>CUST-4893</t>
  </si>
  <si>
    <t>CUST-4894</t>
  </si>
  <si>
    <t>CUST-4895</t>
  </si>
  <si>
    <t>CUST-4896</t>
  </si>
  <si>
    <t>CUST-4897</t>
  </si>
  <si>
    <t>CUST-4898</t>
  </si>
  <si>
    <t>CUST-4899</t>
  </si>
  <si>
    <t>CUST-4901</t>
  </si>
  <si>
    <t>CUST-4902</t>
  </si>
  <si>
    <t>CUST-4903</t>
  </si>
  <si>
    <t>CUST-4904</t>
  </si>
  <si>
    <t>CUST-4905</t>
  </si>
  <si>
    <t>CUST-4906</t>
  </si>
  <si>
    <t>CUST-4909</t>
  </si>
  <si>
    <t>CUST-4910</t>
  </si>
  <si>
    <t>CUST-4911</t>
  </si>
  <si>
    <t>CUST-4912</t>
  </si>
  <si>
    <t>CUST-4913</t>
  </si>
  <si>
    <t>CUST-4914</t>
  </si>
  <si>
    <t>CUST-4918</t>
  </si>
  <si>
    <t>CUST-4919</t>
  </si>
  <si>
    <t>CUST-4920</t>
  </si>
  <si>
    <t>CUST-4921</t>
  </si>
  <si>
    <t>CUST-4923</t>
  </si>
  <si>
    <t>CUST-4927</t>
  </si>
  <si>
    <t>CUST-4928</t>
  </si>
  <si>
    <t>CUST-4929</t>
  </si>
  <si>
    <t>CUST-4930</t>
  </si>
  <si>
    <t>CUST-4931</t>
  </si>
  <si>
    <t>CUST-4932</t>
  </si>
  <si>
    <t>CUST-4933</t>
  </si>
  <si>
    <t>CUST-4934</t>
  </si>
  <si>
    <t>CUST-4935</t>
  </si>
  <si>
    <t>CUST-4936</t>
  </si>
  <si>
    <t>CUST-4938</t>
  </si>
  <si>
    <t>CUST-4941</t>
  </si>
  <si>
    <t>CUST-4942</t>
  </si>
  <si>
    <t>CUST-4943</t>
  </si>
  <si>
    <t>CUST-4944</t>
  </si>
  <si>
    <t>CUST-4945</t>
  </si>
  <si>
    <t>CUST-4946</t>
  </si>
  <si>
    <t>CUST-4947</t>
  </si>
  <si>
    <t>CUST-4948</t>
  </si>
  <si>
    <t>CUST-4949</t>
  </si>
  <si>
    <t>CUST-4953</t>
  </si>
  <si>
    <t>CUST-4957</t>
  </si>
  <si>
    <t>CUST-4958</t>
  </si>
  <si>
    <t>CUST-4959</t>
  </si>
  <si>
    <t>CUST-4960</t>
  </si>
  <si>
    <t>CUST-4961</t>
  </si>
  <si>
    <t>CUST-4964</t>
  </si>
  <si>
    <t>CUST-4965</t>
  </si>
  <si>
    <t>CUST-4967</t>
  </si>
  <si>
    <t>CUST-4968</t>
  </si>
  <si>
    <t>CUST-4969</t>
  </si>
  <si>
    <t>CUST-4970</t>
  </si>
  <si>
    <t>CUST-4973</t>
  </si>
  <si>
    <t>CUST-4974</t>
  </si>
  <si>
    <t>CUST-4975</t>
  </si>
  <si>
    <t>CUST-4976</t>
  </si>
  <si>
    <t>CUST-4977</t>
  </si>
  <si>
    <t>CUST-4978</t>
  </si>
  <si>
    <t>CUST-4979</t>
  </si>
  <si>
    <t>CUST-4981</t>
  </si>
  <si>
    <t>CUST-4982</t>
  </si>
  <si>
    <t>CUST-4983</t>
  </si>
  <si>
    <t>CUST-4984</t>
  </si>
  <si>
    <t>CUST-4986</t>
  </si>
  <si>
    <t>CUST-4987</t>
  </si>
  <si>
    <t>CUST-4988</t>
  </si>
  <si>
    <t>CUST-4992</t>
  </si>
  <si>
    <t>CUST-4995</t>
  </si>
  <si>
    <t>CUST-4998</t>
  </si>
  <si>
    <t>CUST-4999</t>
  </si>
  <si>
    <t>CUST-5000</t>
  </si>
  <si>
    <t>Competitor</t>
  </si>
  <si>
    <t>Comp Rating</t>
  </si>
  <si>
    <t>Comp Review Count</t>
  </si>
  <si>
    <t>Observation Date</t>
  </si>
  <si>
    <t>RivalMart</t>
  </si>
  <si>
    <t>ShopNow</t>
  </si>
  <si>
    <t>BestDeals</t>
  </si>
  <si>
    <t>QuickCart</t>
  </si>
  <si>
    <t>Mid-Margin</t>
  </si>
  <si>
    <t>High Margin</t>
  </si>
  <si>
    <t>On Sale (Binary)</t>
  </si>
  <si>
    <t>On Sale (Text)</t>
  </si>
  <si>
    <t>Not on Sale</t>
  </si>
  <si>
    <t>On Sale</t>
  </si>
  <si>
    <t>Gross Margin - Sale (%)</t>
  </si>
  <si>
    <t>Year</t>
  </si>
  <si>
    <t>Gross Revenue</t>
  </si>
  <si>
    <t>Revenue Less Discount ($)</t>
  </si>
  <si>
    <t>Values</t>
  </si>
  <si>
    <t>Gross Margin - Retail (%)</t>
  </si>
  <si>
    <t>Margin Bracket (Retail)</t>
  </si>
  <si>
    <t>Margin Bracket (Sale)</t>
  </si>
  <si>
    <t>Mid Margin</t>
  </si>
  <si>
    <t>Low Margin</t>
  </si>
  <si>
    <t>Total Revenue Less Discounts</t>
  </si>
  <si>
    <t>Competitor Price</t>
  </si>
  <si>
    <t>Our Price</t>
  </si>
  <si>
    <t>Our Cost</t>
  </si>
  <si>
    <t>Our Gross Margin (%)</t>
  </si>
  <si>
    <t>Our Rating</t>
  </si>
  <si>
    <t>Our Review Count</t>
  </si>
  <si>
    <t>Average Competitor Price</t>
  </si>
  <si>
    <t>Avg Competitor Price</t>
  </si>
  <si>
    <t>Price Gap $</t>
  </si>
  <si>
    <t>Price Gap %</t>
  </si>
  <si>
    <t>Avg Competitor Rating</t>
  </si>
  <si>
    <t>Rating Delta</t>
  </si>
  <si>
    <t>Recommendation</t>
  </si>
  <si>
    <t>Our Stock Units</t>
  </si>
  <si>
    <t>Total Units Sold</t>
  </si>
  <si>
    <t>Order Count</t>
  </si>
  <si>
    <t>Avg Discount %</t>
  </si>
  <si>
    <t>Total COGS</t>
  </si>
  <si>
    <t>Total Gross Profit</t>
  </si>
  <si>
    <t>% Loyal High-Value Buyers</t>
  </si>
  <si>
    <t>% Deal Hunter Buyers</t>
  </si>
  <si>
    <t>Avg Days Since Last Order</t>
  </si>
  <si>
    <t>Return Rate %</t>
  </si>
  <si>
    <t>Cancellation Rate %</t>
  </si>
  <si>
    <t>% Discount Sensitive (High)</t>
  </si>
  <si>
    <t>3_customer_segments.Segment</t>
  </si>
  <si>
    <t>3_customer_segments.Acquisition Channel</t>
  </si>
  <si>
    <t>3_customer_segments.Days Since Last Order</t>
  </si>
  <si>
    <t>3_customer_segments.Lifetime Value ($)</t>
  </si>
  <si>
    <t>3_customer_segments.Avg Order Value ($)</t>
  </si>
  <si>
    <t>3_customer_segments.Preferred Category</t>
  </si>
  <si>
    <t>3_customer_segments.Email Subscriber</t>
  </si>
  <si>
    <t>3_customer_segments.Discount Sensitivity</t>
  </si>
  <si>
    <t>3_customer_segments.Age Group</t>
  </si>
  <si>
    <t>%At-Risk Churner</t>
  </si>
  <si>
    <t>%Dormant</t>
  </si>
  <si>
    <t>Gross Margin %</t>
  </si>
  <si>
    <t>PRICING MODEL ASSUMPTIONS</t>
  </si>
  <si>
    <t>Tolerance Band</t>
  </si>
  <si>
    <t>Tie Break Rule</t>
  </si>
  <si>
    <t>Raise Elasticity</t>
  </si>
  <si>
    <t>Reduce Elasticity</t>
  </si>
  <si>
    <t>Rating Price Adjustment</t>
  </si>
  <si>
    <t>$2 per 0.1 delta</t>
  </si>
  <si>
    <t>Our COGS</t>
  </si>
  <si>
    <t>Our Price (Retail)</t>
  </si>
  <si>
    <t>Signal</t>
  </si>
  <si>
    <t>Raise</t>
  </si>
  <si>
    <t>Price Delta</t>
  </si>
  <si>
    <t>Suggested Price</t>
  </si>
  <si>
    <t>Raise Premium</t>
  </si>
  <si>
    <t>Tie-Break Rule</t>
  </si>
  <si>
    <t>Reduce - Weak</t>
  </si>
  <si>
    <t>Reduce - Neutral</t>
  </si>
  <si>
    <t>Hold - Strong rating nudge</t>
  </si>
  <si>
    <t>Margin Floor</t>
  </si>
  <si>
    <t>Volume Change %</t>
  </si>
  <si>
    <t>New Volume</t>
  </si>
  <si>
    <t>Rating Threshold for Hold - Strong</t>
  </si>
  <si>
    <t>Rating Threshold for Reduce - Weak</t>
  </si>
  <si>
    <t>Hold - Max Price Movement</t>
  </si>
  <si>
    <t>Discounts Applied $</t>
  </si>
  <si>
    <t>Gross Revenue Impact</t>
  </si>
  <si>
    <t>Projected COGS</t>
  </si>
  <si>
    <t>Projected Gross Profit</t>
  </si>
  <si>
    <t>Projected Gross Profit Margin %</t>
  </si>
  <si>
    <t>Projected Gross Profit Margin Lift</t>
  </si>
  <si>
    <t>Projected Gross Revenue Lift</t>
  </si>
  <si>
    <t>Total Net Profit $</t>
  </si>
  <si>
    <t>Projected COGS Lift</t>
  </si>
  <si>
    <t>Projected COGS Impact</t>
  </si>
  <si>
    <t>Projected Gross Revenue</t>
  </si>
  <si>
    <t>Net Profit Margin %</t>
  </si>
  <si>
    <t>Projected Gross Profit Impact</t>
  </si>
  <si>
    <t>Final Candidate for Churn Input</t>
  </si>
  <si>
    <t>Segment - At-Risk Churner Base Score</t>
  </si>
  <si>
    <t>Segment - Dormant Base Score</t>
  </si>
  <si>
    <t>Segment - Deal Hunter Base Score</t>
  </si>
  <si>
    <t>Segment - New Customer Base Score</t>
  </si>
  <si>
    <t>Segment - Occassional Buyer Base Score</t>
  </si>
  <si>
    <t>Segment - Loyal High-Value Base Score</t>
  </si>
  <si>
    <t>Discount Sensitivity - High Adjustment</t>
  </si>
  <si>
    <t>Discount Sensitivity - Medium Adjustment</t>
  </si>
  <si>
    <t>Discount Sensitivity - Low Adjustment</t>
  </si>
  <si>
    <t>NPS Low Threshold (score &lt;= this = high risk)</t>
  </si>
  <si>
    <t>NPS High Threshold (score &gt;= this = low risk)</t>
  </si>
  <si>
    <t>NPS Low Adjustment</t>
  </si>
  <si>
    <t>NPS High Adjustment</t>
  </si>
  <si>
    <t>Recency - High Risk Days Threshold</t>
  </si>
  <si>
    <t>Recency - Medium Risk Days Threshold</t>
  </si>
  <si>
    <t>Recency - High Risk Adjustment</t>
  </si>
  <si>
    <t>Recencny - Medium Risk Adjustment</t>
  </si>
  <si>
    <t>Recencny - Low Risk Adjustment</t>
  </si>
  <si>
    <t>Price Exposure Multiplier</t>
  </si>
  <si>
    <t>Price Exposure Cap</t>
  </si>
  <si>
    <t>Sum of Customer's total spend</t>
  </si>
  <si>
    <t>Spend in Price-Increase SKUs %</t>
  </si>
  <si>
    <t>Price Difference % for SKU if Final Candidate for Churn Input</t>
  </si>
  <si>
    <t>Max Price Change Faced %</t>
  </si>
  <si>
    <t>Discount Adjustment</t>
  </si>
  <si>
    <t>NPS Adjustment</t>
  </si>
  <si>
    <t>Recency Adjustment</t>
  </si>
  <si>
    <t>Price Exposure Adjustment</t>
  </si>
  <si>
    <t>Churn Score</t>
  </si>
  <si>
    <t>Churn Tier</t>
  </si>
  <si>
    <t>Segment Base Score</t>
  </si>
  <si>
    <t>Segment Base Churn Rate</t>
  </si>
  <si>
    <t>Segment - At Risk Churner Baseline Churn Rate</t>
  </si>
  <si>
    <t>Segment - Dormat Baseline Churn Rate</t>
  </si>
  <si>
    <t>Segment - Deal Hunter Baseline Churn Rate</t>
  </si>
  <si>
    <t>Segment - New Customer Baseline Churn Rate</t>
  </si>
  <si>
    <t>Segment - Occassional Buyer Baseline Churn Rate</t>
  </si>
  <si>
    <t>Segment - Loyal High Value Baseline Churn Rate</t>
  </si>
  <si>
    <t>LTV At Risk $</t>
  </si>
  <si>
    <t>Total Buyer LTV</t>
  </si>
  <si>
    <t>Current Price</t>
  </si>
  <si>
    <t>V1 Suggested Price</t>
  </si>
  <si>
    <t>V1 Difference $</t>
  </si>
  <si>
    <t>V1 Difference %</t>
  </si>
  <si>
    <t>V1 Gross Profit Impact $</t>
  </si>
  <si>
    <t>Total Buyers</t>
  </si>
  <si>
    <t>Average Churn Score</t>
  </si>
  <si>
    <t>Average Projected Churn Rate</t>
  </si>
  <si>
    <t>Total LTV at Risk</t>
  </si>
  <si>
    <t>% Critical</t>
  </si>
  <si>
    <t>% High</t>
  </si>
  <si>
    <t>% Medium</t>
  </si>
  <si>
    <t>%Low</t>
  </si>
  <si>
    <t>Dominant Tier</t>
  </si>
  <si>
    <t>Adjusted Price</t>
  </si>
  <si>
    <t>Adjusted Difference $</t>
  </si>
  <si>
    <t>Adjusted Difference %</t>
  </si>
  <si>
    <t>LTV Protected</t>
  </si>
  <si>
    <t>Adjusted Volume</t>
  </si>
  <si>
    <t>Adjusted Volume Change %</t>
  </si>
  <si>
    <t>Adjusted Projected Gross Revenue</t>
  </si>
  <si>
    <t>Adjusted Gross Revenue Impact</t>
  </si>
  <si>
    <t>Adjusted COGS</t>
  </si>
  <si>
    <t>Adjusted COGS Impact</t>
  </si>
  <si>
    <t>Adjusted COGS Lift</t>
  </si>
  <si>
    <t>Adjusted Gross Profit</t>
  </si>
  <si>
    <t>Projected Gross Profit Impact $</t>
  </si>
  <si>
    <t>Projected Gross Profit Lift %</t>
  </si>
  <si>
    <t>Current Volume</t>
  </si>
  <si>
    <t>Current COGS</t>
  </si>
  <si>
    <t>Current Gross Profit</t>
  </si>
  <si>
    <t>Current Cost Per Unit</t>
  </si>
  <si>
    <t>Current Gross Revenue</t>
  </si>
  <si>
    <t>Adjusted Gross Revenue Lift</t>
  </si>
  <si>
    <t>Current Gross Profit Margin %</t>
  </si>
  <si>
    <t>LTV Sacrificed</t>
  </si>
  <si>
    <t>Minimum Gross Revenue Lift %</t>
  </si>
  <si>
    <t>Minimum Gross Profit Margin Lift %</t>
  </si>
  <si>
    <t>LTV Recovery Penalty Multiplier</t>
  </si>
  <si>
    <t>V1 Gross Revenue Impact</t>
  </si>
  <si>
    <t>Project Gross Profit Margin Impact %</t>
  </si>
  <si>
    <t>LTV Protection-Risk Ratio</t>
  </si>
  <si>
    <t>DATA PATHS</t>
  </si>
  <si>
    <t>FolderPath</t>
  </si>
  <si>
    <t>Weighted Signal Score</t>
  </si>
  <si>
    <t>Category Median Margin</t>
  </si>
  <si>
    <t>Signal Score Threshold</t>
  </si>
  <si>
    <t>Temporal Decay Rate</t>
  </si>
  <si>
    <t>Analysis Reference Date (Assumed)</t>
  </si>
  <si>
    <t>Average Monthly Volume</t>
  </si>
  <si>
    <t>Min Stock Threshold</t>
  </si>
  <si>
    <t>Inventory Sensitivity</t>
  </si>
  <si>
    <t>Inventory Modifier</t>
  </si>
  <si>
    <t>Stock Ratio</t>
  </si>
  <si>
    <t>Difference from Current $</t>
  </si>
  <si>
    <t>Difference from Current %</t>
  </si>
  <si>
    <t>Difference from Average Competitor %</t>
  </si>
  <si>
    <t>Difference from Avg Competitor $</t>
  </si>
  <si>
    <t>Tie Breaker Recommendation</t>
  </si>
  <si>
    <t>Purchase Frequency on Candidate SKUs</t>
  </si>
  <si>
    <t>Spend-Weighted Average Price Change %</t>
  </si>
  <si>
    <t>Sum of Customer's spend on Candidate SKUs</t>
  </si>
  <si>
    <t>Frequency Scaling</t>
  </si>
  <si>
    <t>Cumulative Burden Weight</t>
  </si>
  <si>
    <t>Max Change Weight</t>
  </si>
  <si>
    <t>Combined Burden Cap</t>
  </si>
  <si>
    <t>Interaction - Segment * NPS</t>
  </si>
  <si>
    <t>Churn Logistic Tau</t>
  </si>
  <si>
    <t>Partial Churn Spend Reduction</t>
  </si>
  <si>
    <t>Interaction - Discount * Exposure</t>
  </si>
  <si>
    <t>Combined Burden Adjustment</t>
  </si>
  <si>
    <t>Projected Churn Rate (Logistic Transformation)</t>
  </si>
  <si>
    <t>Tie-Breaking Recommendation</t>
  </si>
  <si>
    <t>Average Logistic Churn Rate</t>
  </si>
  <si>
    <t>V1-based Average Churn Score</t>
  </si>
  <si>
    <t>Quadratic Margin Penalty</t>
  </si>
  <si>
    <t>Grid Step Size %</t>
  </si>
  <si>
    <t>SCENARIOS</t>
  </si>
  <si>
    <t>GR Weight</t>
  </si>
  <si>
    <t>GP Weight</t>
  </si>
  <si>
    <t>LTV Weight</t>
  </si>
  <si>
    <t>Aggressive Conservative</t>
  </si>
  <si>
    <t>Conservative</t>
  </si>
  <si>
    <t>Balanced</t>
  </si>
  <si>
    <t>Growth</t>
  </si>
  <si>
    <t>Aggressive Growth</t>
  </si>
  <si>
    <r>
      <t xml:space="preserve">COMPETITIVE </t>
    </r>
    <r>
      <rPr>
        <sz val="11"/>
        <color theme="1"/>
        <rFont val="Aptos Narrow"/>
        <family val="2"/>
        <scheme val="minor"/>
      </rPr>
      <t>MODEL ASSUMPTIONS</t>
    </r>
  </si>
  <si>
    <t>Candidate Type</t>
  </si>
  <si>
    <t>Winning Scenario</t>
  </si>
  <si>
    <t>Evaluation Score</t>
  </si>
  <si>
    <t>Adjusted Gross Revenue</t>
  </si>
  <si>
    <t>Gross Revenue Impact $</t>
  </si>
  <si>
    <t>Gross Revenue Lift %</t>
  </si>
  <si>
    <t>Gross Profit Impact $</t>
  </si>
  <si>
    <t>Gross Profit Lift %</t>
  </si>
  <si>
    <t>Gross Profit Margin %</t>
  </si>
  <si>
    <t>Gross Profit Margin Lift %</t>
  </si>
  <si>
    <t>Full</t>
  </si>
  <si>
    <t>Reprice</t>
  </si>
  <si>
    <t>Hold</t>
  </si>
  <si>
    <t>Constrained</t>
  </si>
  <si>
    <t>Reduce</t>
  </si>
  <si>
    <t>CHURN MODEL ASSUMPTIONS</t>
  </si>
  <si>
    <t>MONTE CARLO MODEL ASSUMPTIONS</t>
  </si>
  <si>
    <t>Criteria for selection:
Gross Profit Lift % &gt; 5%
LTV Protection Ratio &gt;40%</t>
  </si>
  <si>
    <t>AVERAGE GR LIFT %</t>
  </si>
  <si>
    <t>AERAGE GP LIFT %</t>
  </si>
  <si>
    <t>AVERAGE PRICE LIFT %</t>
  </si>
  <si>
    <t>LTV Protection-Adjusted Risk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</si>
</sst>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&quot;%&quot;"/>
    <numFmt numFmtId="165" formatCode="&quot;$&quot;#,##0.00"/>
    <numFmt numFmtId="166" formatCode="0.000"/>
  </numFmts>
  <fonts count="1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9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0">
    <xf numFmtId="0" fontId="0" fillId="0" borderId="0" xfId="0"/>
    <xf numFmtId="14" fontId="0" fillId="0" borderId="0" xfId="0" applyNumberFormat="1"/>
    <xf numFmtId="2" fontId="0" fillId="0" borderId="0" xfId="0" applyNumberFormat="1"/>
    <xf numFmtId="10" fontId="0" fillId="0" borderId="0" xfId="0" applyNumberFormat="1"/>
    <xf numFmtId="0" fontId="4" fillId="0" borderId="0" xfId="0" applyFont="1"/>
    <xf numFmtId="0" fontId="5" fillId="0" borderId="0" xfId="0" applyFont="1"/>
    <xf numFmtId="10" fontId="4" fillId="0" borderId="0" xfId="0" applyNumberFormat="1" applyFont="1"/>
    <xf numFmtId="2" fontId="4" fillId="0" borderId="0" xfId="0" applyNumberFormat="1" applyFont="1"/>
    <xf numFmtId="0" fontId="2" fillId="0" borderId="0" xfId="0" applyFont="1" applyAlignment="1">
      <alignment horizontal="centerContinuous"/>
    </xf>
    <xf numFmtId="10" fontId="5" fillId="0" borderId="0" xfId="0" applyNumberFormat="1" applyFont="1"/>
    <xf numFmtId="0" fontId="0" fillId="0" borderId="0" xfId="0" applyAlignment="1">
      <alignment horizontal="centerContinuous"/>
    </xf>
    <xf numFmtId="9" fontId="5" fillId="0" borderId="0" xfId="1" applyFont="1"/>
    <xf numFmtId="9" fontId="0" fillId="0" borderId="0" xfId="1" applyFont="1"/>
    <xf numFmtId="2" fontId="5" fillId="0" borderId="0" xfId="0" applyNumberFormat="1" applyFont="1"/>
    <xf numFmtId="0" fontId="6" fillId="0" borderId="0" xfId="0" applyFont="1"/>
    <xf numFmtId="9" fontId="6" fillId="0" borderId="0" xfId="0" applyNumberFormat="1" applyFont="1"/>
    <xf numFmtId="2" fontId="6" fillId="0" borderId="0" xfId="0" applyNumberFormat="1" applyFont="1"/>
    <xf numFmtId="0" fontId="6" fillId="0" borderId="1" xfId="0" applyFont="1" applyBorder="1"/>
    <xf numFmtId="9" fontId="6" fillId="0" borderId="2" xfId="0" applyNumberFormat="1" applyFont="1" applyBorder="1"/>
    <xf numFmtId="0" fontId="6" fillId="0" borderId="2" xfId="0" applyFont="1" applyBorder="1"/>
    <xf numFmtId="0" fontId="2" fillId="0" borderId="0" xfId="0" applyFont="1"/>
    <xf numFmtId="10" fontId="7" fillId="0" borderId="0" xfId="0" applyNumberFormat="1" applyFont="1"/>
    <xf numFmtId="165" fontId="0" fillId="0" borderId="0" xfId="0" applyNumberFormat="1"/>
    <xf numFmtId="165" fontId="7" fillId="0" borderId="0" xfId="0" applyNumberFormat="1" applyFont="1"/>
    <xf numFmtId="0" fontId="7" fillId="0" borderId="0" xfId="0" applyFont="1"/>
    <xf numFmtId="10" fontId="7" fillId="0" borderId="0" xfId="0" applyNumberFormat="1" applyFont="1" applyAlignment="1">
      <alignment wrapText="1"/>
    </xf>
    <xf numFmtId="2" fontId="6" fillId="0" borderId="2" xfId="0" applyNumberFormat="1" applyFont="1" applyBorder="1"/>
    <xf numFmtId="0" fontId="8" fillId="0" borderId="0" xfId="0" applyFont="1"/>
    <xf numFmtId="165" fontId="5" fillId="0" borderId="0" xfId="0" applyNumberFormat="1" applyFont="1"/>
    <xf numFmtId="10" fontId="6" fillId="0" borderId="0" xfId="0" applyNumberFormat="1" applyFont="1"/>
    <xf numFmtId="10" fontId="6" fillId="0" borderId="2" xfId="0" applyNumberFormat="1" applyFont="1" applyBorder="1"/>
    <xf numFmtId="2" fontId="7" fillId="0" borderId="0" xfId="0" applyNumberFormat="1" applyFont="1"/>
    <xf numFmtId="0" fontId="0" fillId="0" borderId="0" xfId="0" applyAlignment="1">
      <alignment horizontal="centerContinuous" wrapText="1"/>
    </xf>
    <xf numFmtId="0" fontId="9" fillId="0" borderId="0" xfId="0" applyFont="1"/>
    <xf numFmtId="166" fontId="0" fillId="0" borderId="0" xfId="0" applyNumberFormat="1"/>
    <xf numFmtId="14" fontId="6" fillId="0" borderId="0" xfId="0" applyNumberFormat="1" applyFont="1"/>
    <xf numFmtId="0" fontId="10" fillId="2" borderId="3" xfId="0" applyFont="1" applyFill="1" applyBorder="1"/>
    <xf numFmtId="0" fontId="10" fillId="2" borderId="4" xfId="0" applyFont="1" applyFill="1" applyBorder="1"/>
    <xf numFmtId="1" fontId="5" fillId="0" borderId="0" xfId="0" applyNumberFormat="1" applyFont="1"/>
    <xf numFmtId="10" fontId="7" fillId="0" borderId="0" xfId="1" applyNumberFormat="1" applyFont="1"/>
    <xf numFmtId="14" fontId="7" fillId="0" borderId="0" xfId="0" applyNumberFormat="1" applyFont="1"/>
    <xf numFmtId="164" fontId="7" fillId="0" borderId="0" xfId="0" applyNumberFormat="1" applyFont="1"/>
    <xf numFmtId="166" fontId="7" fillId="0" borderId="0" xfId="0" applyNumberFormat="1" applyFont="1"/>
    <xf numFmtId="166" fontId="5" fillId="0" borderId="0" xfId="0" applyNumberFormat="1" applyFont="1"/>
    <xf numFmtId="0" fontId="7" fillId="0" borderId="3" xfId="0" applyFont="1" applyBorder="1"/>
    <xf numFmtId="0" fontId="7" fillId="0" borderId="4" xfId="0" applyFont="1" applyBorder="1"/>
    <xf numFmtId="165" fontId="7" fillId="0" borderId="4" xfId="0" applyNumberFormat="1" applyFont="1" applyBorder="1"/>
    <xf numFmtId="10" fontId="7" fillId="0" borderId="4" xfId="0" applyNumberFormat="1" applyFont="1" applyBorder="1"/>
    <xf numFmtId="166" fontId="7" fillId="0" borderId="4" xfId="0" applyNumberFormat="1" applyFont="1" applyBorder="1"/>
    <xf numFmtId="10" fontId="7" fillId="0" borderId="5" xfId="0" applyNumberFormat="1" applyFont="1" applyBorder="1"/>
    <xf numFmtId="0" fontId="7" fillId="0" borderId="6" xfId="0" applyFont="1" applyBorder="1"/>
    <xf numFmtId="0" fontId="7" fillId="0" borderId="7" xfId="0" applyFont="1" applyBorder="1"/>
    <xf numFmtId="165" fontId="7" fillId="0" borderId="7" xfId="0" applyNumberFormat="1" applyFont="1" applyBorder="1"/>
    <xf numFmtId="10" fontId="7" fillId="0" borderId="7" xfId="0" applyNumberFormat="1" applyFont="1" applyBorder="1"/>
    <xf numFmtId="166" fontId="7" fillId="0" borderId="7" xfId="0" applyNumberFormat="1" applyFont="1" applyBorder="1"/>
    <xf numFmtId="10" fontId="7" fillId="0" borderId="8" xfId="0" applyNumberFormat="1" applyFont="1" applyBorder="1"/>
    <xf numFmtId="165" fontId="10" fillId="2" borderId="4" xfId="0" applyNumberFormat="1" applyFont="1" applyFill="1" applyBorder="1"/>
    <xf numFmtId="10" fontId="10" fillId="2" borderId="4" xfId="0" applyNumberFormat="1" applyFont="1" applyFill="1" applyBorder="1"/>
    <xf numFmtId="2" fontId="10" fillId="2" borderId="4" xfId="0" applyNumberFormat="1" applyFont="1" applyFill="1" applyBorder="1"/>
    <xf numFmtId="10" fontId="10" fillId="2" borderId="5" xfId="0" applyNumberFormat="1" applyFont="1" applyFill="1" applyBorder="1"/>
  </cellXfs>
  <cellStyles count="2">
    <cellStyle name="Normal" xfId="0" builtinId="0"/>
    <cellStyle name="Percent" xfId="1" builtinId="5"/>
  </cellStyles>
  <dxfs count="92"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</dxf>
    <dxf>
      <alignment horizontal="centerContinuous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Continuous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border diagonalUp="0" diagonalDown="0" outline="0">
        <left/>
        <right style="thin">
          <color theme="4"/>
        </right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border outline="0">
        <bottom style="thin">
          <color theme="4"/>
        </bottom>
      </border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26" Type="http://schemas.openxmlformats.org/officeDocument/2006/relationships/customXml" Target="../customXml/item6.xml"/><Relationship Id="rId39" Type="http://schemas.openxmlformats.org/officeDocument/2006/relationships/customXml" Target="../customXml/item19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42" Type="http://schemas.openxmlformats.org/officeDocument/2006/relationships/customXml" Target="../customXml/item22.xml"/><Relationship Id="rId47" Type="http://schemas.openxmlformats.org/officeDocument/2006/relationships/customXml" Target="../customXml/item27.xml"/><Relationship Id="rId50" Type="http://schemas.openxmlformats.org/officeDocument/2006/relationships/customXml" Target="../customXml/item30.xml"/><Relationship Id="rId55" Type="http://schemas.openxmlformats.org/officeDocument/2006/relationships/customXml" Target="../customXml/item3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9" Type="http://schemas.openxmlformats.org/officeDocument/2006/relationships/customXml" Target="../customXml/item9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40" Type="http://schemas.openxmlformats.org/officeDocument/2006/relationships/customXml" Target="../customXml/item20.xml"/><Relationship Id="rId45" Type="http://schemas.openxmlformats.org/officeDocument/2006/relationships/customXml" Target="../customXml/item25.xml"/><Relationship Id="rId53" Type="http://schemas.openxmlformats.org/officeDocument/2006/relationships/customXml" Target="../customXml/item33.xml"/><Relationship Id="rId58" Type="http://schemas.openxmlformats.org/officeDocument/2006/relationships/customXml" Target="../customXml/item38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41.xml"/><Relationship Id="rId19" Type="http://schemas.openxmlformats.org/officeDocument/2006/relationships/powerPivotData" Target="model/item.data"/><Relationship Id="rId14" Type="http://schemas.openxmlformats.org/officeDocument/2006/relationships/theme" Target="theme/theme1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43" Type="http://schemas.openxmlformats.org/officeDocument/2006/relationships/customXml" Target="../customXml/item23.xml"/><Relationship Id="rId48" Type="http://schemas.openxmlformats.org/officeDocument/2006/relationships/customXml" Target="../customXml/item28.xml"/><Relationship Id="rId56" Type="http://schemas.openxmlformats.org/officeDocument/2006/relationships/customXml" Target="../customXml/item36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3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Relationship Id="rId46" Type="http://schemas.openxmlformats.org/officeDocument/2006/relationships/customXml" Target="../customXml/item26.xml"/><Relationship Id="rId59" Type="http://schemas.openxmlformats.org/officeDocument/2006/relationships/customXml" Target="../customXml/item39.xml"/><Relationship Id="rId20" Type="http://schemas.openxmlformats.org/officeDocument/2006/relationships/calcChain" Target="calcChain.xml"/><Relationship Id="rId41" Type="http://schemas.openxmlformats.org/officeDocument/2006/relationships/customXml" Target="../customXml/item21.xml"/><Relationship Id="rId54" Type="http://schemas.openxmlformats.org/officeDocument/2006/relationships/customXml" Target="../customXml/item34.xml"/><Relationship Id="rId62" Type="http://schemas.openxmlformats.org/officeDocument/2006/relationships/customXml" Target="../customXml/item4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49" Type="http://schemas.openxmlformats.org/officeDocument/2006/relationships/customXml" Target="../customXml/item29.xml"/><Relationship Id="rId57" Type="http://schemas.openxmlformats.org/officeDocument/2006/relationships/customXml" Target="../customXml/item37.xml"/><Relationship Id="rId10" Type="http://schemas.openxmlformats.org/officeDocument/2006/relationships/worksheet" Target="worksheets/sheet10.xml"/><Relationship Id="rId31" Type="http://schemas.openxmlformats.org/officeDocument/2006/relationships/customXml" Target="../customXml/item11.xml"/><Relationship Id="rId44" Type="http://schemas.openxmlformats.org/officeDocument/2006/relationships/customXml" Target="../customXml/item24.xml"/><Relationship Id="rId52" Type="http://schemas.openxmlformats.org/officeDocument/2006/relationships/customXml" Target="../customXml/item32.xml"/><Relationship Id="rId60" Type="http://schemas.openxmlformats.org/officeDocument/2006/relationships/customXml" Target="../customXml/item4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CEF1C52E-643F-4DCC-96ED-44B65EEA6C46}" autoFormatId="16" applyNumberFormats="0" applyBorderFormats="0" applyFontFormats="0" applyPatternFormats="0" applyAlignmentFormats="0" applyWidthHeightFormats="0">
  <queryTableRefresh nextId="21">
    <queryTableFields count="20">
      <queryTableField id="1" name="SKU" tableColumnId="1"/>
      <queryTableField id="2" name="Recommendation" tableColumnId="2"/>
      <queryTableField id="3" name="Candidate Type" tableColumnId="3"/>
      <queryTableField id="4" name="Current Price" tableColumnId="4"/>
      <queryTableField id="5" name="Winning Scenario" tableColumnId="5"/>
      <queryTableField id="6" name="Evaluation Score" tableColumnId="6"/>
      <queryTableField id="7" name="Adjusted Price" tableColumnId="7"/>
      <queryTableField id="8" name="Adjusted Difference $" tableColumnId="8"/>
      <queryTableField id="9" name="Adjusted Difference %" tableColumnId="9"/>
      <queryTableField id="10" name="Adjusted Gross Revenue" tableColumnId="10"/>
      <queryTableField id="11" name="Gross Revenue Impact $" tableColumnId="11"/>
      <queryTableField id="12" name="Gross Revenue Lift %" tableColumnId="12"/>
      <queryTableField id="13" name="Adjusted Gross Profit" tableColumnId="13"/>
      <queryTableField id="14" name="Gross Profit Impact $" tableColumnId="14"/>
      <queryTableField id="15" name="Gross Profit Lift %" tableColumnId="15"/>
      <queryTableField id="16" name="Gross Profit Margin %" tableColumnId="16"/>
      <queryTableField id="17" name="Gross Profit Margin Lift %" tableColumnId="17"/>
      <queryTableField id="18" name="LTV Protected" tableColumnId="18"/>
      <queryTableField id="19" name="LTV Sacrificed" tableColumnId="19"/>
      <queryTableField id="20" name="LTV Protection-Risk Ratio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50AD009-3014-4D5A-A213-922384A1CD8D}" autoFormatId="16" applyNumberFormats="0" applyBorderFormats="0" applyFontFormats="0" applyPatternFormats="0" applyAlignmentFormats="0" applyWidthHeightFormats="0">
  <queryTableRefresh nextId="26">
    <queryTableFields count="18">
      <queryTableField id="1" name="SKU" tableColumnId="1"/>
      <queryTableField id="2" name="Product Name" tableColumnId="2"/>
      <queryTableField id="3" name="Category" tableColumnId="3"/>
      <queryTableField id="4" name="Brand" tableColumnId="4"/>
      <queryTableField id="5" name="Cost Price ($)" tableColumnId="5"/>
      <queryTableField id="6" name="Retail Price ($)" tableColumnId="6"/>
      <queryTableField id="7" name="Sale Price ($)" tableColumnId="7"/>
      <queryTableField id="21" name="Gross Margin - Retail (%)" tableColumnId="8"/>
      <queryTableField id="18" name="Gross Margin - Sale (%)" tableColumnId="17"/>
      <queryTableField id="9" name="Stock Units" tableColumnId="9"/>
      <queryTableField id="10" name="Rating (1-5)" tableColumnId="10"/>
      <queryTableField id="11" name="Review Count" tableColumnId="11"/>
      <queryTableField id="12" name="Is Active" tableColumnId="12"/>
      <queryTableField id="13" name="Launch Date" tableColumnId="13"/>
      <queryTableField id="22" name="Margin Bracket (Retail)" tableColumnId="14"/>
      <queryTableField id="15" name="On Sale (Binary)" tableColumnId="15"/>
      <queryTableField id="16" name="On Sale (Text)" tableColumnId="16"/>
      <queryTableField id="23" name="Margin Bracket (Sale)" tableColumnId="1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0D7D2A2-4B88-4325-9B1F-A3D6FA7BBF32}" autoFormatId="16" applyNumberFormats="0" applyBorderFormats="0" applyFontFormats="0" applyPatternFormats="0" applyAlignmentFormats="0" applyWidthHeightFormats="0">
  <queryTableRefresh nextId="27">
    <queryTableFields count="22">
      <queryTableField id="1" name="Transaction ID" tableColumnId="1"/>
      <queryTableField id="2" name="Date" tableColumnId="2"/>
      <queryTableField id="3" name="Month" tableColumnId="3"/>
      <queryTableField id="21" name="Year" tableColumnId="21"/>
      <queryTableField id="4" name="Quarter" tableColumnId="4"/>
      <queryTableField id="5" name="Customer ID" tableColumnId="5"/>
      <queryTableField id="6" name="SKU" tableColumnId="6"/>
      <queryTableField id="7" name="Product Name" tableColumnId="7"/>
      <queryTableField id="8" name="Category" tableColumnId="8"/>
      <queryTableField id="9" name="Brand" tableColumnId="9"/>
      <queryTableField id="10" name="Channel" tableColumnId="10"/>
      <queryTableField id="11" name="Region" tableColumnId="11"/>
      <queryTableField id="12" name="Quantity" tableColumnId="12"/>
      <queryTableField id="13" name="Unit Price ($)" tableColumnId="13"/>
      <queryTableField id="23" name="Gross Revenue" tableColumnId="16"/>
      <queryTableField id="14" name="Discount (%)" tableColumnId="14"/>
      <queryTableField id="15" name="Discount Amount ($)" tableColumnId="15"/>
      <queryTableField id="24" name="Revenue Less Discount ($)" tableColumnId="22"/>
      <queryTableField id="17" name="COGS ($)" tableColumnId="17"/>
      <queryTableField id="18" name="Gross Profit ($)" tableColumnId="18"/>
      <queryTableField id="19" name="Payment Method" tableColumnId="19"/>
      <queryTableField id="20" name="Order Status" tableColumnId="2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5401BB8-AEC4-4817-8599-A442D266F16E}" autoFormatId="16" applyNumberFormats="0" applyBorderFormats="0" applyFontFormats="0" applyPatternFormats="0" applyAlignmentFormats="0" applyWidthHeightFormats="0">
  <queryTableRefresh nextId="16">
    <queryTableFields count="15">
      <queryTableField id="1" name="Customer ID" tableColumnId="1"/>
      <queryTableField id="2" name="Segment" tableColumnId="2"/>
      <queryTableField id="3" name="Acquisition Channel" tableColumnId="3"/>
      <queryTableField id="4" name="Join Date" tableColumnId="4"/>
      <queryTableField id="5" name="Last Order Date" tableColumnId="5"/>
      <queryTableField id="6" name="Days Since Last Order" tableColumnId="6"/>
      <queryTableField id="7" name="Total Orders" tableColumnId="7"/>
      <queryTableField id="8" name="Lifetime Value ($)" tableColumnId="8"/>
      <queryTableField id="9" name="Avg Order Value ($)" tableColumnId="9"/>
      <queryTableField id="10" name="Preferred Category" tableColumnId="10"/>
      <queryTableField id="11" name="Email Subscriber" tableColumnId="11"/>
      <queryTableField id="12" name="Discount Sensitivity" tableColumnId="12"/>
      <queryTableField id="13" name="NPS Score" tableColumnId="13"/>
      <queryTableField id="14" name="Region" tableColumnId="14"/>
      <queryTableField id="15" name="Age Group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F87CAAB2-51FD-4BD9-B1FF-BC1E04413D27}" autoFormatId="16" applyNumberFormats="0" applyBorderFormats="0" applyFontFormats="0" applyPatternFormats="0" applyAlignmentFormats="0" applyWidthHeightFormats="0">
  <queryTableRefresh nextId="8">
    <queryTableFields count="7">
      <queryTableField id="1" name="SKU" tableColumnId="1"/>
      <queryTableField id="2" name="Product Name" tableColumnId="2"/>
      <queryTableField id="3" name="Competitor" tableColumnId="3"/>
      <queryTableField id="4" name="Competitor Price" tableColumnId="4"/>
      <queryTableField id="5" name="Comp Rating" tableColumnId="5"/>
      <queryTableField id="6" name="Comp Review Count" tableColumnId="6"/>
      <queryTableField id="7" name="Observation Date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2DC57420-562E-43A9-8E66-268ED88D40D6}" autoFormatId="16" applyNumberFormats="0" applyBorderFormats="0" applyFontFormats="0" applyPatternFormats="0" applyAlignmentFormats="0" applyWidthHeightFormats="0">
  <queryTableRefresh nextId="32">
    <queryTableFields count="31">
      <queryTableField id="1" name="Transaction ID" tableColumnId="1"/>
      <queryTableField id="2" name="Date" tableColumnId="2"/>
      <queryTableField id="3" name="Month" tableColumnId="3"/>
      <queryTableField id="4" name="Year" tableColumnId="4"/>
      <queryTableField id="5" name="Quarter" tableColumnId="5"/>
      <queryTableField id="6" name="Customer ID" tableColumnId="6"/>
      <queryTableField id="7" name="SKU" tableColumnId="7"/>
      <queryTableField id="8" name="Product Name" tableColumnId="8"/>
      <queryTableField id="9" name="Category" tableColumnId="9"/>
      <queryTableField id="10" name="Brand" tableColumnId="10"/>
      <queryTableField id="11" name="Channel" tableColumnId="11"/>
      <queryTableField id="12" name="Region" tableColumnId="12"/>
      <queryTableField id="13" name="Quantity" tableColumnId="13"/>
      <queryTableField id="14" name="Unit Price ($)" tableColumnId="14"/>
      <queryTableField id="15" name="Gross Revenue" tableColumnId="15"/>
      <queryTableField id="16" name="Discount (%)" tableColumnId="16"/>
      <queryTableField id="17" name="Discount Amount ($)" tableColumnId="17"/>
      <queryTableField id="18" name="Revenue Less Discount ($)" tableColumnId="18"/>
      <queryTableField id="19" name="COGS ($)" tableColumnId="19"/>
      <queryTableField id="20" name="Gross Profit ($)" tableColumnId="20"/>
      <queryTableField id="21" name="Payment Method" tableColumnId="21"/>
      <queryTableField id="22" name="Order Status" tableColumnId="22"/>
      <queryTableField id="23" name="3_customer_segments.Segment" tableColumnId="23"/>
      <queryTableField id="24" name="3_customer_segments.Acquisition Channel" tableColumnId="24"/>
      <queryTableField id="25" name="3_customer_segments.Days Since Last Order" tableColumnId="25"/>
      <queryTableField id="26" name="3_customer_segments.Lifetime Value ($)" tableColumnId="26"/>
      <queryTableField id="27" name="3_customer_segments.Avg Order Value ($)" tableColumnId="27"/>
      <queryTableField id="28" name="3_customer_segments.Preferred Category" tableColumnId="28"/>
      <queryTableField id="29" name="3_customer_segments.Email Subscriber" tableColumnId="29"/>
      <queryTableField id="30" name="3_customer_segments.Discount Sensitivity" tableColumnId="30"/>
      <queryTableField id="31" name="3_customer_segments.Age Group" tableColumnId="31"/>
    </queryTableFields>
  </queryTableRefresh>
</queryTable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66697D8-9B4F-4266-8383-0CA186228E22}" name="Table12" displayName="Table12" ref="A1:B7" totalsRowShown="0" dataDxfId="91" tableBorderDxfId="90">
  <autoFilter ref="A1:B7" xr:uid="{166697D8-9B4F-4266-8383-0CA186228E22}"/>
  <tableColumns count="2">
    <tableColumn id="1" xr3:uid="{5E135EC0-DDD5-47F6-A4F0-BF43D5797BD7}" name="COMPETITIVE MODEL ASSUMPTIONS" dataDxfId="89"/>
    <tableColumn id="2" xr3:uid="{C5F9ED3F-7304-4875-A55E-4539499E3E29}" name="Values" dataDxfId="88"/>
  </tableColumns>
  <tableStyleInfo name="TableStyleLight9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16BB4F2-FBF2-4DBC-B485-28FCC566B479}" name="Table6" displayName="Table6" ref="A1:B19" totalsRowShown="0" headerRowDxfId="87">
  <autoFilter ref="A1:B19" xr:uid="{116BB4F2-FBF2-4DBC-B485-28FCC566B479}"/>
  <tableColumns count="2">
    <tableColumn id="1" xr3:uid="{12A31DCB-CE71-48D4-B0B6-8861055DD915}" name="PRICING MODEL ASSUMPTIONS" dataDxfId="86"/>
    <tableColumn id="2" xr3:uid="{AD0FFCFF-443A-4540-B772-25C71DDA7C54}" name="Values" dataDxfId="85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CF6B703-46BD-4A28-99F7-1AC4F8AF05BB}" name="Table4" displayName="Table4" ref="A1:B35" totalsRowShown="0" headerRowDxfId="84" dataDxfId="83">
  <autoFilter ref="A1:B35" xr:uid="{BCF6B703-46BD-4A28-99F7-1AC4F8AF05BB}"/>
  <tableColumns count="2">
    <tableColumn id="1" xr3:uid="{A6023C7C-D0CB-45B4-A025-F01C09A00AF2}" name="CHURN MODEL ASSUMPTIONS" dataDxfId="82"/>
    <tableColumn id="2" xr3:uid="{4580A235-816B-440A-9B97-9C0A6F222BAD}" name="Values" dataDxfId="8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3A313C0-07CB-4570-9991-C62687C18828}" name="Table8" displayName="Table8" ref="A1:B9" totalsRowShown="0" headerRowDxfId="80">
  <autoFilter ref="A1:B9" xr:uid="{73A313C0-07CB-4570-9991-C62687C18828}"/>
  <tableColumns count="2">
    <tableColumn id="1" xr3:uid="{437F8433-7603-4E1B-8193-2B6502EA79A4}" name="MONTE CARLO MODEL ASSUMPTIONS" dataDxfId="79"/>
    <tableColumn id="2" xr3:uid="{F64246A5-DF75-4C7F-BB7A-25D0855D45F5}" name="Values" dataDxfId="78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8A4E3FC-473D-4A06-B60D-68DD1542664C}" name="Table11" displayName="Table11" ref="D1:G6" totalsRowShown="0" dataDxfId="77">
  <autoFilter ref="D1:G6" xr:uid="{B8A4E3FC-473D-4A06-B60D-68DD1542664C}"/>
  <tableColumns count="4">
    <tableColumn id="1" xr3:uid="{DB98D75D-63ED-4622-9982-DBACA02388CD}" name="SCENARIOS" dataDxfId="76"/>
    <tableColumn id="2" xr3:uid="{D6A8D682-673A-4373-90EB-72CD0847A79F}" name="GR Weight" dataDxfId="75"/>
    <tableColumn id="3" xr3:uid="{9153E99E-E504-4315-B894-42977F44563C}" name="GP Weight" dataDxfId="74"/>
    <tableColumn id="4" xr3:uid="{53B593CD-9003-4FF5-83C9-1DDF0A7228C1}" name="LTV Weight" dataDxfId="73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6D84D7-FCE6-4EE6-8D26-138B777EC2A3}" name="Best_Outcomes" displayName="Best_Outcomes" ref="A1:T43" tableType="queryTable" totalsRowShown="0">
  <autoFilter ref="A1:T43" xr:uid="{EB6D84D7-FCE6-4EE6-8D26-138B777EC2A3}"/>
  <tableColumns count="20">
    <tableColumn id="1" xr3:uid="{A3C2FA1D-E185-4D63-969B-E91D6A7F7C8E}" uniqueName="1" name="SKU" queryTableFieldId="1" dataDxfId="72"/>
    <tableColumn id="2" xr3:uid="{AB3C21AF-0A2C-49CA-AA66-41E834A90BF6}" uniqueName="2" name="Recommendation" queryTableFieldId="2" dataDxfId="71"/>
    <tableColumn id="3" xr3:uid="{DB10F0DA-D635-4952-9638-EEB10EA1B70C}" uniqueName="3" name="Candidate Type" queryTableFieldId="3" dataDxfId="70"/>
    <tableColumn id="4" xr3:uid="{F87514C7-FDF2-4257-A48B-35EC265939A7}" uniqueName="4" name="Current Price" queryTableFieldId="4"/>
    <tableColumn id="5" xr3:uid="{027D4DB4-334C-40ED-A841-BF68E619EBA7}" uniqueName="5" name="Winning Scenario" queryTableFieldId="5" dataDxfId="69"/>
    <tableColumn id="6" xr3:uid="{FD339BB4-F09B-4038-929C-5E74DF225614}" uniqueName="6" name="Evaluation Score" queryTableFieldId="6"/>
    <tableColumn id="7" xr3:uid="{C420E952-3466-42B2-B53F-D91888C9DBD2}" uniqueName="7" name="Adjusted Price" queryTableFieldId="7"/>
    <tableColumn id="8" xr3:uid="{0A83D8CE-4BFC-49DE-9184-5830CA003220}" uniqueName="8" name="Adjusted Difference $" queryTableFieldId="8"/>
    <tableColumn id="9" xr3:uid="{9BD2AF14-4F6C-452B-B88F-52D366B5EEE1}" uniqueName="9" name="Adjusted Difference %" queryTableFieldId="9"/>
    <tableColumn id="10" xr3:uid="{9FC89499-12CD-4B6C-AF1C-60A76F920ADB}" uniqueName="10" name="Adjusted Gross Revenue" queryTableFieldId="10"/>
    <tableColumn id="11" xr3:uid="{408E8E81-0F47-49D8-957A-7C57204B0957}" uniqueName="11" name="Gross Revenue Impact $" queryTableFieldId="11"/>
    <tableColumn id="12" xr3:uid="{4B6E8497-21DE-4DAC-8EC1-61CEFA23108C}" uniqueName="12" name="Gross Revenue Lift %" queryTableFieldId="12"/>
    <tableColumn id="13" xr3:uid="{EA16E047-88BC-486C-B67C-0EBCE08B0E96}" uniqueName="13" name="Adjusted Gross Profit" queryTableFieldId="13"/>
    <tableColumn id="14" xr3:uid="{48AE2EF3-9AFE-4778-BBA5-5821897F6F72}" uniqueName="14" name="Gross Profit Impact $" queryTableFieldId="14"/>
    <tableColumn id="15" xr3:uid="{45BC2DAE-4326-4CF9-9FBC-82506F2E9438}" uniqueName="15" name="Gross Profit Lift %" queryTableFieldId="15"/>
    <tableColumn id="16" xr3:uid="{DF8189C4-EFF5-4F46-ADDB-D03A697BFFC4}" uniqueName="16" name="Gross Profit Margin %" queryTableFieldId="16"/>
    <tableColumn id="17" xr3:uid="{9B072261-CB86-4C95-856F-A7A39B1116EE}" uniqueName="17" name="Gross Profit Margin Lift %" queryTableFieldId="17"/>
    <tableColumn id="18" xr3:uid="{F648A9F5-F66A-4682-B87E-77030FBE7D77}" uniqueName="18" name="LTV Protected" queryTableFieldId="18"/>
    <tableColumn id="19" xr3:uid="{A26B56F7-4F15-4A72-AD7A-A82AA78C1618}" uniqueName="19" name="LTV Sacrificed" queryTableFieldId="19"/>
    <tableColumn id="20" xr3:uid="{0C206E0F-9C8C-4F9A-B1CF-8687FDCB2C90}" uniqueName="20" name="LTV Protection-Risk Ratio" queryTableFieldId="20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1A2F18-D04F-4BB5-AA2D-79DB7C3F53E6}" name="_1_product_catalog_pricing" displayName="_1_product_catalog_pricing" ref="A1:R51" tableType="queryTable" totalsRowShown="0">
  <autoFilter ref="A1:R51" xr:uid="{F71A2F18-D04F-4BB5-AA2D-79DB7C3F53E6}"/>
  <tableColumns count="18">
    <tableColumn id="1" xr3:uid="{53B12F04-E0F6-4CDE-83EA-5A4A372F110B}" uniqueName="1" name="SKU" queryTableFieldId="1" dataDxfId="68"/>
    <tableColumn id="2" xr3:uid="{48F12B3A-E1C6-43F1-8827-AB580122E2DA}" uniqueName="2" name="Product Name" queryTableFieldId="2" dataDxfId="67"/>
    <tableColumn id="3" xr3:uid="{A5E1F90F-5D54-43B8-88DC-0E9F41A673FF}" uniqueName="3" name="Category" queryTableFieldId="3" dataDxfId="66"/>
    <tableColumn id="4" xr3:uid="{73417D7A-DA84-4D82-B4B0-7C5E88273AAD}" uniqueName="4" name="Brand" queryTableFieldId="4" dataDxfId="65"/>
    <tableColumn id="5" xr3:uid="{1337B842-1C91-4238-A937-831D3E304037}" uniqueName="5" name="Cost Price ($)" queryTableFieldId="5"/>
    <tableColumn id="6" xr3:uid="{B48DC3A5-5FDF-4182-A6BB-C01862E36A4A}" uniqueName="6" name="Retail Price ($)" queryTableFieldId="6"/>
    <tableColumn id="7" xr3:uid="{1C316094-0C17-47AF-B954-566AF77C4F9F}" uniqueName="7" name="Sale Price ($)" queryTableFieldId="7"/>
    <tableColumn id="8" xr3:uid="{5C604AD5-0FCA-4B25-8BF7-879335D2E115}" uniqueName="8" name="Gross Margin - Retail (%)" queryTableFieldId="21"/>
    <tableColumn id="17" xr3:uid="{A50F9D24-F7C4-458D-9066-B36E51D8C3D9}" uniqueName="17" name="Gross Margin - Sale (%)" queryTableFieldId="18"/>
    <tableColumn id="9" xr3:uid="{4487A3CF-FC1E-4012-B192-34178BD73BF3}" uniqueName="9" name="Stock Units" queryTableFieldId="9"/>
    <tableColumn id="10" xr3:uid="{378E63D8-9048-4104-92A1-95961C66C769}" uniqueName="10" name="Rating (1-5)" queryTableFieldId="10"/>
    <tableColumn id="11" xr3:uid="{EF241763-22AD-4B6F-B8F2-DA22E34211A4}" uniqueName="11" name="Review Count" queryTableFieldId="11"/>
    <tableColumn id="12" xr3:uid="{B357584B-2E8A-4701-A894-5D02A6B204EE}" uniqueName="12" name="Is Active" queryTableFieldId="12" dataDxfId="64"/>
    <tableColumn id="13" xr3:uid="{0DDC03D9-1C36-460E-A706-AAA085CDAD77}" uniqueName="13" name="Launch Date" queryTableFieldId="13" dataDxfId="63"/>
    <tableColumn id="14" xr3:uid="{F77C7621-FFCA-4341-B00B-BFA2F93BF424}" uniqueName="14" name="Margin Bracket (Retail)" queryTableFieldId="22"/>
    <tableColumn id="15" xr3:uid="{7C68C815-69A0-4DEC-9517-936B65389364}" uniqueName="15" name="On Sale (Binary)" queryTableFieldId="15"/>
    <tableColumn id="16" xr3:uid="{48C696C9-6894-4CA7-81C4-EE224C9C1CBA}" uniqueName="16" name="On Sale (Text)" queryTableFieldId="16"/>
    <tableColumn id="18" xr3:uid="{24E330EC-3649-49FD-A4E7-B49510FF24C0}" uniqueName="18" name="Margin Bracket (Sale)" queryTableFieldId="23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7F4B17-5157-432C-A055-328202C5672B}" name="_2_sales_transactions" displayName="_2_sales_transactions" ref="A1:V1001" tableType="queryTable" totalsRowShown="0">
  <autoFilter ref="A1:V1001" xr:uid="{947F4B17-5157-432C-A055-328202C5672B}"/>
  <tableColumns count="22">
    <tableColumn id="1" xr3:uid="{D84B1765-3B64-4CFE-ABC4-DAC91506862D}" uniqueName="1" name="Transaction ID" queryTableFieldId="1" dataDxfId="62"/>
    <tableColumn id="2" xr3:uid="{1595389D-2E48-43A8-94D7-8DDE6805E3F4}" uniqueName="2" name="Date" queryTableFieldId="2" dataDxfId="61"/>
    <tableColumn id="3" xr3:uid="{461881E2-CE7C-42B1-873C-C8E545BC3936}" uniqueName="3" name="Month" queryTableFieldId="3" dataDxfId="60"/>
    <tableColumn id="21" xr3:uid="{2631DDD3-6423-489A-9F71-36ABBE535AC2}" uniqueName="21" name="Year" queryTableFieldId="21"/>
    <tableColumn id="4" xr3:uid="{F7E87426-35E9-4FAF-B317-56B92E81CDDA}" uniqueName="4" name="Quarter" queryTableFieldId="4" dataDxfId="59"/>
    <tableColumn id="5" xr3:uid="{5542FE34-D0D2-4B8C-8FB3-D11B35FE432C}" uniqueName="5" name="Customer ID" queryTableFieldId="5" dataDxfId="58"/>
    <tableColumn id="6" xr3:uid="{C138F813-2C40-443C-9176-28C4540805B2}" uniqueName="6" name="SKU" queryTableFieldId="6" dataDxfId="57"/>
    <tableColumn id="7" xr3:uid="{28106BF6-8AD1-4E55-8B8E-7C8FB406BE51}" uniqueName="7" name="Product Name" queryTableFieldId="7" dataDxfId="56"/>
    <tableColumn id="8" xr3:uid="{E033B42C-9C6D-4B97-9E5A-9E012F460FEF}" uniqueName="8" name="Category" queryTableFieldId="8" dataDxfId="55"/>
    <tableColumn id="9" xr3:uid="{DC14AAC0-1ADE-4ABE-BBE3-DBD672A4B894}" uniqueName="9" name="Brand" queryTableFieldId="9" dataDxfId="54"/>
    <tableColumn id="10" xr3:uid="{93BB73C1-B31A-48AD-8392-19213B2D82DD}" uniqueName="10" name="Channel" queryTableFieldId="10" dataDxfId="53"/>
    <tableColumn id="11" xr3:uid="{53B86A1A-B53D-4DFA-B070-F8E7C74225E5}" uniqueName="11" name="Region" queryTableFieldId="11" dataDxfId="52"/>
    <tableColumn id="12" xr3:uid="{6B1E579F-A4CD-448F-86CB-7927A504C0B4}" uniqueName="12" name="Quantity" queryTableFieldId="12"/>
    <tableColumn id="13" xr3:uid="{F9971958-98F5-4140-813C-647CFE93E9A8}" uniqueName="13" name="Unit Price ($)" queryTableFieldId="13"/>
    <tableColumn id="16" xr3:uid="{83F5BF88-5553-4C5E-8DAF-B9E235BFF409}" uniqueName="16" name="Gross Revenue" queryTableFieldId="23"/>
    <tableColumn id="14" xr3:uid="{6855BC3A-0C7C-4C89-9BDC-2591B6EA8E52}" uniqueName="14" name="Discount (%)" queryTableFieldId="14"/>
    <tableColumn id="15" xr3:uid="{CCB8EE74-F4DF-4A48-A8E4-082DB73B6A19}" uniqueName="15" name="Discount Amount ($)" queryTableFieldId="15" dataDxfId="51"/>
    <tableColumn id="22" xr3:uid="{2FD06006-0975-4A75-AE88-2A32C54CF2CF}" uniqueName="22" name="Revenue Less Discount ($)" queryTableFieldId="24"/>
    <tableColumn id="17" xr3:uid="{360190D5-446C-466A-A388-EE89F4341D9E}" uniqueName="17" name="COGS ($)" queryTableFieldId="17"/>
    <tableColumn id="18" xr3:uid="{1DF4375F-2039-4228-8A72-6E16423BE122}" uniqueName="18" name="Gross Profit ($)" queryTableFieldId="18" dataDxfId="50"/>
    <tableColumn id="19" xr3:uid="{F87268D7-7015-417B-8B39-00F219D55DB0}" uniqueName="19" name="Payment Method" queryTableFieldId="19" dataDxfId="49"/>
    <tableColumn id="20" xr3:uid="{FAB1C44E-8CB6-4D7F-A8A7-214376BCC310}" uniqueName="20" name="Order Status" queryTableFieldId="20" dataDxfId="48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45FC61-2228-4784-A94D-932F1E329803}" name="_3_customer_segments" displayName="_3_customer_segments" ref="A1:O4002" tableType="queryTable" totalsRowShown="0">
  <autoFilter ref="A1:O4002" xr:uid="{9545FC61-2228-4784-A94D-932F1E329803}"/>
  <tableColumns count="15">
    <tableColumn id="1" xr3:uid="{1E309255-9F27-4DB3-9410-691848B6AE73}" uniqueName="1" name="Customer ID" queryTableFieldId="1" dataDxfId="47"/>
    <tableColumn id="2" xr3:uid="{E7709EC2-A08D-4DE7-81C4-ED1F5FA4DCD2}" uniqueName="2" name="Segment" queryTableFieldId="2" dataDxfId="46"/>
    <tableColumn id="3" xr3:uid="{15FF0FED-D6B1-4B5E-BBF7-200EB612793F}" uniqueName="3" name="Acquisition Channel" queryTableFieldId="3" dataDxfId="45"/>
    <tableColumn id="4" xr3:uid="{20197181-B4FE-4BBA-B12B-CA76A51F5B9B}" uniqueName="4" name="Join Date" queryTableFieldId="4" dataDxfId="44"/>
    <tableColumn id="5" xr3:uid="{473798EF-F7BA-4AE4-ADBC-DA5F720F7568}" uniqueName="5" name="Last Order Date" queryTableFieldId="5" dataDxfId="43"/>
    <tableColumn id="6" xr3:uid="{FDA69A3C-BA4B-41F8-B8F3-79C81D8794B8}" uniqueName="6" name="Days Since Last Order" queryTableFieldId="6"/>
    <tableColumn id="7" xr3:uid="{BE238CD6-DBD8-42D6-97F5-E3F244C0EF44}" uniqueName="7" name="Total Orders" queryTableFieldId="7"/>
    <tableColumn id="8" xr3:uid="{A567C24B-C325-4505-AC2C-439947B96C37}" uniqueName="8" name="Lifetime Value ($)" queryTableFieldId="8"/>
    <tableColumn id="9" xr3:uid="{1E57988A-6083-4DFA-B9EC-CF8B8801CACC}" uniqueName="9" name="Avg Order Value ($)" queryTableFieldId="9"/>
    <tableColumn id="10" xr3:uid="{14D84725-143A-4EBA-A4E4-AA4A94F1821C}" uniqueName="10" name="Preferred Category" queryTableFieldId="10" dataDxfId="42"/>
    <tableColumn id="11" xr3:uid="{3B79D9F5-DC45-4B36-B65E-7C792449AA30}" uniqueName="11" name="Email Subscriber" queryTableFieldId="11" dataDxfId="41"/>
    <tableColumn id="12" xr3:uid="{552FE1DA-D67A-4BA7-835B-9F20DF2D2D2F}" uniqueName="12" name="Discount Sensitivity" queryTableFieldId="12" dataDxfId="40"/>
    <tableColumn id="13" xr3:uid="{8C0C9315-637A-4A8A-9166-ED022429A538}" uniqueName="13" name="NPS Score" queryTableFieldId="13"/>
    <tableColumn id="14" xr3:uid="{C4EAADD3-AB33-4142-908B-3ABB914F3B1A}" uniqueName="14" name="Region" queryTableFieldId="14" dataDxfId="39"/>
    <tableColumn id="15" xr3:uid="{750154A4-F6C8-41AC-9C25-D0DC241C8541}" uniqueName="15" name="Age Group" queryTableFieldId="15" dataDxfId="38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D2D849F-CC62-4DBC-ADC5-20EBBA3479CA}" name="_4_competitor_pricing_" displayName="_4_competitor_pricing_" ref="A1:G201" tableType="queryTable" totalsRowShown="0">
  <autoFilter ref="A1:G201" xr:uid="{7D2D849F-CC62-4DBC-ADC5-20EBBA3479CA}"/>
  <tableColumns count="7">
    <tableColumn id="1" xr3:uid="{18BE152F-CA22-4111-8627-709AB8CDE940}" uniqueName="1" name="SKU" queryTableFieldId="1" dataDxfId="37"/>
    <tableColumn id="2" xr3:uid="{5F45292C-B8D9-49C8-9013-6AD9E5C7D804}" uniqueName="2" name="Product Name" queryTableFieldId="2" dataDxfId="36"/>
    <tableColumn id="3" xr3:uid="{64DA03BC-94A6-4848-BF85-AAFCF07360E8}" uniqueName="3" name="Competitor" queryTableFieldId="3" dataDxfId="35"/>
    <tableColumn id="4" xr3:uid="{7020FFB1-157A-4DD0-BB0F-CB2AA143D701}" uniqueName="4" name="Competitor Price" queryTableFieldId="4"/>
    <tableColumn id="5" xr3:uid="{067768DF-1093-47C9-9386-56D2E9B91CD1}" uniqueName="5" name="Comp Rating" queryTableFieldId="5"/>
    <tableColumn id="6" xr3:uid="{5E8C6597-4F75-409F-A1B6-BDF718C10891}" uniqueName="6" name="Comp Review Count" queryTableFieldId="6"/>
    <tableColumn id="7" xr3:uid="{27925467-F5F6-404F-8CA7-3F4A7D484C90}" uniqueName="7" name="Observation Date" queryTableFieldId="7" dataDxfId="34"/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768CA1B-74B7-4061-A614-3FB56A90197E}" name="Transactions_and_Customer_Information_Joined" displayName="Transactions_and_Customer_Information_Joined" ref="A1:AE1001" tableType="queryTable" totalsRowShown="0">
  <autoFilter ref="A1:AE1001" xr:uid="{9768CA1B-74B7-4061-A614-3FB56A90197E}"/>
  <tableColumns count="31">
    <tableColumn id="1" xr3:uid="{DA274B57-E9A5-416F-BA11-051583894915}" uniqueName="1" name="Transaction ID" queryTableFieldId="1" dataDxfId="33"/>
    <tableColumn id="2" xr3:uid="{A4BA71A9-A5D8-48A8-89B4-C5E291BE4EF3}" uniqueName="2" name="Date" queryTableFieldId="2" dataDxfId="32"/>
    <tableColumn id="3" xr3:uid="{543E693E-FFD4-42B7-B197-219628D01ACF}" uniqueName="3" name="Month" queryTableFieldId="3" dataDxfId="31"/>
    <tableColumn id="4" xr3:uid="{047F75E7-D5D8-4756-B1A8-A37537B2AD4D}" uniqueName="4" name="Year" queryTableFieldId="4"/>
    <tableColumn id="5" xr3:uid="{FCCC20EB-E15F-497F-B5E2-DEDB876D5641}" uniqueName="5" name="Quarter" queryTableFieldId="5" dataDxfId="30"/>
    <tableColumn id="6" xr3:uid="{E23A6B9A-0332-411F-A715-3AE2351C8275}" uniqueName="6" name="Customer ID" queryTableFieldId="6" dataDxfId="29"/>
    <tableColumn id="7" xr3:uid="{208709F9-0576-43B2-82EB-25952BD22FCB}" uniqueName="7" name="SKU" queryTableFieldId="7" dataDxfId="28"/>
    <tableColumn id="8" xr3:uid="{A5DDC077-5104-4C8F-9841-9EFB1DEABC25}" uniqueName="8" name="Product Name" queryTableFieldId="8" dataDxfId="27"/>
    <tableColumn id="9" xr3:uid="{CA90C29A-C83C-4228-A47A-959D3F19E90A}" uniqueName="9" name="Category" queryTableFieldId="9" dataDxfId="26"/>
    <tableColumn id="10" xr3:uid="{78867B05-85FE-49E4-9452-13CE29DAC6D5}" uniqueName="10" name="Brand" queryTableFieldId="10" dataDxfId="25"/>
    <tableColumn id="11" xr3:uid="{27556BC4-EA50-49E1-8001-03502431702C}" uniqueName="11" name="Channel" queryTableFieldId="11" dataDxfId="24"/>
    <tableColumn id="12" xr3:uid="{45DB5B1C-18FA-48D5-B315-17001B517F2F}" uniqueName="12" name="Region" queryTableFieldId="12" dataDxfId="23"/>
    <tableColumn id="13" xr3:uid="{E62B3936-C5A8-488A-A4B3-7A03F155FEFC}" uniqueName="13" name="Quantity" queryTableFieldId="13"/>
    <tableColumn id="14" xr3:uid="{489A7E9A-2D1F-42A7-8E4A-732576F4397A}" uniqueName="14" name="Unit Price ($)" queryTableFieldId="14"/>
    <tableColumn id="15" xr3:uid="{0F115005-E641-46A8-9444-B8DA4CBCA921}" uniqueName="15" name="Gross Revenue" queryTableFieldId="15"/>
    <tableColumn id="16" xr3:uid="{782FF4F5-B6F6-404D-8E04-16DD734DC68B}" uniqueName="16" name="Discount (%)" queryTableFieldId="16"/>
    <tableColumn id="17" xr3:uid="{AF1DF425-8DF3-42FE-B02C-4D129A6825DB}" uniqueName="17" name="Discount Amount ($)" queryTableFieldId="17"/>
    <tableColumn id="18" xr3:uid="{8AD105CB-5868-4343-955D-D4C1B6AF30F8}" uniqueName="18" name="Revenue Less Discount ($)" queryTableFieldId="18"/>
    <tableColumn id="19" xr3:uid="{A7798AD3-791E-4F7F-BAA4-0AB2D74CC9E8}" uniqueName="19" name="COGS ($)" queryTableFieldId="19"/>
    <tableColumn id="20" xr3:uid="{C3552D3C-8EEC-473B-814B-B62911D3BC8D}" uniqueName="20" name="Gross Profit ($)" queryTableFieldId="20"/>
    <tableColumn id="21" xr3:uid="{3FE687BF-256F-439E-B3EA-CE4DCBEBAAF0}" uniqueName="21" name="Payment Method" queryTableFieldId="21" dataDxfId="22"/>
    <tableColumn id="22" xr3:uid="{DF22C52C-4537-4D06-BBD3-D210F828DE85}" uniqueName="22" name="Order Status" queryTableFieldId="22" dataDxfId="21"/>
    <tableColumn id="23" xr3:uid="{2452F78E-3324-45BC-AE8A-CEDC7A9DAEEA}" uniqueName="23" name="3_customer_segments.Segment" queryTableFieldId="23" dataDxfId="20"/>
    <tableColumn id="24" xr3:uid="{E29CFFF2-14E2-444A-B605-772C513B894F}" uniqueName="24" name="3_customer_segments.Acquisition Channel" queryTableFieldId="24" dataDxfId="19"/>
    <tableColumn id="25" xr3:uid="{6337AF15-0EC4-42B4-B824-5FC9EC43BA97}" uniqueName="25" name="3_customer_segments.Days Since Last Order" queryTableFieldId="25"/>
    <tableColumn id="26" xr3:uid="{EFEF565E-44B2-4E02-85CA-A70402329BFA}" uniqueName="26" name="3_customer_segments.Lifetime Value ($)" queryTableFieldId="26"/>
    <tableColumn id="27" xr3:uid="{A4138B79-9095-4DA1-91D2-C3E3988A54E4}" uniqueName="27" name="3_customer_segments.Avg Order Value ($)" queryTableFieldId="27"/>
    <tableColumn id="28" xr3:uid="{842AAC39-60BA-4CC5-93D3-6D8777A15C39}" uniqueName="28" name="3_customer_segments.Preferred Category" queryTableFieldId="28" dataDxfId="18"/>
    <tableColumn id="29" xr3:uid="{88666BBE-9184-484D-BC20-D5E471AD5A2B}" uniqueName="29" name="3_customer_segments.Email Subscriber" queryTableFieldId="29" dataDxfId="17"/>
    <tableColumn id="30" xr3:uid="{E3CD872D-68FE-4488-BAE6-ECF43B9CA071}" uniqueName="30" name="3_customer_segments.Discount Sensitivity" queryTableFieldId="30" dataDxfId="16"/>
    <tableColumn id="31" xr3:uid="{42E3F4C2-17CB-44B0-BAEC-D8B23D627D10}" uniqueName="31" name="3_customer_segments.Age Group" queryTableFieldId="31" dataDxfId="15"/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586138B-BB0B-4C8A-BFED-EF08586333C2}" name="tbl_Path" displayName="tbl_Path" ref="A1:A2" totalsRowShown="0" dataDxfId="14">
  <autoFilter ref="A1:A2" xr:uid="{3586138B-BB0B-4C8A-BFED-EF08586333C2}"/>
  <tableColumns count="1">
    <tableColumn id="1" xr3:uid="{39E61957-A7DD-4EFB-AEB5-541D4EA08EA0}" name="FolderPath" dataDxfId="13">
      <calculatedColumnFormula array="1">LEFT(CELL("filename",A1),SEARCH("[",CELL("filename",A1))-1)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D0671-5689-4C3F-858C-3BB2B914F055}">
  <sheetPr codeName="Sheet1">
    <tabColor theme="9"/>
  </sheetPr>
  <dimension ref="A1:AT33"/>
  <sheetViews>
    <sheetView tabSelected="1" workbookViewId="0"/>
  </sheetViews>
  <sheetFormatPr defaultRowHeight="15"/>
  <cols>
    <col min="1" max="1" width="9.140625" style="24" bestFit="1" customWidth="1"/>
    <col min="2" max="2" width="20.28515625" style="24" bestFit="1" customWidth="1"/>
    <col min="3" max="3" width="21.7109375" style="24" bestFit="1" customWidth="1"/>
    <col min="4" max="4" width="19.140625" style="24" customWidth="1"/>
    <col min="5" max="5" width="20.42578125" style="23" bestFit="1" customWidth="1"/>
    <col min="6" max="6" width="22.42578125" style="23" customWidth="1"/>
    <col min="7" max="7" width="17.42578125" style="24" customWidth="1"/>
    <col min="8" max="8" width="24.28515625" style="23" customWidth="1"/>
    <col min="9" max="9" width="16" style="23" customWidth="1"/>
    <col min="10" max="10" width="21.28515625" style="23" customWidth="1"/>
    <col min="11" max="11" width="29.7109375" style="21" customWidth="1"/>
    <col min="12" max="12" width="20.140625" style="23" customWidth="1"/>
    <col min="13" max="13" width="16.85546875" style="23" customWidth="1"/>
    <col min="14" max="14" width="17.42578125" style="21" customWidth="1"/>
    <col min="15" max="15" width="26" style="23" customWidth="1"/>
    <col min="16" max="16" width="24.42578125" style="23" customWidth="1"/>
    <col min="17" max="17" width="14.140625" style="24" customWidth="1"/>
    <col min="18" max="18" width="21.85546875" style="31" customWidth="1"/>
    <col min="19" max="19" width="30" style="21" customWidth="1"/>
    <col min="20" max="20" width="16.7109375" style="23" customWidth="1"/>
    <col min="21" max="21" width="17.5703125" style="23" customWidth="1"/>
    <col min="22" max="22" width="11.7109375" style="21" customWidth="1"/>
    <col min="23" max="23" width="9.28515625" style="21" customWidth="1"/>
    <col min="24" max="24" width="12.42578125" style="21" customWidth="1"/>
    <col min="25" max="25" width="8.28515625" style="21" customWidth="1"/>
    <col min="26" max="26" width="15.85546875" style="24" customWidth="1"/>
    <col min="27" max="27" width="16.140625" style="23" customWidth="1"/>
    <col min="28" max="28" width="22.7109375" style="23" customWidth="1"/>
    <col min="29" max="29" width="23.28515625" style="21" customWidth="1"/>
    <col min="30" max="30" width="27.7109375" style="21" customWidth="1"/>
    <col min="31" max="31" width="18.42578125" style="24" customWidth="1"/>
    <col min="32" max="32" width="34.42578125" style="23" customWidth="1"/>
    <col min="33" max="33" width="31.85546875" style="23" customWidth="1"/>
    <col min="34" max="34" width="28.7109375" style="21" customWidth="1"/>
    <col min="35" max="35" width="17" style="23" customWidth="1"/>
    <col min="36" max="36" width="23.5703125" style="23" customWidth="1"/>
    <col min="37" max="37" width="20.42578125" style="21" customWidth="1"/>
    <col min="38" max="38" width="22.28515625" style="23" customWidth="1"/>
    <col min="39" max="39" width="31" style="23" customWidth="1"/>
    <col min="40" max="40" width="28.42578125" style="21" customWidth="1"/>
    <col min="41" max="41" width="31.42578125" style="21" customWidth="1"/>
    <col min="42" max="42" width="35.7109375" style="21" customWidth="1"/>
    <col min="43" max="43" width="32.85546875" style="21" customWidth="1"/>
    <col min="44" max="44" width="15.5703125" style="23" customWidth="1"/>
    <col min="45" max="45" width="15.7109375" style="23" customWidth="1"/>
    <col min="46" max="46" width="34.28515625" style="21" customWidth="1"/>
  </cols>
  <sheetData>
    <row r="1" spans="1:46" ht="45">
      <c r="A1" s="32" t="s">
        <v>5465</v>
      </c>
      <c r="B1" s="10"/>
      <c r="C1" s="10"/>
      <c r="D1"/>
      <c r="E1" s="28" t="s">
        <v>5466</v>
      </c>
      <c r="F1" s="9">
        <f>AVERAGE($AH$10:$AH$33)</f>
        <v>4.9460573132175299E-2</v>
      </c>
      <c r="G1"/>
      <c r="H1" s="22"/>
      <c r="I1" s="22"/>
      <c r="J1" s="22"/>
      <c r="K1" s="3"/>
      <c r="L1" s="22"/>
      <c r="M1" s="22"/>
      <c r="N1" s="3"/>
      <c r="O1" s="22"/>
      <c r="P1" s="22"/>
      <c r="Q1"/>
      <c r="R1" s="2"/>
      <c r="S1" s="3"/>
      <c r="T1" s="22"/>
      <c r="U1" s="22"/>
      <c r="V1" s="3"/>
      <c r="W1" s="3"/>
      <c r="X1" s="3"/>
      <c r="Y1" s="3"/>
      <c r="Z1"/>
      <c r="AA1" s="22"/>
      <c r="AB1" s="22"/>
      <c r="AC1" s="3"/>
      <c r="AD1" s="3"/>
      <c r="AE1"/>
      <c r="AF1" s="22"/>
      <c r="AG1" s="22"/>
      <c r="AH1" s="3"/>
      <c r="AI1" s="22"/>
      <c r="AJ1" s="22"/>
      <c r="AK1" s="3"/>
      <c r="AL1" s="22"/>
      <c r="AM1" s="22"/>
      <c r="AN1" s="3"/>
      <c r="AO1" s="3"/>
      <c r="AP1" s="3"/>
      <c r="AQ1" s="3"/>
      <c r="AR1" s="22"/>
      <c r="AS1" s="22"/>
      <c r="AT1" s="3"/>
    </row>
    <row r="2" spans="1:46">
      <c r="A2"/>
      <c r="B2"/>
      <c r="C2"/>
      <c r="D2"/>
      <c r="E2" s="28" t="s">
        <v>5467</v>
      </c>
      <c r="F2" s="9">
        <f>AVERAGE($AN$10:$AN$33)</f>
        <v>0.12326402571165644</v>
      </c>
      <c r="G2"/>
      <c r="H2" s="22"/>
      <c r="I2" s="22"/>
      <c r="J2" s="22"/>
      <c r="K2" s="3"/>
      <c r="L2" s="22"/>
      <c r="M2" s="22"/>
      <c r="N2" s="3"/>
      <c r="O2" s="22"/>
      <c r="P2" s="22"/>
      <c r="Q2"/>
      <c r="R2" s="2"/>
      <c r="S2" s="3"/>
      <c r="T2" s="22"/>
      <c r="U2" s="22"/>
      <c r="V2" s="3"/>
      <c r="W2" s="3"/>
      <c r="X2" s="3"/>
      <c r="Y2" s="3"/>
      <c r="Z2"/>
      <c r="AA2" s="22"/>
      <c r="AB2" s="22"/>
      <c r="AC2" s="3"/>
      <c r="AD2" s="3"/>
      <c r="AE2"/>
      <c r="AF2" s="22"/>
      <c r="AG2" s="22"/>
      <c r="AH2" s="3"/>
      <c r="AI2" s="22"/>
      <c r="AJ2" s="22"/>
      <c r="AK2" s="3"/>
      <c r="AL2" s="22"/>
      <c r="AM2" s="22"/>
      <c r="AN2" s="3"/>
      <c r="AO2" s="3"/>
      <c r="AP2" s="3"/>
      <c r="AQ2" s="3"/>
      <c r="AR2" s="22"/>
      <c r="AS2" s="22"/>
      <c r="AT2" s="3"/>
    </row>
    <row r="3" spans="1:46">
      <c r="E3" s="28" t="s">
        <v>5468</v>
      </c>
      <c r="F3" s="9">
        <f>AVERAGE($AC$10:$AC$33)</f>
        <v>8.875810954901979E-2</v>
      </c>
    </row>
    <row r="9" spans="1:46">
      <c r="A9" s="36" t="s">
        <v>0</v>
      </c>
      <c r="B9" s="37" t="s">
        <v>1</v>
      </c>
      <c r="C9" s="37" t="s">
        <v>2</v>
      </c>
      <c r="D9" s="37" t="s">
        <v>5258</v>
      </c>
      <c r="E9" s="56" t="s">
        <v>5361</v>
      </c>
      <c r="F9" s="56" t="s">
        <v>5392</v>
      </c>
      <c r="G9" s="37" t="s">
        <v>5389</v>
      </c>
      <c r="H9" s="56" t="s">
        <v>5393</v>
      </c>
      <c r="I9" s="56" t="s">
        <v>5390</v>
      </c>
      <c r="J9" s="56" t="s">
        <v>5391</v>
      </c>
      <c r="K9" s="57" t="s">
        <v>5395</v>
      </c>
      <c r="L9" s="56" t="s">
        <v>5362</v>
      </c>
      <c r="M9" s="56" t="s">
        <v>5363</v>
      </c>
      <c r="N9" s="57" t="s">
        <v>5364</v>
      </c>
      <c r="O9" s="56" t="s">
        <v>5400</v>
      </c>
      <c r="P9" s="56" t="s">
        <v>5365</v>
      </c>
      <c r="Q9" s="37" t="s">
        <v>5366</v>
      </c>
      <c r="R9" s="58" t="s">
        <v>5367</v>
      </c>
      <c r="S9" s="57" t="s">
        <v>5368</v>
      </c>
      <c r="T9" s="56" t="s">
        <v>5360</v>
      </c>
      <c r="U9" s="56" t="s">
        <v>5369</v>
      </c>
      <c r="V9" s="57" t="s">
        <v>5370</v>
      </c>
      <c r="W9" s="57" t="s">
        <v>5371</v>
      </c>
      <c r="X9" s="57" t="s">
        <v>5372</v>
      </c>
      <c r="Y9" s="57" t="s">
        <v>5373</v>
      </c>
      <c r="Z9" s="37" t="s">
        <v>5374</v>
      </c>
      <c r="AA9" s="56" t="s">
        <v>5375</v>
      </c>
      <c r="AB9" s="56" t="s">
        <v>5376</v>
      </c>
      <c r="AC9" s="57" t="s">
        <v>5377</v>
      </c>
      <c r="AD9" s="57" t="s">
        <v>5380</v>
      </c>
      <c r="AE9" s="37" t="s">
        <v>5379</v>
      </c>
      <c r="AF9" s="56" t="s">
        <v>5381</v>
      </c>
      <c r="AG9" s="56" t="s">
        <v>5382</v>
      </c>
      <c r="AH9" s="57" t="s">
        <v>5394</v>
      </c>
      <c r="AI9" s="56" t="s">
        <v>5383</v>
      </c>
      <c r="AJ9" s="56" t="s">
        <v>5384</v>
      </c>
      <c r="AK9" s="57" t="s">
        <v>5385</v>
      </c>
      <c r="AL9" s="56" t="s">
        <v>5386</v>
      </c>
      <c r="AM9" s="56" t="s">
        <v>5387</v>
      </c>
      <c r="AN9" s="57" t="s">
        <v>5388</v>
      </c>
      <c r="AO9" s="57" t="s">
        <v>5311</v>
      </c>
      <c r="AP9" s="57" t="s">
        <v>5401</v>
      </c>
      <c r="AQ9" s="57" t="s">
        <v>5312</v>
      </c>
      <c r="AR9" s="56" t="s">
        <v>5378</v>
      </c>
      <c r="AS9" s="56" t="s">
        <v>5396</v>
      </c>
      <c r="AT9" s="59" t="s">
        <v>5469</v>
      </c>
    </row>
    <row r="10" spans="1:46">
      <c r="A10" s="44" t="str" cm="1">
        <f t="array" ref="A10:A33">_xlfn._xlws.FILTER(_xlfn.ANCHORARRAY('Monte Carlo IO (4)'!$A$12),('Monte Carlo IO (4)'!$AO$12:$AO$53&gt;0.05),('Monte Carlo IO (4)'!$AU$12:$AU$53&gt;0.4))</f>
        <v>SKU-1000</v>
      </c>
      <c r="B10" s="45" t="str" cm="1">
        <f t="array" ref="B10:D10">_xlfn.XLOOKUP($A10,_xlfn.ANCHORARRAY('Monte Carlo IO (4)'!$A$12), 'Monte Carlo IO (4)'!$B$12:$D$53,,0)</f>
        <v>Wireless Earbuds</v>
      </c>
      <c r="C10" s="45" t="str">
        <v>Electronics</v>
      </c>
      <c r="D10" s="45" t="str">
        <v>Raise</v>
      </c>
      <c r="E10" s="46" cm="1">
        <f t="array" ref="E10:K10">_xlfn.XLOOKUP($A10,_xlfn.ANCHORARRAY('Monte Carlo IO (4)'!$A$12), 'Monte Carlo IO (4)'!$F$12:$L$53)</f>
        <v>76.53</v>
      </c>
      <c r="F10" s="46">
        <v>52.96</v>
      </c>
      <c r="G10" s="45">
        <v>24</v>
      </c>
      <c r="H10" s="46">
        <v>1836.72</v>
      </c>
      <c r="I10" s="46">
        <v>1271.04</v>
      </c>
      <c r="J10" s="46">
        <v>565.68000000000006</v>
      </c>
      <c r="K10" s="47">
        <v>0.307983797203711</v>
      </c>
      <c r="L10" s="46" cm="1">
        <f t="array" ref="L10:AT10">_xlfn.XLOOKUP($A10,_xlfn.ANCHORARRAY('Monte Carlo IO (4)'!$A$12), 'Monte Carlo IO (4)'!$M$12:$AU$53)</f>
        <v>80.606322838637126</v>
      </c>
      <c r="M10" s="46">
        <v>4.0763228386371253</v>
      </c>
      <c r="N10" s="47">
        <v>5.3264377873214752E-2</v>
      </c>
      <c r="O10" s="46">
        <v>17.225425288654151</v>
      </c>
      <c r="P10" s="46">
        <v>70.185425288654415</v>
      </c>
      <c r="Q10" s="45">
        <v>10</v>
      </c>
      <c r="R10" s="48">
        <v>70.50526195103842</v>
      </c>
      <c r="S10" s="47">
        <v>0.31812470081886585</v>
      </c>
      <c r="T10" s="46">
        <v>3841.99</v>
      </c>
      <c r="U10" s="46">
        <v>1112.0931944026663</v>
      </c>
      <c r="V10" s="47">
        <v>0.5</v>
      </c>
      <c r="W10" s="47">
        <v>0.3</v>
      </c>
      <c r="X10" s="47">
        <v>0.2</v>
      </c>
      <c r="Y10" s="47">
        <v>0</v>
      </c>
      <c r="Z10" s="45" t="str">
        <v>Critical</v>
      </c>
      <c r="AA10" s="46">
        <v>78.975793703182276</v>
      </c>
      <c r="AB10" s="46">
        <v>2.4457937031822752</v>
      </c>
      <c r="AC10" s="47">
        <v>3.1958626723928851E-2</v>
      </c>
      <c r="AD10" s="47">
        <v>-1.2783450689571541E-2</v>
      </c>
      <c r="AE10" s="45">
        <v>24.012783450689572</v>
      </c>
      <c r="AF10" s="46">
        <v>1871.189052928989</v>
      </c>
      <c r="AG10" s="46">
        <v>34.469052928988958</v>
      </c>
      <c r="AH10" s="47">
        <v>1.8766634505525587E-2</v>
      </c>
      <c r="AI10" s="46">
        <v>1271.7170115485196</v>
      </c>
      <c r="AJ10" s="46">
        <v>0.67701154851965839</v>
      </c>
      <c r="AK10" s="47">
        <v>5.3264377873210784E-4</v>
      </c>
      <c r="AL10" s="46">
        <v>616.39733009346196</v>
      </c>
      <c r="AM10" s="46">
        <v>50.717330093461896</v>
      </c>
      <c r="AN10" s="47">
        <v>8.9657279899345729E-2</v>
      </c>
      <c r="AO10" s="47">
        <v>0.32941477993824819</v>
      </c>
      <c r="AP10" s="47">
        <v>2.1430982734537196E-2</v>
      </c>
      <c r="AQ10" s="47">
        <v>2.1430982734537196E-2</v>
      </c>
      <c r="AR10" s="46">
        <v>358.09400859765856</v>
      </c>
      <c r="AS10" s="46">
        <v>537.14101289648772</v>
      </c>
      <c r="AT10" s="49">
        <v>0.66666666666666685</v>
      </c>
    </row>
    <row r="11" spans="1:46">
      <c r="A11" s="44" t="str">
        <v>SKU-1001</v>
      </c>
      <c r="B11" s="45" t="str" cm="1">
        <f t="array" ref="B11:D11">_xlfn.XLOOKUP($A11,_xlfn.ANCHORARRAY('Monte Carlo IO (4)'!$A$12), 'Monte Carlo IO (4)'!$B$12:$D$53,,0)</f>
        <v>Bluetooth Speaker</v>
      </c>
      <c r="C11" s="45" t="str">
        <v>Electronics</v>
      </c>
      <c r="D11" s="45" t="str">
        <v>Raise</v>
      </c>
      <c r="E11" s="46" cm="1">
        <f t="array" ref="E11:K11">_xlfn.XLOOKUP($A11,_xlfn.ANCHORARRAY('Monte Carlo IO (4)'!$A$12), 'Monte Carlo IO (4)'!$F$12:$L$53)</f>
        <v>53.26</v>
      </c>
      <c r="F11" s="46">
        <v>36.64</v>
      </c>
      <c r="G11" s="45">
        <v>21</v>
      </c>
      <c r="H11" s="46">
        <v>1118.46</v>
      </c>
      <c r="I11" s="46">
        <v>769.44</v>
      </c>
      <c r="J11" s="46">
        <v>349.02</v>
      </c>
      <c r="K11" s="47">
        <v>0.31205407435223431</v>
      </c>
      <c r="L11" s="46" cm="1">
        <f t="array" ref="L11:AT11">_xlfn.XLOOKUP($A11,_xlfn.ANCHORARRAY('Monte Carlo IO (4)'!$A$12), 'Monte Carlo IO (4)'!$M$12:$AU$53)</f>
        <v>57.563991794204242</v>
      </c>
      <c r="M11" s="46">
        <v>4.3039917942042436</v>
      </c>
      <c r="N11" s="47">
        <v>8.081096121299744E-2</v>
      </c>
      <c r="O11" s="46">
        <v>32.819835884084796</v>
      </c>
      <c r="P11" s="46">
        <v>69.459835884084782</v>
      </c>
      <c r="Q11" s="45">
        <v>9</v>
      </c>
      <c r="R11" s="48">
        <v>66.806056245059409</v>
      </c>
      <c r="S11" s="47">
        <v>0.26336464749445365</v>
      </c>
      <c r="T11" s="46">
        <v>5045.9799999999996</v>
      </c>
      <c r="U11" s="46">
        <v>1487.0300026323653</v>
      </c>
      <c r="V11" s="47">
        <v>0.33333333333333331</v>
      </c>
      <c r="W11" s="47">
        <v>0.44444444444444442</v>
      </c>
      <c r="X11" s="47">
        <v>0.22222222222222221</v>
      </c>
      <c r="Y11" s="47">
        <v>0</v>
      </c>
      <c r="Z11" s="45" t="str">
        <v>High</v>
      </c>
      <c r="AA11" s="46">
        <v>55.842395076522543</v>
      </c>
      <c r="AB11" s="46">
        <v>2.5823950765225447</v>
      </c>
      <c r="AC11" s="47">
        <v>4.8486576727798436E-2</v>
      </c>
      <c r="AD11" s="47">
        <v>-1.9394630691119377E-2</v>
      </c>
      <c r="AE11" s="45">
        <v>21.019394630691121</v>
      </c>
      <c r="AF11" s="46">
        <v>1149.946401389222</v>
      </c>
      <c r="AG11" s="46">
        <v>31.48640138922201</v>
      </c>
      <c r="AH11" s="47">
        <v>2.8151566787566841E-2</v>
      </c>
      <c r="AI11" s="46">
        <v>1113.1871396414017</v>
      </c>
      <c r="AJ11" s="46">
        <v>343.74713964140165</v>
      </c>
      <c r="AK11" s="47">
        <v>0.44674976559757956</v>
      </c>
      <c r="AL11" s="46">
        <v>395.42940602819681</v>
      </c>
      <c r="AM11" s="46">
        <v>46.409406028196827</v>
      </c>
      <c r="AN11" s="47">
        <v>0.1329706206755969</v>
      </c>
      <c r="AO11" s="47">
        <v>0.34386768422466318</v>
      </c>
      <c r="AP11" s="47">
        <v>3.1813609872428872E-2</v>
      </c>
      <c r="AQ11" s="47">
        <v>3.1813609872428872E-2</v>
      </c>
      <c r="AR11" s="46">
        <v>449.41351190667075</v>
      </c>
      <c r="AS11" s="46">
        <v>674.12026786000524</v>
      </c>
      <c r="AT11" s="49">
        <v>0.66666666666666752</v>
      </c>
    </row>
    <row r="12" spans="1:46">
      <c r="A12" s="44" t="str">
        <v>SKU-1004</v>
      </c>
      <c r="B12" s="45" t="str" cm="1">
        <f t="array" ref="B12:D12">_xlfn.XLOOKUP($A12,_xlfn.ANCHORARRAY('Monte Carlo IO (4)'!$A$12), 'Monte Carlo IO (4)'!$B$12:$D$53,,0)</f>
        <v>USB-C Hub</v>
      </c>
      <c r="C12" s="45" t="str">
        <v>Electronics</v>
      </c>
      <c r="D12" s="45" t="str">
        <v>Hold</v>
      </c>
      <c r="E12" s="46" cm="1">
        <f t="array" ref="E12:K12">_xlfn.XLOOKUP($A12,_xlfn.ANCHORARRAY('Monte Carlo IO (4)'!$A$12), 'Monte Carlo IO (4)'!$F$12:$L$53)</f>
        <v>18.39</v>
      </c>
      <c r="F12" s="46">
        <v>8.26</v>
      </c>
      <c r="G12" s="45">
        <v>17</v>
      </c>
      <c r="H12" s="46">
        <v>312.63</v>
      </c>
      <c r="I12" s="46">
        <v>140.41999999999999</v>
      </c>
      <c r="J12" s="46">
        <v>172.21</v>
      </c>
      <c r="K12" s="47">
        <v>0.55084284937466022</v>
      </c>
      <c r="L12" s="46" cm="1">
        <f t="array" ref="L12:AT12">_xlfn.XLOOKUP($A12,_xlfn.ANCHORARRAY('Monte Carlo IO (4)'!$A$12), 'Monte Carlo IO (4)'!$M$12:$AU$53)</f>
        <v>20.325621653116809</v>
      </c>
      <c r="M12" s="46">
        <v>1.935621653116808</v>
      </c>
      <c r="N12" s="47">
        <v>0.10525403225213746</v>
      </c>
      <c r="O12" s="46">
        <v>12.579946449868942</v>
      </c>
      <c r="P12" s="46">
        <v>20.839946449868961</v>
      </c>
      <c r="Q12" s="45">
        <v>9</v>
      </c>
      <c r="R12" s="48">
        <v>68.467576729791105</v>
      </c>
      <c r="S12" s="47">
        <v>0.25195320163668511</v>
      </c>
      <c r="T12" s="46">
        <v>6058.7500000000009</v>
      </c>
      <c r="U12" s="46">
        <v>1216.0706729565338</v>
      </c>
      <c r="V12" s="47">
        <v>0.55555555555555558</v>
      </c>
      <c r="W12" s="47">
        <v>0.1111111111111111</v>
      </c>
      <c r="X12" s="47">
        <v>0.33333333333333331</v>
      </c>
      <c r="Y12" s="47">
        <v>0</v>
      </c>
      <c r="Z12" s="45" t="str">
        <v>Critical</v>
      </c>
      <c r="AA12" s="46">
        <v>19.551372991870085</v>
      </c>
      <c r="AB12" s="46">
        <v>1.1613729918700848</v>
      </c>
      <c r="AC12" s="47">
        <v>6.3152419351282477E-2</v>
      </c>
      <c r="AD12" s="47">
        <v>-2.5260967740512993E-2</v>
      </c>
      <c r="AE12" s="45">
        <v>17.025260967740515</v>
      </c>
      <c r="AF12" s="46">
        <v>323.97726862047523</v>
      </c>
      <c r="AG12" s="46">
        <v>11.347268620475234</v>
      </c>
      <c r="AH12" s="47">
        <v>3.62961603828015E-2</v>
      </c>
      <c r="AI12" s="46">
        <v>901.65782085153762</v>
      </c>
      <c r="AJ12" s="46">
        <v>761.23782085153766</v>
      </c>
      <c r="AK12" s="47">
        <v>5.4211495574101818</v>
      </c>
      <c r="AL12" s="46">
        <v>187.10441371059807</v>
      </c>
      <c r="AM12" s="46">
        <v>14.894413710598059</v>
      </c>
      <c r="AN12" s="47">
        <v>8.6489830501121065E-2</v>
      </c>
      <c r="AO12" s="47">
        <v>0.57752327657834057</v>
      </c>
      <c r="AP12" s="47">
        <v>2.6680427203680357E-2</v>
      </c>
      <c r="AQ12" s="47">
        <v>2.6680427203680357E-2</v>
      </c>
      <c r="AR12" s="46">
        <v>375.63071897990716</v>
      </c>
      <c r="AS12" s="46">
        <v>563.44607846986059</v>
      </c>
      <c r="AT12" s="49">
        <v>0.66666666666666685</v>
      </c>
    </row>
    <row r="13" spans="1:46">
      <c r="A13" s="44" t="str">
        <v>SKU-1006</v>
      </c>
      <c r="B13" s="45" t="str" cm="1">
        <f t="array" ref="B13:D13">_xlfn.XLOOKUP($A13,_xlfn.ANCHORARRAY('Monte Carlo IO (4)'!$A$12), 'Monte Carlo IO (4)'!$B$12:$D$53,,0)</f>
        <v>Mechanical Keyboard</v>
      </c>
      <c r="C13" s="45" t="str">
        <v>Electronics</v>
      </c>
      <c r="D13" s="45" t="str">
        <v>Hold</v>
      </c>
      <c r="E13" s="46" cm="1">
        <f t="array" ref="E13:K13">_xlfn.XLOOKUP($A13,_xlfn.ANCHORARRAY('Monte Carlo IO (4)'!$A$12), 'Monte Carlo IO (4)'!$F$12:$L$53)</f>
        <v>113.18</v>
      </c>
      <c r="F13" s="46">
        <v>39.01</v>
      </c>
      <c r="G13" s="45">
        <v>24</v>
      </c>
      <c r="H13" s="46">
        <v>2716.32</v>
      </c>
      <c r="I13" s="46">
        <v>936.24</v>
      </c>
      <c r="J13" s="46">
        <v>1780.0800000000002</v>
      </c>
      <c r="K13" s="47">
        <v>0.65532779643046479</v>
      </c>
      <c r="L13" s="46" cm="1">
        <f t="array" ref="L13:AT13">_xlfn.XLOOKUP($A13,_xlfn.ANCHORARRAY('Monte Carlo IO (4)'!$A$12), 'Monte Carlo IO (4)'!$M$12:$AU$53)</f>
        <v>122.07351223831479</v>
      </c>
      <c r="M13" s="46">
        <v>8.8935122383147842</v>
      </c>
      <c r="N13" s="47">
        <v>7.8578478868305213E-2</v>
      </c>
      <c r="O13" s="46">
        <v>91.370781481239646</v>
      </c>
      <c r="P13" s="46">
        <v>130.38078148123941</v>
      </c>
      <c r="Q13" s="45">
        <v>10</v>
      </c>
      <c r="R13" s="48">
        <v>63.379342377199613</v>
      </c>
      <c r="S13" s="47">
        <v>0.19532650064710491</v>
      </c>
      <c r="T13" s="46">
        <v>8331.7199999999993</v>
      </c>
      <c r="U13" s="46">
        <v>1378.1368137193899</v>
      </c>
      <c r="V13" s="47">
        <v>0.4</v>
      </c>
      <c r="W13" s="47">
        <v>0.3</v>
      </c>
      <c r="X13" s="47">
        <v>0.2</v>
      </c>
      <c r="Y13" s="47">
        <v>0.1</v>
      </c>
      <c r="Z13" s="45" t="str">
        <v>Critical</v>
      </c>
      <c r="AA13" s="46">
        <v>118.51610734298887</v>
      </c>
      <c r="AB13" s="46">
        <v>5.3361073429888677</v>
      </c>
      <c r="AC13" s="47">
        <v>4.7147087320983098E-2</v>
      </c>
      <c r="AD13" s="47">
        <v>-1.8858834928393242E-2</v>
      </c>
      <c r="AE13" s="45">
        <v>24.018858834928395</v>
      </c>
      <c r="AF13" s="46">
        <v>2790.7447593180414</v>
      </c>
      <c r="AG13" s="46">
        <v>74.424759318041197</v>
      </c>
      <c r="AH13" s="47">
        <v>2.7399113255448988E-2</v>
      </c>
      <c r="AI13" s="46">
        <v>1272.0387638978077</v>
      </c>
      <c r="AJ13" s="46">
        <v>335.7987638978077</v>
      </c>
      <c r="AK13" s="47">
        <v>0.35866739713941692</v>
      </c>
      <c r="AL13" s="46">
        <v>1872.1611549314002</v>
      </c>
      <c r="AM13" s="46">
        <v>92.081154931400079</v>
      </c>
      <c r="AN13" s="47">
        <v>5.1728661032874969E-2</v>
      </c>
      <c r="AO13" s="47">
        <v>0.6708464286031266</v>
      </c>
      <c r="AP13" s="47">
        <v>1.5518632172661806E-2</v>
      </c>
      <c r="AQ13" s="47">
        <v>1.5518632172661806E-2</v>
      </c>
      <c r="AR13" s="46">
        <v>396.9034023511847</v>
      </c>
      <c r="AS13" s="46">
        <v>595.35510352677613</v>
      </c>
      <c r="AT13" s="49">
        <v>0.66666666666666774</v>
      </c>
    </row>
    <row r="14" spans="1:46">
      <c r="A14" s="44" t="str">
        <v>SKU-1009</v>
      </c>
      <c r="B14" s="45" t="str" cm="1">
        <f t="array" ref="B14:D14">_xlfn.XLOOKUP($A14,_xlfn.ANCHORARRAY('Monte Carlo IO (4)'!$A$12), 'Monte Carlo IO (4)'!$B$12:$D$53,,0)</f>
        <v>Phone Stand</v>
      </c>
      <c r="C14" s="45" t="str">
        <v>Electronics</v>
      </c>
      <c r="D14" s="45" t="str">
        <v>Raise</v>
      </c>
      <c r="E14" s="46" cm="1">
        <f t="array" ref="E14:K14">_xlfn.XLOOKUP($A14,_xlfn.ANCHORARRAY('Monte Carlo IO (4)'!$A$12), 'Monte Carlo IO (4)'!$F$12:$L$53)</f>
        <v>177.91</v>
      </c>
      <c r="F14" s="46">
        <v>73.489999999999995</v>
      </c>
      <c r="G14" s="45">
        <v>36</v>
      </c>
      <c r="H14" s="46">
        <v>6404.76</v>
      </c>
      <c r="I14" s="46">
        <v>2645.64</v>
      </c>
      <c r="J14" s="46">
        <v>3759.1200000000003</v>
      </c>
      <c r="K14" s="47">
        <v>0.58692597380698108</v>
      </c>
      <c r="L14" s="46" cm="1">
        <f t="array" ref="L14:AT14">_xlfn.XLOOKUP($A14,_xlfn.ANCHORARRAY('Monte Carlo IO (4)'!$A$12), 'Monte Carlo IO (4)'!$M$12:$AU$53)</f>
        <v>210.36242056011631</v>
      </c>
      <c r="M14" s="46">
        <v>32.452420560116309</v>
      </c>
      <c r="N14" s="47">
        <v>0.18240919880904002</v>
      </c>
      <c r="O14" s="46">
        <v>2118.3198784838378</v>
      </c>
      <c r="P14" s="46">
        <v>2338.7898784838376</v>
      </c>
      <c r="Q14" s="45">
        <v>12</v>
      </c>
      <c r="R14" s="48">
        <v>72.583715875473729</v>
      </c>
      <c r="S14" s="47">
        <v>0.24760819868499095</v>
      </c>
      <c r="T14" s="46">
        <v>9553.98</v>
      </c>
      <c r="U14" s="46">
        <v>1987.17375700722</v>
      </c>
      <c r="V14" s="47">
        <v>0.58333333333333337</v>
      </c>
      <c r="W14" s="47">
        <v>0.33333333333333331</v>
      </c>
      <c r="X14" s="47">
        <v>8.3333333333333329E-2</v>
      </c>
      <c r="Y14" s="47">
        <v>0</v>
      </c>
      <c r="Z14" s="45" t="str">
        <v>Critical</v>
      </c>
      <c r="AA14" s="46">
        <v>197.38145233606977</v>
      </c>
      <c r="AB14" s="46">
        <v>19.471452336069774</v>
      </c>
      <c r="AC14" s="47">
        <v>0.10944551928542395</v>
      </c>
      <c r="AD14" s="47">
        <v>-4.3778207714169584E-2</v>
      </c>
      <c r="AE14" s="45">
        <v>36.043778207714169</v>
      </c>
      <c r="AF14" s="46">
        <v>6794.6560602039663</v>
      </c>
      <c r="AG14" s="46">
        <v>389.89606020396604</v>
      </c>
      <c r="AH14" s="47">
        <v>6.087598289459184E-2</v>
      </c>
      <c r="AI14" s="46">
        <v>1908.8784938805425</v>
      </c>
      <c r="AJ14" s="46">
        <v>-736.76150611945741</v>
      </c>
      <c r="AK14" s="47">
        <v>-0.27848139055935706</v>
      </c>
      <c r="AL14" s="46">
        <v>4264.8374376608826</v>
      </c>
      <c r="AM14" s="46">
        <v>505.7174376608823</v>
      </c>
      <c r="AN14" s="47">
        <v>0.13453080445978907</v>
      </c>
      <c r="AO14" s="47">
        <v>0.62767524947139974</v>
      </c>
      <c r="AP14" s="47">
        <v>4.074927566441866E-2</v>
      </c>
      <c r="AQ14" s="47">
        <v>4.074927566441866E-2</v>
      </c>
      <c r="AR14" s="46">
        <v>688.88690242917028</v>
      </c>
      <c r="AS14" s="46">
        <v>1033.3303536437538</v>
      </c>
      <c r="AT14" s="49">
        <v>0.66666666666666774</v>
      </c>
    </row>
    <row r="15" spans="1:46">
      <c r="A15" s="44" t="str">
        <v>SKU-1010</v>
      </c>
      <c r="B15" s="45" t="str" cm="1">
        <f t="array" ref="B15:D15">_xlfn.XLOOKUP($A15,_xlfn.ANCHORARRAY('Monte Carlo IO (4)'!$A$12), 'Monte Carlo IO (4)'!$B$12:$D$53,,0)</f>
        <v>Slim Fit Jeans</v>
      </c>
      <c r="C15" s="45" t="str">
        <v>Apparel</v>
      </c>
      <c r="D15" s="45" t="str">
        <v>Raise</v>
      </c>
      <c r="E15" s="46" cm="1">
        <f t="array" ref="E15:K15">_xlfn.XLOOKUP($A15,_xlfn.ANCHORARRAY('Monte Carlo IO (4)'!$A$12), 'Monte Carlo IO (4)'!$F$12:$L$53)</f>
        <v>45.86</v>
      </c>
      <c r="F15" s="46">
        <v>24.87</v>
      </c>
      <c r="G15" s="45">
        <v>42</v>
      </c>
      <c r="H15" s="46">
        <v>1926.12</v>
      </c>
      <c r="I15" s="46">
        <v>1044.54</v>
      </c>
      <c r="J15" s="46">
        <v>881.57999999999993</v>
      </c>
      <c r="K15" s="47">
        <v>0.45769733972961185</v>
      </c>
      <c r="L15" s="46" cm="1">
        <f t="array" ref="L15:AT15">_xlfn.XLOOKUP($A15,_xlfn.ANCHORARRAY('Monte Carlo IO (4)'!$A$12), 'Monte Carlo IO (4)'!$M$12:$AU$53)</f>
        <v>57.591701553971269</v>
      </c>
      <c r="M15" s="46">
        <v>11.73170155397127</v>
      </c>
      <c r="N15" s="47">
        <v>0.25581555939754186</v>
      </c>
      <c r="O15" s="46">
        <v>713.86465905090859</v>
      </c>
      <c r="P15" s="46">
        <v>813.3446590509086</v>
      </c>
      <c r="Q15" s="45">
        <v>17</v>
      </c>
      <c r="R15" s="48">
        <v>81.368042561098989</v>
      </c>
      <c r="S15" s="47">
        <v>0.36473223781720471</v>
      </c>
      <c r="T15" s="46">
        <v>5696.8899999999994</v>
      </c>
      <c r="U15" s="46">
        <v>1838.4436548864205</v>
      </c>
      <c r="V15" s="47">
        <v>0.70588235294117652</v>
      </c>
      <c r="W15" s="47">
        <v>0.23529411764705882</v>
      </c>
      <c r="X15" s="47">
        <v>5.8823529411764705E-2</v>
      </c>
      <c r="Y15" s="47">
        <v>0</v>
      </c>
      <c r="Z15" s="45" t="str">
        <v>Critical</v>
      </c>
      <c r="AA15" s="46">
        <v>52.899020932382761</v>
      </c>
      <c r="AB15" s="46">
        <v>7.0390209323827619</v>
      </c>
      <c r="AC15" s="47">
        <v>0.15348933563852513</v>
      </c>
      <c r="AD15" s="47">
        <v>-6.1395734255410055E-2</v>
      </c>
      <c r="AE15" s="45">
        <v>42.061395734255413</v>
      </c>
      <c r="AF15" s="46">
        <v>2085.3523614355663</v>
      </c>
      <c r="AG15" s="46">
        <v>159.23236143556642</v>
      </c>
      <c r="AH15" s="47">
        <v>8.2670010921212816E-2</v>
      </c>
      <c r="AI15" s="46">
        <v>2227.5715180861666</v>
      </c>
      <c r="AJ15" s="46">
        <v>1183.0315180861667</v>
      </c>
      <c r="AK15" s="47">
        <v>1.1325861317768269</v>
      </c>
      <c r="AL15" s="46">
        <v>1104.9426616947121</v>
      </c>
      <c r="AM15" s="46">
        <v>223.36266169471219</v>
      </c>
      <c r="AN15" s="47">
        <v>0.25336629879842126</v>
      </c>
      <c r="AO15" s="47">
        <v>0.52985897353772116</v>
      </c>
      <c r="AP15" s="47">
        <v>7.2161633808109304E-2</v>
      </c>
      <c r="AQ15" s="47">
        <v>7.2161633808109304E-2</v>
      </c>
      <c r="AR15" s="46">
        <v>666.16546553531475</v>
      </c>
      <c r="AS15" s="46">
        <v>999.24819830297201</v>
      </c>
      <c r="AT15" s="49">
        <v>0.66666666666666674</v>
      </c>
    </row>
    <row r="16" spans="1:46">
      <c r="A16" s="44" t="str">
        <v>SKU-1011</v>
      </c>
      <c r="B16" s="45" t="str" cm="1">
        <f t="array" ref="B16:D16">_xlfn.XLOOKUP($A16,_xlfn.ANCHORARRAY('Monte Carlo IO (4)'!$A$12), 'Monte Carlo IO (4)'!$B$12:$D$53,,0)</f>
        <v>Graphic Tee</v>
      </c>
      <c r="C16" s="45" t="str">
        <v>Apparel</v>
      </c>
      <c r="D16" s="45" t="str">
        <v>Raise</v>
      </c>
      <c r="E16" s="46" cm="1">
        <f t="array" ref="E16:K16">_xlfn.XLOOKUP($A16,_xlfn.ANCHORARRAY('Monte Carlo IO (4)'!$A$12), 'Monte Carlo IO (4)'!$F$12:$L$53)</f>
        <v>67.56</v>
      </c>
      <c r="F16" s="46">
        <v>43.21</v>
      </c>
      <c r="G16" s="45">
        <v>22</v>
      </c>
      <c r="H16" s="46">
        <v>1486.3200000000002</v>
      </c>
      <c r="I16" s="46">
        <v>950.62</v>
      </c>
      <c r="J16" s="46">
        <v>535.70000000000016</v>
      </c>
      <c r="K16" s="47">
        <v>0.36042036708111314</v>
      </c>
      <c r="L16" s="46" cm="1">
        <f t="array" ref="L16:AT16">_xlfn.XLOOKUP($A16,_xlfn.ANCHORARRAY('Monte Carlo IO (4)'!$A$12), 'Monte Carlo IO (4)'!$M$12:$AU$53)</f>
        <v>74.848492484947073</v>
      </c>
      <c r="M16" s="46">
        <v>7.2884924849470707</v>
      </c>
      <c r="N16" s="47">
        <v>0.10788177153562864</v>
      </c>
      <c r="O16" s="46">
        <v>85.498342183888553</v>
      </c>
      <c r="P16" s="46">
        <v>128.7083421838887</v>
      </c>
      <c r="Q16" s="45">
        <v>10</v>
      </c>
      <c r="R16" s="48">
        <v>66.151439602997598</v>
      </c>
      <c r="S16" s="47">
        <v>0.25273448132010606</v>
      </c>
      <c r="T16" s="46">
        <v>5893.09</v>
      </c>
      <c r="U16" s="46">
        <v>1511.5432138179046</v>
      </c>
      <c r="V16" s="47">
        <v>0.4</v>
      </c>
      <c r="W16" s="47">
        <v>0.2</v>
      </c>
      <c r="X16" s="47">
        <v>0.4</v>
      </c>
      <c r="Y16" s="47">
        <v>0</v>
      </c>
      <c r="Z16" s="45" t="str">
        <v>Critical</v>
      </c>
      <c r="AA16" s="46">
        <v>71.933095490968242</v>
      </c>
      <c r="AB16" s="46">
        <v>4.3730954909682396</v>
      </c>
      <c r="AC16" s="47">
        <v>6.4729062921377131E-2</v>
      </c>
      <c r="AD16" s="47">
        <v>-2.5891625168550855E-2</v>
      </c>
      <c r="AE16" s="45">
        <v>22.025891625168551</v>
      </c>
      <c r="AF16" s="46">
        <v>1541.5538763966556</v>
      </c>
      <c r="AG16" s="46">
        <v>55.233876396655432</v>
      </c>
      <c r="AH16" s="47">
        <v>3.7161497118154523E-2</v>
      </c>
      <c r="AI16" s="46">
        <v>1166.4912204689265</v>
      </c>
      <c r="AJ16" s="46">
        <v>215.87122046892648</v>
      </c>
      <c r="AK16" s="47">
        <v>0.22708466103061842</v>
      </c>
      <c r="AL16" s="46">
        <v>615.54697311438326</v>
      </c>
      <c r="AM16" s="46">
        <v>79.846973114383104</v>
      </c>
      <c r="AN16" s="47">
        <v>0.14905165785772462</v>
      </c>
      <c r="AO16" s="47">
        <v>0.39930292579407556</v>
      </c>
      <c r="AP16" s="47">
        <v>3.8882558712962423E-2</v>
      </c>
      <c r="AQ16" s="47">
        <v>3.8882558712962423E-2</v>
      </c>
      <c r="AR16" s="46">
        <v>429.27827272428533</v>
      </c>
      <c r="AS16" s="46">
        <v>643.91740908642703</v>
      </c>
      <c r="AT16" s="49">
        <v>0.66666666666666763</v>
      </c>
    </row>
    <row r="17" spans="1:46">
      <c r="A17" s="44" t="str">
        <v>SKU-1014</v>
      </c>
      <c r="B17" s="45" t="str" cm="1">
        <f t="array" ref="B17:D17">_xlfn.XLOOKUP($A17,_xlfn.ANCHORARRAY('Monte Carlo IO (4)'!$A$12), 'Monte Carlo IO (4)'!$B$12:$D$53,,0)</f>
        <v>Wool Sweater</v>
      </c>
      <c r="C17" s="45" t="str">
        <v>Apparel</v>
      </c>
      <c r="D17" s="45" t="str">
        <v>Raise</v>
      </c>
      <c r="E17" s="46" cm="1">
        <f t="array" ref="E17:K17">_xlfn.XLOOKUP($A17,_xlfn.ANCHORARRAY('Monte Carlo IO (4)'!$A$12), 'Monte Carlo IO (4)'!$F$12:$L$53)</f>
        <v>143.80000000000001</v>
      </c>
      <c r="F17" s="46">
        <v>62.15</v>
      </c>
      <c r="G17" s="45">
        <v>29</v>
      </c>
      <c r="H17" s="46">
        <v>4170.2000000000007</v>
      </c>
      <c r="I17" s="46">
        <v>1802.35</v>
      </c>
      <c r="J17" s="46">
        <v>2367.8500000000008</v>
      </c>
      <c r="K17" s="47">
        <v>0.56780250347705152</v>
      </c>
      <c r="L17" s="46" cm="1">
        <f t="array" ref="L17:AT17">_xlfn.XLOOKUP($A17,_xlfn.ANCHORARRAY('Monte Carlo IO (4)'!$A$12), 'Monte Carlo IO (4)'!$M$12:$AU$53)</f>
        <v>176.09452849869206</v>
      </c>
      <c r="M17" s="46">
        <v>32.294528498692046</v>
      </c>
      <c r="N17" s="47">
        <v>0.22457947495613381</v>
      </c>
      <c r="O17" s="46">
        <v>408.25774096599343</v>
      </c>
      <c r="P17" s="46">
        <v>594.70774096599325</v>
      </c>
      <c r="Q17" s="45">
        <v>10</v>
      </c>
      <c r="R17" s="48">
        <v>75.76755153998532</v>
      </c>
      <c r="S17" s="47">
        <v>0.28614482209176356</v>
      </c>
      <c r="T17" s="46">
        <v>4045.5299999999997</v>
      </c>
      <c r="U17" s="46">
        <v>1207.1798191480714</v>
      </c>
      <c r="V17" s="47">
        <v>0.5</v>
      </c>
      <c r="W17" s="47">
        <v>0.5</v>
      </c>
      <c r="X17" s="47">
        <v>0</v>
      </c>
      <c r="Y17" s="47">
        <v>0</v>
      </c>
      <c r="Z17" s="45" t="str">
        <v>Critical</v>
      </c>
      <c r="AA17" s="46">
        <v>163.17671709921524</v>
      </c>
      <c r="AB17" s="46">
        <v>19.376717099215227</v>
      </c>
      <c r="AC17" s="47">
        <v>0.13474768497368028</v>
      </c>
      <c r="AD17" s="47">
        <v>-5.3899073989472114E-2</v>
      </c>
      <c r="AE17" s="45">
        <v>29.053899073989474</v>
      </c>
      <c r="AF17" s="46">
        <v>4477.0676513768385</v>
      </c>
      <c r="AG17" s="46">
        <v>306.86765137683778</v>
      </c>
      <c r="AH17" s="47">
        <v>7.3585835541901526E-2</v>
      </c>
      <c r="AI17" s="46">
        <v>1538.6944949584824</v>
      </c>
      <c r="AJ17" s="46">
        <v>-263.65550504151747</v>
      </c>
      <c r="AK17" s="47">
        <v>-0.14628429830028433</v>
      </c>
      <c r="AL17" s="46">
        <v>2771.8626473817635</v>
      </c>
      <c r="AM17" s="46">
        <v>404.01264738176269</v>
      </c>
      <c r="AN17" s="47">
        <v>0.17062425718764387</v>
      </c>
      <c r="AO17" s="47">
        <v>0.61912458404092441</v>
      </c>
      <c r="AP17" s="47">
        <v>5.1322080563872885E-2</v>
      </c>
      <c r="AQ17" s="47">
        <v>5.1322080563872885E-2</v>
      </c>
      <c r="AR17" s="46">
        <v>422.51293670182497</v>
      </c>
      <c r="AS17" s="46">
        <v>633.7694050527374</v>
      </c>
      <c r="AT17" s="49">
        <v>0.66666666666666674</v>
      </c>
    </row>
    <row r="18" spans="1:46">
      <c r="A18" s="44" t="str">
        <v>SKU-1019</v>
      </c>
      <c r="B18" s="45" t="str" cm="1">
        <f t="array" ref="B18:D18">_xlfn.XLOOKUP($A18,_xlfn.ANCHORARRAY('Monte Carlo IO (4)'!$A$12), 'Monte Carlo IO (4)'!$B$12:$D$53,,0)</f>
        <v>Canvas Tote Bag</v>
      </c>
      <c r="C18" s="45" t="str">
        <v>Apparel</v>
      </c>
      <c r="D18" s="45" t="str">
        <v>Raise</v>
      </c>
      <c r="E18" s="46" cm="1">
        <f t="array" ref="E18:K18">_xlfn.XLOOKUP($A18,_xlfn.ANCHORARRAY('Monte Carlo IO (4)'!$A$12), 'Monte Carlo IO (4)'!$F$12:$L$53)</f>
        <v>160.35</v>
      </c>
      <c r="F18" s="46">
        <v>72.47</v>
      </c>
      <c r="G18" s="45">
        <v>36</v>
      </c>
      <c r="H18" s="46">
        <v>5772.5999999999995</v>
      </c>
      <c r="I18" s="46">
        <v>2608.92</v>
      </c>
      <c r="J18" s="46">
        <v>3163.6799999999994</v>
      </c>
      <c r="K18" s="47">
        <v>0.54805113813532891</v>
      </c>
      <c r="L18" s="46" cm="1">
        <f t="array" ref="L18:AT18">_xlfn.XLOOKUP($A18,_xlfn.ANCHORARRAY('Monte Carlo IO (4)'!$A$12), 'Monte Carlo IO (4)'!$M$12:$AU$53)</f>
        <v>182.28730909948831</v>
      </c>
      <c r="M18" s="46">
        <v>21.937309099488317</v>
      </c>
      <c r="N18" s="47">
        <v>0.13680891237597953</v>
      </c>
      <c r="O18" s="46">
        <v>425.16850938260268</v>
      </c>
      <c r="P18" s="46">
        <v>570.10850938260273</v>
      </c>
      <c r="Q18" s="45">
        <v>12</v>
      </c>
      <c r="R18" s="48">
        <v>69.769541493538881</v>
      </c>
      <c r="S18" s="47">
        <v>0.28227914447027186</v>
      </c>
      <c r="T18" s="46">
        <v>5455.85</v>
      </c>
      <c r="U18" s="46">
        <v>1437.4209803104648</v>
      </c>
      <c r="V18" s="47">
        <v>0.41666666666666669</v>
      </c>
      <c r="W18" s="47">
        <v>0.41666666666666669</v>
      </c>
      <c r="X18" s="47">
        <v>0.16666666666666666</v>
      </c>
      <c r="Y18" s="47">
        <v>0</v>
      </c>
      <c r="Z18" s="45" t="str">
        <v>Critical</v>
      </c>
      <c r="AA18" s="46">
        <v>173.51238545969298</v>
      </c>
      <c r="AB18" s="46">
        <v>13.162385459692985</v>
      </c>
      <c r="AC18" s="47">
        <v>8.2085347425587679E-2</v>
      </c>
      <c r="AD18" s="47">
        <v>-3.2834138970235072E-2</v>
      </c>
      <c r="AE18" s="45">
        <v>36.032834138970237</v>
      </c>
      <c r="AF18" s="46">
        <v>6041.349204568287</v>
      </c>
      <c r="AG18" s="46">
        <v>268.7492045682875</v>
      </c>
      <c r="AH18" s="47">
        <v>4.655600675056084E-2</v>
      </c>
      <c r="AI18" s="46">
        <v>1908.2988959998638</v>
      </c>
      <c r="AJ18" s="46">
        <v>-700.62110400013626</v>
      </c>
      <c r="AK18" s="47">
        <v>-0.26854832804384043</v>
      </c>
      <c r="AL18" s="46">
        <v>3518.0908464105128</v>
      </c>
      <c r="AM18" s="46">
        <v>354.41084641051339</v>
      </c>
      <c r="AN18" s="47">
        <v>0.11202487179819497</v>
      </c>
      <c r="AO18" s="47">
        <v>0.582335290890028</v>
      </c>
      <c r="AP18" s="47">
        <v>3.4284152754699093E-2</v>
      </c>
      <c r="AQ18" s="47">
        <v>3.4284152754699093E-2</v>
      </c>
      <c r="AR18" s="46">
        <v>457.57901206549826</v>
      </c>
      <c r="AS18" s="46">
        <v>686.36851809824657</v>
      </c>
      <c r="AT18" s="49">
        <v>0.66666666666666752</v>
      </c>
    </row>
    <row r="19" spans="1:46">
      <c r="A19" s="44" t="str">
        <v>SKU-1021</v>
      </c>
      <c r="B19" s="45" t="str" cm="1">
        <f t="array" ref="B19:D19">_xlfn.XLOOKUP($A19,_xlfn.ANCHORARRAY('Monte Carlo IO (4)'!$A$12), 'Monte Carlo IO (4)'!$B$12:$D$53,,0)</f>
        <v>Air Fryer</v>
      </c>
      <c r="C19" s="45" t="str">
        <v>Home &amp; Kitchen</v>
      </c>
      <c r="D19" s="45" t="str">
        <v>Raise</v>
      </c>
      <c r="E19" s="46" cm="1">
        <f t="array" ref="E19:K19">_xlfn.XLOOKUP($A19,_xlfn.ANCHORARRAY('Monte Carlo IO (4)'!$A$12), 'Monte Carlo IO (4)'!$F$12:$L$53)</f>
        <v>98.51</v>
      </c>
      <c r="F19" s="46">
        <v>55.17</v>
      </c>
      <c r="G19" s="45">
        <v>34</v>
      </c>
      <c r="H19" s="46">
        <v>3349.34</v>
      </c>
      <c r="I19" s="46">
        <v>1875.78</v>
      </c>
      <c r="J19" s="46">
        <v>1473.5600000000002</v>
      </c>
      <c r="K19" s="47">
        <v>0.4399553344838088</v>
      </c>
      <c r="L19" s="46" cm="1">
        <f t="array" ref="L19:AT19">_xlfn.XLOOKUP($A19,_xlfn.ANCHORARRAY('Monte Carlo IO (4)'!$A$12), 'Monte Carlo IO (4)'!$M$12:$AU$53)</f>
        <v>115.63152012124601</v>
      </c>
      <c r="M19" s="46">
        <v>17.121520121246007</v>
      </c>
      <c r="N19" s="47">
        <v>0.17380489413507264</v>
      </c>
      <c r="O19" s="46">
        <v>350.86864387987225</v>
      </c>
      <c r="P19" s="46">
        <v>461.20864387987217</v>
      </c>
      <c r="Q19" s="45">
        <v>13</v>
      </c>
      <c r="R19" s="48">
        <v>67.896640710337792</v>
      </c>
      <c r="S19" s="47">
        <v>0.21903189784736954</v>
      </c>
      <c r="T19" s="46">
        <v>7864.8700000000008</v>
      </c>
      <c r="U19" s="46">
        <v>1821.0803839968587</v>
      </c>
      <c r="V19" s="47">
        <v>0.46153846153846156</v>
      </c>
      <c r="W19" s="47">
        <v>0.38461538461538464</v>
      </c>
      <c r="X19" s="47">
        <v>0.15384615384615385</v>
      </c>
      <c r="Y19" s="47">
        <v>0</v>
      </c>
      <c r="Z19" s="45" t="str">
        <v>Critical</v>
      </c>
      <c r="AA19" s="46">
        <v>108.78291207274761</v>
      </c>
      <c r="AB19" s="46">
        <v>10.272912072747602</v>
      </c>
      <c r="AC19" s="47">
        <v>0.10428293648104356</v>
      </c>
      <c r="AD19" s="47">
        <v>-4.1713174592417426E-2</v>
      </c>
      <c r="AE19" s="45">
        <v>34.041713174592417</v>
      </c>
      <c r="AF19" s="46">
        <v>3544.3378699387067</v>
      </c>
      <c r="AG19" s="46">
        <v>194.99786993870657</v>
      </c>
      <c r="AH19" s="47">
        <v>5.8219789552182391E-2</v>
      </c>
      <c r="AI19" s="46">
        <v>1802.8491297264145</v>
      </c>
      <c r="AJ19" s="46">
        <v>-72.930870273585469</v>
      </c>
      <c r="AK19" s="47">
        <v>-3.8880289945295007E-2</v>
      </c>
      <c r="AL19" s="46">
        <v>1746.8026085756715</v>
      </c>
      <c r="AM19" s="46">
        <v>273.24260857567128</v>
      </c>
      <c r="AN19" s="47">
        <v>0.1854302563693852</v>
      </c>
      <c r="AO19" s="47">
        <v>0.49284314099713056</v>
      </c>
      <c r="AP19" s="47">
        <v>5.2887806513321756E-2</v>
      </c>
      <c r="AQ19" s="47">
        <v>5.2887806513321756E-2</v>
      </c>
      <c r="AR19" s="46">
        <v>591.15070926667283</v>
      </c>
      <c r="AS19" s="46">
        <v>886.72606390000863</v>
      </c>
      <c r="AT19" s="49">
        <v>0.66666666666666718</v>
      </c>
    </row>
    <row r="20" spans="1:46">
      <c r="A20" s="44" t="str">
        <v>SKU-1026</v>
      </c>
      <c r="B20" s="45" t="str" cm="1">
        <f t="array" ref="B20:D20">_xlfn.XLOOKUP($A20,_xlfn.ANCHORARRAY('Monte Carlo IO (4)'!$A$12), 'Monte Carlo IO (4)'!$B$12:$D$53,,0)</f>
        <v>Dish Rack</v>
      </c>
      <c r="C20" s="45" t="str">
        <v>Home &amp; Kitchen</v>
      </c>
      <c r="D20" s="45" t="str">
        <v>Raise</v>
      </c>
      <c r="E20" s="46" cm="1">
        <f t="array" ref="E20:K20">_xlfn.XLOOKUP($A20,_xlfn.ANCHORARRAY('Monte Carlo IO (4)'!$A$12), 'Monte Carlo IO (4)'!$F$12:$L$53)</f>
        <v>106.06</v>
      </c>
      <c r="F20" s="46">
        <v>33.42</v>
      </c>
      <c r="G20" s="45">
        <v>39</v>
      </c>
      <c r="H20" s="46">
        <v>4136.34</v>
      </c>
      <c r="I20" s="46">
        <v>1303.3800000000001</v>
      </c>
      <c r="J20" s="46">
        <v>2832.96</v>
      </c>
      <c r="K20" s="47">
        <v>0.68489534225909865</v>
      </c>
      <c r="L20" s="46" cm="1">
        <f t="array" ref="L20:AT20">_xlfn.XLOOKUP($A20,_xlfn.ANCHORARRAY('Monte Carlo IO (4)'!$A$12), 'Monte Carlo IO (4)'!$M$12:$AU$53)</f>
        <v>125.95982059079952</v>
      </c>
      <c r="M20" s="46">
        <v>19.899820590799521</v>
      </c>
      <c r="N20" s="47">
        <v>0.18762795201583557</v>
      </c>
      <c r="O20" s="46">
        <v>398.21354126878305</v>
      </c>
      <c r="P20" s="46">
        <v>498.47354126878326</v>
      </c>
      <c r="Q20" s="45">
        <v>12</v>
      </c>
      <c r="R20" s="48">
        <v>83.640693880369497</v>
      </c>
      <c r="S20" s="47">
        <v>0.39945616218468216</v>
      </c>
      <c r="T20" s="46">
        <v>3203.34</v>
      </c>
      <c r="U20" s="46">
        <v>1061.3751512398956</v>
      </c>
      <c r="V20" s="47">
        <v>0.75</v>
      </c>
      <c r="W20" s="47">
        <v>0.16666666666666666</v>
      </c>
      <c r="X20" s="47">
        <v>8.3333333333333329E-2</v>
      </c>
      <c r="Y20" s="47">
        <v>0</v>
      </c>
      <c r="Z20" s="45" t="str">
        <v>Critical</v>
      </c>
      <c r="AA20" s="46">
        <v>117.99989235447971</v>
      </c>
      <c r="AB20" s="46">
        <v>11.93989235447971</v>
      </c>
      <c r="AC20" s="47">
        <v>0.11257677120950131</v>
      </c>
      <c r="AD20" s="47">
        <v>-4.503070848380053E-2</v>
      </c>
      <c r="AE20" s="45">
        <v>39.0450307084838</v>
      </c>
      <c r="AF20" s="46">
        <v>4394.7646704290664</v>
      </c>
      <c r="AG20" s="46">
        <v>258.42467042906628</v>
      </c>
      <c r="AH20" s="47">
        <v>6.247665095931821E-2</v>
      </c>
      <c r="AI20" s="46">
        <v>2067.8248263213022</v>
      </c>
      <c r="AJ20" s="46">
        <v>764.44482632130212</v>
      </c>
      <c r="AK20" s="47">
        <v>0.58650955693757922</v>
      </c>
      <c r="AL20" s="46">
        <v>3150.0767952526821</v>
      </c>
      <c r="AM20" s="46">
        <v>317.1167952526821</v>
      </c>
      <c r="AN20" s="47">
        <v>0.11193832431544466</v>
      </c>
      <c r="AO20" s="47">
        <v>0.71677940264891049</v>
      </c>
      <c r="AP20" s="47">
        <v>3.1884060389811841E-2</v>
      </c>
      <c r="AQ20" s="47">
        <v>3.1884060389811841E-2</v>
      </c>
      <c r="AR20" s="46">
        <v>385.63297161716218</v>
      </c>
      <c r="AS20" s="46">
        <v>578.44945742574293</v>
      </c>
      <c r="AT20" s="49">
        <v>0.66666666666666707</v>
      </c>
    </row>
    <row r="21" spans="1:46">
      <c r="A21" s="44" t="str">
        <v>SKU-1027</v>
      </c>
      <c r="B21" s="45" t="str" cm="1">
        <f t="array" ref="B21:D21">_xlfn.XLOOKUP($A21,_xlfn.ANCHORARRAY('Monte Carlo IO (4)'!$A$12), 'Monte Carlo IO (4)'!$B$12:$D$53,,0)</f>
        <v>Storage Bins</v>
      </c>
      <c r="C21" s="45" t="str">
        <v>Home &amp; Kitchen</v>
      </c>
      <c r="D21" s="45" t="str">
        <v>Raise</v>
      </c>
      <c r="E21" s="46" cm="1">
        <f t="array" ref="E21:K21">_xlfn.XLOOKUP($A21,_xlfn.ANCHORARRAY('Monte Carlo IO (4)'!$A$12), 'Monte Carlo IO (4)'!$F$12:$L$53)</f>
        <v>34.479999999999997</v>
      </c>
      <c r="F21" s="46">
        <v>19.239999999999998</v>
      </c>
      <c r="G21" s="45">
        <v>19</v>
      </c>
      <c r="H21" s="46">
        <v>655.11999999999989</v>
      </c>
      <c r="I21" s="46">
        <v>365.55999999999995</v>
      </c>
      <c r="J21" s="46">
        <v>289.55999999999995</v>
      </c>
      <c r="K21" s="47">
        <v>0.44199535962877029</v>
      </c>
      <c r="L21" s="46" cm="1">
        <f t="array" ref="L21:AT21">_xlfn.XLOOKUP($A21,_xlfn.ANCHORARRAY('Monte Carlo IO (4)'!$A$12), 'Monte Carlo IO (4)'!$M$12:$AU$53)</f>
        <v>36.908161919642779</v>
      </c>
      <c r="M21" s="46">
        <v>2.4281619196427826</v>
      </c>
      <c r="N21" s="47">
        <v>7.0422329455997176E-2</v>
      </c>
      <c r="O21" s="46">
        <v>9.2269145535701682</v>
      </c>
      <c r="P21" s="46">
        <v>28.46691455357012</v>
      </c>
      <c r="Q21" s="45">
        <v>7</v>
      </c>
      <c r="R21" s="48">
        <v>73.55832454483901</v>
      </c>
      <c r="S21" s="47">
        <v>0.22727841967734827</v>
      </c>
      <c r="T21" s="46">
        <v>2703.1299999999997</v>
      </c>
      <c r="U21" s="46">
        <v>804.52718410151249</v>
      </c>
      <c r="V21" s="47">
        <v>0.5714285714285714</v>
      </c>
      <c r="W21" s="47">
        <v>0.14285714285714285</v>
      </c>
      <c r="X21" s="47">
        <v>0.2857142857142857</v>
      </c>
      <c r="Y21" s="47">
        <v>0</v>
      </c>
      <c r="Z21" s="45" t="str">
        <v>Critical</v>
      </c>
      <c r="AA21" s="46">
        <v>35.936897151785665</v>
      </c>
      <c r="AB21" s="46">
        <v>1.4568971517856681</v>
      </c>
      <c r="AC21" s="47">
        <v>4.2253397673598266E-2</v>
      </c>
      <c r="AD21" s="47">
        <v>-1.6901359069439306E-2</v>
      </c>
      <c r="AE21" s="45">
        <v>19.01690135906944</v>
      </c>
      <c r="AF21" s="46">
        <v>671.26078023445461</v>
      </c>
      <c r="AG21" s="46">
        <v>16.140780234454724</v>
      </c>
      <c r="AH21" s="47">
        <v>2.4637898758173658E-2</v>
      </c>
      <c r="AI21" s="46">
        <v>1007.1350959763175</v>
      </c>
      <c r="AJ21" s="46">
        <v>641.57509597631758</v>
      </c>
      <c r="AK21" s="47">
        <v>1.7550473136456879</v>
      </c>
      <c r="AL21" s="46">
        <v>311.87924105587894</v>
      </c>
      <c r="AM21" s="46">
        <v>22.31924105587899</v>
      </c>
      <c r="AN21" s="47">
        <v>7.7079848928992251E-2</v>
      </c>
      <c r="AO21" s="47">
        <v>0.46461710595835393</v>
      </c>
      <c r="AP21" s="47">
        <v>2.2621746329583636E-2</v>
      </c>
      <c r="AQ21" s="47">
        <v>2.2621746329583636E-2</v>
      </c>
      <c r="AR21" s="46">
        <v>255.15004981505146</v>
      </c>
      <c r="AS21" s="46">
        <v>382.72507472257621</v>
      </c>
      <c r="AT21" s="49">
        <v>0.66666666666666841</v>
      </c>
    </row>
    <row r="22" spans="1:46">
      <c r="A22" s="44" t="str">
        <v>SKU-1029</v>
      </c>
      <c r="B22" s="45" t="str" cm="1">
        <f t="array" ref="B22:D22">_xlfn.XLOOKUP($A22,_xlfn.ANCHORARRAY('Monte Carlo IO (4)'!$A$12), 'Monte Carlo IO (4)'!$B$12:$D$53,,0)</f>
        <v>Scented Candle</v>
      </c>
      <c r="C22" s="45" t="str">
        <v>Home &amp; Kitchen</v>
      </c>
      <c r="D22" s="45" t="str">
        <v>Raise</v>
      </c>
      <c r="E22" s="46" cm="1">
        <f t="array" ref="E22:K22">_xlfn.XLOOKUP($A22,_xlfn.ANCHORARRAY('Monte Carlo IO (4)'!$A$12), 'Monte Carlo IO (4)'!$F$12:$L$53)</f>
        <v>148.11000000000001</v>
      </c>
      <c r="F22" s="46">
        <v>69.64</v>
      </c>
      <c r="G22" s="45">
        <v>27</v>
      </c>
      <c r="H22" s="46">
        <v>3998.9700000000003</v>
      </c>
      <c r="I22" s="46">
        <v>1880.28</v>
      </c>
      <c r="J22" s="46">
        <v>2118.6900000000005</v>
      </c>
      <c r="K22" s="47">
        <v>0.52980892579839323</v>
      </c>
      <c r="L22" s="46" cm="1">
        <f t="array" ref="L22:AT22">_xlfn.XLOOKUP($A22,_xlfn.ANCHORARRAY('Monte Carlo IO (4)'!$A$12), 'Monte Carlo IO (4)'!$M$12:$AU$53)</f>
        <v>164.85971574016031</v>
      </c>
      <c r="M22" s="46">
        <v>16.749715740160298</v>
      </c>
      <c r="N22" s="47">
        <v>0.1130897018443069</v>
      </c>
      <c r="O22" s="46">
        <v>917.56260924416802</v>
      </c>
      <c r="P22" s="46">
        <v>987.20260924416789</v>
      </c>
      <c r="Q22" s="45">
        <v>12</v>
      </c>
      <c r="R22" s="48">
        <v>67.0117400614769</v>
      </c>
      <c r="S22" s="47">
        <v>0.25894826805529225</v>
      </c>
      <c r="T22" s="46">
        <v>7071.97</v>
      </c>
      <c r="U22" s="46">
        <v>1774.9243566264481</v>
      </c>
      <c r="V22" s="47">
        <v>0.5</v>
      </c>
      <c r="W22" s="47">
        <v>8.3333333333333329E-2</v>
      </c>
      <c r="X22" s="47">
        <v>0.41666666666666669</v>
      </c>
      <c r="Y22" s="47">
        <v>0</v>
      </c>
      <c r="Z22" s="45" t="str">
        <v>Critical</v>
      </c>
      <c r="AA22" s="46">
        <v>157.82483512929298</v>
      </c>
      <c r="AB22" s="46">
        <v>9.7148351292929647</v>
      </c>
      <c r="AC22" s="47">
        <v>6.5592027069697953E-2</v>
      </c>
      <c r="AD22" s="47">
        <v>-2.6236810827879181E-2</v>
      </c>
      <c r="AE22" s="45">
        <v>27.026236810827879</v>
      </c>
      <c r="AF22" s="46">
        <v>4149.4683992237415</v>
      </c>
      <c r="AG22" s="46">
        <v>150.49839922374122</v>
      </c>
      <c r="AH22" s="47">
        <v>3.7634290635774011E-2</v>
      </c>
      <c r="AI22" s="46">
        <v>1431.3095015014444</v>
      </c>
      <c r="AJ22" s="46">
        <v>-448.97049849855557</v>
      </c>
      <c r="AK22" s="47">
        <v>-0.2387785321859274</v>
      </c>
      <c r="AL22" s="46">
        <v>2318.5209498871864</v>
      </c>
      <c r="AM22" s="46">
        <v>199.83094988718585</v>
      </c>
      <c r="AN22" s="47">
        <v>9.4318163528966395E-2</v>
      </c>
      <c r="AO22" s="47">
        <v>0.55875132108993086</v>
      </c>
      <c r="AP22" s="47">
        <v>2.8942395291537637E-2</v>
      </c>
      <c r="AQ22" s="47">
        <v>2.8942395291537637E-2</v>
      </c>
      <c r="AR22" s="46">
        <v>543.57058421685042</v>
      </c>
      <c r="AS22" s="46">
        <v>750.64509248993477</v>
      </c>
      <c r="AT22" s="49">
        <v>0.72413793103448421</v>
      </c>
    </row>
    <row r="23" spans="1:46">
      <c r="A23" s="44" t="str">
        <v>SKU-1030</v>
      </c>
      <c r="B23" s="45" t="str" cm="1">
        <f t="array" ref="B23:D23">_xlfn.XLOOKUP($A23,_xlfn.ANCHORARRAY('Monte Carlo IO (4)'!$A$12), 'Monte Carlo IO (4)'!$B$12:$D$53,,0)</f>
        <v>Vitamin C Serum</v>
      </c>
      <c r="C23" s="45" t="str">
        <v>Beauty &amp; Personal Care</v>
      </c>
      <c r="D23" s="45" t="str">
        <v>Raise</v>
      </c>
      <c r="E23" s="46" cm="1">
        <f t="array" ref="E23:K23">_xlfn.XLOOKUP($A23,_xlfn.ANCHORARRAY('Monte Carlo IO (4)'!$A$12), 'Monte Carlo IO (4)'!$F$12:$L$53)</f>
        <v>54.64</v>
      </c>
      <c r="F23" s="46">
        <v>20.32</v>
      </c>
      <c r="G23" s="45">
        <v>55</v>
      </c>
      <c r="H23" s="46">
        <v>3005.2</v>
      </c>
      <c r="I23" s="46">
        <v>1117.5999999999999</v>
      </c>
      <c r="J23" s="46">
        <v>1887.6</v>
      </c>
      <c r="K23" s="47">
        <v>0.62811127379209375</v>
      </c>
      <c r="L23" s="46" cm="1">
        <f t="array" ref="L23:AT23">_xlfn.XLOOKUP($A23,_xlfn.ANCHORARRAY('Monte Carlo IO (4)'!$A$12), 'Monte Carlo IO (4)'!$M$12:$AU$53)</f>
        <v>68.209095073095426</v>
      </c>
      <c r="M23" s="46">
        <v>13.569095073095426</v>
      </c>
      <c r="N23" s="47">
        <v>0.24833629343146826</v>
      </c>
      <c r="O23" s="46">
        <v>405.25475365476996</v>
      </c>
      <c r="P23" s="46">
        <v>506.85475365477032</v>
      </c>
      <c r="Q23" s="45">
        <v>21</v>
      </c>
      <c r="R23" s="48">
        <v>70.565038007429024</v>
      </c>
      <c r="S23" s="47">
        <v>0.2746601403332547</v>
      </c>
      <c r="T23" s="46">
        <v>8609.74</v>
      </c>
      <c r="U23" s="46">
        <v>2363.2455169389877</v>
      </c>
      <c r="V23" s="47">
        <v>0.47619047619047616</v>
      </c>
      <c r="W23" s="47">
        <v>0.33333333333333331</v>
      </c>
      <c r="X23" s="47">
        <v>0.19047619047619047</v>
      </c>
      <c r="Y23" s="47">
        <v>0</v>
      </c>
      <c r="Z23" s="45" t="str">
        <v>Critical</v>
      </c>
      <c r="AA23" s="46">
        <v>62.781457043857259</v>
      </c>
      <c r="AB23" s="46">
        <v>8.1414570438572582</v>
      </c>
      <c r="AC23" s="47">
        <v>0.14900177605888101</v>
      </c>
      <c r="AD23" s="47">
        <v>-5.960071042355241E-2</v>
      </c>
      <c r="AE23" s="45">
        <v>55.059600710423553</v>
      </c>
      <c r="AF23" s="46">
        <v>3247.1800681439695</v>
      </c>
      <c r="AG23" s="46">
        <v>241.98006814396967</v>
      </c>
      <c r="AH23" s="47">
        <v>8.052045392784829E-2</v>
      </c>
      <c r="AI23" s="46">
        <v>2915.9564536240314</v>
      </c>
      <c r="AJ23" s="46">
        <v>1798.3564536240315</v>
      </c>
      <c r="AK23" s="47">
        <v>1.6091235268647384</v>
      </c>
      <c r="AL23" s="46">
        <v>2196.1898221133315</v>
      </c>
      <c r="AM23" s="46">
        <v>308.58982211333159</v>
      </c>
      <c r="AN23" s="47">
        <v>0.16348263515222061</v>
      </c>
      <c r="AO23" s="47">
        <v>0.67633755320770816</v>
      </c>
      <c r="AP23" s="47">
        <v>4.8226279415614415E-2</v>
      </c>
      <c r="AQ23" s="47">
        <v>4.8226279415614415E-2</v>
      </c>
      <c r="AR23" s="46">
        <v>758.48927543660807</v>
      </c>
      <c r="AS23" s="46">
        <v>1137.7339131549131</v>
      </c>
      <c r="AT23" s="49">
        <v>0.66666666666666607</v>
      </c>
    </row>
    <row r="24" spans="1:46">
      <c r="A24" s="44" t="str">
        <v>SKU-1031</v>
      </c>
      <c r="B24" s="45" t="str" cm="1">
        <f t="array" ref="B24:D24">_xlfn.XLOOKUP($A24,_xlfn.ANCHORARRAY('Monte Carlo IO (4)'!$A$12), 'Monte Carlo IO (4)'!$B$12:$D$53,,0)</f>
        <v>SPF Moisturizer</v>
      </c>
      <c r="C24" s="45" t="str">
        <v>Beauty &amp; Personal Care</v>
      </c>
      <c r="D24" s="45" t="str">
        <v>Raise</v>
      </c>
      <c r="E24" s="46" cm="1">
        <f t="array" ref="E24:K24">_xlfn.XLOOKUP($A24,_xlfn.ANCHORARRAY('Monte Carlo IO (4)'!$A$12), 'Monte Carlo IO (4)'!$F$12:$L$53)</f>
        <v>230.34</v>
      </c>
      <c r="F24" s="46">
        <v>74.680000000000007</v>
      </c>
      <c r="G24" s="45">
        <v>21</v>
      </c>
      <c r="H24" s="46">
        <v>4837.1400000000003</v>
      </c>
      <c r="I24" s="46">
        <v>1568.2800000000002</v>
      </c>
      <c r="J24" s="46">
        <v>3268.86</v>
      </c>
      <c r="K24" s="47">
        <v>0.675783624207693</v>
      </c>
      <c r="L24" s="46" cm="1">
        <f t="array" ref="L24:AT24">_xlfn.XLOOKUP($A24,_xlfn.ANCHORARRAY('Monte Carlo IO (4)'!$A$12), 'Monte Carlo IO (4)'!$M$12:$AU$53)</f>
        <v>292.05233671227234</v>
      </c>
      <c r="M24" s="46">
        <v>61.712336712272332</v>
      </c>
      <c r="N24" s="47">
        <v>0.26791845407776477</v>
      </c>
      <c r="O24" s="46">
        <v>711.85439753317496</v>
      </c>
      <c r="P24" s="46">
        <v>861.21439753317463</v>
      </c>
      <c r="Q24" s="45">
        <v>9</v>
      </c>
      <c r="R24" s="48">
        <v>80.563831352305286</v>
      </c>
      <c r="S24" s="47">
        <v>0.3388387101196903</v>
      </c>
      <c r="T24" s="46">
        <v>3506.05</v>
      </c>
      <c r="U24" s="46">
        <v>1125.247970158546</v>
      </c>
      <c r="V24" s="47">
        <v>0.55555555555555558</v>
      </c>
      <c r="W24" s="47">
        <v>0.44444444444444442</v>
      </c>
      <c r="X24" s="47">
        <v>0</v>
      </c>
      <c r="Y24" s="47">
        <v>0</v>
      </c>
      <c r="Z24" s="45" t="str">
        <v>Critical</v>
      </c>
      <c r="AA24" s="46">
        <v>267.36740202736343</v>
      </c>
      <c r="AB24" s="46">
        <v>37.027402027363422</v>
      </c>
      <c r="AC24" s="47">
        <v>0.16075107244665895</v>
      </c>
      <c r="AD24" s="47">
        <v>-6.4300428978663587E-2</v>
      </c>
      <c r="AE24" s="45">
        <v>21.064300428978665</v>
      </c>
      <c r="AF24" s="46">
        <v>5253.6868310239561</v>
      </c>
      <c r="AG24" s="46">
        <v>416.54683102395575</v>
      </c>
      <c r="AH24" s="47">
        <v>8.6114280550894887E-2</v>
      </c>
      <c r="AI24" s="46">
        <v>1115.5653507187101</v>
      </c>
      <c r="AJ24" s="46">
        <v>-452.71464928129012</v>
      </c>
      <c r="AK24" s="47">
        <v>-0.28866952921754407</v>
      </c>
      <c r="AL24" s="46">
        <v>3786.2479077826147</v>
      </c>
      <c r="AM24" s="46">
        <v>517.38790778261455</v>
      </c>
      <c r="AN24" s="47">
        <v>0.15827778117833574</v>
      </c>
      <c r="AO24" s="47">
        <v>0.72068397480872792</v>
      </c>
      <c r="AP24" s="47">
        <v>4.4900350601034922E-2</v>
      </c>
      <c r="AQ24" s="47">
        <v>4.4900350601034922E-2</v>
      </c>
      <c r="AR24" s="46">
        <v>400.08816716748254</v>
      </c>
      <c r="AS24" s="46">
        <v>600.13225075122489</v>
      </c>
      <c r="AT24" s="49">
        <v>0.66666666666666552</v>
      </c>
    </row>
    <row r="25" spans="1:46">
      <c r="A25" s="44" t="str">
        <v>SKU-1033</v>
      </c>
      <c r="B25" s="45" t="str" cm="1">
        <f t="array" ref="B25:D25">_xlfn.XLOOKUP($A25,_xlfn.ANCHORARRAY('Monte Carlo IO (4)'!$A$12), 'Monte Carlo IO (4)'!$B$12:$D$53,,0)</f>
        <v>Electric Toothbrush</v>
      </c>
      <c r="C25" s="45" t="str">
        <v>Beauty &amp; Personal Care</v>
      </c>
      <c r="D25" s="45" t="str">
        <v>Raise</v>
      </c>
      <c r="E25" s="46" cm="1">
        <f t="array" ref="E25:K25">_xlfn.XLOOKUP($A25,_xlfn.ANCHORARRAY('Monte Carlo IO (4)'!$A$12), 'Monte Carlo IO (4)'!$F$12:$L$53)</f>
        <v>224.77</v>
      </c>
      <c r="F25" s="46">
        <v>78.790000000000006</v>
      </c>
      <c r="G25" s="45">
        <v>15</v>
      </c>
      <c r="H25" s="46">
        <v>3371.55</v>
      </c>
      <c r="I25" s="46">
        <v>1181.8500000000001</v>
      </c>
      <c r="J25" s="46">
        <v>2189.6999999999998</v>
      </c>
      <c r="K25" s="47">
        <v>0.64946389642745905</v>
      </c>
      <c r="L25" s="46" cm="1">
        <f t="array" ref="L25:AT25">_xlfn.XLOOKUP($A25,_xlfn.ANCHORARRAY('Monte Carlo IO (4)'!$A$12), 'Monte Carlo IO (4)'!$M$12:$AU$53)</f>
        <v>258.01494479999997</v>
      </c>
      <c r="M25" s="46">
        <v>33.244944799999956</v>
      </c>
      <c r="N25" s="47">
        <v>0.14790650353694867</v>
      </c>
      <c r="O25" s="46">
        <v>689.15922719999935</v>
      </c>
      <c r="P25" s="46">
        <v>767.94922719999954</v>
      </c>
      <c r="Q25" s="45">
        <v>7</v>
      </c>
      <c r="R25" s="48">
        <v>53.0620689247408</v>
      </c>
      <c r="S25" s="47">
        <v>0.16331151238540076</v>
      </c>
      <c r="T25" s="46">
        <v>2495.52</v>
      </c>
      <c r="U25" s="46">
        <v>411.31040074586326</v>
      </c>
      <c r="V25" s="47">
        <v>0.2857142857142857</v>
      </c>
      <c r="W25" s="47">
        <v>0.42857142857142855</v>
      </c>
      <c r="X25" s="47">
        <v>0.14285714285714285</v>
      </c>
      <c r="Y25" s="47">
        <v>0.14285714285714285</v>
      </c>
      <c r="Z25" s="45" t="str">
        <v>High</v>
      </c>
      <c r="AA25" s="46">
        <v>244.71696687999997</v>
      </c>
      <c r="AB25" s="46">
        <v>19.946966879999962</v>
      </c>
      <c r="AC25" s="47">
        <v>8.8743902122169163E-2</v>
      </c>
      <c r="AD25" s="47">
        <v>-3.5497560848867668E-2</v>
      </c>
      <c r="AE25" s="45">
        <v>15.035497560848867</v>
      </c>
      <c r="AF25" s="46">
        <v>3540.4516718614022</v>
      </c>
      <c r="AG25" s="46">
        <v>168.90167186140206</v>
      </c>
      <c r="AH25" s="47">
        <v>5.0096149207753723E-2</v>
      </c>
      <c r="AI25" s="46">
        <v>796.27995082255597</v>
      </c>
      <c r="AJ25" s="46">
        <v>-385.57004917744416</v>
      </c>
      <c r="AK25" s="47">
        <v>-0.32624279661331312</v>
      </c>
      <c r="AL25" s="46">
        <v>2400.5544641506367</v>
      </c>
      <c r="AM25" s="46">
        <v>210.85446415063689</v>
      </c>
      <c r="AN25" s="47">
        <v>9.6293768164879626E-2</v>
      </c>
      <c r="AO25" s="47">
        <v>0.67803621872023423</v>
      </c>
      <c r="AP25" s="47">
        <v>2.8572322292775176E-2</v>
      </c>
      <c r="AQ25" s="47">
        <v>2.8572322292775176E-2</v>
      </c>
      <c r="AR25" s="46">
        <v>112.81656706172261</v>
      </c>
      <c r="AS25" s="46">
        <v>169.22485059258366</v>
      </c>
      <c r="AT25" s="49">
        <v>0.66666666666666763</v>
      </c>
    </row>
    <row r="26" spans="1:46">
      <c r="A26" s="44" t="str">
        <v>SKU-1034</v>
      </c>
      <c r="B26" s="45" t="str" cm="1">
        <f t="array" ref="B26:D26">_xlfn.XLOOKUP($A26,_xlfn.ANCHORARRAY('Monte Carlo IO (4)'!$A$12), 'Monte Carlo IO (4)'!$B$12:$D$53,,0)</f>
        <v>Face Mask Kit</v>
      </c>
      <c r="C26" s="45" t="str">
        <v>Beauty &amp; Personal Care</v>
      </c>
      <c r="D26" s="45" t="str">
        <v>Raise</v>
      </c>
      <c r="E26" s="46" cm="1">
        <f t="array" ref="E26:K26">_xlfn.XLOOKUP($A26,_xlfn.ANCHORARRAY('Monte Carlo IO (4)'!$A$12), 'Monte Carlo IO (4)'!$F$12:$L$53)</f>
        <v>196.28</v>
      </c>
      <c r="F26" s="46">
        <v>71.73</v>
      </c>
      <c r="G26" s="45">
        <v>38</v>
      </c>
      <c r="H26" s="46">
        <v>7458.64</v>
      </c>
      <c r="I26" s="46">
        <v>2725.7400000000002</v>
      </c>
      <c r="J26" s="46">
        <v>4732.8999999999996</v>
      </c>
      <c r="K26" s="47">
        <v>0.63455267984511909</v>
      </c>
      <c r="L26" s="46" cm="1">
        <f t="array" ref="L26:AT26">_xlfn.XLOOKUP($A26,_xlfn.ANCHORARRAY('Monte Carlo IO (4)'!$A$12), 'Monte Carlo IO (4)'!$M$12:$AU$53)</f>
        <v>228.89345445731379</v>
      </c>
      <c r="M26" s="46">
        <v>32.613454457313793</v>
      </c>
      <c r="N26" s="47">
        <v>0.16615780750618397</v>
      </c>
      <c r="O26" s="46">
        <v>552.63090600598207</v>
      </c>
      <c r="P26" s="46">
        <v>767.82090600598258</v>
      </c>
      <c r="Q26" s="45">
        <v>12</v>
      </c>
      <c r="R26" s="48">
        <v>76.59906110590704</v>
      </c>
      <c r="S26" s="47">
        <v>0.24028498434328147</v>
      </c>
      <c r="T26" s="46">
        <v>6125.9500000000007</v>
      </c>
      <c r="U26" s="46">
        <v>1597.9585464320285</v>
      </c>
      <c r="V26" s="47">
        <v>0.58333333333333337</v>
      </c>
      <c r="W26" s="47">
        <v>0.25</v>
      </c>
      <c r="X26" s="47">
        <v>0.16666666666666666</v>
      </c>
      <c r="Y26" s="47">
        <v>0</v>
      </c>
      <c r="Z26" s="45" t="str">
        <v>Critical</v>
      </c>
      <c r="AA26" s="46">
        <v>215.84807267438828</v>
      </c>
      <c r="AB26" s="46">
        <v>19.568072674388276</v>
      </c>
      <c r="AC26" s="47">
        <v>9.9694684503710398E-2</v>
      </c>
      <c r="AD26" s="47">
        <v>-3.9877873801484165E-2</v>
      </c>
      <c r="AE26" s="45">
        <v>38.039877873801487</v>
      </c>
      <c r="AF26" s="46">
        <v>7875.1393979354461</v>
      </c>
      <c r="AG26" s="46">
        <v>416.49939793544581</v>
      </c>
      <c r="AH26" s="47">
        <v>5.5841198654908372E-2</v>
      </c>
      <c r="AI26" s="46">
        <v>2014.5919321965268</v>
      </c>
      <c r="AJ26" s="46">
        <v>-711.1480678034734</v>
      </c>
      <c r="AK26" s="47">
        <v>-0.2609009178437684</v>
      </c>
      <c r="AL26" s="46">
        <v>5258.0961136711039</v>
      </c>
      <c r="AM26" s="46">
        <v>525.19611367110429</v>
      </c>
      <c r="AN26" s="47">
        <v>0.11096708438190207</v>
      </c>
      <c r="AO26" s="47">
        <v>0.66768292572060006</v>
      </c>
      <c r="AP26" s="47">
        <v>3.3130245875480968E-2</v>
      </c>
      <c r="AQ26" s="47">
        <v>3.3130245875480968E-2</v>
      </c>
      <c r="AR26" s="46">
        <v>535.3161130547295</v>
      </c>
      <c r="AS26" s="46">
        <v>802.97416958209431</v>
      </c>
      <c r="AT26" s="49">
        <v>0.66666666666666663</v>
      </c>
    </row>
    <row r="27" spans="1:46">
      <c r="A27" s="44" t="str">
        <v>SKU-1036</v>
      </c>
      <c r="B27" s="45" t="str" cm="1">
        <f t="array" ref="B27:D27">_xlfn.XLOOKUP($A27,_xlfn.ANCHORARRAY('Monte Carlo IO (4)'!$A$12), 'Monte Carlo IO (4)'!$B$12:$D$53,,0)</f>
        <v>Body Lotion</v>
      </c>
      <c r="C27" s="45" t="str">
        <v>Beauty &amp; Personal Care</v>
      </c>
      <c r="D27" s="45" t="str">
        <v>Raise</v>
      </c>
      <c r="E27" s="46" cm="1">
        <f t="array" ref="E27:K27">_xlfn.XLOOKUP($A27,_xlfn.ANCHORARRAY('Monte Carlo IO (4)'!$A$12), 'Monte Carlo IO (4)'!$F$12:$L$53)</f>
        <v>49.1</v>
      </c>
      <c r="F27" s="46">
        <v>30.02</v>
      </c>
      <c r="G27" s="45">
        <v>37</v>
      </c>
      <c r="H27" s="46">
        <v>1816.7</v>
      </c>
      <c r="I27" s="46">
        <v>1110.74</v>
      </c>
      <c r="J27" s="46">
        <v>705.96</v>
      </c>
      <c r="K27" s="47">
        <v>0.38859470468431773</v>
      </c>
      <c r="L27" s="46" cm="1">
        <f t="array" ref="L27:AT27">_xlfn.XLOOKUP($A27,_xlfn.ANCHORARRAY('Monte Carlo IO (4)'!$A$12), 'Monte Carlo IO (4)'!$M$12:$AU$53)</f>
        <v>52.262974962461286</v>
      </c>
      <c r="M27" s="46">
        <v>3.1629749624612842</v>
      </c>
      <c r="N27" s="47">
        <v>6.4419042005321461E-2</v>
      </c>
      <c r="O27" s="46">
        <v>536.51709864860595</v>
      </c>
      <c r="P27" s="46">
        <v>566.53709864860593</v>
      </c>
      <c r="Q27" s="45">
        <v>13</v>
      </c>
      <c r="R27" s="48">
        <v>72.744974229920359</v>
      </c>
      <c r="S27" s="47">
        <v>0.26410651447061861</v>
      </c>
      <c r="T27" s="46">
        <v>6514.2100000000009</v>
      </c>
      <c r="U27" s="46">
        <v>1772.0208758689498</v>
      </c>
      <c r="V27" s="47">
        <v>0.53846153846153844</v>
      </c>
      <c r="W27" s="47">
        <v>0.30769230769230771</v>
      </c>
      <c r="X27" s="47">
        <v>0.15384615384615385</v>
      </c>
      <c r="Y27" s="47">
        <v>0</v>
      </c>
      <c r="Z27" s="45" t="str">
        <v>Critical</v>
      </c>
      <c r="AA27" s="46">
        <v>50.997784977476769</v>
      </c>
      <c r="AB27" s="46">
        <v>1.8977849774767677</v>
      </c>
      <c r="AC27" s="47">
        <v>3.865142520319282E-2</v>
      </c>
      <c r="AD27" s="47">
        <v>-1.5460570081277129E-2</v>
      </c>
      <c r="AE27" s="45">
        <v>37.015460570081274</v>
      </c>
      <c r="AF27" s="46">
        <v>1857.745215507176</v>
      </c>
      <c r="AG27" s="46">
        <v>41.045215507175953</v>
      </c>
      <c r="AH27" s="47">
        <v>2.2593282053820638E-2</v>
      </c>
      <c r="AI27" s="46">
        <v>1960.3387917915043</v>
      </c>
      <c r="AJ27" s="46">
        <v>849.59879179150425</v>
      </c>
      <c r="AK27" s="47">
        <v>0.76489438733772463</v>
      </c>
      <c r="AL27" s="46">
        <v>764.17788911925368</v>
      </c>
      <c r="AM27" s="46">
        <v>58.217889119253641</v>
      </c>
      <c r="AN27" s="47">
        <v>8.2466271629063462E-2</v>
      </c>
      <c r="AO27" s="47">
        <v>0.41134698275114567</v>
      </c>
      <c r="AP27" s="47">
        <v>2.2752278066827947E-2</v>
      </c>
      <c r="AQ27" s="47">
        <v>2.2752278066827947E-2</v>
      </c>
      <c r="AR27" s="46">
        <v>588.85616798106776</v>
      </c>
      <c r="AS27" s="46">
        <v>883.28425197159822</v>
      </c>
      <c r="AT27" s="49">
        <v>0.66666666666666929</v>
      </c>
    </row>
    <row r="28" spans="1:46">
      <c r="A28" s="44" t="str">
        <v>SKU-1037</v>
      </c>
      <c r="B28" s="45" t="str" cm="1">
        <f t="array" ref="B28:D28">_xlfn.XLOOKUP($A28,_xlfn.ANCHORARRAY('Monte Carlo IO (4)'!$A$12), 'Monte Carlo IO (4)'!$B$12:$D$53,,0)</f>
        <v>Perfume Roller</v>
      </c>
      <c r="C28" s="45" t="str">
        <v>Beauty &amp; Personal Care</v>
      </c>
      <c r="D28" s="45" t="str">
        <v>Raise</v>
      </c>
      <c r="E28" s="46" cm="1">
        <f t="array" ref="E28:K28">_xlfn.XLOOKUP($A28,_xlfn.ANCHORARRAY('Monte Carlo IO (4)'!$A$12), 'Monte Carlo IO (4)'!$F$12:$L$53)</f>
        <v>31.81</v>
      </c>
      <c r="F28" s="46">
        <v>10.64</v>
      </c>
      <c r="G28" s="45">
        <v>25</v>
      </c>
      <c r="H28" s="46">
        <v>795.25</v>
      </c>
      <c r="I28" s="46">
        <v>266</v>
      </c>
      <c r="J28" s="46">
        <v>529.25</v>
      </c>
      <c r="K28" s="47">
        <v>0.66551398931153727</v>
      </c>
      <c r="L28" s="46" cm="1">
        <f t="array" ref="L28:AT28">_xlfn.XLOOKUP($A28,_xlfn.ANCHORARRAY('Monte Carlo IO (4)'!$A$12), 'Monte Carlo IO (4)'!$M$12:$AU$53)</f>
        <v>35.216736588500552</v>
      </c>
      <c r="M28" s="46">
        <v>3.4067365885005536</v>
      </c>
      <c r="N28" s="47">
        <v>0.10709640328514787</v>
      </c>
      <c r="O28" s="46">
        <v>179.95167812401314</v>
      </c>
      <c r="P28" s="46">
        <v>190.59167812401313</v>
      </c>
      <c r="Q28" s="45">
        <v>11</v>
      </c>
      <c r="R28" s="48">
        <v>71.003027598546765</v>
      </c>
      <c r="S28" s="47">
        <v>0.28584849532758116</v>
      </c>
      <c r="T28" s="46">
        <v>5021.24</v>
      </c>
      <c r="U28" s="46">
        <v>1396.9812800741929</v>
      </c>
      <c r="V28" s="47">
        <v>0.54545454545454541</v>
      </c>
      <c r="W28" s="47">
        <v>0.18181818181818182</v>
      </c>
      <c r="X28" s="47">
        <v>0.27272727272727271</v>
      </c>
      <c r="Y28" s="47">
        <v>0</v>
      </c>
      <c r="Z28" s="45" t="str">
        <v>Critical</v>
      </c>
      <c r="AA28" s="46">
        <v>33.854041953100328</v>
      </c>
      <c r="AB28" s="46">
        <v>2.0440419531003293</v>
      </c>
      <c r="AC28" s="47">
        <v>6.4257841971088636E-2</v>
      </c>
      <c r="AD28" s="47">
        <v>-2.5703136788435457E-2</v>
      </c>
      <c r="AE28" s="45">
        <v>25.025703136788437</v>
      </c>
      <c r="AF28" s="46">
        <v>824.5971720484589</v>
      </c>
      <c r="AG28" s="46">
        <v>29.347172048458901</v>
      </c>
      <c r="AH28" s="47">
        <v>3.6903077080740525E-2</v>
      </c>
      <c r="AI28" s="46">
        <v>1325.3612381243156</v>
      </c>
      <c r="AJ28" s="46">
        <v>1059.3612381243156</v>
      </c>
      <c r="AK28" s="47">
        <v>3.9825610455801339</v>
      </c>
      <c r="AL28" s="46">
        <v>565.43420643418267</v>
      </c>
      <c r="AM28" s="46">
        <v>36.18420643418267</v>
      </c>
      <c r="AN28" s="47">
        <v>6.836883596444529E-2</v>
      </c>
      <c r="AO28" s="47">
        <v>0.68570961143310094</v>
      </c>
      <c r="AP28" s="47">
        <v>2.0195622121563672E-2</v>
      </c>
      <c r="AQ28" s="47">
        <v>2.0195622121563672E-2</v>
      </c>
      <c r="AR28" s="46">
        <v>441.9540776962001</v>
      </c>
      <c r="AS28" s="46">
        <v>662.93111654429799</v>
      </c>
      <c r="AT28" s="49">
        <v>0.66666666666666885</v>
      </c>
    </row>
    <row r="29" spans="1:46">
      <c r="A29" s="44" t="str">
        <v>SKU-1039</v>
      </c>
      <c r="B29" s="45" t="str" cm="1">
        <f t="array" ref="B29:D29">_xlfn.XLOOKUP($A29,_xlfn.ANCHORARRAY('Monte Carlo IO (4)'!$A$12), 'Monte Carlo IO (4)'!$B$12:$D$53,,0)</f>
        <v>Nail Polish Set</v>
      </c>
      <c r="C29" s="45" t="str">
        <v>Beauty &amp; Personal Care</v>
      </c>
      <c r="D29" s="45" t="str">
        <v>Raise</v>
      </c>
      <c r="E29" s="46" cm="1">
        <f t="array" ref="E29:K29">_xlfn.XLOOKUP($A29,_xlfn.ANCHORARRAY('Monte Carlo IO (4)'!$A$12), 'Monte Carlo IO (4)'!$F$12:$L$53)</f>
        <v>189.99</v>
      </c>
      <c r="F29" s="46">
        <v>63.51</v>
      </c>
      <c r="G29" s="45">
        <v>28</v>
      </c>
      <c r="H29" s="46">
        <v>5319.72</v>
      </c>
      <c r="I29" s="46">
        <v>1778.28</v>
      </c>
      <c r="J29" s="46">
        <v>3541.4400000000005</v>
      </c>
      <c r="K29" s="47">
        <v>0.66571924838149388</v>
      </c>
      <c r="L29" s="46" cm="1">
        <f t="array" ref="L29:AT29">_xlfn.XLOOKUP($A29,_xlfn.ANCHORARRAY('Monte Carlo IO (4)'!$A$12), 'Monte Carlo IO (4)'!$M$12:$AU$53)</f>
        <v>232.14077285456503</v>
      </c>
      <c r="M29" s="46">
        <v>42.15077285456502</v>
      </c>
      <c r="N29" s="47">
        <v>0.22185784964769206</v>
      </c>
      <c r="O29" s="46">
        <v>715.94009421869032</v>
      </c>
      <c r="P29" s="46">
        <v>842.96009421868985</v>
      </c>
      <c r="Q29" s="45">
        <v>11</v>
      </c>
      <c r="R29" s="48">
        <v>65.245249219693505</v>
      </c>
      <c r="S29" s="47">
        <v>0.20704190456883856</v>
      </c>
      <c r="T29" s="46">
        <v>9090.1999999999989</v>
      </c>
      <c r="U29" s="46">
        <v>1631.9228817867202</v>
      </c>
      <c r="V29" s="47">
        <v>0.36363636363636365</v>
      </c>
      <c r="W29" s="47">
        <v>0.45454545454545453</v>
      </c>
      <c r="X29" s="47">
        <v>9.0909090909090912E-2</v>
      </c>
      <c r="Y29" s="47">
        <v>9.0909090909090912E-2</v>
      </c>
      <c r="Z29" s="45" t="str">
        <v>High</v>
      </c>
      <c r="AA29" s="46">
        <v>215.28046371273902</v>
      </c>
      <c r="AB29" s="46">
        <v>25.290463712739012</v>
      </c>
      <c r="AC29" s="47">
        <v>0.13311470978861525</v>
      </c>
      <c r="AD29" s="47">
        <v>-5.3245883915446102E-2</v>
      </c>
      <c r="AE29" s="45">
        <v>28.053245883915444</v>
      </c>
      <c r="AF29" s="46">
        <v>5706.8946237135588</v>
      </c>
      <c r="AG29" s="46">
        <v>387.1746237135585</v>
      </c>
      <c r="AH29" s="47">
        <v>7.2781015488326162E-2</v>
      </c>
      <c r="AI29" s="46">
        <v>1485.6999020121621</v>
      </c>
      <c r="AJ29" s="46">
        <v>-292.58009798783792</v>
      </c>
      <c r="AK29" s="47">
        <v>-0.16452982544247133</v>
      </c>
      <c r="AL29" s="46">
        <v>4023.3007141627186</v>
      </c>
      <c r="AM29" s="46">
        <v>481.86071416271807</v>
      </c>
      <c r="AN29" s="47">
        <v>0.1360634979451065</v>
      </c>
      <c r="AO29" s="47">
        <v>0.70498948718010479</v>
      </c>
      <c r="AP29" s="47">
        <v>3.9270238798610912E-2</v>
      </c>
      <c r="AQ29" s="47">
        <v>3.9270238798610912E-2</v>
      </c>
      <c r="AR29" s="46">
        <v>492.54399704835561</v>
      </c>
      <c r="AS29" s="46">
        <v>738.81599557253344</v>
      </c>
      <c r="AT29" s="49">
        <v>0.66666666666666663</v>
      </c>
    </row>
    <row r="30" spans="1:46">
      <c r="A30" s="44" t="str">
        <v>SKU-1043</v>
      </c>
      <c r="B30" s="45" t="str" cm="1">
        <f t="array" ref="B30:D30">_xlfn.XLOOKUP($A30,_xlfn.ANCHORARRAY('Monte Carlo IO (4)'!$A$12), 'Monte Carlo IO (4)'!$B$12:$D$53,,0)</f>
        <v>Jump Rope</v>
      </c>
      <c r="C30" s="45" t="str">
        <v>Sports &amp; Outdoors</v>
      </c>
      <c r="D30" s="45" t="str">
        <v>Hold</v>
      </c>
      <c r="E30" s="46" cm="1">
        <f t="array" ref="E30:K30">_xlfn.XLOOKUP($A30,_xlfn.ANCHORARRAY('Monte Carlo IO (4)'!$A$12), 'Monte Carlo IO (4)'!$F$12:$L$53)</f>
        <v>112.56</v>
      </c>
      <c r="F30" s="46">
        <v>53.11</v>
      </c>
      <c r="G30" s="45">
        <v>40</v>
      </c>
      <c r="H30" s="46">
        <v>4502.3999999999996</v>
      </c>
      <c r="I30" s="46">
        <v>2124.4</v>
      </c>
      <c r="J30" s="46">
        <v>2377.9999999999995</v>
      </c>
      <c r="K30" s="47">
        <v>0.52816275764036957</v>
      </c>
      <c r="L30" s="46" cm="1">
        <f t="array" ref="L30:AT30">_xlfn.XLOOKUP($A30,_xlfn.ANCHORARRAY('Monte Carlo IO (4)'!$A$12), 'Monte Carlo IO (4)'!$M$12:$AU$53)</f>
        <v>124.60661115062148</v>
      </c>
      <c r="M30" s="46">
        <v>12.046611150621473</v>
      </c>
      <c r="N30" s="47">
        <v>0.10702390858761081</v>
      </c>
      <c r="O30" s="46">
        <v>979.85122372361684</v>
      </c>
      <c r="P30" s="46">
        <v>1086.0712237236162</v>
      </c>
      <c r="Q30" s="45">
        <v>16</v>
      </c>
      <c r="R30" s="48">
        <v>65.562929794400333</v>
      </c>
      <c r="S30" s="47">
        <v>0.2152790454358077</v>
      </c>
      <c r="T30" s="46">
        <v>10177.91</v>
      </c>
      <c r="U30" s="46">
        <v>2590.186588054918</v>
      </c>
      <c r="V30" s="47">
        <v>0.4375</v>
      </c>
      <c r="W30" s="47">
        <v>0.25</v>
      </c>
      <c r="X30" s="47">
        <v>0.3125</v>
      </c>
      <c r="Y30" s="47">
        <v>0</v>
      </c>
      <c r="Z30" s="45" t="str">
        <v>Critical</v>
      </c>
      <c r="AA30" s="46">
        <v>119.78796669037288</v>
      </c>
      <c r="AB30" s="46">
        <v>7.227966690372881</v>
      </c>
      <c r="AC30" s="47">
        <v>6.4214345152566465E-2</v>
      </c>
      <c r="AD30" s="47">
        <v>-2.5685738061026586E-2</v>
      </c>
      <c r="AE30" s="45">
        <v>40.025685738061028</v>
      </c>
      <c r="AF30" s="46">
        <v>4668.4449742040397</v>
      </c>
      <c r="AG30" s="46">
        <v>166.04497420404005</v>
      </c>
      <c r="AH30" s="47">
        <v>3.6879214242190844E-2</v>
      </c>
      <c r="AI30" s="46">
        <v>2119.760316687712</v>
      </c>
      <c r="AJ30" s="46">
        <v>-4.6396833122880707</v>
      </c>
      <c r="AK30" s="47">
        <v>-2.1839970402410423E-3</v>
      </c>
      <c r="AL30" s="46">
        <v>2598.6117561408846</v>
      </c>
      <c r="AM30" s="46">
        <v>220.61175614088506</v>
      </c>
      <c r="AN30" s="47">
        <v>9.2771974827958417E-2</v>
      </c>
      <c r="AO30" s="47">
        <v>0.55663326236033073</v>
      </c>
      <c r="AP30" s="47">
        <v>2.8470504719961154E-2</v>
      </c>
      <c r="AQ30" s="47">
        <v>2.8470504719961154E-2</v>
      </c>
      <c r="AR30" s="46">
        <v>777.05597641647591</v>
      </c>
      <c r="AS30" s="46">
        <v>1165.5839646247127</v>
      </c>
      <c r="AT30" s="49">
        <v>0.6666666666666673</v>
      </c>
    </row>
    <row r="31" spans="1:46">
      <c r="A31" s="44" t="str">
        <v>SKU-1044</v>
      </c>
      <c r="B31" s="45" t="str" cm="1">
        <f t="array" ref="B31:D31">_xlfn.XLOOKUP($A31,_xlfn.ANCHORARRAY('Monte Carlo IO (4)'!$A$12), 'Monte Carlo IO (4)'!$B$12:$D$53,,0)</f>
        <v>Foam Roller</v>
      </c>
      <c r="C31" s="45" t="str">
        <v>Sports &amp; Outdoors</v>
      </c>
      <c r="D31" s="45" t="str">
        <v>Raise</v>
      </c>
      <c r="E31" s="46" cm="1">
        <f t="array" ref="E31:K31">_xlfn.XLOOKUP($A31,_xlfn.ANCHORARRAY('Monte Carlo IO (4)'!$A$12), 'Monte Carlo IO (4)'!$F$12:$L$53)</f>
        <v>144.94999999999999</v>
      </c>
      <c r="F31" s="46">
        <v>77.19</v>
      </c>
      <c r="G31" s="45">
        <v>19</v>
      </c>
      <c r="H31" s="46">
        <v>2754.0499999999997</v>
      </c>
      <c r="I31" s="46">
        <v>1466.61</v>
      </c>
      <c r="J31" s="46">
        <v>1287.4399999999998</v>
      </c>
      <c r="K31" s="47">
        <v>0.46747154191100376</v>
      </c>
      <c r="L31" s="46" cm="1">
        <f t="array" ref="L31:AT31">_xlfn.XLOOKUP($A31,_xlfn.ANCHORARRAY('Monte Carlo IO (4)'!$A$12), 'Monte Carlo IO (4)'!$M$12:$AU$53)</f>
        <v>181.88519051376983</v>
      </c>
      <c r="M31" s="46">
        <v>36.93519051376984</v>
      </c>
      <c r="N31" s="47">
        <v>0.25481331848064742</v>
      </c>
      <c r="O31" s="46">
        <v>337.99823873408741</v>
      </c>
      <c r="P31" s="46">
        <v>492.37823873408729</v>
      </c>
      <c r="Q31" s="45">
        <v>10</v>
      </c>
      <c r="R31" s="48">
        <v>81.451112944606564</v>
      </c>
      <c r="S31" s="47">
        <v>0.32460947572594412</v>
      </c>
      <c r="T31" s="46">
        <v>5163.41</v>
      </c>
      <c r="U31" s="46">
        <v>1457.9708511723543</v>
      </c>
      <c r="V31" s="47">
        <v>0.7</v>
      </c>
      <c r="W31" s="47">
        <v>0.2</v>
      </c>
      <c r="X31" s="47">
        <v>0.1</v>
      </c>
      <c r="Y31" s="47">
        <v>0</v>
      </c>
      <c r="Z31" s="45" t="str">
        <v>Critical</v>
      </c>
      <c r="AA31" s="46">
        <v>167.1111143082619</v>
      </c>
      <c r="AB31" s="46">
        <v>22.161114308261915</v>
      </c>
      <c r="AC31" s="47">
        <v>0.15288799108838852</v>
      </c>
      <c r="AD31" s="47">
        <v>-6.1155196435355413E-2</v>
      </c>
      <c r="AE31" s="45">
        <v>19.061155196435354</v>
      </c>
      <c r="AF31" s="46">
        <v>2980.9366244379712</v>
      </c>
      <c r="AG31" s="46">
        <v>226.88662443797148</v>
      </c>
      <c r="AH31" s="47">
        <v>8.2382899525415845E-2</v>
      </c>
      <c r="AI31" s="46">
        <v>1009.4787792032164</v>
      </c>
      <c r="AJ31" s="46">
        <v>-457.13122079678351</v>
      </c>
      <c r="AK31" s="47">
        <v>-0.31169242047768903</v>
      </c>
      <c r="AL31" s="46">
        <v>1604.017447082028</v>
      </c>
      <c r="AM31" s="46">
        <v>316.57744708202813</v>
      </c>
      <c r="AN31" s="47">
        <v>0.24589685506278208</v>
      </c>
      <c r="AO31" s="47">
        <v>0.53809176415632487</v>
      </c>
      <c r="AP31" s="47">
        <v>7.0620222245321107E-2</v>
      </c>
      <c r="AQ31" s="47">
        <v>7.0620222245321107E-2</v>
      </c>
      <c r="AR31" s="46">
        <v>519.03762301735776</v>
      </c>
      <c r="AS31" s="46">
        <v>778.55643452603761</v>
      </c>
      <c r="AT31" s="49">
        <v>0.66666666666666585</v>
      </c>
    </row>
    <row r="32" spans="1:46">
      <c r="A32" s="44" t="str">
        <v>SKU-1048</v>
      </c>
      <c r="B32" s="45" t="str" cm="1">
        <f t="array" ref="B32:D32">_xlfn.XLOOKUP($A32,_xlfn.ANCHORARRAY('Monte Carlo IO (4)'!$A$12), 'Monte Carlo IO (4)'!$B$12:$D$53,,0)</f>
        <v>Gym Bag</v>
      </c>
      <c r="C32" s="45" t="str">
        <v>Sports &amp; Outdoors</v>
      </c>
      <c r="D32" s="45" t="str">
        <v>Hold</v>
      </c>
      <c r="E32" s="46" cm="1">
        <f t="array" ref="E32:K32">_xlfn.XLOOKUP($A32,_xlfn.ANCHORARRAY('Monte Carlo IO (4)'!$A$12), 'Monte Carlo IO (4)'!$F$12:$L$53)</f>
        <v>101.6</v>
      </c>
      <c r="F32" s="46">
        <v>47.68</v>
      </c>
      <c r="G32" s="45">
        <v>37</v>
      </c>
      <c r="H32" s="46">
        <v>3759.2</v>
      </c>
      <c r="I32" s="46">
        <v>1764.16</v>
      </c>
      <c r="J32" s="46">
        <v>1995.0399999999997</v>
      </c>
      <c r="K32" s="47">
        <v>0.53070866141732276</v>
      </c>
      <c r="L32" s="46" cm="1">
        <f t="array" ref="L32:AT32">_xlfn.XLOOKUP($A32,_xlfn.ANCHORARRAY('Monte Carlo IO (4)'!$A$12), 'Monte Carlo IO (4)'!$M$12:$AU$53)</f>
        <v>110.85658594324225</v>
      </c>
      <c r="M32" s="46">
        <v>9.256585943242257</v>
      </c>
      <c r="N32" s="47">
        <v>9.1108129362620652E-2</v>
      </c>
      <c r="O32" s="46">
        <v>1073.7570939567217</v>
      </c>
      <c r="P32" s="46">
        <v>1121.4370939567214</v>
      </c>
      <c r="Q32" s="45">
        <v>14</v>
      </c>
      <c r="R32" s="48">
        <v>68.052230319607702</v>
      </c>
      <c r="S32" s="47">
        <v>0.253274531094973</v>
      </c>
      <c r="T32" s="46">
        <v>8998.91</v>
      </c>
      <c r="U32" s="46">
        <v>1862.6932397664843</v>
      </c>
      <c r="V32" s="47">
        <v>0.5</v>
      </c>
      <c r="W32" s="47">
        <v>0.21428571428571427</v>
      </c>
      <c r="X32" s="47">
        <v>0.14285714285714285</v>
      </c>
      <c r="Y32" s="47">
        <v>0.14285714285714285</v>
      </c>
      <c r="Z32" s="45" t="str">
        <v>Critical</v>
      </c>
      <c r="AA32" s="46">
        <v>107.15395156594535</v>
      </c>
      <c r="AB32" s="46">
        <v>5.5539515659453542</v>
      </c>
      <c r="AC32" s="47">
        <v>5.466487761757239E-2</v>
      </c>
      <c r="AD32" s="47">
        <v>-2.1865951047028959E-2</v>
      </c>
      <c r="AE32" s="45">
        <v>37.021865951047026</v>
      </c>
      <c r="AF32" s="46">
        <v>3878.0043547408213</v>
      </c>
      <c r="AG32" s="46">
        <v>118.80435474082151</v>
      </c>
      <c r="AH32" s="47">
        <v>3.1603627032565841E-2</v>
      </c>
      <c r="AI32" s="46">
        <v>1960.6780207674506</v>
      </c>
      <c r="AJ32" s="46">
        <v>196.51802076745048</v>
      </c>
      <c r="AK32" s="47">
        <v>0.11139466985276306</v>
      </c>
      <c r="AL32" s="46">
        <v>2152.4193909399478</v>
      </c>
      <c r="AM32" s="46">
        <v>157.37939093994805</v>
      </c>
      <c r="AN32" s="47">
        <v>7.888533109107991E-2</v>
      </c>
      <c r="AO32" s="47">
        <v>0.55503274211351428</v>
      </c>
      <c r="AP32" s="47">
        <v>2.4324080696191519E-2</v>
      </c>
      <c r="AQ32" s="47">
        <v>2.4324080696191519E-2</v>
      </c>
      <c r="AR32" s="46">
        <v>550.82500090237477</v>
      </c>
      <c r="AS32" s="46">
        <v>826.23750135356204</v>
      </c>
      <c r="AT32" s="49">
        <v>0.66666666666666674</v>
      </c>
    </row>
    <row r="33" spans="1:46">
      <c r="A33" s="50" t="str">
        <v>SKU-1049</v>
      </c>
      <c r="B33" s="51" t="str" cm="1">
        <f t="array" ref="B33:D33">_xlfn.XLOOKUP($A33,_xlfn.ANCHORARRAY('Monte Carlo IO (4)'!$A$12), 'Monte Carlo IO (4)'!$B$12:$D$53,,0)</f>
        <v>Protein Shaker</v>
      </c>
      <c r="C33" s="51" t="str">
        <v>Sports &amp; Outdoors</v>
      </c>
      <c r="D33" s="51" t="str">
        <v>Raise</v>
      </c>
      <c r="E33" s="52" cm="1">
        <f t="array" ref="E33:K33">_xlfn.XLOOKUP($A33,_xlfn.ANCHORARRAY('Monte Carlo IO (4)'!$A$12), 'Monte Carlo IO (4)'!$F$12:$L$53)</f>
        <v>99.75</v>
      </c>
      <c r="F33" s="52">
        <v>38.130000000000003</v>
      </c>
      <c r="G33" s="51">
        <v>34</v>
      </c>
      <c r="H33" s="52">
        <v>3391.5</v>
      </c>
      <c r="I33" s="52">
        <v>1296.42</v>
      </c>
      <c r="J33" s="52">
        <v>2095.08</v>
      </c>
      <c r="K33" s="53">
        <v>0.6177443609022556</v>
      </c>
      <c r="L33" s="52" cm="1">
        <f t="array" ref="L33:AT33">_xlfn.XLOOKUP($A33,_xlfn.ANCHORARRAY('Monte Carlo IO (4)'!$A$12), 'Monte Carlo IO (4)'!$M$12:$AU$53)</f>
        <v>110.43409123252499</v>
      </c>
      <c r="M33" s="52">
        <v>10.684091232524992</v>
      </c>
      <c r="N33" s="53">
        <v>0.10710868403533827</v>
      </c>
      <c r="O33" s="52">
        <v>597.24501067332449</v>
      </c>
      <c r="P33" s="52">
        <v>635.3750106733246</v>
      </c>
      <c r="Q33" s="51">
        <v>13</v>
      </c>
      <c r="R33" s="54">
        <v>62.632749766373735</v>
      </c>
      <c r="S33" s="53">
        <v>0.23171703319019915</v>
      </c>
      <c r="T33" s="52">
        <v>6043.7700000000013</v>
      </c>
      <c r="U33" s="52">
        <v>1533.9834111929088</v>
      </c>
      <c r="V33" s="53">
        <v>0.30769230769230771</v>
      </c>
      <c r="W33" s="53">
        <v>0.53846153846153844</v>
      </c>
      <c r="X33" s="53">
        <v>0.15384615384615385</v>
      </c>
      <c r="Y33" s="53">
        <v>0</v>
      </c>
      <c r="Z33" s="51" t="str">
        <v>High</v>
      </c>
      <c r="AA33" s="52">
        <v>106.16045473951499</v>
      </c>
      <c r="AB33" s="52">
        <v>6.4104547395149893</v>
      </c>
      <c r="AC33" s="53">
        <v>6.4265210421202895E-2</v>
      </c>
      <c r="AD33" s="53">
        <v>-2.570608416848116E-2</v>
      </c>
      <c r="AE33" s="51">
        <v>34.025706084168483</v>
      </c>
      <c r="AF33" s="52">
        <v>3516.6704952569703</v>
      </c>
      <c r="AG33" s="52">
        <v>125.1704952569703</v>
      </c>
      <c r="AH33" s="53">
        <v>3.690711934452906E-2</v>
      </c>
      <c r="AI33" s="52">
        <v>1802.0013942175628</v>
      </c>
      <c r="AJ33" s="52">
        <v>505.58139421756277</v>
      </c>
      <c r="AK33" s="53">
        <v>0.38998271718853672</v>
      </c>
      <c r="AL33" s="52">
        <v>2253.5763768946726</v>
      </c>
      <c r="AM33" s="52">
        <v>158.49637689467272</v>
      </c>
      <c r="AN33" s="53">
        <v>7.5651706328480409E-2</v>
      </c>
      <c r="AO33" s="53">
        <v>0.64082670808485831</v>
      </c>
      <c r="AP33" s="53">
        <v>2.3082347182602714E-2</v>
      </c>
      <c r="AQ33" s="53">
        <v>2.3082347182602714E-2</v>
      </c>
      <c r="AR33" s="52">
        <v>474.35487023042327</v>
      </c>
      <c r="AS33" s="52">
        <v>711.53230534563318</v>
      </c>
      <c r="AT33" s="55">
        <v>0.66666666666666829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46182-9867-4A60-A675-BDC8E3DDF042}">
  <sheetPr codeName="Sheet2">
    <tabColor rgb="FFFFC000"/>
  </sheetPr>
  <dimension ref="A1:AI209"/>
  <sheetViews>
    <sheetView workbookViewId="0"/>
  </sheetViews>
  <sheetFormatPr defaultRowHeight="15"/>
  <cols>
    <col min="1" max="1" width="30" bestFit="1" customWidth="1"/>
    <col min="2" max="2" width="20.28515625" bestFit="1" customWidth="1"/>
    <col min="3" max="3" width="10.7109375" bestFit="1" customWidth="1"/>
    <col min="4" max="4" width="15.7109375" bestFit="1" customWidth="1"/>
    <col min="5" max="5" width="12.140625" bestFit="1" customWidth="1"/>
    <col min="6" max="6" width="18.42578125" bestFit="1" customWidth="1"/>
    <col min="7" max="7" width="16.28515625" bestFit="1" customWidth="1"/>
    <col min="8" max="8" width="23.28515625" bestFit="1" customWidth="1"/>
    <col min="9" max="9" width="10.42578125" bestFit="1" customWidth="1"/>
    <col min="10" max="10" width="21.7109375" bestFit="1" customWidth="1"/>
    <col min="11" max="11" width="9.140625" bestFit="1" customWidth="1"/>
    <col min="12" max="12" width="8.5703125" bestFit="1" customWidth="1"/>
    <col min="13" max="13" width="20.140625" bestFit="1" customWidth="1"/>
    <col min="14" max="14" width="10.28515625" bestFit="1" customWidth="1"/>
    <col min="15" max="15" width="16.42578125" bestFit="1" customWidth="1"/>
    <col min="16" max="16" width="14.5703125" bestFit="1" customWidth="1"/>
    <col min="17" max="17" width="14.85546875" bestFit="1" customWidth="1"/>
    <col min="18" max="18" width="14" bestFit="1" customWidth="1"/>
    <col min="19" max="19" width="10.7109375" bestFit="1" customWidth="1"/>
    <col min="20" max="20" width="16.28515625" bestFit="1" customWidth="1"/>
    <col min="21" max="21" width="18.7109375" bestFit="1" customWidth="1"/>
    <col min="22" max="22" width="27.28515625" bestFit="1" customWidth="1"/>
    <col min="23" max="23" width="15.5703125" bestFit="1" customWidth="1"/>
    <col min="24" max="24" width="18" bestFit="1" customWidth="1"/>
    <col min="25" max="25" width="11.5703125" bestFit="1" customWidth="1"/>
    <col min="26" max="26" width="14.42578125" bestFit="1" customWidth="1"/>
    <col min="27" max="27" width="25.28515625" bestFit="1" customWidth="1"/>
    <col min="28" max="28" width="24.42578125" bestFit="1" customWidth="1"/>
    <col min="29" max="29" width="16.28515625" bestFit="1" customWidth="1"/>
    <col min="30" max="30" width="10.28515625" bestFit="1" customWidth="1"/>
    <col min="31" max="31" width="19.85546875" bestFit="1" customWidth="1"/>
    <col min="32" max="32" width="23.7109375" bestFit="1" customWidth="1"/>
    <col min="33" max="33" width="13.140625" bestFit="1" customWidth="1"/>
    <col min="34" max="34" width="18.7109375" bestFit="1" customWidth="1"/>
    <col min="35" max="35" width="7.42578125" bestFit="1" customWidth="1"/>
    <col min="36" max="36" width="20.28515625" bestFit="1" customWidth="1"/>
    <col min="37" max="37" width="14.140625" bestFit="1" customWidth="1"/>
    <col min="38" max="38" width="13.5703125" bestFit="1" customWidth="1"/>
    <col min="39" max="39" width="14.7109375" bestFit="1" customWidth="1"/>
    <col min="40" max="40" width="12.28515625" bestFit="1" customWidth="1"/>
    <col min="41" max="41" width="16.28515625" bestFit="1" customWidth="1"/>
    <col min="42" max="42" width="14.28515625" bestFit="1" customWidth="1"/>
    <col min="43" max="43" width="17" bestFit="1" customWidth="1"/>
    <col min="44" max="44" width="14.85546875" bestFit="1" customWidth="1"/>
    <col min="45" max="45" width="15.42578125" bestFit="1" customWidth="1"/>
    <col min="46" max="46" width="12.7109375" bestFit="1" customWidth="1"/>
    <col min="47" max="47" width="13.28515625" bestFit="1" customWidth="1"/>
    <col min="48" max="48" width="12.42578125" bestFit="1" customWidth="1"/>
    <col min="49" max="49" width="9.28515625" bestFit="1" customWidth="1"/>
    <col min="50" max="50" width="15" bestFit="1" customWidth="1"/>
    <col min="51" max="51" width="12.140625" bestFit="1" customWidth="1"/>
    <col min="52" max="52" width="12.28515625" bestFit="1" customWidth="1"/>
    <col min="53" max="53" width="10.85546875" bestFit="1" customWidth="1"/>
    <col min="54" max="54" width="16.140625" bestFit="1" customWidth="1"/>
    <col min="55" max="55" width="12.28515625" bestFit="1" customWidth="1"/>
    <col min="56" max="56" width="8.85546875" bestFit="1" customWidth="1"/>
    <col min="57" max="57" width="16.85546875" bestFit="1" customWidth="1"/>
    <col min="58" max="58" width="13.5703125" bestFit="1" customWidth="1"/>
    <col min="59" max="59" width="9" bestFit="1" customWidth="1"/>
    <col min="60" max="60" width="10.7109375" bestFit="1" customWidth="1"/>
    <col min="61" max="61" width="11.28515625" bestFit="1" customWidth="1"/>
  </cols>
  <sheetData>
    <row r="1" spans="1:35">
      <c r="A1" s="10" t="s">
        <v>5447</v>
      </c>
      <c r="B1" s="10" t="s">
        <v>5239</v>
      </c>
    </row>
    <row r="2" spans="1:35">
      <c r="A2" s="17" t="s">
        <v>5284</v>
      </c>
      <c r="B2" s="18">
        <v>0.1</v>
      </c>
    </row>
    <row r="3" spans="1:35">
      <c r="A3" s="17" t="s">
        <v>5285</v>
      </c>
      <c r="B3" s="19" t="s">
        <v>5293</v>
      </c>
    </row>
    <row r="4" spans="1:35">
      <c r="A4" s="17" t="s">
        <v>5286</v>
      </c>
      <c r="B4" s="19">
        <v>-0.4</v>
      </c>
    </row>
    <row r="5" spans="1:35">
      <c r="A5" s="17" t="s">
        <v>5287</v>
      </c>
      <c r="B5" s="19">
        <v>-0.8</v>
      </c>
    </row>
    <row r="6" spans="1:35">
      <c r="A6" s="17" t="s">
        <v>5296</v>
      </c>
      <c r="B6" s="18">
        <v>0.05</v>
      </c>
    </row>
    <row r="7" spans="1:35">
      <c r="A7" s="17" t="s">
        <v>5288</v>
      </c>
      <c r="B7" s="19" t="s">
        <v>5289</v>
      </c>
    </row>
    <row r="9" spans="1:35">
      <c r="A9" s="24" t="str" cm="1">
        <f t="array" ref="A9:G209">_4_competitor_pricing_[#All]</f>
        <v>SKU</v>
      </c>
      <c r="B9" s="24" t="str">
        <v>Product Name</v>
      </c>
      <c r="C9" s="24" t="str">
        <v>Competitor</v>
      </c>
      <c r="D9" s="24" t="str">
        <v>Competitor Price</v>
      </c>
      <c r="E9" s="24" t="str">
        <v>Comp Rating</v>
      </c>
      <c r="F9" s="24" t="str">
        <v>Comp Review Count</v>
      </c>
      <c r="G9" s="24" t="str">
        <v>Observation Date</v>
      </c>
      <c r="H9" s="5" t="s">
        <v>5252</v>
      </c>
      <c r="I9" s="5" t="s">
        <v>5294</v>
      </c>
      <c r="J9" s="24" t="s">
        <v>2</v>
      </c>
      <c r="K9" s="24" t="s">
        <v>5247</v>
      </c>
      <c r="L9" s="24" t="s">
        <v>5248</v>
      </c>
      <c r="M9" s="5" t="s">
        <v>5249</v>
      </c>
      <c r="N9" s="24" t="s">
        <v>5250</v>
      </c>
      <c r="O9" s="24" t="s">
        <v>5251</v>
      </c>
      <c r="P9" s="24" t="s">
        <v>5259</v>
      </c>
      <c r="Q9" s="24" t="s">
        <v>5260</v>
      </c>
      <c r="R9" s="24" t="s">
        <v>5237</v>
      </c>
      <c r="S9" s="24" t="s">
        <v>5263</v>
      </c>
      <c r="T9" s="5" t="s">
        <v>5264</v>
      </c>
      <c r="U9" s="24" t="s">
        <v>5307</v>
      </c>
      <c r="V9" s="24" t="s">
        <v>5245</v>
      </c>
      <c r="W9" s="24" t="s">
        <v>5314</v>
      </c>
      <c r="X9" s="5" t="s">
        <v>5318</v>
      </c>
      <c r="Y9" s="24" t="s">
        <v>5261</v>
      </c>
      <c r="Z9" s="24" t="s">
        <v>5262</v>
      </c>
      <c r="AA9" s="24" t="s">
        <v>5270</v>
      </c>
      <c r="AB9" s="24" t="s">
        <v>5265</v>
      </c>
      <c r="AC9" s="24" t="s">
        <v>5280</v>
      </c>
      <c r="AD9" s="24" t="s">
        <v>5281</v>
      </c>
      <c r="AE9" s="24" t="s">
        <v>5266</v>
      </c>
      <c r="AF9" s="24" t="s">
        <v>5267</v>
      </c>
      <c r="AG9" s="24" t="s">
        <v>5268</v>
      </c>
      <c r="AH9" s="24" t="s">
        <v>5269</v>
      </c>
      <c r="AI9" s="5" t="s">
        <v>5292</v>
      </c>
    </row>
    <row r="10" spans="1:35">
      <c r="A10" s="24" t="str">
        <v>SKU-1000</v>
      </c>
      <c r="B10" s="24" t="str">
        <v>Wireless Earbuds</v>
      </c>
      <c r="C10" s="24" t="str">
        <v>RivalMart</v>
      </c>
      <c r="D10" s="23">
        <v>63.06</v>
      </c>
      <c r="E10" s="24">
        <v>4.3</v>
      </c>
      <c r="F10" s="24">
        <v>1109</v>
      </c>
      <c r="G10" s="40">
        <v>45321</v>
      </c>
      <c r="H10" s="28" cm="1">
        <f t="array" ref="H10:H209">AVERAGEIF($A10:$A209, $A10:$A209, $D10:$D209)</f>
        <v>71.835000000000008</v>
      </c>
      <c r="I10" s="11">
        <f>($K10 - $D10) / $D10</f>
        <v>0.21360608943862985</v>
      </c>
      <c r="J10" s="24" t="str" cm="1">
        <f t="array" ref="J10:J209">_xlfn.XLOOKUP($A10:$A209, _1_product_catalog_pricing[SKU], _1_product_catalog_pricing[Category], , 0)</f>
        <v>Electronics</v>
      </c>
      <c r="K10" s="23" cm="1">
        <f t="array" ref="K10:K209">_xlfn.XLOOKUP($A10:$A209, _1_product_catalog_pricing[SKU], _1_product_catalog_pricing[Retail Price ($)], , 0)</f>
        <v>76.53</v>
      </c>
      <c r="L10" s="23" cm="1">
        <f t="array" ref="L10:L209">_xlfn.XLOOKUP($A10:$A209, _1_product_catalog_pricing[SKU], _1_product_catalog_pricing[Cost Price ($)], ,0)</f>
        <v>52.96</v>
      </c>
      <c r="M10" s="9" cm="1">
        <f t="array" ref="M10:M209">(_xlfn.ANCHORARRAY($K10)-_xlfn.ANCHORARRAY($L10))/_xlfn.ANCHORARRAY($K10)</f>
        <v>0.30798379720371094</v>
      </c>
      <c r="N10" s="24" cm="1">
        <f t="array" ref="N10:N209">_xlfn.XLOOKUP($A10:$A209, _1_product_catalog_pricing[SKU], _1_product_catalog_pricing[Rating (1-5)],,0)</f>
        <v>4.5</v>
      </c>
      <c r="O10" s="24" cm="1">
        <f t="array" ref="O10:O209">_xlfn.XLOOKUP($A10:$A209, _1_product_catalog_pricing[SKU], _1_product_catalog_pricing[Review Count],,0)</f>
        <v>2781</v>
      </c>
      <c r="P10" s="24" cm="1">
        <f t="array" ref="P10:P209">_xlfn.XLOOKUP($A10:$A209, _1_product_catalog_pricing[SKU], _1_product_catalog_pricing[Stock Units],,0)</f>
        <v>71</v>
      </c>
      <c r="Q10" s="24" cm="1">
        <f t="array" ref="Q10:Q209">SUMIFS(_2_sales_transactions[Quantity], _2_sales_transactions[SKU], 'Competitive Analysis (Step 1)'!$A10:$A209, _2_sales_transactions[Order Status],  "Completed")</f>
        <v>24</v>
      </c>
      <c r="R10" s="23" cm="1">
        <f t="array" ref="R10:R209">SUMIFS(Transactions_and_Customer_Information_Joined[Gross Revenue], Transactions_and_Customer_Information_Joined[SKU], 'Competitive Analysis (Step 1)'!A10:A209, Transactions_and_Customer_Information_Joined[Order Status], "Completed")</f>
        <v>1836.7199999999998</v>
      </c>
      <c r="S10" s="23" cm="1">
        <f t="array" ref="S10:S209">SUMIFS(_2_sales_transactions[COGS ($)], _2_sales_transactions[SKU], 'Competitive Analysis (Step 1)'!$A10:$A209, _2_sales_transactions[Order Status], "Completed")</f>
        <v>1271.0400000000002</v>
      </c>
      <c r="T10" s="28" cm="1">
        <f t="array" ref="T10:T209">_xlfn.ANCHORARRAY($R10)-_xlfn.ANCHORARRAY($S10)</f>
        <v>565.67999999999961</v>
      </c>
      <c r="U10" s="23" cm="1">
        <f t="array" ref="U10:U209">SUMIFS(Transactions_and_Customer_Information_Joined[Discount Amount ($)], Transactions_and_Customer_Information_Joined[SKU], 'Competitive Analysis (Step 1)'!A10:A209, Transactions_and_Customer_Information_Joined[Order Status], "Completed")</f>
        <v>91.83</v>
      </c>
      <c r="V10" s="23" cm="1">
        <f t="array" ref="V10:V209">SUMIFS(_2_sales_transactions[Revenue Less Discount ($)], _2_sales_transactions[SKU], 'Competitive Analysis (Step 1)'!$A10:$A209, _2_sales_transactions[Order Status], "Completed")</f>
        <v>1744.8899999999999</v>
      </c>
      <c r="W10" s="23">
        <f>SUMIFS(Transactions_and_Customer_Information_Joined[Gross Profit ($)], Transactions_and_Customer_Information_Joined[SKU], 'Competitive Analysis (Step 1)'!$A10, Transactions_and_Customer_Information_Joined[Order Status], "Completed")</f>
        <v>473.84999999999991</v>
      </c>
      <c r="X10" s="9" cm="1">
        <f t="array" ref="X10:X209">_xlfn.ANCHORARRAY($W10)/_xlfn.ANCHORARRAY($V10)</f>
        <v>0.27156439660952836</v>
      </c>
      <c r="Y10" s="24" cm="1">
        <f t="array" ref="Y10:Y209">COUNTIFS(_2_sales_transactions[SKU], 'Competitive Analysis (Step 1)'!$A10:$A209, _2_sales_transactions[Order Status], "Completed")</f>
        <v>10</v>
      </c>
      <c r="Z10" s="41" cm="1">
        <f t="array" ref="Z10:Z209">AVERAGEIFS(_2_sales_transactions[Discount (%)], _2_sales_transactions[SKU], 'Competitive Analysis (Step 1)'!$A10:$A209, _2_sales_transactions[Order Status], "Completed")</f>
        <v>5</v>
      </c>
      <c r="AA10" s="21" cm="1">
        <f t="array" ref="AA10:AA209">COUNTIFS(Transactions_and_Customer_Information_Joined[SKU], 'Competitive Analysis (Step 1)'!$A10:$A209, Transactions_and_Customer_Information_Joined[Order Status], "Completed", Transactions_and_Customer_Information_Joined[3_customer_segments.Discount Sensitivity], "High") /_xlfn.ANCHORARRAY($Y10)</f>
        <v>0.3</v>
      </c>
      <c r="AB10" s="21" cm="1">
        <f t="array" ref="AB10:AB209">COUNTIFS(Transactions_and_Customer_Information_Joined[SKU], 'Competitive Analysis (Step 1)'!$A10:$A209, Transactions_and_Customer_Information_Joined[3_customer_segments.Segment], "Loyal High-Value", Transactions_and_Customer_Information_Joined[Order Status], "Completed") /_xlfn.ANCHORARRAY($Y10)</f>
        <v>0.1</v>
      </c>
      <c r="AC10" s="21" cm="1">
        <f t="array" ref="AC10:AC209">COUNTIFS(Transactions_and_Customer_Information_Joined[SKU], 'Competitive Analysis (Step 1)'!$A10:$A209, Transactions_and_Customer_Information_Joined[3_customer_segments.Segment], "At-Risk Churner", Transactions_and_Customer_Information_Joined[Order Status], "Completed") /_xlfn.ANCHORARRAY($Y10)</f>
        <v>0.1</v>
      </c>
      <c r="AD10" s="21" cm="1">
        <f t="array" ref="AD10:AD209">COUNTIFS(Transactions_and_Customer_Information_Joined[SKU], 'Competitive Analysis (Step 1)'!$A10:$A209, Transactions_and_Customer_Information_Joined[3_customer_segments.Segment], "Dormant", Transactions_and_Customer_Information_Joined[Order Status], "Completed") /_xlfn.ANCHORARRAY($Y10)</f>
        <v>0.3</v>
      </c>
      <c r="AE10" s="21" cm="1">
        <f t="array" ref="AE10:AE209">COUNTIFS(Transactions_and_Customer_Information_Joined[SKU], 'Competitive Analysis (Step 1)'!$A10:$A209, Transactions_and_Customer_Information_Joined[3_customer_segments.Segment], "Deal Hunter", Transactions_and_Customer_Information_Joined[Order Status], "Completed") /_xlfn.ANCHORARRAY($Y10)</f>
        <v>0.1</v>
      </c>
      <c r="AF10" s="31" cm="1">
        <f t="array" ref="AF10:AF209">AVERAGEIFS(Transactions_and_Customer_Information_Joined[3_customer_segments.Days Since Last Order], Transactions_and_Customer_Information_Joined[Order Status], "Completed", Transactions_and_Customer_Information_Joined[SKU], 'Competitive Analysis (Step 1)'!$A10:$A209)</f>
        <v>165.5</v>
      </c>
      <c r="AG10" s="21" cm="1">
        <f t="array" ref="AG10:AG209">COUNTIFS(Transactions_and_Customer_Information_Joined[SKU], 'Competitive Analysis (Step 1)'!$A10:$A209, Transactions_and_Customer_Information_Joined[Order Status], "Returned") / ('Competitive Analysis (Step 1)'!$Y10 + COUNTIFS(Transactions_and_Customer_Information_Joined[SKU], 'Competitive Analysis (Step 1)'!$A10:$A209, Transactions_and_Customer_Information_Joined[Order Status], "Returned"))</f>
        <v>0.33333333333333331</v>
      </c>
      <c r="AH10" s="21" cm="1">
        <f t="array" ref="AH10:AH209">COUNTIFS(Transactions_and_Customer_Information_Joined[SKU], 'Competitive Analysis (Step 1)'!$A10:$A209, Transactions_and_Customer_Information_Joined[Order Status], "Cancelled") / ('Competitive Analysis (Step 1)'!$Y10 + COUNTIFS(Transactions_and_Customer_Information_Joined[SKU], 'Competitive Analysis (Step 1)'!$A10:$A209, Transactions_and_Customer_Information_Joined[Order Status], "Cancelled"))</f>
        <v>9.0909090909090912E-2</v>
      </c>
      <c r="AI10" s="5" t="str" cm="1">
        <f t="array" ref="AI10:AI209">_xlfn.IFS($I10:$I209 &gt;$B$2, "Reduce", $I10:$I209 &lt; - $B$2, "Raise", OR($I10:$I209 &gt; -$B$2,  $I10:$I209 &lt;  $B$2), "Hold")</f>
        <v>Reduce</v>
      </c>
    </row>
    <row r="11" spans="1:35">
      <c r="A11" s="24" t="str">
        <v>SKU-1000</v>
      </c>
      <c r="B11" s="24" t="str">
        <v>Wireless Earbuds</v>
      </c>
      <c r="C11" s="24" t="str">
        <v>ShopNow</v>
      </c>
      <c r="D11" s="23">
        <v>76.06</v>
      </c>
      <c r="E11" s="24">
        <v>3.2</v>
      </c>
      <c r="F11" s="24">
        <v>1664</v>
      </c>
      <c r="G11" s="40">
        <v>45314</v>
      </c>
      <c r="H11" s="28">
        <v>71.835000000000008</v>
      </c>
      <c r="I11" s="11">
        <f t="shared" ref="I11:I74" si="0">($K11 - $D11) / $D11</f>
        <v>6.179332106231907E-3</v>
      </c>
      <c r="J11" s="24" t="str">
        <v>Electronics</v>
      </c>
      <c r="K11" s="23">
        <v>76.53</v>
      </c>
      <c r="L11" s="23">
        <v>52.96</v>
      </c>
      <c r="M11" s="9">
        <v>0.30798379720371094</v>
      </c>
      <c r="N11" s="24">
        <v>4.5</v>
      </c>
      <c r="O11" s="24">
        <v>2781</v>
      </c>
      <c r="P11" s="24">
        <v>71</v>
      </c>
      <c r="Q11" s="24">
        <v>24</v>
      </c>
      <c r="R11" s="23">
        <v>1836.7199999999998</v>
      </c>
      <c r="S11" s="23">
        <v>1271.0400000000002</v>
      </c>
      <c r="T11" s="28">
        <v>565.67999999999961</v>
      </c>
      <c r="U11" s="23">
        <v>91.83</v>
      </c>
      <c r="V11" s="23">
        <v>1744.8899999999999</v>
      </c>
      <c r="W11" s="23">
        <f>SUMIFS(Transactions_and_Customer_Information_Joined[Gross Profit ($)], Transactions_and_Customer_Information_Joined[SKU], 'Competitive Analysis (Step 1)'!$A11, Transactions_and_Customer_Information_Joined[Order Status], "Completed")</f>
        <v>473.84999999999991</v>
      </c>
      <c r="X11" s="9">
        <v>0.27156439660952836</v>
      </c>
      <c r="Y11" s="24">
        <v>10</v>
      </c>
      <c r="Z11" s="41">
        <v>5</v>
      </c>
      <c r="AA11" s="21">
        <v>0.3</v>
      </c>
      <c r="AB11" s="21">
        <v>0.1</v>
      </c>
      <c r="AC11" s="21">
        <v>0.1</v>
      </c>
      <c r="AD11" s="21">
        <v>0.3</v>
      </c>
      <c r="AE11" s="21">
        <v>0.1</v>
      </c>
      <c r="AF11" s="31">
        <v>165.5</v>
      </c>
      <c r="AG11" s="21">
        <v>0.33333333333333331</v>
      </c>
      <c r="AH11" s="21">
        <v>9.0909090909090912E-2</v>
      </c>
      <c r="AI11" s="5" t="str">
        <v>Hold</v>
      </c>
    </row>
    <row r="12" spans="1:35">
      <c r="A12" s="24" t="str">
        <v>SKU-1000</v>
      </c>
      <c r="B12" s="24" t="str">
        <v>Wireless Earbuds</v>
      </c>
      <c r="C12" s="24" t="str">
        <v>BestDeals</v>
      </c>
      <c r="D12" s="23">
        <v>76.63</v>
      </c>
      <c r="E12" s="24">
        <v>3</v>
      </c>
      <c r="F12" s="24">
        <v>479</v>
      </c>
      <c r="G12" s="40">
        <v>45347</v>
      </c>
      <c r="H12" s="28">
        <v>71.835000000000008</v>
      </c>
      <c r="I12" s="11">
        <f t="shared" si="0"/>
        <v>-1.3049719431031492E-3</v>
      </c>
      <c r="J12" s="24" t="str">
        <v>Electronics</v>
      </c>
      <c r="K12" s="23">
        <v>76.53</v>
      </c>
      <c r="L12" s="23">
        <v>52.96</v>
      </c>
      <c r="M12" s="9">
        <v>0.30798379720371094</v>
      </c>
      <c r="N12" s="24">
        <v>4.5</v>
      </c>
      <c r="O12" s="24">
        <v>2781</v>
      </c>
      <c r="P12" s="24">
        <v>71</v>
      </c>
      <c r="Q12" s="24">
        <v>24</v>
      </c>
      <c r="R12" s="23">
        <v>1836.7199999999998</v>
      </c>
      <c r="S12" s="23">
        <v>1271.0400000000002</v>
      </c>
      <c r="T12" s="28">
        <v>565.67999999999961</v>
      </c>
      <c r="U12" s="23">
        <v>91.83</v>
      </c>
      <c r="V12" s="23">
        <v>1744.8899999999999</v>
      </c>
      <c r="W12" s="23">
        <f>SUMIFS(Transactions_and_Customer_Information_Joined[Gross Profit ($)], Transactions_and_Customer_Information_Joined[SKU], 'Competitive Analysis (Step 1)'!$A12, Transactions_and_Customer_Information_Joined[Order Status], "Completed")</f>
        <v>473.84999999999991</v>
      </c>
      <c r="X12" s="9">
        <v>0.27156439660952836</v>
      </c>
      <c r="Y12" s="24">
        <v>10</v>
      </c>
      <c r="Z12" s="41">
        <v>5</v>
      </c>
      <c r="AA12" s="21">
        <v>0.3</v>
      </c>
      <c r="AB12" s="21">
        <v>0.1</v>
      </c>
      <c r="AC12" s="21">
        <v>0.1</v>
      </c>
      <c r="AD12" s="21">
        <v>0.3</v>
      </c>
      <c r="AE12" s="21">
        <v>0.1</v>
      </c>
      <c r="AF12" s="31">
        <v>165.5</v>
      </c>
      <c r="AG12" s="21">
        <v>0.33333333333333331</v>
      </c>
      <c r="AH12" s="21">
        <v>9.0909090909090912E-2</v>
      </c>
      <c r="AI12" s="5" t="str">
        <v>Hold</v>
      </c>
    </row>
    <row r="13" spans="1:35">
      <c r="A13" s="24" t="str">
        <v>SKU-1000</v>
      </c>
      <c r="B13" s="24" t="str">
        <v>Wireless Earbuds</v>
      </c>
      <c r="C13" s="24" t="str">
        <v>QuickCart</v>
      </c>
      <c r="D13" s="23">
        <v>71.59</v>
      </c>
      <c r="E13" s="24">
        <v>4.8</v>
      </c>
      <c r="F13" s="24">
        <v>1407</v>
      </c>
      <c r="G13" s="40">
        <v>45368</v>
      </c>
      <c r="H13" s="28">
        <v>71.835000000000008</v>
      </c>
      <c r="I13" s="11">
        <f t="shared" si="0"/>
        <v>6.9004050845090065E-2</v>
      </c>
      <c r="J13" s="24" t="str">
        <v>Electronics</v>
      </c>
      <c r="K13" s="23">
        <v>76.53</v>
      </c>
      <c r="L13" s="23">
        <v>52.96</v>
      </c>
      <c r="M13" s="9">
        <v>0.30798379720371094</v>
      </c>
      <c r="N13" s="24">
        <v>4.5</v>
      </c>
      <c r="O13" s="24">
        <v>2781</v>
      </c>
      <c r="P13" s="24">
        <v>71</v>
      </c>
      <c r="Q13" s="24">
        <v>24</v>
      </c>
      <c r="R13" s="23">
        <v>1836.7199999999998</v>
      </c>
      <c r="S13" s="23">
        <v>1271.0400000000002</v>
      </c>
      <c r="T13" s="28">
        <v>565.67999999999961</v>
      </c>
      <c r="U13" s="23">
        <v>91.83</v>
      </c>
      <c r="V13" s="23">
        <v>1744.8899999999999</v>
      </c>
      <c r="W13" s="23">
        <f>SUMIFS(Transactions_and_Customer_Information_Joined[Gross Profit ($)], Transactions_and_Customer_Information_Joined[SKU], 'Competitive Analysis (Step 1)'!$A13, Transactions_and_Customer_Information_Joined[Order Status], "Completed")</f>
        <v>473.84999999999991</v>
      </c>
      <c r="X13" s="9">
        <v>0.27156439660952836</v>
      </c>
      <c r="Y13" s="24">
        <v>10</v>
      </c>
      <c r="Z13" s="41">
        <v>5</v>
      </c>
      <c r="AA13" s="21">
        <v>0.3</v>
      </c>
      <c r="AB13" s="21">
        <v>0.1</v>
      </c>
      <c r="AC13" s="21">
        <v>0.1</v>
      </c>
      <c r="AD13" s="21">
        <v>0.3</v>
      </c>
      <c r="AE13" s="21">
        <v>0.1</v>
      </c>
      <c r="AF13" s="31">
        <v>165.5</v>
      </c>
      <c r="AG13" s="21">
        <v>0.33333333333333331</v>
      </c>
      <c r="AH13" s="21">
        <v>9.0909090909090912E-2</v>
      </c>
      <c r="AI13" s="5" t="str">
        <v>Hold</v>
      </c>
    </row>
    <row r="14" spans="1:35">
      <c r="A14" s="24" t="str">
        <v>SKU-1001</v>
      </c>
      <c r="B14" s="24" t="str">
        <v>Bluetooth Speaker</v>
      </c>
      <c r="C14" s="24" t="str">
        <v>RivalMart</v>
      </c>
      <c r="D14" s="23">
        <v>60.11</v>
      </c>
      <c r="E14" s="24">
        <v>4.9000000000000004</v>
      </c>
      <c r="F14" s="24">
        <v>2485</v>
      </c>
      <c r="G14" s="40">
        <v>45326</v>
      </c>
      <c r="H14" s="28">
        <v>56.809999999999995</v>
      </c>
      <c r="I14" s="11">
        <f t="shared" si="0"/>
        <v>-0.11395774413575115</v>
      </c>
      <c r="J14" s="24" t="str">
        <v>Electronics</v>
      </c>
      <c r="K14" s="23">
        <v>53.26</v>
      </c>
      <c r="L14" s="23">
        <v>36.64</v>
      </c>
      <c r="M14" s="9">
        <v>0.31205407435223431</v>
      </c>
      <c r="N14" s="24">
        <v>3.4</v>
      </c>
      <c r="O14" s="24">
        <v>2671</v>
      </c>
      <c r="P14" s="24">
        <v>287</v>
      </c>
      <c r="Q14" s="24">
        <v>21</v>
      </c>
      <c r="R14" s="23">
        <v>1118.46</v>
      </c>
      <c r="S14" s="23">
        <v>769.43999999999994</v>
      </c>
      <c r="T14" s="28">
        <v>349.0200000000001</v>
      </c>
      <c r="U14" s="23">
        <v>101.19999999999999</v>
      </c>
      <c r="V14" s="23">
        <v>1017.26</v>
      </c>
      <c r="W14" s="23">
        <f>SUMIFS(Transactions_and_Customer_Information_Joined[Gross Profit ($)], Transactions_and_Customer_Information_Joined[SKU], 'Competitive Analysis (Step 1)'!$A14, Transactions_and_Customer_Information_Joined[Order Status], "Completed")</f>
        <v>247.82</v>
      </c>
      <c r="X14" s="9">
        <v>0.46581011737412253</v>
      </c>
      <c r="Y14" s="24">
        <v>9</v>
      </c>
      <c r="Z14" s="41">
        <v>8.8888888888888893</v>
      </c>
      <c r="AA14" s="21">
        <v>0.33333333333333331</v>
      </c>
      <c r="AB14" s="21">
        <v>0.1111111111111111</v>
      </c>
      <c r="AC14" s="21">
        <v>0.1111111111111111</v>
      </c>
      <c r="AD14" s="21">
        <v>0.22222222222222221</v>
      </c>
      <c r="AE14" s="21">
        <v>0.1111111111111111</v>
      </c>
      <c r="AF14" s="31">
        <v>214.22222222222223</v>
      </c>
      <c r="AG14" s="21">
        <v>0.16666666666666666</v>
      </c>
      <c r="AH14" s="21">
        <v>0.33333333333333331</v>
      </c>
      <c r="AI14" s="5" t="str">
        <v>Raise</v>
      </c>
    </row>
    <row r="15" spans="1:35">
      <c r="A15" s="24" t="str">
        <v>SKU-1001</v>
      </c>
      <c r="B15" s="24" t="str">
        <v>Bluetooth Speaker</v>
      </c>
      <c r="C15" s="24" t="str">
        <v>ShopNow</v>
      </c>
      <c r="D15" s="23">
        <v>64.58</v>
      </c>
      <c r="E15" s="24">
        <v>3.7</v>
      </c>
      <c r="F15" s="24">
        <v>2332</v>
      </c>
      <c r="G15" s="40">
        <v>45358</v>
      </c>
      <c r="H15" s="28">
        <v>56.809999999999995</v>
      </c>
      <c r="I15" s="11">
        <f t="shared" si="0"/>
        <v>-0.17528646639826573</v>
      </c>
      <c r="J15" s="24" t="str">
        <v>Electronics</v>
      </c>
      <c r="K15" s="23">
        <v>53.26</v>
      </c>
      <c r="L15" s="23">
        <v>36.64</v>
      </c>
      <c r="M15" s="9">
        <v>0.31205407435223431</v>
      </c>
      <c r="N15" s="24">
        <v>3.4</v>
      </c>
      <c r="O15" s="24">
        <v>2671</v>
      </c>
      <c r="P15" s="24">
        <v>287</v>
      </c>
      <c r="Q15" s="24">
        <v>21</v>
      </c>
      <c r="R15" s="23">
        <v>1118.46</v>
      </c>
      <c r="S15" s="23">
        <v>769.43999999999994</v>
      </c>
      <c r="T15" s="28">
        <v>349.0200000000001</v>
      </c>
      <c r="U15" s="23">
        <v>101.19999999999999</v>
      </c>
      <c r="V15" s="23">
        <v>1017.26</v>
      </c>
      <c r="W15" s="23">
        <f>SUMIFS(Transactions_and_Customer_Information_Joined[Gross Profit ($)], Transactions_and_Customer_Information_Joined[SKU], 'Competitive Analysis (Step 1)'!$A15, Transactions_and_Customer_Information_Joined[Order Status], "Completed")</f>
        <v>247.82</v>
      </c>
      <c r="X15" s="9">
        <v>0.46581011737412253</v>
      </c>
      <c r="Y15" s="24">
        <v>9</v>
      </c>
      <c r="Z15" s="41">
        <v>8.8888888888888893</v>
      </c>
      <c r="AA15" s="21">
        <v>0.33333333333333331</v>
      </c>
      <c r="AB15" s="21">
        <v>0.1111111111111111</v>
      </c>
      <c r="AC15" s="21">
        <v>0.1111111111111111</v>
      </c>
      <c r="AD15" s="21">
        <v>0.22222222222222221</v>
      </c>
      <c r="AE15" s="21">
        <v>0.1111111111111111</v>
      </c>
      <c r="AF15" s="31">
        <v>214.22222222222223</v>
      </c>
      <c r="AG15" s="21">
        <v>0.16666666666666666</v>
      </c>
      <c r="AH15" s="21">
        <v>0.33333333333333331</v>
      </c>
      <c r="AI15" s="5" t="str">
        <v>Raise</v>
      </c>
    </row>
    <row r="16" spans="1:35">
      <c r="A16" s="24" t="str">
        <v>SKU-1001</v>
      </c>
      <c r="B16" s="24" t="str">
        <v>Bluetooth Speaker</v>
      </c>
      <c r="C16" s="24" t="str">
        <v>BestDeals</v>
      </c>
      <c r="D16" s="23">
        <v>56.33</v>
      </c>
      <c r="E16" s="24">
        <v>4.0999999999999996</v>
      </c>
      <c r="F16" s="24">
        <v>2209</v>
      </c>
      <c r="G16" s="40">
        <v>45344</v>
      </c>
      <c r="H16" s="28">
        <v>56.809999999999995</v>
      </c>
      <c r="I16" s="11">
        <f t="shared" si="0"/>
        <v>-5.4500266287946041E-2</v>
      </c>
      <c r="J16" s="24" t="str">
        <v>Electronics</v>
      </c>
      <c r="K16" s="23">
        <v>53.26</v>
      </c>
      <c r="L16" s="23">
        <v>36.64</v>
      </c>
      <c r="M16" s="9">
        <v>0.31205407435223431</v>
      </c>
      <c r="N16" s="24">
        <v>3.4</v>
      </c>
      <c r="O16" s="24">
        <v>2671</v>
      </c>
      <c r="P16" s="24">
        <v>287</v>
      </c>
      <c r="Q16" s="24">
        <v>21</v>
      </c>
      <c r="R16" s="23">
        <v>1118.46</v>
      </c>
      <c r="S16" s="23">
        <v>769.43999999999994</v>
      </c>
      <c r="T16" s="28">
        <v>349.0200000000001</v>
      </c>
      <c r="U16" s="23">
        <v>101.19999999999999</v>
      </c>
      <c r="V16" s="23">
        <v>1017.26</v>
      </c>
      <c r="W16" s="23">
        <f>SUMIFS(Transactions_and_Customer_Information_Joined[Gross Profit ($)], Transactions_and_Customer_Information_Joined[SKU], 'Competitive Analysis (Step 1)'!$A16, Transactions_and_Customer_Information_Joined[Order Status], "Completed")</f>
        <v>247.82</v>
      </c>
      <c r="X16" s="9">
        <v>0.46581011737412253</v>
      </c>
      <c r="Y16" s="24">
        <v>9</v>
      </c>
      <c r="Z16" s="41">
        <v>8.8888888888888893</v>
      </c>
      <c r="AA16" s="21">
        <v>0.33333333333333331</v>
      </c>
      <c r="AB16" s="21">
        <v>0.1111111111111111</v>
      </c>
      <c r="AC16" s="21">
        <v>0.1111111111111111</v>
      </c>
      <c r="AD16" s="21">
        <v>0.22222222222222221</v>
      </c>
      <c r="AE16" s="21">
        <v>0.1111111111111111</v>
      </c>
      <c r="AF16" s="31">
        <v>214.22222222222223</v>
      </c>
      <c r="AG16" s="21">
        <v>0.16666666666666666</v>
      </c>
      <c r="AH16" s="21">
        <v>0.33333333333333331</v>
      </c>
      <c r="AI16" s="5" t="str">
        <v>Hold</v>
      </c>
    </row>
    <row r="17" spans="1:35">
      <c r="A17" s="24" t="str">
        <v>SKU-1001</v>
      </c>
      <c r="B17" s="24" t="str">
        <v>Bluetooth Speaker</v>
      </c>
      <c r="C17" s="24" t="str">
        <v>QuickCart</v>
      </c>
      <c r="D17" s="23">
        <v>46.22</v>
      </c>
      <c r="E17" s="24">
        <v>4.0999999999999996</v>
      </c>
      <c r="F17" s="24">
        <v>1896</v>
      </c>
      <c r="G17" s="40">
        <v>45382</v>
      </c>
      <c r="H17" s="28">
        <v>56.809999999999995</v>
      </c>
      <c r="I17" s="11">
        <f t="shared" si="0"/>
        <v>0.15231501514495888</v>
      </c>
      <c r="J17" s="24" t="str">
        <v>Electronics</v>
      </c>
      <c r="K17" s="23">
        <v>53.26</v>
      </c>
      <c r="L17" s="23">
        <v>36.64</v>
      </c>
      <c r="M17" s="9">
        <v>0.31205407435223431</v>
      </c>
      <c r="N17" s="24">
        <v>3.4</v>
      </c>
      <c r="O17" s="24">
        <v>2671</v>
      </c>
      <c r="P17" s="24">
        <v>287</v>
      </c>
      <c r="Q17" s="24">
        <v>21</v>
      </c>
      <c r="R17" s="23">
        <v>1118.46</v>
      </c>
      <c r="S17" s="23">
        <v>769.43999999999994</v>
      </c>
      <c r="T17" s="28">
        <v>349.0200000000001</v>
      </c>
      <c r="U17" s="23">
        <v>101.19999999999999</v>
      </c>
      <c r="V17" s="23">
        <v>1017.26</v>
      </c>
      <c r="W17" s="23">
        <f>SUMIFS(Transactions_and_Customer_Information_Joined[Gross Profit ($)], Transactions_and_Customer_Information_Joined[SKU], 'Competitive Analysis (Step 1)'!$A17, Transactions_and_Customer_Information_Joined[Order Status], "Completed")</f>
        <v>247.82</v>
      </c>
      <c r="X17" s="9">
        <v>0.46581011737412253</v>
      </c>
      <c r="Y17" s="24">
        <v>9</v>
      </c>
      <c r="Z17" s="41">
        <v>8.8888888888888893</v>
      </c>
      <c r="AA17" s="21">
        <v>0.33333333333333331</v>
      </c>
      <c r="AB17" s="21">
        <v>0.1111111111111111</v>
      </c>
      <c r="AC17" s="21">
        <v>0.1111111111111111</v>
      </c>
      <c r="AD17" s="21">
        <v>0.22222222222222221</v>
      </c>
      <c r="AE17" s="21">
        <v>0.1111111111111111</v>
      </c>
      <c r="AF17" s="31">
        <v>214.22222222222223</v>
      </c>
      <c r="AG17" s="21">
        <v>0.16666666666666666</v>
      </c>
      <c r="AH17" s="21">
        <v>0.33333333333333331</v>
      </c>
      <c r="AI17" s="5" t="str">
        <v>Reduce</v>
      </c>
    </row>
    <row r="18" spans="1:35">
      <c r="A18" s="24" t="str">
        <v>SKU-1002</v>
      </c>
      <c r="B18" s="24" t="str">
        <v>Smart Watch</v>
      </c>
      <c r="C18" s="24" t="str">
        <v>RivalMart</v>
      </c>
      <c r="D18" s="23">
        <v>60.69</v>
      </c>
      <c r="E18" s="24">
        <v>3.5</v>
      </c>
      <c r="F18" s="24">
        <v>1138</v>
      </c>
      <c r="G18" s="40">
        <v>45307</v>
      </c>
      <c r="H18" s="28">
        <v>63.749999999999993</v>
      </c>
      <c r="I18" s="11">
        <f t="shared" si="0"/>
        <v>0.21173175152413923</v>
      </c>
      <c r="J18" s="24" t="str">
        <v>Electronics</v>
      </c>
      <c r="K18" s="23">
        <v>73.540000000000006</v>
      </c>
      <c r="L18" s="23">
        <v>38.69</v>
      </c>
      <c r="M18" s="9">
        <v>0.47389175958661961</v>
      </c>
      <c r="N18" s="24">
        <v>3.8</v>
      </c>
      <c r="O18" s="24">
        <v>1148</v>
      </c>
      <c r="P18" s="24">
        <v>357</v>
      </c>
      <c r="Q18" s="24">
        <v>35</v>
      </c>
      <c r="R18" s="23">
        <v>2290.0500000000006</v>
      </c>
      <c r="S18" s="23">
        <v>1354.1499999999999</v>
      </c>
      <c r="T18" s="28">
        <v>935.90000000000077</v>
      </c>
      <c r="U18" s="23">
        <v>137.41000000000003</v>
      </c>
      <c r="V18" s="23">
        <v>2152.6400000000003</v>
      </c>
      <c r="W18" s="23">
        <f>SUMIFS(Transactions_and_Customer_Information_Joined[Gross Profit ($)], Transactions_and_Customer_Information_Joined[SKU], 'Competitive Analysis (Step 1)'!$A18, Transactions_and_Customer_Information_Joined[Order Status], "Completed")</f>
        <v>798.49000000000012</v>
      </c>
      <c r="X18" s="9">
        <v>0.22012505574550312</v>
      </c>
      <c r="Y18" s="24">
        <v>15</v>
      </c>
      <c r="Z18" s="41">
        <v>5.666666666666667</v>
      </c>
      <c r="AA18" s="21">
        <v>0.53333333333333333</v>
      </c>
      <c r="AB18" s="21">
        <v>0.33333333333333331</v>
      </c>
      <c r="AC18" s="21">
        <v>0.2</v>
      </c>
      <c r="AD18" s="21">
        <v>6.6666666666666666E-2</v>
      </c>
      <c r="AE18" s="21">
        <v>6.6666666666666666E-2</v>
      </c>
      <c r="AF18" s="31">
        <v>183.33333333333334</v>
      </c>
      <c r="AG18" s="21">
        <v>0.23076923076923078</v>
      </c>
      <c r="AH18" s="21">
        <v>0.52380952380952384</v>
      </c>
      <c r="AI18" s="5" t="str">
        <v>Reduce</v>
      </c>
    </row>
    <row r="19" spans="1:35">
      <c r="A19" s="24" t="str">
        <v>SKU-1002</v>
      </c>
      <c r="B19" s="24" t="str">
        <v>Smart Watch</v>
      </c>
      <c r="C19" s="24" t="str">
        <v>ShopNow</v>
      </c>
      <c r="D19" s="23">
        <v>71.58</v>
      </c>
      <c r="E19" s="24">
        <v>4.3</v>
      </c>
      <c r="F19" s="24">
        <v>1230</v>
      </c>
      <c r="G19" s="40">
        <v>45320</v>
      </c>
      <c r="H19" s="28">
        <v>63.749999999999993</v>
      </c>
      <c r="I19" s="11">
        <f t="shared" si="0"/>
        <v>2.7381950265437386E-2</v>
      </c>
      <c r="J19" s="24" t="str">
        <v>Electronics</v>
      </c>
      <c r="K19" s="23">
        <v>73.540000000000006</v>
      </c>
      <c r="L19" s="23">
        <v>38.69</v>
      </c>
      <c r="M19" s="9">
        <v>0.47389175958661961</v>
      </c>
      <c r="N19" s="24">
        <v>3.8</v>
      </c>
      <c r="O19" s="24">
        <v>1148</v>
      </c>
      <c r="P19" s="24">
        <v>357</v>
      </c>
      <c r="Q19" s="24">
        <v>35</v>
      </c>
      <c r="R19" s="23">
        <v>2290.0500000000006</v>
      </c>
      <c r="S19" s="23">
        <v>1354.1499999999999</v>
      </c>
      <c r="T19" s="28">
        <v>935.90000000000077</v>
      </c>
      <c r="U19" s="23">
        <v>137.41000000000003</v>
      </c>
      <c r="V19" s="23">
        <v>2152.6400000000003</v>
      </c>
      <c r="W19" s="23">
        <f>SUMIFS(Transactions_and_Customer_Information_Joined[Gross Profit ($)], Transactions_and_Customer_Information_Joined[SKU], 'Competitive Analysis (Step 1)'!$A19, Transactions_and_Customer_Information_Joined[Order Status], "Completed")</f>
        <v>798.49000000000012</v>
      </c>
      <c r="X19" s="9">
        <v>0.22012505574550312</v>
      </c>
      <c r="Y19" s="24">
        <v>15</v>
      </c>
      <c r="Z19" s="41">
        <v>5.666666666666667</v>
      </c>
      <c r="AA19" s="21">
        <v>0.53333333333333333</v>
      </c>
      <c r="AB19" s="21">
        <v>0.33333333333333331</v>
      </c>
      <c r="AC19" s="21">
        <v>0.2</v>
      </c>
      <c r="AD19" s="21">
        <v>6.6666666666666666E-2</v>
      </c>
      <c r="AE19" s="21">
        <v>6.6666666666666666E-2</v>
      </c>
      <c r="AF19" s="31">
        <v>183.33333333333334</v>
      </c>
      <c r="AG19" s="21">
        <v>0.23076923076923078</v>
      </c>
      <c r="AH19" s="21">
        <v>0.52380952380952384</v>
      </c>
      <c r="AI19" s="5" t="str">
        <v>Hold</v>
      </c>
    </row>
    <row r="20" spans="1:35">
      <c r="A20" s="24" t="str">
        <v>SKU-1002</v>
      </c>
      <c r="B20" s="24" t="str">
        <v>Smart Watch</v>
      </c>
      <c r="C20" s="24" t="str">
        <v>BestDeals</v>
      </c>
      <c r="D20" s="23">
        <v>58.29</v>
      </c>
      <c r="E20" s="24">
        <v>3.4</v>
      </c>
      <c r="F20" s="24">
        <v>296</v>
      </c>
      <c r="G20" s="40">
        <v>45337</v>
      </c>
      <c r="H20" s="28">
        <v>63.749999999999993</v>
      </c>
      <c r="I20" s="11">
        <f t="shared" si="0"/>
        <v>0.26162291988334202</v>
      </c>
      <c r="J20" s="24" t="str">
        <v>Electronics</v>
      </c>
      <c r="K20" s="23">
        <v>73.540000000000006</v>
      </c>
      <c r="L20" s="23">
        <v>38.69</v>
      </c>
      <c r="M20" s="9">
        <v>0.47389175958661961</v>
      </c>
      <c r="N20" s="24">
        <v>3.8</v>
      </c>
      <c r="O20" s="24">
        <v>1148</v>
      </c>
      <c r="P20" s="24">
        <v>357</v>
      </c>
      <c r="Q20" s="24">
        <v>35</v>
      </c>
      <c r="R20" s="23">
        <v>2290.0500000000006</v>
      </c>
      <c r="S20" s="23">
        <v>1354.1499999999999</v>
      </c>
      <c r="T20" s="28">
        <v>935.90000000000077</v>
      </c>
      <c r="U20" s="23">
        <v>137.41000000000003</v>
      </c>
      <c r="V20" s="23">
        <v>2152.6400000000003</v>
      </c>
      <c r="W20" s="23">
        <f>SUMIFS(Transactions_and_Customer_Information_Joined[Gross Profit ($)], Transactions_and_Customer_Information_Joined[SKU], 'Competitive Analysis (Step 1)'!$A20, Transactions_and_Customer_Information_Joined[Order Status], "Completed")</f>
        <v>798.49000000000012</v>
      </c>
      <c r="X20" s="9">
        <v>0.22012505574550312</v>
      </c>
      <c r="Y20" s="24">
        <v>15</v>
      </c>
      <c r="Z20" s="41">
        <v>5.666666666666667</v>
      </c>
      <c r="AA20" s="21">
        <v>0.53333333333333333</v>
      </c>
      <c r="AB20" s="21">
        <v>0.33333333333333331</v>
      </c>
      <c r="AC20" s="21">
        <v>0.2</v>
      </c>
      <c r="AD20" s="21">
        <v>6.6666666666666666E-2</v>
      </c>
      <c r="AE20" s="21">
        <v>6.6666666666666666E-2</v>
      </c>
      <c r="AF20" s="31">
        <v>183.33333333333334</v>
      </c>
      <c r="AG20" s="21">
        <v>0.23076923076923078</v>
      </c>
      <c r="AH20" s="21">
        <v>0.52380952380952384</v>
      </c>
      <c r="AI20" s="5" t="str">
        <v>Reduce</v>
      </c>
    </row>
    <row r="21" spans="1:35">
      <c r="A21" s="24" t="str">
        <v>SKU-1002</v>
      </c>
      <c r="B21" s="24" t="str">
        <v>Smart Watch</v>
      </c>
      <c r="C21" s="24" t="str">
        <v>QuickCart</v>
      </c>
      <c r="D21" s="23">
        <v>64.44</v>
      </c>
      <c r="E21" s="24">
        <v>4</v>
      </c>
      <c r="F21" s="24">
        <v>1899</v>
      </c>
      <c r="G21" s="40">
        <v>45341</v>
      </c>
      <c r="H21" s="28">
        <v>63.749999999999993</v>
      </c>
      <c r="I21" s="11">
        <f t="shared" si="0"/>
        <v>0.14121663563004358</v>
      </c>
      <c r="J21" s="24" t="str">
        <v>Electronics</v>
      </c>
      <c r="K21" s="23">
        <v>73.540000000000006</v>
      </c>
      <c r="L21" s="23">
        <v>38.69</v>
      </c>
      <c r="M21" s="9">
        <v>0.47389175958661961</v>
      </c>
      <c r="N21" s="24">
        <v>3.8</v>
      </c>
      <c r="O21" s="24">
        <v>1148</v>
      </c>
      <c r="P21" s="24">
        <v>357</v>
      </c>
      <c r="Q21" s="24">
        <v>35</v>
      </c>
      <c r="R21" s="23">
        <v>2290.0500000000006</v>
      </c>
      <c r="S21" s="23">
        <v>1354.1499999999999</v>
      </c>
      <c r="T21" s="28">
        <v>935.90000000000077</v>
      </c>
      <c r="U21" s="23">
        <v>137.41000000000003</v>
      </c>
      <c r="V21" s="23">
        <v>2152.6400000000003</v>
      </c>
      <c r="W21" s="23">
        <f>SUMIFS(Transactions_and_Customer_Information_Joined[Gross Profit ($)], Transactions_and_Customer_Information_Joined[SKU], 'Competitive Analysis (Step 1)'!$A21, Transactions_and_Customer_Information_Joined[Order Status], "Completed")</f>
        <v>798.49000000000012</v>
      </c>
      <c r="X21" s="9">
        <v>0.22012505574550312</v>
      </c>
      <c r="Y21" s="24">
        <v>15</v>
      </c>
      <c r="Z21" s="41">
        <v>5.666666666666667</v>
      </c>
      <c r="AA21" s="21">
        <v>0.53333333333333333</v>
      </c>
      <c r="AB21" s="21">
        <v>0.33333333333333331</v>
      </c>
      <c r="AC21" s="21">
        <v>0.2</v>
      </c>
      <c r="AD21" s="21">
        <v>6.6666666666666666E-2</v>
      </c>
      <c r="AE21" s="21">
        <v>6.6666666666666666E-2</v>
      </c>
      <c r="AF21" s="31">
        <v>183.33333333333334</v>
      </c>
      <c r="AG21" s="21">
        <v>0.23076923076923078</v>
      </c>
      <c r="AH21" s="21">
        <v>0.52380952380952384</v>
      </c>
      <c r="AI21" s="5" t="str">
        <v>Reduce</v>
      </c>
    </row>
    <row r="22" spans="1:35">
      <c r="A22" s="24" t="str">
        <v>SKU-1003</v>
      </c>
      <c r="B22" s="24" t="str">
        <v>Portable Charger</v>
      </c>
      <c r="C22" s="24" t="str">
        <v>RivalMart</v>
      </c>
      <c r="D22" s="23">
        <v>126.85</v>
      </c>
      <c r="E22" s="24">
        <v>4</v>
      </c>
      <c r="F22" s="24">
        <v>1482</v>
      </c>
      <c r="G22" s="40">
        <v>45355</v>
      </c>
      <c r="H22" s="28">
        <v>141.60249999999999</v>
      </c>
      <c r="I22" s="11">
        <f t="shared" si="0"/>
        <v>0.21426882144264886</v>
      </c>
      <c r="J22" s="24" t="str">
        <v>Electronics</v>
      </c>
      <c r="K22" s="23">
        <v>154.03</v>
      </c>
      <c r="L22" s="23">
        <v>76.790000000000006</v>
      </c>
      <c r="M22" s="9">
        <v>0.5014607543984938</v>
      </c>
      <c r="N22" s="24">
        <v>4.7</v>
      </c>
      <c r="O22" s="24">
        <v>2482</v>
      </c>
      <c r="P22" s="24">
        <v>183</v>
      </c>
      <c r="Q22" s="24">
        <v>23</v>
      </c>
      <c r="R22" s="23">
        <v>3542.6900000000005</v>
      </c>
      <c r="S22" s="23">
        <v>1766.1700000000003</v>
      </c>
      <c r="T22" s="28">
        <v>1776.5200000000002</v>
      </c>
      <c r="U22" s="23">
        <v>269.55</v>
      </c>
      <c r="V22" s="23">
        <v>3273.1400000000003</v>
      </c>
      <c r="W22" s="23">
        <f>SUMIFS(Transactions_and_Customer_Information_Joined[Gross Profit ($)], Transactions_and_Customer_Information_Joined[SKU], 'Competitive Analysis (Step 1)'!$A22, Transactions_and_Customer_Information_Joined[Order Status], "Completed")</f>
        <v>1506.9699999999998</v>
      </c>
      <c r="X22" s="9">
        <v>0.14476924298991178</v>
      </c>
      <c r="Y22" s="24">
        <v>10</v>
      </c>
      <c r="Z22" s="41">
        <v>7</v>
      </c>
      <c r="AA22" s="21">
        <v>0.5</v>
      </c>
      <c r="AB22" s="21">
        <v>0</v>
      </c>
      <c r="AC22" s="21">
        <v>0.1</v>
      </c>
      <c r="AD22" s="21">
        <v>0.3</v>
      </c>
      <c r="AE22" s="21">
        <v>0.2</v>
      </c>
      <c r="AF22" s="31">
        <v>140.4</v>
      </c>
      <c r="AG22" s="21">
        <v>0.2857142857142857</v>
      </c>
      <c r="AH22" s="21">
        <v>0.41176470588235292</v>
      </c>
      <c r="AI22" s="5" t="str">
        <v>Reduce</v>
      </c>
    </row>
    <row r="23" spans="1:35">
      <c r="A23" s="24" t="str">
        <v>SKU-1003</v>
      </c>
      <c r="B23" s="24" t="str">
        <v>Portable Charger</v>
      </c>
      <c r="C23" s="24" t="str">
        <v>ShopNow</v>
      </c>
      <c r="D23" s="23">
        <v>135.68</v>
      </c>
      <c r="E23" s="24">
        <v>2.8</v>
      </c>
      <c r="F23" s="24">
        <v>1520</v>
      </c>
      <c r="G23" s="40">
        <v>45312</v>
      </c>
      <c r="H23" s="28">
        <v>141.60249999999999</v>
      </c>
      <c r="I23" s="11">
        <f t="shared" si="0"/>
        <v>0.13524469339622636</v>
      </c>
      <c r="J23" s="24" t="str">
        <v>Electronics</v>
      </c>
      <c r="K23" s="23">
        <v>154.03</v>
      </c>
      <c r="L23" s="23">
        <v>76.790000000000006</v>
      </c>
      <c r="M23" s="9">
        <v>0.5014607543984938</v>
      </c>
      <c r="N23" s="24">
        <v>4.7</v>
      </c>
      <c r="O23" s="24">
        <v>2482</v>
      </c>
      <c r="P23" s="24">
        <v>183</v>
      </c>
      <c r="Q23" s="24">
        <v>23</v>
      </c>
      <c r="R23" s="23">
        <v>3542.6900000000005</v>
      </c>
      <c r="S23" s="23">
        <v>1766.1700000000003</v>
      </c>
      <c r="T23" s="28">
        <v>1776.5200000000002</v>
      </c>
      <c r="U23" s="23">
        <v>269.55</v>
      </c>
      <c r="V23" s="23">
        <v>3273.1400000000003</v>
      </c>
      <c r="W23" s="23">
        <f>SUMIFS(Transactions_and_Customer_Information_Joined[Gross Profit ($)], Transactions_and_Customer_Information_Joined[SKU], 'Competitive Analysis (Step 1)'!$A23, Transactions_and_Customer_Information_Joined[Order Status], "Completed")</f>
        <v>1506.9699999999998</v>
      </c>
      <c r="X23" s="9">
        <v>0.14476924298991178</v>
      </c>
      <c r="Y23" s="24">
        <v>10</v>
      </c>
      <c r="Z23" s="41">
        <v>7</v>
      </c>
      <c r="AA23" s="21">
        <v>0.5</v>
      </c>
      <c r="AB23" s="21">
        <v>0</v>
      </c>
      <c r="AC23" s="21">
        <v>0.1</v>
      </c>
      <c r="AD23" s="21">
        <v>0.3</v>
      </c>
      <c r="AE23" s="21">
        <v>0.2</v>
      </c>
      <c r="AF23" s="31">
        <v>140.4</v>
      </c>
      <c r="AG23" s="21">
        <v>0.2857142857142857</v>
      </c>
      <c r="AH23" s="21">
        <v>0.41176470588235292</v>
      </c>
      <c r="AI23" s="5" t="str">
        <v>Reduce</v>
      </c>
    </row>
    <row r="24" spans="1:35">
      <c r="A24" s="24" t="str">
        <v>SKU-1003</v>
      </c>
      <c r="B24" s="24" t="str">
        <v>Portable Charger</v>
      </c>
      <c r="C24" s="24" t="str">
        <v>BestDeals</v>
      </c>
      <c r="D24" s="23">
        <v>172.87</v>
      </c>
      <c r="E24" s="24">
        <v>4.0999999999999996</v>
      </c>
      <c r="F24" s="24">
        <v>1910</v>
      </c>
      <c r="G24" s="40">
        <v>45294</v>
      </c>
      <c r="H24" s="28">
        <v>141.60249999999999</v>
      </c>
      <c r="I24" s="11">
        <f t="shared" si="0"/>
        <v>-0.10898362931682769</v>
      </c>
      <c r="J24" s="24" t="str">
        <v>Electronics</v>
      </c>
      <c r="K24" s="23">
        <v>154.03</v>
      </c>
      <c r="L24" s="23">
        <v>76.790000000000006</v>
      </c>
      <c r="M24" s="9">
        <v>0.5014607543984938</v>
      </c>
      <c r="N24" s="24">
        <v>4.7</v>
      </c>
      <c r="O24" s="24">
        <v>2482</v>
      </c>
      <c r="P24" s="24">
        <v>183</v>
      </c>
      <c r="Q24" s="24">
        <v>23</v>
      </c>
      <c r="R24" s="23">
        <v>3542.6900000000005</v>
      </c>
      <c r="S24" s="23">
        <v>1766.1700000000003</v>
      </c>
      <c r="T24" s="28">
        <v>1776.5200000000002</v>
      </c>
      <c r="U24" s="23">
        <v>269.55</v>
      </c>
      <c r="V24" s="23">
        <v>3273.1400000000003</v>
      </c>
      <c r="W24" s="23">
        <f>SUMIFS(Transactions_and_Customer_Information_Joined[Gross Profit ($)], Transactions_and_Customer_Information_Joined[SKU], 'Competitive Analysis (Step 1)'!$A24, Transactions_and_Customer_Information_Joined[Order Status], "Completed")</f>
        <v>1506.9699999999998</v>
      </c>
      <c r="X24" s="9">
        <v>0.14476924298991178</v>
      </c>
      <c r="Y24" s="24">
        <v>10</v>
      </c>
      <c r="Z24" s="41">
        <v>7</v>
      </c>
      <c r="AA24" s="21">
        <v>0.5</v>
      </c>
      <c r="AB24" s="21">
        <v>0</v>
      </c>
      <c r="AC24" s="21">
        <v>0.1</v>
      </c>
      <c r="AD24" s="21">
        <v>0.3</v>
      </c>
      <c r="AE24" s="21">
        <v>0.2</v>
      </c>
      <c r="AF24" s="31">
        <v>140.4</v>
      </c>
      <c r="AG24" s="21">
        <v>0.2857142857142857</v>
      </c>
      <c r="AH24" s="21">
        <v>0.41176470588235292</v>
      </c>
      <c r="AI24" s="5" t="str">
        <v>Raise</v>
      </c>
    </row>
    <row r="25" spans="1:35">
      <c r="A25" s="24" t="str">
        <v>SKU-1003</v>
      </c>
      <c r="B25" s="24" t="str">
        <v>Portable Charger</v>
      </c>
      <c r="C25" s="24" t="str">
        <v>QuickCart</v>
      </c>
      <c r="D25" s="23">
        <v>131.01</v>
      </c>
      <c r="E25" s="24">
        <v>4.7</v>
      </c>
      <c r="F25" s="24">
        <v>1770</v>
      </c>
      <c r="G25" s="40">
        <v>45340</v>
      </c>
      <c r="H25" s="28">
        <v>141.60249999999999</v>
      </c>
      <c r="I25" s="11">
        <f t="shared" si="0"/>
        <v>0.17571177772689117</v>
      </c>
      <c r="J25" s="24" t="str">
        <v>Electronics</v>
      </c>
      <c r="K25" s="23">
        <v>154.03</v>
      </c>
      <c r="L25" s="23">
        <v>76.790000000000006</v>
      </c>
      <c r="M25" s="9">
        <v>0.5014607543984938</v>
      </c>
      <c r="N25" s="24">
        <v>4.7</v>
      </c>
      <c r="O25" s="24">
        <v>2482</v>
      </c>
      <c r="P25" s="24">
        <v>183</v>
      </c>
      <c r="Q25" s="24">
        <v>23</v>
      </c>
      <c r="R25" s="23">
        <v>3542.6900000000005</v>
      </c>
      <c r="S25" s="23">
        <v>1766.1700000000003</v>
      </c>
      <c r="T25" s="28">
        <v>1776.5200000000002</v>
      </c>
      <c r="U25" s="23">
        <v>269.55</v>
      </c>
      <c r="V25" s="23">
        <v>3273.1400000000003</v>
      </c>
      <c r="W25" s="23">
        <f>SUMIFS(Transactions_and_Customer_Information_Joined[Gross Profit ($)], Transactions_and_Customer_Information_Joined[SKU], 'Competitive Analysis (Step 1)'!$A25, Transactions_and_Customer_Information_Joined[Order Status], "Completed")</f>
        <v>1506.9699999999998</v>
      </c>
      <c r="X25" s="9">
        <v>0.14476924298991178</v>
      </c>
      <c r="Y25" s="24">
        <v>10</v>
      </c>
      <c r="Z25" s="41">
        <v>7</v>
      </c>
      <c r="AA25" s="21">
        <v>0.5</v>
      </c>
      <c r="AB25" s="21">
        <v>0</v>
      </c>
      <c r="AC25" s="21">
        <v>0.1</v>
      </c>
      <c r="AD25" s="21">
        <v>0.3</v>
      </c>
      <c r="AE25" s="21">
        <v>0.2</v>
      </c>
      <c r="AF25" s="31">
        <v>140.4</v>
      </c>
      <c r="AG25" s="21">
        <v>0.2857142857142857</v>
      </c>
      <c r="AH25" s="21">
        <v>0.41176470588235292</v>
      </c>
      <c r="AI25" s="5" t="str">
        <v>Reduce</v>
      </c>
    </row>
    <row r="26" spans="1:35">
      <c r="A26" s="24" t="str">
        <v>SKU-1004</v>
      </c>
      <c r="B26" s="24" t="str">
        <v>USB-C Hub</v>
      </c>
      <c r="C26" s="24" t="str">
        <v>RivalMart</v>
      </c>
      <c r="D26" s="23">
        <v>22.38</v>
      </c>
      <c r="E26" s="24">
        <v>2.9</v>
      </c>
      <c r="F26" s="24">
        <v>1859</v>
      </c>
      <c r="G26" s="40">
        <v>45376</v>
      </c>
      <c r="H26" s="28">
        <v>19.987500000000001</v>
      </c>
      <c r="I26" s="11">
        <f t="shared" si="0"/>
        <v>-0.17828418230562995</v>
      </c>
      <c r="J26" s="24" t="str">
        <v>Electronics</v>
      </c>
      <c r="K26" s="23">
        <v>18.39</v>
      </c>
      <c r="L26" s="23">
        <v>8.26</v>
      </c>
      <c r="M26" s="9">
        <v>0.55084284937466022</v>
      </c>
      <c r="N26" s="24">
        <v>4.0999999999999996</v>
      </c>
      <c r="O26" s="24">
        <v>2584</v>
      </c>
      <c r="P26" s="24">
        <v>40</v>
      </c>
      <c r="Q26" s="24">
        <v>17</v>
      </c>
      <c r="R26" s="23">
        <v>312.63</v>
      </c>
      <c r="S26" s="23">
        <v>140.42000000000002</v>
      </c>
      <c r="T26" s="28">
        <v>172.20999999999998</v>
      </c>
      <c r="U26" s="23">
        <v>27.59</v>
      </c>
      <c r="V26" s="23">
        <v>285.04000000000002</v>
      </c>
      <c r="W26" s="23">
        <f>SUMIFS(Transactions_and_Customer_Information_Joined[Gross Profit ($)], Transactions_and_Customer_Information_Joined[SKU], 'Competitive Analysis (Step 1)'!$A26, Transactions_and_Customer_Information_Joined[Order Status], "Completed")</f>
        <v>144.62</v>
      </c>
      <c r="X26" s="9">
        <v>1.6623982598933478</v>
      </c>
      <c r="Y26" s="24">
        <v>9</v>
      </c>
      <c r="Z26" s="41">
        <v>8.8888888888888893</v>
      </c>
      <c r="AA26" s="21">
        <v>0.44444444444444442</v>
      </c>
      <c r="AB26" s="21">
        <v>0.33333333333333331</v>
      </c>
      <c r="AC26" s="21">
        <v>0.33333333333333331</v>
      </c>
      <c r="AD26" s="21">
        <v>0.1111111111111111</v>
      </c>
      <c r="AE26" s="21">
        <v>0</v>
      </c>
      <c r="AF26" s="31">
        <v>142.44444444444446</v>
      </c>
      <c r="AG26" s="21">
        <v>0.16666666666666666</v>
      </c>
      <c r="AH26" s="21">
        <v>0.23076923076923078</v>
      </c>
      <c r="AI26" s="5" t="str">
        <v>Raise</v>
      </c>
    </row>
    <row r="27" spans="1:35">
      <c r="A27" s="24" t="str">
        <v>SKU-1004</v>
      </c>
      <c r="B27" s="24" t="str">
        <v>USB-C Hub</v>
      </c>
      <c r="C27" s="24" t="str">
        <v>ShopNow</v>
      </c>
      <c r="D27" s="23">
        <v>21.9</v>
      </c>
      <c r="E27" s="24">
        <v>3.5</v>
      </c>
      <c r="F27" s="24">
        <v>6</v>
      </c>
      <c r="G27" s="40">
        <v>45366</v>
      </c>
      <c r="H27" s="28">
        <v>19.987500000000001</v>
      </c>
      <c r="I27" s="11">
        <f t="shared" si="0"/>
        <v>-0.16027397260273965</v>
      </c>
      <c r="J27" s="24" t="str">
        <v>Electronics</v>
      </c>
      <c r="K27" s="23">
        <v>18.39</v>
      </c>
      <c r="L27" s="23">
        <v>8.26</v>
      </c>
      <c r="M27" s="9">
        <v>0.55084284937466022</v>
      </c>
      <c r="N27" s="24">
        <v>4.0999999999999996</v>
      </c>
      <c r="O27" s="24">
        <v>2584</v>
      </c>
      <c r="P27" s="24">
        <v>40</v>
      </c>
      <c r="Q27" s="24">
        <v>17</v>
      </c>
      <c r="R27" s="23">
        <v>312.63</v>
      </c>
      <c r="S27" s="23">
        <v>140.42000000000002</v>
      </c>
      <c r="T27" s="28">
        <v>172.20999999999998</v>
      </c>
      <c r="U27" s="23">
        <v>27.59</v>
      </c>
      <c r="V27" s="23">
        <v>285.04000000000002</v>
      </c>
      <c r="W27" s="23">
        <f>SUMIFS(Transactions_and_Customer_Information_Joined[Gross Profit ($)], Transactions_and_Customer_Information_Joined[SKU], 'Competitive Analysis (Step 1)'!$A27, Transactions_and_Customer_Information_Joined[Order Status], "Completed")</f>
        <v>144.62</v>
      </c>
      <c r="X27" s="9">
        <v>1.6623982598933478</v>
      </c>
      <c r="Y27" s="24">
        <v>9</v>
      </c>
      <c r="Z27" s="41">
        <v>8.8888888888888893</v>
      </c>
      <c r="AA27" s="21">
        <v>0.44444444444444442</v>
      </c>
      <c r="AB27" s="21">
        <v>0.33333333333333331</v>
      </c>
      <c r="AC27" s="21">
        <v>0.33333333333333331</v>
      </c>
      <c r="AD27" s="21">
        <v>0.1111111111111111</v>
      </c>
      <c r="AE27" s="21">
        <v>0</v>
      </c>
      <c r="AF27" s="31">
        <v>142.44444444444446</v>
      </c>
      <c r="AG27" s="21">
        <v>0.16666666666666666</v>
      </c>
      <c r="AH27" s="21">
        <v>0.23076923076923078</v>
      </c>
      <c r="AI27" s="5" t="str">
        <v>Raise</v>
      </c>
    </row>
    <row r="28" spans="1:35">
      <c r="A28" s="24" t="str">
        <v>SKU-1004</v>
      </c>
      <c r="B28" s="24" t="str">
        <v>USB-C Hub</v>
      </c>
      <c r="C28" s="24" t="str">
        <v>BestDeals</v>
      </c>
      <c r="D28" s="23">
        <v>14.05</v>
      </c>
      <c r="E28" s="24">
        <v>4.4000000000000004</v>
      </c>
      <c r="F28" s="24">
        <v>408</v>
      </c>
      <c r="G28" s="40">
        <v>45371</v>
      </c>
      <c r="H28" s="28">
        <v>19.987500000000001</v>
      </c>
      <c r="I28" s="11">
        <f t="shared" si="0"/>
        <v>0.30889679715302487</v>
      </c>
      <c r="J28" s="24" t="str">
        <v>Electronics</v>
      </c>
      <c r="K28" s="23">
        <v>18.39</v>
      </c>
      <c r="L28" s="23">
        <v>8.26</v>
      </c>
      <c r="M28" s="9">
        <v>0.55084284937466022</v>
      </c>
      <c r="N28" s="24">
        <v>4.0999999999999996</v>
      </c>
      <c r="O28" s="24">
        <v>2584</v>
      </c>
      <c r="P28" s="24">
        <v>40</v>
      </c>
      <c r="Q28" s="24">
        <v>17</v>
      </c>
      <c r="R28" s="23">
        <v>312.63</v>
      </c>
      <c r="S28" s="23">
        <v>140.42000000000002</v>
      </c>
      <c r="T28" s="28">
        <v>172.20999999999998</v>
      </c>
      <c r="U28" s="23">
        <v>27.59</v>
      </c>
      <c r="V28" s="23">
        <v>285.04000000000002</v>
      </c>
      <c r="W28" s="23">
        <f>SUMIFS(Transactions_and_Customer_Information_Joined[Gross Profit ($)], Transactions_and_Customer_Information_Joined[SKU], 'Competitive Analysis (Step 1)'!$A28, Transactions_and_Customer_Information_Joined[Order Status], "Completed")</f>
        <v>144.62</v>
      </c>
      <c r="X28" s="9">
        <v>1.6623982598933478</v>
      </c>
      <c r="Y28" s="24">
        <v>9</v>
      </c>
      <c r="Z28" s="41">
        <v>8.8888888888888893</v>
      </c>
      <c r="AA28" s="21">
        <v>0.44444444444444442</v>
      </c>
      <c r="AB28" s="21">
        <v>0.33333333333333331</v>
      </c>
      <c r="AC28" s="21">
        <v>0.33333333333333331</v>
      </c>
      <c r="AD28" s="21">
        <v>0.1111111111111111</v>
      </c>
      <c r="AE28" s="21">
        <v>0</v>
      </c>
      <c r="AF28" s="31">
        <v>142.44444444444446</v>
      </c>
      <c r="AG28" s="21">
        <v>0.16666666666666666</v>
      </c>
      <c r="AH28" s="21">
        <v>0.23076923076923078</v>
      </c>
      <c r="AI28" s="5" t="str">
        <v>Reduce</v>
      </c>
    </row>
    <row r="29" spans="1:35">
      <c r="A29" s="24" t="str">
        <v>SKU-1004</v>
      </c>
      <c r="B29" s="24" t="str">
        <v>USB-C Hub</v>
      </c>
      <c r="C29" s="24" t="str">
        <v>QuickCart</v>
      </c>
      <c r="D29" s="23">
        <v>21.62</v>
      </c>
      <c r="E29" s="24">
        <v>3.8</v>
      </c>
      <c r="F29" s="24">
        <v>940</v>
      </c>
      <c r="G29" s="40">
        <v>45327</v>
      </c>
      <c r="H29" s="28">
        <v>19.987500000000001</v>
      </c>
      <c r="I29" s="11">
        <f t="shared" si="0"/>
        <v>-0.14939870490286772</v>
      </c>
      <c r="J29" s="24" t="str">
        <v>Electronics</v>
      </c>
      <c r="K29" s="23">
        <v>18.39</v>
      </c>
      <c r="L29" s="23">
        <v>8.26</v>
      </c>
      <c r="M29" s="9">
        <v>0.55084284937466022</v>
      </c>
      <c r="N29" s="24">
        <v>4.0999999999999996</v>
      </c>
      <c r="O29" s="24">
        <v>2584</v>
      </c>
      <c r="P29" s="24">
        <v>40</v>
      </c>
      <c r="Q29" s="24">
        <v>17</v>
      </c>
      <c r="R29" s="23">
        <v>312.63</v>
      </c>
      <c r="S29" s="23">
        <v>140.42000000000002</v>
      </c>
      <c r="T29" s="28">
        <v>172.20999999999998</v>
      </c>
      <c r="U29" s="23">
        <v>27.59</v>
      </c>
      <c r="V29" s="23">
        <v>285.04000000000002</v>
      </c>
      <c r="W29" s="23">
        <f>SUMIFS(Transactions_and_Customer_Information_Joined[Gross Profit ($)], Transactions_and_Customer_Information_Joined[SKU], 'Competitive Analysis (Step 1)'!$A29, Transactions_and_Customer_Information_Joined[Order Status], "Completed")</f>
        <v>144.62</v>
      </c>
      <c r="X29" s="9">
        <v>1.6623982598933478</v>
      </c>
      <c r="Y29" s="24">
        <v>9</v>
      </c>
      <c r="Z29" s="41">
        <v>8.8888888888888893</v>
      </c>
      <c r="AA29" s="21">
        <v>0.44444444444444442</v>
      </c>
      <c r="AB29" s="21">
        <v>0.33333333333333331</v>
      </c>
      <c r="AC29" s="21">
        <v>0.33333333333333331</v>
      </c>
      <c r="AD29" s="21">
        <v>0.1111111111111111</v>
      </c>
      <c r="AE29" s="21">
        <v>0</v>
      </c>
      <c r="AF29" s="31">
        <v>142.44444444444446</v>
      </c>
      <c r="AG29" s="21">
        <v>0.16666666666666666</v>
      </c>
      <c r="AH29" s="21">
        <v>0.23076923076923078</v>
      </c>
      <c r="AI29" s="5" t="str">
        <v>Raise</v>
      </c>
    </row>
    <row r="30" spans="1:35">
      <c r="A30" s="24" t="str">
        <v>SKU-1005</v>
      </c>
      <c r="B30" s="24" t="str">
        <v>Webcam</v>
      </c>
      <c r="C30" s="24" t="str">
        <v>RivalMart</v>
      </c>
      <c r="D30" s="23">
        <v>36.29</v>
      </c>
      <c r="E30" s="24">
        <v>3</v>
      </c>
      <c r="F30" s="24">
        <v>176</v>
      </c>
      <c r="G30" s="40">
        <v>45326</v>
      </c>
      <c r="H30" s="28">
        <v>28.584999999999997</v>
      </c>
      <c r="I30" s="11">
        <f t="shared" si="0"/>
        <v>-0.18379718930834937</v>
      </c>
      <c r="J30" s="24" t="str">
        <v>Electronics</v>
      </c>
      <c r="K30" s="23">
        <v>29.62</v>
      </c>
      <c r="L30" s="23">
        <v>19.420000000000002</v>
      </c>
      <c r="M30" s="9">
        <v>0.34436191762322749</v>
      </c>
      <c r="N30" s="24">
        <v>3.5</v>
      </c>
      <c r="O30" s="24">
        <v>423</v>
      </c>
      <c r="P30" s="24">
        <v>437</v>
      </c>
      <c r="Q30" s="24">
        <v>46</v>
      </c>
      <c r="R30" s="23">
        <v>1217.1600000000001</v>
      </c>
      <c r="S30" s="23">
        <v>893.32</v>
      </c>
      <c r="T30" s="28">
        <v>323.84000000000003</v>
      </c>
      <c r="U30" s="23">
        <v>103.19</v>
      </c>
      <c r="V30" s="23">
        <v>1113.97</v>
      </c>
      <c r="W30" s="23">
        <f>SUMIFS(Transactions_and_Customer_Information_Joined[Gross Profit ($)], Transactions_and_Customer_Information_Joined[SKU], 'Competitive Analysis (Step 1)'!$A30, Transactions_and_Customer_Information_Joined[Order Status], "Completed")</f>
        <v>220.65</v>
      </c>
      <c r="X30" s="9">
        <v>0.42537052164780009</v>
      </c>
      <c r="Y30" s="24">
        <v>17</v>
      </c>
      <c r="Z30" s="41">
        <v>8.8235294117647065</v>
      </c>
      <c r="AA30" s="21">
        <v>0.29411764705882354</v>
      </c>
      <c r="AB30" s="21">
        <v>0</v>
      </c>
      <c r="AC30" s="21">
        <v>0.17647058823529413</v>
      </c>
      <c r="AD30" s="21">
        <v>0.11764705882352941</v>
      </c>
      <c r="AE30" s="21">
        <v>0.17647058823529413</v>
      </c>
      <c r="AF30" s="31">
        <v>152.88235294117646</v>
      </c>
      <c r="AG30" s="21">
        <v>0.33333333333333331</v>
      </c>
      <c r="AH30" s="21">
        <v>0.33333333333333331</v>
      </c>
      <c r="AI30" s="5" t="str">
        <v>Raise</v>
      </c>
    </row>
    <row r="31" spans="1:35">
      <c r="A31" s="24" t="str">
        <v>SKU-1005</v>
      </c>
      <c r="B31" s="24" t="str">
        <v>Webcam</v>
      </c>
      <c r="C31" s="24" t="str">
        <v>ShopNow</v>
      </c>
      <c r="D31" s="23">
        <v>23.97</v>
      </c>
      <c r="E31" s="24">
        <v>3.8</v>
      </c>
      <c r="F31" s="24">
        <v>2107</v>
      </c>
      <c r="G31" s="40">
        <v>45311</v>
      </c>
      <c r="H31" s="28">
        <v>28.584999999999997</v>
      </c>
      <c r="I31" s="11">
        <f t="shared" si="0"/>
        <v>0.23571130579891542</v>
      </c>
      <c r="J31" s="24" t="str">
        <v>Electronics</v>
      </c>
      <c r="K31" s="23">
        <v>29.62</v>
      </c>
      <c r="L31" s="23">
        <v>19.420000000000002</v>
      </c>
      <c r="M31" s="9">
        <v>0.34436191762322749</v>
      </c>
      <c r="N31" s="24">
        <v>3.5</v>
      </c>
      <c r="O31" s="24">
        <v>423</v>
      </c>
      <c r="P31" s="24">
        <v>437</v>
      </c>
      <c r="Q31" s="24">
        <v>46</v>
      </c>
      <c r="R31" s="23">
        <v>1217.1600000000001</v>
      </c>
      <c r="S31" s="23">
        <v>893.32</v>
      </c>
      <c r="T31" s="28">
        <v>323.84000000000003</v>
      </c>
      <c r="U31" s="23">
        <v>103.19</v>
      </c>
      <c r="V31" s="23">
        <v>1113.97</v>
      </c>
      <c r="W31" s="23">
        <f>SUMIFS(Transactions_and_Customer_Information_Joined[Gross Profit ($)], Transactions_and_Customer_Information_Joined[SKU], 'Competitive Analysis (Step 1)'!$A31, Transactions_and_Customer_Information_Joined[Order Status], "Completed")</f>
        <v>220.65</v>
      </c>
      <c r="X31" s="9">
        <v>0.42537052164780009</v>
      </c>
      <c r="Y31" s="24">
        <v>17</v>
      </c>
      <c r="Z31" s="41">
        <v>8.8235294117647065</v>
      </c>
      <c r="AA31" s="21">
        <v>0.29411764705882354</v>
      </c>
      <c r="AB31" s="21">
        <v>0</v>
      </c>
      <c r="AC31" s="21">
        <v>0.17647058823529413</v>
      </c>
      <c r="AD31" s="21">
        <v>0.11764705882352941</v>
      </c>
      <c r="AE31" s="21">
        <v>0.17647058823529413</v>
      </c>
      <c r="AF31" s="31">
        <v>152.88235294117646</v>
      </c>
      <c r="AG31" s="21">
        <v>0.33333333333333331</v>
      </c>
      <c r="AH31" s="21">
        <v>0.33333333333333331</v>
      </c>
      <c r="AI31" s="5" t="str">
        <v>Reduce</v>
      </c>
    </row>
    <row r="32" spans="1:35">
      <c r="A32" s="24" t="str">
        <v>SKU-1005</v>
      </c>
      <c r="B32" s="24" t="str">
        <v>Webcam</v>
      </c>
      <c r="C32" s="24" t="str">
        <v>BestDeals</v>
      </c>
      <c r="D32" s="23">
        <v>30.56</v>
      </c>
      <c r="E32" s="24">
        <v>2.9</v>
      </c>
      <c r="F32" s="24">
        <v>592</v>
      </c>
      <c r="G32" s="40">
        <v>45332</v>
      </c>
      <c r="H32" s="28">
        <v>28.584999999999997</v>
      </c>
      <c r="I32" s="11">
        <f t="shared" si="0"/>
        <v>-3.075916230366485E-2</v>
      </c>
      <c r="J32" s="24" t="str">
        <v>Electronics</v>
      </c>
      <c r="K32" s="23">
        <v>29.62</v>
      </c>
      <c r="L32" s="23">
        <v>19.420000000000002</v>
      </c>
      <c r="M32" s="9">
        <v>0.34436191762322749</v>
      </c>
      <c r="N32" s="24">
        <v>3.5</v>
      </c>
      <c r="O32" s="24">
        <v>423</v>
      </c>
      <c r="P32" s="24">
        <v>437</v>
      </c>
      <c r="Q32" s="24">
        <v>46</v>
      </c>
      <c r="R32" s="23">
        <v>1217.1600000000001</v>
      </c>
      <c r="S32" s="23">
        <v>893.32</v>
      </c>
      <c r="T32" s="28">
        <v>323.84000000000003</v>
      </c>
      <c r="U32" s="23">
        <v>103.19</v>
      </c>
      <c r="V32" s="23">
        <v>1113.97</v>
      </c>
      <c r="W32" s="23">
        <f>SUMIFS(Transactions_and_Customer_Information_Joined[Gross Profit ($)], Transactions_and_Customer_Information_Joined[SKU], 'Competitive Analysis (Step 1)'!$A32, Transactions_and_Customer_Information_Joined[Order Status], "Completed")</f>
        <v>220.65</v>
      </c>
      <c r="X32" s="9">
        <v>0.42537052164780009</v>
      </c>
      <c r="Y32" s="24">
        <v>17</v>
      </c>
      <c r="Z32" s="41">
        <v>8.8235294117647065</v>
      </c>
      <c r="AA32" s="21">
        <v>0.29411764705882354</v>
      </c>
      <c r="AB32" s="21">
        <v>0</v>
      </c>
      <c r="AC32" s="21">
        <v>0.17647058823529413</v>
      </c>
      <c r="AD32" s="21">
        <v>0.11764705882352941</v>
      </c>
      <c r="AE32" s="21">
        <v>0.17647058823529413</v>
      </c>
      <c r="AF32" s="31">
        <v>152.88235294117646</v>
      </c>
      <c r="AG32" s="21">
        <v>0.33333333333333331</v>
      </c>
      <c r="AH32" s="21">
        <v>0.33333333333333331</v>
      </c>
      <c r="AI32" s="5" t="str">
        <v>Hold</v>
      </c>
    </row>
    <row r="33" spans="1:35">
      <c r="A33" s="24" t="str">
        <v>SKU-1005</v>
      </c>
      <c r="B33" s="24" t="str">
        <v>Webcam</v>
      </c>
      <c r="C33" s="24" t="str">
        <v>QuickCart</v>
      </c>
      <c r="D33" s="23">
        <v>23.52</v>
      </c>
      <c r="E33" s="24">
        <v>4.0999999999999996</v>
      </c>
      <c r="F33" s="24">
        <v>22</v>
      </c>
      <c r="G33" s="40">
        <v>45314</v>
      </c>
      <c r="H33" s="28">
        <v>28.584999999999997</v>
      </c>
      <c r="I33" s="11">
        <f t="shared" si="0"/>
        <v>0.25935374149659868</v>
      </c>
      <c r="J33" s="24" t="str">
        <v>Electronics</v>
      </c>
      <c r="K33" s="23">
        <v>29.62</v>
      </c>
      <c r="L33" s="23">
        <v>19.420000000000002</v>
      </c>
      <c r="M33" s="9">
        <v>0.34436191762322749</v>
      </c>
      <c r="N33" s="24">
        <v>3.5</v>
      </c>
      <c r="O33" s="24">
        <v>423</v>
      </c>
      <c r="P33" s="24">
        <v>437</v>
      </c>
      <c r="Q33" s="24">
        <v>46</v>
      </c>
      <c r="R33" s="23">
        <v>1217.1600000000001</v>
      </c>
      <c r="S33" s="23">
        <v>893.32</v>
      </c>
      <c r="T33" s="28">
        <v>323.84000000000003</v>
      </c>
      <c r="U33" s="23">
        <v>103.19</v>
      </c>
      <c r="V33" s="23">
        <v>1113.97</v>
      </c>
      <c r="W33" s="23">
        <f>SUMIFS(Transactions_and_Customer_Information_Joined[Gross Profit ($)], Transactions_and_Customer_Information_Joined[SKU], 'Competitive Analysis (Step 1)'!$A33, Transactions_and_Customer_Information_Joined[Order Status], "Completed")</f>
        <v>220.65</v>
      </c>
      <c r="X33" s="9">
        <v>0.42537052164780009</v>
      </c>
      <c r="Y33" s="24">
        <v>17</v>
      </c>
      <c r="Z33" s="41">
        <v>8.8235294117647065</v>
      </c>
      <c r="AA33" s="21">
        <v>0.29411764705882354</v>
      </c>
      <c r="AB33" s="21">
        <v>0</v>
      </c>
      <c r="AC33" s="21">
        <v>0.17647058823529413</v>
      </c>
      <c r="AD33" s="21">
        <v>0.11764705882352941</v>
      </c>
      <c r="AE33" s="21">
        <v>0.17647058823529413</v>
      </c>
      <c r="AF33" s="31">
        <v>152.88235294117646</v>
      </c>
      <c r="AG33" s="21">
        <v>0.33333333333333331</v>
      </c>
      <c r="AH33" s="21">
        <v>0.33333333333333331</v>
      </c>
      <c r="AI33" s="5" t="str">
        <v>Reduce</v>
      </c>
    </row>
    <row r="34" spans="1:35">
      <c r="A34" s="24" t="str">
        <v>SKU-1006</v>
      </c>
      <c r="B34" s="24" t="str">
        <v>Mechanical Keyboard</v>
      </c>
      <c r="C34" s="24" t="str">
        <v>RivalMart</v>
      </c>
      <c r="D34" s="23">
        <v>118</v>
      </c>
      <c r="E34" s="24">
        <v>2.9</v>
      </c>
      <c r="F34" s="24">
        <v>388</v>
      </c>
      <c r="G34" s="40">
        <v>45330</v>
      </c>
      <c r="H34" s="28">
        <v>116.5575</v>
      </c>
      <c r="I34" s="11">
        <f t="shared" si="0"/>
        <v>-4.0847457627118583E-2</v>
      </c>
      <c r="J34" s="24" t="str">
        <v>Electronics</v>
      </c>
      <c r="K34" s="23">
        <v>113.18</v>
      </c>
      <c r="L34" s="23">
        <v>39.01</v>
      </c>
      <c r="M34" s="9">
        <v>0.65532779643046479</v>
      </c>
      <c r="N34" s="24">
        <v>4.3</v>
      </c>
      <c r="O34" s="24">
        <v>2884</v>
      </c>
      <c r="P34" s="24">
        <v>107</v>
      </c>
      <c r="Q34" s="24">
        <v>24</v>
      </c>
      <c r="R34" s="23">
        <v>2716.3200000000006</v>
      </c>
      <c r="S34" s="23">
        <v>936.2399999999999</v>
      </c>
      <c r="T34" s="28">
        <v>1780.0800000000008</v>
      </c>
      <c r="U34" s="23">
        <v>265.97000000000003</v>
      </c>
      <c r="V34" s="23">
        <v>2450.3500000000004</v>
      </c>
      <c r="W34" s="23">
        <f>SUMIFS(Transactions_and_Customer_Information_Joined[Gross Profit ($)], Transactions_and_Customer_Information_Joined[SKU], 'Competitive Analysis (Step 1)'!$A34, Transactions_and_Customer_Information_Joined[Order Status], "Completed")</f>
        <v>1514.1100000000001</v>
      </c>
      <c r="X34" s="9">
        <v>0.19338053747423831</v>
      </c>
      <c r="Y34" s="24">
        <v>10</v>
      </c>
      <c r="Z34" s="41">
        <v>10</v>
      </c>
      <c r="AA34" s="21">
        <v>0.4</v>
      </c>
      <c r="AB34" s="21">
        <v>0.3</v>
      </c>
      <c r="AC34" s="21">
        <v>0.1</v>
      </c>
      <c r="AD34" s="21">
        <v>0.1</v>
      </c>
      <c r="AE34" s="21">
        <v>0.3</v>
      </c>
      <c r="AF34" s="31">
        <v>157.1</v>
      </c>
      <c r="AG34" s="21">
        <v>0.23076923076923078</v>
      </c>
      <c r="AH34" s="21">
        <v>0.2857142857142857</v>
      </c>
      <c r="AI34" s="5" t="str">
        <v>Hold</v>
      </c>
    </row>
    <row r="35" spans="1:35">
      <c r="A35" s="24" t="str">
        <v>SKU-1006</v>
      </c>
      <c r="B35" s="24" t="str">
        <v>Mechanical Keyboard</v>
      </c>
      <c r="C35" s="24" t="str">
        <v>ShopNow</v>
      </c>
      <c r="D35" s="23">
        <v>109.85</v>
      </c>
      <c r="E35" s="24">
        <v>3.2</v>
      </c>
      <c r="F35" s="24">
        <v>2348</v>
      </c>
      <c r="G35" s="40">
        <v>45299</v>
      </c>
      <c r="H35" s="28">
        <v>116.5575</v>
      </c>
      <c r="I35" s="11">
        <f t="shared" si="0"/>
        <v>3.0314064633591375E-2</v>
      </c>
      <c r="J35" s="24" t="str">
        <v>Electronics</v>
      </c>
      <c r="K35" s="23">
        <v>113.18</v>
      </c>
      <c r="L35" s="23">
        <v>39.01</v>
      </c>
      <c r="M35" s="9">
        <v>0.65532779643046479</v>
      </c>
      <c r="N35" s="24">
        <v>4.3</v>
      </c>
      <c r="O35" s="24">
        <v>2884</v>
      </c>
      <c r="P35" s="24">
        <v>107</v>
      </c>
      <c r="Q35" s="24">
        <v>24</v>
      </c>
      <c r="R35" s="23">
        <v>2716.3200000000006</v>
      </c>
      <c r="S35" s="23">
        <v>936.2399999999999</v>
      </c>
      <c r="T35" s="28">
        <v>1780.0800000000008</v>
      </c>
      <c r="U35" s="23">
        <v>265.97000000000003</v>
      </c>
      <c r="V35" s="23">
        <v>2450.3500000000004</v>
      </c>
      <c r="W35" s="23">
        <f>SUMIFS(Transactions_and_Customer_Information_Joined[Gross Profit ($)], Transactions_and_Customer_Information_Joined[SKU], 'Competitive Analysis (Step 1)'!$A35, Transactions_and_Customer_Information_Joined[Order Status], "Completed")</f>
        <v>1514.1100000000001</v>
      </c>
      <c r="X35" s="9">
        <v>0.19338053747423831</v>
      </c>
      <c r="Y35" s="24">
        <v>10</v>
      </c>
      <c r="Z35" s="41">
        <v>10</v>
      </c>
      <c r="AA35" s="21">
        <v>0.4</v>
      </c>
      <c r="AB35" s="21">
        <v>0.3</v>
      </c>
      <c r="AC35" s="21">
        <v>0.1</v>
      </c>
      <c r="AD35" s="21">
        <v>0.1</v>
      </c>
      <c r="AE35" s="21">
        <v>0.3</v>
      </c>
      <c r="AF35" s="31">
        <v>157.1</v>
      </c>
      <c r="AG35" s="21">
        <v>0.23076923076923078</v>
      </c>
      <c r="AH35" s="21">
        <v>0.2857142857142857</v>
      </c>
      <c r="AI35" s="5" t="str">
        <v>Hold</v>
      </c>
    </row>
    <row r="36" spans="1:35">
      <c r="A36" s="24" t="str">
        <v>SKU-1006</v>
      </c>
      <c r="B36" s="24" t="str">
        <v>Mechanical Keyboard</v>
      </c>
      <c r="C36" s="24" t="str">
        <v>BestDeals</v>
      </c>
      <c r="D36" s="23">
        <v>124.97</v>
      </c>
      <c r="E36" s="24">
        <v>3.5</v>
      </c>
      <c r="F36" s="24">
        <v>990</v>
      </c>
      <c r="G36" s="40">
        <v>45353</v>
      </c>
      <c r="H36" s="28">
        <v>116.5575</v>
      </c>
      <c r="I36" s="11">
        <f t="shared" si="0"/>
        <v>-9.4342642234136131E-2</v>
      </c>
      <c r="J36" s="24" t="str">
        <v>Electronics</v>
      </c>
      <c r="K36" s="23">
        <v>113.18</v>
      </c>
      <c r="L36" s="23">
        <v>39.01</v>
      </c>
      <c r="M36" s="9">
        <v>0.65532779643046479</v>
      </c>
      <c r="N36" s="24">
        <v>4.3</v>
      </c>
      <c r="O36" s="24">
        <v>2884</v>
      </c>
      <c r="P36" s="24">
        <v>107</v>
      </c>
      <c r="Q36" s="24">
        <v>24</v>
      </c>
      <c r="R36" s="23">
        <v>2716.3200000000006</v>
      </c>
      <c r="S36" s="23">
        <v>936.2399999999999</v>
      </c>
      <c r="T36" s="28">
        <v>1780.0800000000008</v>
      </c>
      <c r="U36" s="23">
        <v>265.97000000000003</v>
      </c>
      <c r="V36" s="23">
        <v>2450.3500000000004</v>
      </c>
      <c r="W36" s="23">
        <f>SUMIFS(Transactions_and_Customer_Information_Joined[Gross Profit ($)], Transactions_and_Customer_Information_Joined[SKU], 'Competitive Analysis (Step 1)'!$A36, Transactions_and_Customer_Information_Joined[Order Status], "Completed")</f>
        <v>1514.1100000000001</v>
      </c>
      <c r="X36" s="9">
        <v>0.19338053747423831</v>
      </c>
      <c r="Y36" s="24">
        <v>10</v>
      </c>
      <c r="Z36" s="41">
        <v>10</v>
      </c>
      <c r="AA36" s="21">
        <v>0.4</v>
      </c>
      <c r="AB36" s="21">
        <v>0.3</v>
      </c>
      <c r="AC36" s="21">
        <v>0.1</v>
      </c>
      <c r="AD36" s="21">
        <v>0.1</v>
      </c>
      <c r="AE36" s="21">
        <v>0.3</v>
      </c>
      <c r="AF36" s="31">
        <v>157.1</v>
      </c>
      <c r="AG36" s="21">
        <v>0.23076923076923078</v>
      </c>
      <c r="AH36" s="21">
        <v>0.2857142857142857</v>
      </c>
      <c r="AI36" s="5" t="str">
        <v>Hold</v>
      </c>
    </row>
    <row r="37" spans="1:35">
      <c r="A37" s="24" t="str">
        <v>SKU-1006</v>
      </c>
      <c r="B37" s="24" t="str">
        <v>Mechanical Keyboard</v>
      </c>
      <c r="C37" s="24" t="str">
        <v>QuickCart</v>
      </c>
      <c r="D37" s="23">
        <v>113.41</v>
      </c>
      <c r="E37" s="24">
        <v>3.3</v>
      </c>
      <c r="F37" s="24">
        <v>2030</v>
      </c>
      <c r="G37" s="40">
        <v>45336</v>
      </c>
      <c r="H37" s="28">
        <v>116.5575</v>
      </c>
      <c r="I37" s="11">
        <f t="shared" si="0"/>
        <v>-2.0280398553918504E-3</v>
      </c>
      <c r="J37" s="24" t="str">
        <v>Electronics</v>
      </c>
      <c r="K37" s="23">
        <v>113.18</v>
      </c>
      <c r="L37" s="23">
        <v>39.01</v>
      </c>
      <c r="M37" s="9">
        <v>0.65532779643046479</v>
      </c>
      <c r="N37" s="24">
        <v>4.3</v>
      </c>
      <c r="O37" s="24">
        <v>2884</v>
      </c>
      <c r="P37" s="24">
        <v>107</v>
      </c>
      <c r="Q37" s="24">
        <v>24</v>
      </c>
      <c r="R37" s="23">
        <v>2716.3200000000006</v>
      </c>
      <c r="S37" s="23">
        <v>936.2399999999999</v>
      </c>
      <c r="T37" s="28">
        <v>1780.0800000000008</v>
      </c>
      <c r="U37" s="23">
        <v>265.97000000000003</v>
      </c>
      <c r="V37" s="23">
        <v>2450.3500000000004</v>
      </c>
      <c r="W37" s="23">
        <f>SUMIFS(Transactions_and_Customer_Information_Joined[Gross Profit ($)], Transactions_and_Customer_Information_Joined[SKU], 'Competitive Analysis (Step 1)'!$A37, Transactions_and_Customer_Information_Joined[Order Status], "Completed")</f>
        <v>1514.1100000000001</v>
      </c>
      <c r="X37" s="9">
        <v>0.19338053747423831</v>
      </c>
      <c r="Y37" s="24">
        <v>10</v>
      </c>
      <c r="Z37" s="41">
        <v>10</v>
      </c>
      <c r="AA37" s="21">
        <v>0.4</v>
      </c>
      <c r="AB37" s="21">
        <v>0.3</v>
      </c>
      <c r="AC37" s="21">
        <v>0.1</v>
      </c>
      <c r="AD37" s="21">
        <v>0.1</v>
      </c>
      <c r="AE37" s="21">
        <v>0.3</v>
      </c>
      <c r="AF37" s="31">
        <v>157.1</v>
      </c>
      <c r="AG37" s="21">
        <v>0.23076923076923078</v>
      </c>
      <c r="AH37" s="21">
        <v>0.2857142857142857</v>
      </c>
      <c r="AI37" s="5" t="str">
        <v>Hold</v>
      </c>
    </row>
    <row r="38" spans="1:35">
      <c r="A38" s="24" t="str">
        <v>SKU-1007</v>
      </c>
      <c r="B38" s="24" t="str">
        <v>Gaming Mouse</v>
      </c>
      <c r="C38" s="24" t="str">
        <v>RivalMart</v>
      </c>
      <c r="D38" s="23">
        <v>123.02</v>
      </c>
      <c r="E38" s="24">
        <v>3.5</v>
      </c>
      <c r="F38" s="24">
        <v>2233</v>
      </c>
      <c r="G38" s="40">
        <v>45328</v>
      </c>
      <c r="H38" s="28">
        <v>118.14999999999999</v>
      </c>
      <c r="I38" s="11">
        <f t="shared" si="0"/>
        <v>1.007966184360274E-2</v>
      </c>
      <c r="J38" s="24" t="str">
        <v>Electronics</v>
      </c>
      <c r="K38" s="23">
        <v>124.26</v>
      </c>
      <c r="L38" s="23">
        <v>52.62</v>
      </c>
      <c r="M38" s="9">
        <v>0.5765330758087881</v>
      </c>
      <c r="N38" s="24">
        <v>3.5</v>
      </c>
      <c r="O38" s="24">
        <v>2631</v>
      </c>
      <c r="P38" s="24">
        <v>194</v>
      </c>
      <c r="Q38" s="24">
        <v>44</v>
      </c>
      <c r="R38" s="23">
        <v>5467.4400000000014</v>
      </c>
      <c r="S38" s="23">
        <v>2315.2800000000002</v>
      </c>
      <c r="T38" s="28">
        <v>3152.1600000000012</v>
      </c>
      <c r="U38" s="23">
        <v>273.38</v>
      </c>
      <c r="V38" s="23">
        <v>5194.0600000000004</v>
      </c>
      <c r="W38" s="23">
        <f>SUMIFS(Transactions_and_Customer_Information_Joined[Gross Profit ($)], Transactions_and_Customer_Information_Joined[SKU], 'Competitive Analysis (Step 1)'!$A38, Transactions_and_Customer_Information_Joined[Order Status], "Completed")</f>
        <v>2878.78</v>
      </c>
      <c r="X38" s="9">
        <v>9.1229211830437057E-2</v>
      </c>
      <c r="Y38" s="24">
        <v>17</v>
      </c>
      <c r="Z38" s="41">
        <v>5.5882352941176467</v>
      </c>
      <c r="AA38" s="21">
        <v>0.35294117647058826</v>
      </c>
      <c r="AB38" s="21">
        <v>0.11764705882352941</v>
      </c>
      <c r="AC38" s="21">
        <v>5.8823529411764705E-2</v>
      </c>
      <c r="AD38" s="21">
        <v>0.11764705882352941</v>
      </c>
      <c r="AE38" s="21">
        <v>0.23529411764705882</v>
      </c>
      <c r="AF38" s="31">
        <v>128.23529411764707</v>
      </c>
      <c r="AG38" s="21">
        <v>0.375</v>
      </c>
      <c r="AH38" s="21">
        <v>0.16666666666666666</v>
      </c>
      <c r="AI38" s="5" t="str">
        <v>Hold</v>
      </c>
    </row>
    <row r="39" spans="1:35">
      <c r="A39" s="24" t="str">
        <v>SKU-1007</v>
      </c>
      <c r="B39" s="24" t="str">
        <v>Gaming Mouse</v>
      </c>
      <c r="C39" s="24" t="str">
        <v>ShopNow</v>
      </c>
      <c r="D39" s="23">
        <v>110.81</v>
      </c>
      <c r="E39" s="24">
        <v>3.3</v>
      </c>
      <c r="F39" s="24">
        <v>868</v>
      </c>
      <c r="G39" s="40">
        <v>45323</v>
      </c>
      <c r="H39" s="28">
        <v>118.14999999999999</v>
      </c>
      <c r="I39" s="11">
        <f t="shared" si="0"/>
        <v>0.12137893691905065</v>
      </c>
      <c r="J39" s="24" t="str">
        <v>Electronics</v>
      </c>
      <c r="K39" s="23">
        <v>124.26</v>
      </c>
      <c r="L39" s="23">
        <v>52.62</v>
      </c>
      <c r="M39" s="9">
        <v>0.5765330758087881</v>
      </c>
      <c r="N39" s="24">
        <v>3.5</v>
      </c>
      <c r="O39" s="24">
        <v>2631</v>
      </c>
      <c r="P39" s="24">
        <v>194</v>
      </c>
      <c r="Q39" s="24">
        <v>44</v>
      </c>
      <c r="R39" s="23">
        <v>5467.4400000000014</v>
      </c>
      <c r="S39" s="23">
        <v>2315.2800000000002</v>
      </c>
      <c r="T39" s="28">
        <v>3152.1600000000012</v>
      </c>
      <c r="U39" s="23">
        <v>273.38</v>
      </c>
      <c r="V39" s="23">
        <v>5194.0600000000004</v>
      </c>
      <c r="W39" s="23">
        <f>SUMIFS(Transactions_and_Customer_Information_Joined[Gross Profit ($)], Transactions_and_Customer_Information_Joined[SKU], 'Competitive Analysis (Step 1)'!$A39, Transactions_and_Customer_Information_Joined[Order Status], "Completed")</f>
        <v>2878.78</v>
      </c>
      <c r="X39" s="9">
        <v>9.1229211830437057E-2</v>
      </c>
      <c r="Y39" s="24">
        <v>17</v>
      </c>
      <c r="Z39" s="41">
        <v>5.5882352941176467</v>
      </c>
      <c r="AA39" s="21">
        <v>0.35294117647058826</v>
      </c>
      <c r="AB39" s="21">
        <v>0.11764705882352941</v>
      </c>
      <c r="AC39" s="21">
        <v>5.8823529411764705E-2</v>
      </c>
      <c r="AD39" s="21">
        <v>0.11764705882352941</v>
      </c>
      <c r="AE39" s="21">
        <v>0.23529411764705882</v>
      </c>
      <c r="AF39" s="31">
        <v>128.23529411764707</v>
      </c>
      <c r="AG39" s="21">
        <v>0.375</v>
      </c>
      <c r="AH39" s="21">
        <v>0.16666666666666666</v>
      </c>
      <c r="AI39" s="5" t="str">
        <v>Reduce</v>
      </c>
    </row>
    <row r="40" spans="1:35">
      <c r="A40" s="24" t="str">
        <v>SKU-1007</v>
      </c>
      <c r="B40" s="24" t="str">
        <v>Gaming Mouse</v>
      </c>
      <c r="C40" s="24" t="str">
        <v>BestDeals</v>
      </c>
      <c r="D40" s="23">
        <v>141.46</v>
      </c>
      <c r="E40" s="24">
        <v>4.7</v>
      </c>
      <c r="F40" s="24">
        <v>1702</v>
      </c>
      <c r="G40" s="40">
        <v>45335</v>
      </c>
      <c r="H40" s="28">
        <v>118.14999999999999</v>
      </c>
      <c r="I40" s="11">
        <f t="shared" si="0"/>
        <v>-0.12158914180687122</v>
      </c>
      <c r="J40" s="24" t="str">
        <v>Electronics</v>
      </c>
      <c r="K40" s="23">
        <v>124.26</v>
      </c>
      <c r="L40" s="23">
        <v>52.62</v>
      </c>
      <c r="M40" s="9">
        <v>0.5765330758087881</v>
      </c>
      <c r="N40" s="24">
        <v>3.5</v>
      </c>
      <c r="O40" s="24">
        <v>2631</v>
      </c>
      <c r="P40" s="24">
        <v>194</v>
      </c>
      <c r="Q40" s="24">
        <v>44</v>
      </c>
      <c r="R40" s="23">
        <v>5467.4400000000014</v>
      </c>
      <c r="S40" s="23">
        <v>2315.2800000000002</v>
      </c>
      <c r="T40" s="28">
        <v>3152.1600000000012</v>
      </c>
      <c r="U40" s="23">
        <v>273.38</v>
      </c>
      <c r="V40" s="23">
        <v>5194.0600000000004</v>
      </c>
      <c r="W40" s="23">
        <f>SUMIFS(Transactions_and_Customer_Information_Joined[Gross Profit ($)], Transactions_and_Customer_Information_Joined[SKU], 'Competitive Analysis (Step 1)'!$A40, Transactions_and_Customer_Information_Joined[Order Status], "Completed")</f>
        <v>2878.78</v>
      </c>
      <c r="X40" s="9">
        <v>9.1229211830437057E-2</v>
      </c>
      <c r="Y40" s="24">
        <v>17</v>
      </c>
      <c r="Z40" s="41">
        <v>5.5882352941176467</v>
      </c>
      <c r="AA40" s="21">
        <v>0.35294117647058826</v>
      </c>
      <c r="AB40" s="21">
        <v>0.11764705882352941</v>
      </c>
      <c r="AC40" s="21">
        <v>5.8823529411764705E-2</v>
      </c>
      <c r="AD40" s="21">
        <v>0.11764705882352941</v>
      </c>
      <c r="AE40" s="21">
        <v>0.23529411764705882</v>
      </c>
      <c r="AF40" s="31">
        <v>128.23529411764707</v>
      </c>
      <c r="AG40" s="21">
        <v>0.375</v>
      </c>
      <c r="AH40" s="21">
        <v>0.16666666666666666</v>
      </c>
      <c r="AI40" s="5" t="str">
        <v>Raise</v>
      </c>
    </row>
    <row r="41" spans="1:35">
      <c r="A41" s="24" t="str">
        <v>SKU-1007</v>
      </c>
      <c r="B41" s="24" t="str">
        <v>Gaming Mouse</v>
      </c>
      <c r="C41" s="24" t="str">
        <v>QuickCart</v>
      </c>
      <c r="D41" s="23">
        <v>97.31</v>
      </c>
      <c r="E41" s="24">
        <v>3.2</v>
      </c>
      <c r="F41" s="24">
        <v>1196</v>
      </c>
      <c r="G41" s="40">
        <v>45363</v>
      </c>
      <c r="H41" s="28">
        <v>118.14999999999999</v>
      </c>
      <c r="I41" s="11">
        <f t="shared" si="0"/>
        <v>0.27694995375603743</v>
      </c>
      <c r="J41" s="24" t="str">
        <v>Electronics</v>
      </c>
      <c r="K41" s="23">
        <v>124.26</v>
      </c>
      <c r="L41" s="23">
        <v>52.62</v>
      </c>
      <c r="M41" s="9">
        <v>0.5765330758087881</v>
      </c>
      <c r="N41" s="24">
        <v>3.5</v>
      </c>
      <c r="O41" s="24">
        <v>2631</v>
      </c>
      <c r="P41" s="24">
        <v>194</v>
      </c>
      <c r="Q41" s="24">
        <v>44</v>
      </c>
      <c r="R41" s="23">
        <v>5467.4400000000014</v>
      </c>
      <c r="S41" s="23">
        <v>2315.2800000000002</v>
      </c>
      <c r="T41" s="28">
        <v>3152.1600000000012</v>
      </c>
      <c r="U41" s="23">
        <v>273.38</v>
      </c>
      <c r="V41" s="23">
        <v>5194.0600000000004</v>
      </c>
      <c r="W41" s="23">
        <f>SUMIFS(Transactions_and_Customer_Information_Joined[Gross Profit ($)], Transactions_and_Customer_Information_Joined[SKU], 'Competitive Analysis (Step 1)'!$A41, Transactions_and_Customer_Information_Joined[Order Status], "Completed")</f>
        <v>2878.78</v>
      </c>
      <c r="X41" s="9">
        <v>9.1229211830437057E-2</v>
      </c>
      <c r="Y41" s="24">
        <v>17</v>
      </c>
      <c r="Z41" s="41">
        <v>5.5882352941176467</v>
      </c>
      <c r="AA41" s="21">
        <v>0.35294117647058826</v>
      </c>
      <c r="AB41" s="21">
        <v>0.11764705882352941</v>
      </c>
      <c r="AC41" s="21">
        <v>5.8823529411764705E-2</v>
      </c>
      <c r="AD41" s="21">
        <v>0.11764705882352941</v>
      </c>
      <c r="AE41" s="21">
        <v>0.23529411764705882</v>
      </c>
      <c r="AF41" s="31">
        <v>128.23529411764707</v>
      </c>
      <c r="AG41" s="21">
        <v>0.375</v>
      </c>
      <c r="AH41" s="21">
        <v>0.16666666666666666</v>
      </c>
      <c r="AI41" s="5" t="str">
        <v>Reduce</v>
      </c>
    </row>
    <row r="42" spans="1:35">
      <c r="A42" s="24" t="str">
        <v>SKU-1008</v>
      </c>
      <c r="B42" s="24" t="str">
        <v>LED Desk Lamp</v>
      </c>
      <c r="C42" s="24" t="str">
        <v>RivalMart</v>
      </c>
      <c r="D42" s="23">
        <v>69.349999999999994</v>
      </c>
      <c r="E42" s="24">
        <v>4</v>
      </c>
      <c r="F42" s="24">
        <v>1211</v>
      </c>
      <c r="G42" s="40">
        <v>45303</v>
      </c>
      <c r="H42" s="28">
        <v>72.53</v>
      </c>
      <c r="I42" s="11">
        <f t="shared" si="0"/>
        <v>0.17664023071377075</v>
      </c>
      <c r="J42" s="24" t="str">
        <v>Electronics</v>
      </c>
      <c r="K42" s="23">
        <v>81.599999999999994</v>
      </c>
      <c r="L42" s="23">
        <v>29.32</v>
      </c>
      <c r="M42" s="9">
        <v>0.64068627450980387</v>
      </c>
      <c r="N42" s="24">
        <v>3.6</v>
      </c>
      <c r="O42" s="24">
        <v>1106</v>
      </c>
      <c r="P42" s="24">
        <v>412</v>
      </c>
      <c r="Q42" s="24">
        <v>38</v>
      </c>
      <c r="R42" s="23">
        <v>3100.7999999999997</v>
      </c>
      <c r="S42" s="23">
        <v>1114.1600000000003</v>
      </c>
      <c r="T42" s="28">
        <v>1986.6399999999994</v>
      </c>
      <c r="U42" s="23">
        <v>220.31999999999996</v>
      </c>
      <c r="V42" s="23">
        <v>2880.4799999999996</v>
      </c>
      <c r="W42" s="23">
        <f>SUMIFS(Transactions_and_Customer_Information_Joined[Gross Profit ($)], Transactions_and_Customer_Information_Joined[SKU], 'Competitive Analysis (Step 1)'!$A42, Transactions_and_Customer_Information_Joined[Order Status], "Completed")</f>
        <v>1766.32</v>
      </c>
      <c r="X42" s="9">
        <v>0.16450383269455091</v>
      </c>
      <c r="Y42" s="24">
        <v>15</v>
      </c>
      <c r="Z42" s="41">
        <v>7.333333333333333</v>
      </c>
      <c r="AA42" s="21">
        <v>0.13333333333333333</v>
      </c>
      <c r="AB42" s="21">
        <v>0.26666666666666666</v>
      </c>
      <c r="AC42" s="21">
        <v>6.6666666666666666E-2</v>
      </c>
      <c r="AD42" s="21">
        <v>0.13333333333333333</v>
      </c>
      <c r="AE42" s="21">
        <v>0.13333333333333333</v>
      </c>
      <c r="AF42" s="31">
        <v>138.93333333333334</v>
      </c>
      <c r="AG42" s="21">
        <v>0.23076923076923078</v>
      </c>
      <c r="AH42" s="21">
        <v>0.375</v>
      </c>
      <c r="AI42" s="5" t="str">
        <v>Reduce</v>
      </c>
    </row>
    <row r="43" spans="1:35">
      <c r="A43" s="24" t="str">
        <v>SKU-1008</v>
      </c>
      <c r="B43" s="24" t="str">
        <v>LED Desk Lamp</v>
      </c>
      <c r="C43" s="24" t="str">
        <v>ShopNow</v>
      </c>
      <c r="D43" s="23">
        <v>69.7</v>
      </c>
      <c r="E43" s="24">
        <v>3.7</v>
      </c>
      <c r="F43" s="24">
        <v>205</v>
      </c>
      <c r="G43" s="40">
        <v>45343</v>
      </c>
      <c r="H43" s="28">
        <v>72.53</v>
      </c>
      <c r="I43" s="11">
        <f t="shared" si="0"/>
        <v>0.17073170731707304</v>
      </c>
      <c r="J43" s="24" t="str">
        <v>Electronics</v>
      </c>
      <c r="K43" s="23">
        <v>81.599999999999994</v>
      </c>
      <c r="L43" s="23">
        <v>29.32</v>
      </c>
      <c r="M43" s="9">
        <v>0.64068627450980387</v>
      </c>
      <c r="N43" s="24">
        <v>3.6</v>
      </c>
      <c r="O43" s="24">
        <v>1106</v>
      </c>
      <c r="P43" s="24">
        <v>412</v>
      </c>
      <c r="Q43" s="24">
        <v>38</v>
      </c>
      <c r="R43" s="23">
        <v>3100.7999999999997</v>
      </c>
      <c r="S43" s="23">
        <v>1114.1600000000003</v>
      </c>
      <c r="T43" s="28">
        <v>1986.6399999999994</v>
      </c>
      <c r="U43" s="23">
        <v>220.31999999999996</v>
      </c>
      <c r="V43" s="23">
        <v>2880.4799999999996</v>
      </c>
      <c r="W43" s="23">
        <f>SUMIFS(Transactions_and_Customer_Information_Joined[Gross Profit ($)], Transactions_and_Customer_Information_Joined[SKU], 'Competitive Analysis (Step 1)'!$A43, Transactions_and_Customer_Information_Joined[Order Status], "Completed")</f>
        <v>1766.32</v>
      </c>
      <c r="X43" s="9">
        <v>0.16450383269455091</v>
      </c>
      <c r="Y43" s="24">
        <v>15</v>
      </c>
      <c r="Z43" s="41">
        <v>7.333333333333333</v>
      </c>
      <c r="AA43" s="21">
        <v>0.13333333333333333</v>
      </c>
      <c r="AB43" s="21">
        <v>0.26666666666666666</v>
      </c>
      <c r="AC43" s="21">
        <v>6.6666666666666666E-2</v>
      </c>
      <c r="AD43" s="21">
        <v>0.13333333333333333</v>
      </c>
      <c r="AE43" s="21">
        <v>0.13333333333333333</v>
      </c>
      <c r="AF43" s="31">
        <v>138.93333333333334</v>
      </c>
      <c r="AG43" s="21">
        <v>0.23076923076923078</v>
      </c>
      <c r="AH43" s="21">
        <v>0.375</v>
      </c>
      <c r="AI43" s="5" t="str">
        <v>Reduce</v>
      </c>
    </row>
    <row r="44" spans="1:35">
      <c r="A44" s="24" t="str">
        <v>SKU-1008</v>
      </c>
      <c r="B44" s="24" t="str">
        <v>LED Desk Lamp</v>
      </c>
      <c r="C44" s="24" t="str">
        <v>BestDeals</v>
      </c>
      <c r="D44" s="23">
        <v>88.2</v>
      </c>
      <c r="E44" s="24">
        <v>4.2</v>
      </c>
      <c r="F44" s="24">
        <v>1082</v>
      </c>
      <c r="G44" s="40">
        <v>45366</v>
      </c>
      <c r="H44" s="28">
        <v>72.53</v>
      </c>
      <c r="I44" s="11">
        <f t="shared" si="0"/>
        <v>-7.4829931972789213E-2</v>
      </c>
      <c r="J44" s="24" t="str">
        <v>Electronics</v>
      </c>
      <c r="K44" s="23">
        <v>81.599999999999994</v>
      </c>
      <c r="L44" s="23">
        <v>29.32</v>
      </c>
      <c r="M44" s="9">
        <v>0.64068627450980387</v>
      </c>
      <c r="N44" s="24">
        <v>3.6</v>
      </c>
      <c r="O44" s="24">
        <v>1106</v>
      </c>
      <c r="P44" s="24">
        <v>412</v>
      </c>
      <c r="Q44" s="24">
        <v>38</v>
      </c>
      <c r="R44" s="23">
        <v>3100.7999999999997</v>
      </c>
      <c r="S44" s="23">
        <v>1114.1600000000003</v>
      </c>
      <c r="T44" s="28">
        <v>1986.6399999999994</v>
      </c>
      <c r="U44" s="23">
        <v>220.31999999999996</v>
      </c>
      <c r="V44" s="23">
        <v>2880.4799999999996</v>
      </c>
      <c r="W44" s="23">
        <f>SUMIFS(Transactions_and_Customer_Information_Joined[Gross Profit ($)], Transactions_and_Customer_Information_Joined[SKU], 'Competitive Analysis (Step 1)'!$A44, Transactions_and_Customer_Information_Joined[Order Status], "Completed")</f>
        <v>1766.32</v>
      </c>
      <c r="X44" s="9">
        <v>0.16450383269455091</v>
      </c>
      <c r="Y44" s="24">
        <v>15</v>
      </c>
      <c r="Z44" s="41">
        <v>7.333333333333333</v>
      </c>
      <c r="AA44" s="21">
        <v>0.13333333333333333</v>
      </c>
      <c r="AB44" s="21">
        <v>0.26666666666666666</v>
      </c>
      <c r="AC44" s="21">
        <v>6.6666666666666666E-2</v>
      </c>
      <c r="AD44" s="21">
        <v>0.13333333333333333</v>
      </c>
      <c r="AE44" s="21">
        <v>0.13333333333333333</v>
      </c>
      <c r="AF44" s="31">
        <v>138.93333333333334</v>
      </c>
      <c r="AG44" s="21">
        <v>0.23076923076923078</v>
      </c>
      <c r="AH44" s="21">
        <v>0.375</v>
      </c>
      <c r="AI44" s="5" t="str">
        <v>Hold</v>
      </c>
    </row>
    <row r="45" spans="1:35">
      <c r="A45" s="24" t="str">
        <v>SKU-1008</v>
      </c>
      <c r="B45" s="24" t="str">
        <v>LED Desk Lamp</v>
      </c>
      <c r="C45" s="24" t="str">
        <v>QuickCart</v>
      </c>
      <c r="D45" s="23">
        <v>62.87</v>
      </c>
      <c r="E45" s="24">
        <v>4.0999999999999996</v>
      </c>
      <c r="F45" s="24">
        <v>2323</v>
      </c>
      <c r="G45" s="40">
        <v>45323</v>
      </c>
      <c r="H45" s="28">
        <v>72.53</v>
      </c>
      <c r="I45" s="11">
        <f t="shared" si="0"/>
        <v>0.29791633529505324</v>
      </c>
      <c r="J45" s="24" t="str">
        <v>Electronics</v>
      </c>
      <c r="K45" s="23">
        <v>81.599999999999994</v>
      </c>
      <c r="L45" s="23">
        <v>29.32</v>
      </c>
      <c r="M45" s="9">
        <v>0.64068627450980387</v>
      </c>
      <c r="N45" s="24">
        <v>3.6</v>
      </c>
      <c r="O45" s="24">
        <v>1106</v>
      </c>
      <c r="P45" s="24">
        <v>412</v>
      </c>
      <c r="Q45" s="24">
        <v>38</v>
      </c>
      <c r="R45" s="23">
        <v>3100.7999999999997</v>
      </c>
      <c r="S45" s="23">
        <v>1114.1600000000003</v>
      </c>
      <c r="T45" s="28">
        <v>1986.6399999999994</v>
      </c>
      <c r="U45" s="23">
        <v>220.31999999999996</v>
      </c>
      <c r="V45" s="23">
        <v>2880.4799999999996</v>
      </c>
      <c r="W45" s="23">
        <f>SUMIFS(Transactions_and_Customer_Information_Joined[Gross Profit ($)], Transactions_and_Customer_Information_Joined[SKU], 'Competitive Analysis (Step 1)'!$A45, Transactions_and_Customer_Information_Joined[Order Status], "Completed")</f>
        <v>1766.32</v>
      </c>
      <c r="X45" s="9">
        <v>0.16450383269455091</v>
      </c>
      <c r="Y45" s="24">
        <v>15</v>
      </c>
      <c r="Z45" s="41">
        <v>7.333333333333333</v>
      </c>
      <c r="AA45" s="21">
        <v>0.13333333333333333</v>
      </c>
      <c r="AB45" s="21">
        <v>0.26666666666666666</v>
      </c>
      <c r="AC45" s="21">
        <v>6.6666666666666666E-2</v>
      </c>
      <c r="AD45" s="21">
        <v>0.13333333333333333</v>
      </c>
      <c r="AE45" s="21">
        <v>0.13333333333333333</v>
      </c>
      <c r="AF45" s="31">
        <v>138.93333333333334</v>
      </c>
      <c r="AG45" s="21">
        <v>0.23076923076923078</v>
      </c>
      <c r="AH45" s="21">
        <v>0.375</v>
      </c>
      <c r="AI45" s="5" t="str">
        <v>Reduce</v>
      </c>
    </row>
    <row r="46" spans="1:35">
      <c r="A46" s="24" t="str">
        <v>SKU-1009</v>
      </c>
      <c r="B46" s="24" t="str">
        <v>Phone Stand</v>
      </c>
      <c r="C46" s="24" t="str">
        <v>RivalMart</v>
      </c>
      <c r="D46" s="23">
        <v>211.22</v>
      </c>
      <c r="E46" s="24">
        <v>4.7</v>
      </c>
      <c r="F46" s="24">
        <v>491</v>
      </c>
      <c r="G46" s="40">
        <v>45354</v>
      </c>
      <c r="H46" s="28">
        <v>196</v>
      </c>
      <c r="I46" s="11">
        <f t="shared" si="0"/>
        <v>-0.15770286904649183</v>
      </c>
      <c r="J46" s="24" t="str">
        <v>Electronics</v>
      </c>
      <c r="K46" s="23">
        <v>177.91</v>
      </c>
      <c r="L46" s="23">
        <v>73.489999999999995</v>
      </c>
      <c r="M46" s="9">
        <v>0.58692597380698108</v>
      </c>
      <c r="N46" s="24">
        <v>4.8</v>
      </c>
      <c r="O46" s="24">
        <v>2643</v>
      </c>
      <c r="P46" s="24">
        <v>202</v>
      </c>
      <c r="Q46" s="24">
        <v>36</v>
      </c>
      <c r="R46" s="23">
        <v>4823.6400000000003</v>
      </c>
      <c r="S46" s="23">
        <v>2645.64</v>
      </c>
      <c r="T46" s="28">
        <v>2178.0000000000005</v>
      </c>
      <c r="U46" s="23">
        <v>267.98</v>
      </c>
      <c r="V46" s="23">
        <v>4555.6600000000008</v>
      </c>
      <c r="W46" s="23">
        <f>SUMIFS(Transactions_and_Customer_Information_Joined[Gross Profit ($)], Transactions_and_Customer_Information_Joined[SKU], 'Competitive Analysis (Step 1)'!$A46, Transactions_and_Customer_Information_Joined[Order Status], "Completed")</f>
        <v>1910.02</v>
      </c>
      <c r="X46" s="9">
        <v>0.10401346895949211</v>
      </c>
      <c r="Y46" s="24">
        <v>12</v>
      </c>
      <c r="Z46" s="41">
        <v>7.5</v>
      </c>
      <c r="AA46" s="21">
        <v>0.25</v>
      </c>
      <c r="AB46" s="21">
        <v>0.25</v>
      </c>
      <c r="AC46" s="21">
        <v>0.16666666666666666</v>
      </c>
      <c r="AD46" s="21">
        <v>8.3333333333333329E-2</v>
      </c>
      <c r="AE46" s="21">
        <v>0</v>
      </c>
      <c r="AF46" s="31">
        <v>245.66666666666666</v>
      </c>
      <c r="AG46" s="21">
        <v>0.44444444444444442</v>
      </c>
      <c r="AH46" s="21">
        <v>0.23076923076923078</v>
      </c>
      <c r="AI46" s="5" t="str">
        <v>Raise</v>
      </c>
    </row>
    <row r="47" spans="1:35">
      <c r="A47" s="24" t="str">
        <v>SKU-1009</v>
      </c>
      <c r="B47" s="24" t="str">
        <v>Phone Stand</v>
      </c>
      <c r="C47" s="24" t="str">
        <v>ShopNow</v>
      </c>
      <c r="D47" s="23">
        <v>194.18</v>
      </c>
      <c r="E47" s="24">
        <v>3.2</v>
      </c>
      <c r="F47" s="24">
        <v>962</v>
      </c>
      <c r="G47" s="40">
        <v>45382</v>
      </c>
      <c r="H47" s="28">
        <v>196</v>
      </c>
      <c r="I47" s="11">
        <f t="shared" si="0"/>
        <v>-8.3788237717581676E-2</v>
      </c>
      <c r="J47" s="24" t="str">
        <v>Electronics</v>
      </c>
      <c r="K47" s="23">
        <v>177.91</v>
      </c>
      <c r="L47" s="23">
        <v>73.489999999999995</v>
      </c>
      <c r="M47" s="9">
        <v>0.58692597380698108</v>
      </c>
      <c r="N47" s="24">
        <v>4.8</v>
      </c>
      <c r="O47" s="24">
        <v>2643</v>
      </c>
      <c r="P47" s="24">
        <v>202</v>
      </c>
      <c r="Q47" s="24">
        <v>36</v>
      </c>
      <c r="R47" s="23">
        <v>4823.6400000000003</v>
      </c>
      <c r="S47" s="23">
        <v>2645.64</v>
      </c>
      <c r="T47" s="28">
        <v>2178.0000000000005</v>
      </c>
      <c r="U47" s="23">
        <v>267.98</v>
      </c>
      <c r="V47" s="23">
        <v>4555.6600000000008</v>
      </c>
      <c r="W47" s="23">
        <f>SUMIFS(Transactions_and_Customer_Information_Joined[Gross Profit ($)], Transactions_and_Customer_Information_Joined[SKU], 'Competitive Analysis (Step 1)'!$A47, Transactions_and_Customer_Information_Joined[Order Status], "Completed")</f>
        <v>1910.02</v>
      </c>
      <c r="X47" s="9">
        <v>0.10401346895949211</v>
      </c>
      <c r="Y47" s="24">
        <v>12</v>
      </c>
      <c r="Z47" s="41">
        <v>7.5</v>
      </c>
      <c r="AA47" s="21">
        <v>0.25</v>
      </c>
      <c r="AB47" s="21">
        <v>0.25</v>
      </c>
      <c r="AC47" s="21">
        <v>0.16666666666666666</v>
      </c>
      <c r="AD47" s="21">
        <v>8.3333333333333329E-2</v>
      </c>
      <c r="AE47" s="21">
        <v>0</v>
      </c>
      <c r="AF47" s="31">
        <v>245.66666666666666</v>
      </c>
      <c r="AG47" s="21">
        <v>0.44444444444444442</v>
      </c>
      <c r="AH47" s="21">
        <v>0.23076923076923078</v>
      </c>
      <c r="AI47" s="5" t="str">
        <v>Hold</v>
      </c>
    </row>
    <row r="48" spans="1:35">
      <c r="A48" s="24" t="str">
        <v>SKU-1009</v>
      </c>
      <c r="B48" s="24" t="str">
        <v>Phone Stand</v>
      </c>
      <c r="C48" s="24" t="str">
        <v>BestDeals</v>
      </c>
      <c r="D48" s="23">
        <v>189.52</v>
      </c>
      <c r="E48" s="24">
        <v>3</v>
      </c>
      <c r="F48" s="24">
        <v>627</v>
      </c>
      <c r="G48" s="40">
        <v>45304</v>
      </c>
      <c r="H48" s="28">
        <v>196</v>
      </c>
      <c r="I48" s="11">
        <f t="shared" si="0"/>
        <v>-6.1260025327142323E-2</v>
      </c>
      <c r="J48" s="24" t="str">
        <v>Electronics</v>
      </c>
      <c r="K48" s="23">
        <v>177.91</v>
      </c>
      <c r="L48" s="23">
        <v>73.489999999999995</v>
      </c>
      <c r="M48" s="9">
        <v>0.58692597380698108</v>
      </c>
      <c r="N48" s="24">
        <v>4.8</v>
      </c>
      <c r="O48" s="24">
        <v>2643</v>
      </c>
      <c r="P48" s="24">
        <v>202</v>
      </c>
      <c r="Q48" s="24">
        <v>36</v>
      </c>
      <c r="R48" s="23">
        <v>4823.6400000000003</v>
      </c>
      <c r="S48" s="23">
        <v>2645.64</v>
      </c>
      <c r="T48" s="28">
        <v>2178.0000000000005</v>
      </c>
      <c r="U48" s="23">
        <v>267.98</v>
      </c>
      <c r="V48" s="23">
        <v>4555.6600000000008</v>
      </c>
      <c r="W48" s="23">
        <f>SUMIFS(Transactions_and_Customer_Information_Joined[Gross Profit ($)], Transactions_and_Customer_Information_Joined[SKU], 'Competitive Analysis (Step 1)'!$A48, Transactions_and_Customer_Information_Joined[Order Status], "Completed")</f>
        <v>1910.02</v>
      </c>
      <c r="X48" s="9">
        <v>0.10401346895949211</v>
      </c>
      <c r="Y48" s="24">
        <v>12</v>
      </c>
      <c r="Z48" s="41">
        <v>7.5</v>
      </c>
      <c r="AA48" s="21">
        <v>0.25</v>
      </c>
      <c r="AB48" s="21">
        <v>0.25</v>
      </c>
      <c r="AC48" s="21">
        <v>0.16666666666666666</v>
      </c>
      <c r="AD48" s="21">
        <v>8.3333333333333329E-2</v>
      </c>
      <c r="AE48" s="21">
        <v>0</v>
      </c>
      <c r="AF48" s="31">
        <v>245.66666666666666</v>
      </c>
      <c r="AG48" s="21">
        <v>0.44444444444444442</v>
      </c>
      <c r="AH48" s="21">
        <v>0.23076923076923078</v>
      </c>
      <c r="AI48" s="5" t="str">
        <v>Hold</v>
      </c>
    </row>
    <row r="49" spans="1:35">
      <c r="A49" s="24" t="str">
        <v>SKU-1009</v>
      </c>
      <c r="B49" s="24" t="str">
        <v>Phone Stand</v>
      </c>
      <c r="C49" s="24" t="str">
        <v>QuickCart</v>
      </c>
      <c r="D49" s="23">
        <v>189.08</v>
      </c>
      <c r="E49" s="24">
        <v>3</v>
      </c>
      <c r="F49" s="24">
        <v>1573</v>
      </c>
      <c r="G49" s="40">
        <v>45377</v>
      </c>
      <c r="H49" s="28">
        <v>196</v>
      </c>
      <c r="I49" s="11">
        <f t="shared" si="0"/>
        <v>-5.907552358789938E-2</v>
      </c>
      <c r="J49" s="24" t="str">
        <v>Electronics</v>
      </c>
      <c r="K49" s="23">
        <v>177.91</v>
      </c>
      <c r="L49" s="23">
        <v>73.489999999999995</v>
      </c>
      <c r="M49" s="9">
        <v>0.58692597380698108</v>
      </c>
      <c r="N49" s="24">
        <v>4.8</v>
      </c>
      <c r="O49" s="24">
        <v>2643</v>
      </c>
      <c r="P49" s="24">
        <v>202</v>
      </c>
      <c r="Q49" s="24">
        <v>36</v>
      </c>
      <c r="R49" s="23">
        <v>4823.6400000000003</v>
      </c>
      <c r="S49" s="23">
        <v>2645.64</v>
      </c>
      <c r="T49" s="28">
        <v>2178.0000000000005</v>
      </c>
      <c r="U49" s="23">
        <v>267.98</v>
      </c>
      <c r="V49" s="23">
        <v>4555.6600000000008</v>
      </c>
      <c r="W49" s="23">
        <f>SUMIFS(Transactions_and_Customer_Information_Joined[Gross Profit ($)], Transactions_and_Customer_Information_Joined[SKU], 'Competitive Analysis (Step 1)'!$A49, Transactions_and_Customer_Information_Joined[Order Status], "Completed")</f>
        <v>1910.02</v>
      </c>
      <c r="X49" s="9">
        <v>0.10401346895949211</v>
      </c>
      <c r="Y49" s="24">
        <v>12</v>
      </c>
      <c r="Z49" s="41">
        <v>7.5</v>
      </c>
      <c r="AA49" s="21">
        <v>0.25</v>
      </c>
      <c r="AB49" s="21">
        <v>0.25</v>
      </c>
      <c r="AC49" s="21">
        <v>0.16666666666666666</v>
      </c>
      <c r="AD49" s="21">
        <v>8.3333333333333329E-2</v>
      </c>
      <c r="AE49" s="21">
        <v>0</v>
      </c>
      <c r="AF49" s="31">
        <v>245.66666666666666</v>
      </c>
      <c r="AG49" s="21">
        <v>0.44444444444444442</v>
      </c>
      <c r="AH49" s="21">
        <v>0.23076923076923078</v>
      </c>
      <c r="AI49" s="5" t="str">
        <v>Hold</v>
      </c>
    </row>
    <row r="50" spans="1:35">
      <c r="A50" s="24" t="str">
        <v>SKU-1010</v>
      </c>
      <c r="B50" s="24" t="str">
        <v>Slim Fit Jeans</v>
      </c>
      <c r="C50" s="24" t="str">
        <v>RivalMart</v>
      </c>
      <c r="D50" s="23">
        <v>34.78</v>
      </c>
      <c r="E50" s="24">
        <v>4.2</v>
      </c>
      <c r="F50" s="24">
        <v>2335</v>
      </c>
      <c r="G50" s="40">
        <v>45313</v>
      </c>
      <c r="H50" s="28">
        <v>50.284999999999997</v>
      </c>
      <c r="I50" s="11">
        <f t="shared" si="0"/>
        <v>0.31857389304197808</v>
      </c>
      <c r="J50" s="24" t="str">
        <v>Apparel</v>
      </c>
      <c r="K50" s="23">
        <v>45.86</v>
      </c>
      <c r="L50" s="23">
        <v>24.87</v>
      </c>
      <c r="M50" s="9">
        <v>0.45769733972961185</v>
      </c>
      <c r="N50" s="24">
        <v>4.2</v>
      </c>
      <c r="O50" s="24">
        <v>1492</v>
      </c>
      <c r="P50" s="24">
        <v>459</v>
      </c>
      <c r="Q50" s="24">
        <v>42</v>
      </c>
      <c r="R50" s="23">
        <v>1474.6199999999997</v>
      </c>
      <c r="S50" s="23">
        <v>1044.54</v>
      </c>
      <c r="T50" s="28">
        <v>430.0799999999997</v>
      </c>
      <c r="U50" s="23">
        <v>122.9</v>
      </c>
      <c r="V50" s="23">
        <v>1351.7199999999998</v>
      </c>
      <c r="W50" s="23">
        <f>SUMIFS(Transactions_and_Customer_Information_Joined[Gross Profit ($)], Transactions_and_Customer_Information_Joined[SKU], 'Competitive Analysis (Step 1)'!$A50, Transactions_and_Customer_Information_Joined[Order Status], "Completed")</f>
        <v>307.18000000000006</v>
      </c>
      <c r="X50" s="9">
        <v>0.3505533690409256</v>
      </c>
      <c r="Y50" s="24">
        <v>17</v>
      </c>
      <c r="Z50" s="41">
        <v>8.5294117647058822</v>
      </c>
      <c r="AA50" s="21">
        <v>0.35294117647058826</v>
      </c>
      <c r="AB50" s="21">
        <v>5.8823529411764705E-2</v>
      </c>
      <c r="AC50" s="21">
        <v>0.11764705882352941</v>
      </c>
      <c r="AD50" s="21">
        <v>0.29411764705882354</v>
      </c>
      <c r="AE50" s="21">
        <v>0.11764705882352941</v>
      </c>
      <c r="AF50" s="31">
        <v>178.23529411764707</v>
      </c>
      <c r="AG50" s="21">
        <v>0.23076923076923078</v>
      </c>
      <c r="AH50" s="21">
        <v>0.375</v>
      </c>
      <c r="AI50" s="5" t="str">
        <v>Reduce</v>
      </c>
    </row>
    <row r="51" spans="1:35">
      <c r="A51" s="24" t="str">
        <v>SKU-1010</v>
      </c>
      <c r="B51" s="24" t="str">
        <v>Slim Fit Jeans</v>
      </c>
      <c r="C51" s="24" t="str">
        <v>ShopNow</v>
      </c>
      <c r="D51" s="23">
        <v>56.44</v>
      </c>
      <c r="E51" s="24">
        <v>3.9</v>
      </c>
      <c r="F51" s="24">
        <v>1545</v>
      </c>
      <c r="G51" s="40">
        <v>45351</v>
      </c>
      <c r="H51" s="28">
        <v>50.284999999999997</v>
      </c>
      <c r="I51" s="11">
        <f t="shared" si="0"/>
        <v>-0.18745570517363569</v>
      </c>
      <c r="J51" s="24" t="str">
        <v>Apparel</v>
      </c>
      <c r="K51" s="23">
        <v>45.86</v>
      </c>
      <c r="L51" s="23">
        <v>24.87</v>
      </c>
      <c r="M51" s="9">
        <v>0.45769733972961185</v>
      </c>
      <c r="N51" s="24">
        <v>4.2</v>
      </c>
      <c r="O51" s="24">
        <v>1492</v>
      </c>
      <c r="P51" s="24">
        <v>459</v>
      </c>
      <c r="Q51" s="24">
        <v>42</v>
      </c>
      <c r="R51" s="23">
        <v>1474.6199999999997</v>
      </c>
      <c r="S51" s="23">
        <v>1044.54</v>
      </c>
      <c r="T51" s="28">
        <v>430.0799999999997</v>
      </c>
      <c r="U51" s="23">
        <v>122.9</v>
      </c>
      <c r="V51" s="23">
        <v>1351.7199999999998</v>
      </c>
      <c r="W51" s="23">
        <f>SUMIFS(Transactions_and_Customer_Information_Joined[Gross Profit ($)], Transactions_and_Customer_Information_Joined[SKU], 'Competitive Analysis (Step 1)'!$A51, Transactions_and_Customer_Information_Joined[Order Status], "Completed")</f>
        <v>307.18000000000006</v>
      </c>
      <c r="X51" s="9">
        <v>0.3505533690409256</v>
      </c>
      <c r="Y51" s="24">
        <v>17</v>
      </c>
      <c r="Z51" s="41">
        <v>8.5294117647058822</v>
      </c>
      <c r="AA51" s="21">
        <v>0.35294117647058826</v>
      </c>
      <c r="AB51" s="21">
        <v>5.8823529411764705E-2</v>
      </c>
      <c r="AC51" s="21">
        <v>0.11764705882352941</v>
      </c>
      <c r="AD51" s="21">
        <v>0.29411764705882354</v>
      </c>
      <c r="AE51" s="21">
        <v>0.11764705882352941</v>
      </c>
      <c r="AF51" s="31">
        <v>178.23529411764707</v>
      </c>
      <c r="AG51" s="21">
        <v>0.23076923076923078</v>
      </c>
      <c r="AH51" s="21">
        <v>0.375</v>
      </c>
      <c r="AI51" s="5" t="str">
        <v>Raise</v>
      </c>
    </row>
    <row r="52" spans="1:35">
      <c r="A52" s="24" t="str">
        <v>SKU-1010</v>
      </c>
      <c r="B52" s="24" t="str">
        <v>Slim Fit Jeans</v>
      </c>
      <c r="C52" s="24" t="str">
        <v>BestDeals</v>
      </c>
      <c r="D52" s="23">
        <v>57.13</v>
      </c>
      <c r="E52" s="24">
        <v>4.2</v>
      </c>
      <c r="F52" s="24">
        <v>116</v>
      </c>
      <c r="G52" s="40">
        <v>45361</v>
      </c>
      <c r="H52" s="28">
        <v>50.284999999999997</v>
      </c>
      <c r="I52" s="11">
        <f t="shared" si="0"/>
        <v>-0.19726938561176269</v>
      </c>
      <c r="J52" s="24" t="str">
        <v>Apparel</v>
      </c>
      <c r="K52" s="23">
        <v>45.86</v>
      </c>
      <c r="L52" s="23">
        <v>24.87</v>
      </c>
      <c r="M52" s="9">
        <v>0.45769733972961185</v>
      </c>
      <c r="N52" s="24">
        <v>4.2</v>
      </c>
      <c r="O52" s="24">
        <v>1492</v>
      </c>
      <c r="P52" s="24">
        <v>459</v>
      </c>
      <c r="Q52" s="24">
        <v>42</v>
      </c>
      <c r="R52" s="23">
        <v>1474.6199999999997</v>
      </c>
      <c r="S52" s="23">
        <v>1044.54</v>
      </c>
      <c r="T52" s="28">
        <v>430.0799999999997</v>
      </c>
      <c r="U52" s="23">
        <v>122.9</v>
      </c>
      <c r="V52" s="23">
        <v>1351.7199999999998</v>
      </c>
      <c r="W52" s="23">
        <f>SUMIFS(Transactions_and_Customer_Information_Joined[Gross Profit ($)], Transactions_and_Customer_Information_Joined[SKU], 'Competitive Analysis (Step 1)'!$A52, Transactions_and_Customer_Information_Joined[Order Status], "Completed")</f>
        <v>307.18000000000006</v>
      </c>
      <c r="X52" s="9">
        <v>0.3505533690409256</v>
      </c>
      <c r="Y52" s="24">
        <v>17</v>
      </c>
      <c r="Z52" s="41">
        <v>8.5294117647058822</v>
      </c>
      <c r="AA52" s="21">
        <v>0.35294117647058826</v>
      </c>
      <c r="AB52" s="21">
        <v>5.8823529411764705E-2</v>
      </c>
      <c r="AC52" s="21">
        <v>0.11764705882352941</v>
      </c>
      <c r="AD52" s="21">
        <v>0.29411764705882354</v>
      </c>
      <c r="AE52" s="21">
        <v>0.11764705882352941</v>
      </c>
      <c r="AF52" s="31">
        <v>178.23529411764707</v>
      </c>
      <c r="AG52" s="21">
        <v>0.23076923076923078</v>
      </c>
      <c r="AH52" s="21">
        <v>0.375</v>
      </c>
      <c r="AI52" s="5" t="str">
        <v>Raise</v>
      </c>
    </row>
    <row r="53" spans="1:35">
      <c r="A53" s="24" t="str">
        <v>SKU-1010</v>
      </c>
      <c r="B53" s="24" t="str">
        <v>Slim Fit Jeans</v>
      </c>
      <c r="C53" s="24" t="str">
        <v>QuickCart</v>
      </c>
      <c r="D53" s="23">
        <v>52.79</v>
      </c>
      <c r="E53" s="24">
        <v>3.1</v>
      </c>
      <c r="F53" s="24">
        <v>969</v>
      </c>
      <c r="G53" s="40">
        <v>45361</v>
      </c>
      <c r="H53" s="28">
        <v>50.284999999999997</v>
      </c>
      <c r="I53" s="11">
        <f t="shared" si="0"/>
        <v>-0.1312748626633832</v>
      </c>
      <c r="J53" s="24" t="str">
        <v>Apparel</v>
      </c>
      <c r="K53" s="23">
        <v>45.86</v>
      </c>
      <c r="L53" s="23">
        <v>24.87</v>
      </c>
      <c r="M53" s="9">
        <v>0.45769733972961185</v>
      </c>
      <c r="N53" s="24">
        <v>4.2</v>
      </c>
      <c r="O53" s="24">
        <v>1492</v>
      </c>
      <c r="P53" s="24">
        <v>459</v>
      </c>
      <c r="Q53" s="24">
        <v>42</v>
      </c>
      <c r="R53" s="23">
        <v>1474.6199999999997</v>
      </c>
      <c r="S53" s="23">
        <v>1044.54</v>
      </c>
      <c r="T53" s="28">
        <v>430.0799999999997</v>
      </c>
      <c r="U53" s="23">
        <v>122.9</v>
      </c>
      <c r="V53" s="23">
        <v>1351.7199999999998</v>
      </c>
      <c r="W53" s="23">
        <f>SUMIFS(Transactions_and_Customer_Information_Joined[Gross Profit ($)], Transactions_and_Customer_Information_Joined[SKU], 'Competitive Analysis (Step 1)'!$A53, Transactions_and_Customer_Information_Joined[Order Status], "Completed")</f>
        <v>307.18000000000006</v>
      </c>
      <c r="X53" s="9">
        <v>0.3505533690409256</v>
      </c>
      <c r="Y53" s="24">
        <v>17</v>
      </c>
      <c r="Z53" s="41">
        <v>8.5294117647058822</v>
      </c>
      <c r="AA53" s="21">
        <v>0.35294117647058826</v>
      </c>
      <c r="AB53" s="21">
        <v>5.8823529411764705E-2</v>
      </c>
      <c r="AC53" s="21">
        <v>0.11764705882352941</v>
      </c>
      <c r="AD53" s="21">
        <v>0.29411764705882354</v>
      </c>
      <c r="AE53" s="21">
        <v>0.11764705882352941</v>
      </c>
      <c r="AF53" s="31">
        <v>178.23529411764707</v>
      </c>
      <c r="AG53" s="21">
        <v>0.23076923076923078</v>
      </c>
      <c r="AH53" s="21">
        <v>0.375</v>
      </c>
      <c r="AI53" s="5" t="str">
        <v>Raise</v>
      </c>
    </row>
    <row r="54" spans="1:35">
      <c r="A54" s="24" t="str">
        <v>SKU-1011</v>
      </c>
      <c r="B54" s="24" t="str">
        <v>Graphic Tee</v>
      </c>
      <c r="C54" s="24" t="str">
        <v>RivalMart</v>
      </c>
      <c r="D54" s="23">
        <v>69.489999999999995</v>
      </c>
      <c r="E54" s="24">
        <v>4.9000000000000004</v>
      </c>
      <c r="F54" s="24">
        <v>1969</v>
      </c>
      <c r="G54" s="40">
        <v>45292</v>
      </c>
      <c r="H54" s="28">
        <v>69.63</v>
      </c>
      <c r="I54" s="11">
        <f t="shared" si="0"/>
        <v>-2.7773780400057457E-2</v>
      </c>
      <c r="J54" s="24" t="str">
        <v>Apparel</v>
      </c>
      <c r="K54" s="23">
        <v>67.56</v>
      </c>
      <c r="L54" s="23">
        <v>43.21</v>
      </c>
      <c r="M54" s="9">
        <v>0.36042036708111308</v>
      </c>
      <c r="N54" s="24">
        <v>4.3</v>
      </c>
      <c r="O54" s="24">
        <v>2797</v>
      </c>
      <c r="P54" s="24">
        <v>78</v>
      </c>
      <c r="Q54" s="24">
        <v>22</v>
      </c>
      <c r="R54" s="23">
        <v>1486.32</v>
      </c>
      <c r="S54" s="23">
        <v>950.62000000000012</v>
      </c>
      <c r="T54" s="28">
        <v>535.69999999999982</v>
      </c>
      <c r="U54" s="23">
        <v>135.11999999999998</v>
      </c>
      <c r="V54" s="23">
        <v>1351.1999999999998</v>
      </c>
      <c r="W54" s="23">
        <f>SUMIFS(Transactions_and_Customer_Information_Joined[Gross Profit ($)], Transactions_and_Customer_Information_Joined[SKU], 'Competitive Analysis (Step 1)'!$A54, Transactions_and_Customer_Information_Joined[Order Status], "Completed")</f>
        <v>400.57999999999993</v>
      </c>
      <c r="X54" s="9">
        <v>0.35068827708703371</v>
      </c>
      <c r="Y54" s="24">
        <v>10</v>
      </c>
      <c r="Z54" s="41">
        <v>8</v>
      </c>
      <c r="AA54" s="21">
        <v>0.2</v>
      </c>
      <c r="AB54" s="21">
        <v>0.2</v>
      </c>
      <c r="AC54" s="21">
        <v>0.3</v>
      </c>
      <c r="AD54" s="21">
        <v>0.1</v>
      </c>
      <c r="AE54" s="21">
        <v>0</v>
      </c>
      <c r="AF54" s="31">
        <v>180.4</v>
      </c>
      <c r="AG54" s="21">
        <v>0.33333333333333331</v>
      </c>
      <c r="AH54" s="21">
        <v>0.23076923076923078</v>
      </c>
      <c r="AI54" s="5" t="str">
        <v>Hold</v>
      </c>
    </row>
    <row r="55" spans="1:35">
      <c r="A55" s="24" t="str">
        <v>SKU-1011</v>
      </c>
      <c r="B55" s="24" t="str">
        <v>Graphic Tee</v>
      </c>
      <c r="C55" s="24" t="str">
        <v>ShopNow</v>
      </c>
      <c r="D55" s="23">
        <v>76.69</v>
      </c>
      <c r="E55" s="24">
        <v>4.5</v>
      </c>
      <c r="F55" s="24">
        <v>1462</v>
      </c>
      <c r="G55" s="40">
        <v>45349</v>
      </c>
      <c r="H55" s="28">
        <v>69.63</v>
      </c>
      <c r="I55" s="11">
        <f t="shared" si="0"/>
        <v>-0.1190507236927891</v>
      </c>
      <c r="J55" s="24" t="str">
        <v>Apparel</v>
      </c>
      <c r="K55" s="23">
        <v>67.56</v>
      </c>
      <c r="L55" s="23">
        <v>43.21</v>
      </c>
      <c r="M55" s="9">
        <v>0.36042036708111308</v>
      </c>
      <c r="N55" s="24">
        <v>4.3</v>
      </c>
      <c r="O55" s="24">
        <v>2797</v>
      </c>
      <c r="P55" s="24">
        <v>78</v>
      </c>
      <c r="Q55" s="24">
        <v>22</v>
      </c>
      <c r="R55" s="23">
        <v>1486.32</v>
      </c>
      <c r="S55" s="23">
        <v>950.62000000000012</v>
      </c>
      <c r="T55" s="28">
        <v>535.69999999999982</v>
      </c>
      <c r="U55" s="23">
        <v>135.11999999999998</v>
      </c>
      <c r="V55" s="23">
        <v>1351.1999999999998</v>
      </c>
      <c r="W55" s="23">
        <f>SUMIFS(Transactions_and_Customer_Information_Joined[Gross Profit ($)], Transactions_and_Customer_Information_Joined[SKU], 'Competitive Analysis (Step 1)'!$A55, Transactions_and_Customer_Information_Joined[Order Status], "Completed")</f>
        <v>400.57999999999993</v>
      </c>
      <c r="X55" s="9">
        <v>0.35068827708703371</v>
      </c>
      <c r="Y55" s="24">
        <v>10</v>
      </c>
      <c r="Z55" s="41">
        <v>8</v>
      </c>
      <c r="AA55" s="21">
        <v>0.2</v>
      </c>
      <c r="AB55" s="21">
        <v>0.2</v>
      </c>
      <c r="AC55" s="21">
        <v>0.3</v>
      </c>
      <c r="AD55" s="21">
        <v>0.1</v>
      </c>
      <c r="AE55" s="21">
        <v>0</v>
      </c>
      <c r="AF55" s="31">
        <v>180.4</v>
      </c>
      <c r="AG55" s="21">
        <v>0.33333333333333331</v>
      </c>
      <c r="AH55" s="21">
        <v>0.23076923076923078</v>
      </c>
      <c r="AI55" s="5" t="str">
        <v>Raise</v>
      </c>
    </row>
    <row r="56" spans="1:35">
      <c r="A56" s="24" t="str">
        <v>SKU-1011</v>
      </c>
      <c r="B56" s="24" t="str">
        <v>Graphic Tee</v>
      </c>
      <c r="C56" s="24" t="str">
        <v>BestDeals</v>
      </c>
      <c r="D56" s="23">
        <v>71.209999999999994</v>
      </c>
      <c r="E56" s="24">
        <v>3.3</v>
      </c>
      <c r="F56" s="24">
        <v>1470</v>
      </c>
      <c r="G56" s="40">
        <v>45346</v>
      </c>
      <c r="H56" s="28">
        <v>69.63</v>
      </c>
      <c r="I56" s="11">
        <f t="shared" si="0"/>
        <v>-5.1256845948602608E-2</v>
      </c>
      <c r="J56" s="24" t="str">
        <v>Apparel</v>
      </c>
      <c r="K56" s="23">
        <v>67.56</v>
      </c>
      <c r="L56" s="23">
        <v>43.21</v>
      </c>
      <c r="M56" s="9">
        <v>0.36042036708111308</v>
      </c>
      <c r="N56" s="24">
        <v>4.3</v>
      </c>
      <c r="O56" s="24">
        <v>2797</v>
      </c>
      <c r="P56" s="24">
        <v>78</v>
      </c>
      <c r="Q56" s="24">
        <v>22</v>
      </c>
      <c r="R56" s="23">
        <v>1486.32</v>
      </c>
      <c r="S56" s="23">
        <v>950.62000000000012</v>
      </c>
      <c r="T56" s="28">
        <v>535.69999999999982</v>
      </c>
      <c r="U56" s="23">
        <v>135.11999999999998</v>
      </c>
      <c r="V56" s="23">
        <v>1351.1999999999998</v>
      </c>
      <c r="W56" s="23">
        <f>SUMIFS(Transactions_and_Customer_Information_Joined[Gross Profit ($)], Transactions_and_Customer_Information_Joined[SKU], 'Competitive Analysis (Step 1)'!$A56, Transactions_and_Customer_Information_Joined[Order Status], "Completed")</f>
        <v>400.57999999999993</v>
      </c>
      <c r="X56" s="9">
        <v>0.35068827708703371</v>
      </c>
      <c r="Y56" s="24">
        <v>10</v>
      </c>
      <c r="Z56" s="41">
        <v>8</v>
      </c>
      <c r="AA56" s="21">
        <v>0.2</v>
      </c>
      <c r="AB56" s="21">
        <v>0.2</v>
      </c>
      <c r="AC56" s="21">
        <v>0.3</v>
      </c>
      <c r="AD56" s="21">
        <v>0.1</v>
      </c>
      <c r="AE56" s="21">
        <v>0</v>
      </c>
      <c r="AF56" s="31">
        <v>180.4</v>
      </c>
      <c r="AG56" s="21">
        <v>0.33333333333333331</v>
      </c>
      <c r="AH56" s="21">
        <v>0.23076923076923078</v>
      </c>
      <c r="AI56" s="5" t="str">
        <v>Hold</v>
      </c>
    </row>
    <row r="57" spans="1:35">
      <c r="A57" s="24" t="str">
        <v>SKU-1011</v>
      </c>
      <c r="B57" s="24" t="str">
        <v>Graphic Tee</v>
      </c>
      <c r="C57" s="24" t="str">
        <v>QuickCart</v>
      </c>
      <c r="D57" s="23">
        <v>61.13</v>
      </c>
      <c r="E57" s="24">
        <v>4.7</v>
      </c>
      <c r="F57" s="24">
        <v>2486</v>
      </c>
      <c r="G57" s="40">
        <v>45375</v>
      </c>
      <c r="H57" s="28">
        <v>69.63</v>
      </c>
      <c r="I57" s="11">
        <f t="shared" si="0"/>
        <v>0.10518566988385407</v>
      </c>
      <c r="J57" s="24" t="str">
        <v>Apparel</v>
      </c>
      <c r="K57" s="23">
        <v>67.56</v>
      </c>
      <c r="L57" s="23">
        <v>43.21</v>
      </c>
      <c r="M57" s="9">
        <v>0.36042036708111308</v>
      </c>
      <c r="N57" s="24">
        <v>4.3</v>
      </c>
      <c r="O57" s="24">
        <v>2797</v>
      </c>
      <c r="P57" s="24">
        <v>78</v>
      </c>
      <c r="Q57" s="24">
        <v>22</v>
      </c>
      <c r="R57" s="23">
        <v>1486.32</v>
      </c>
      <c r="S57" s="23">
        <v>950.62000000000012</v>
      </c>
      <c r="T57" s="28">
        <v>535.69999999999982</v>
      </c>
      <c r="U57" s="23">
        <v>135.11999999999998</v>
      </c>
      <c r="V57" s="23">
        <v>1351.1999999999998</v>
      </c>
      <c r="W57" s="23">
        <f>SUMIFS(Transactions_and_Customer_Information_Joined[Gross Profit ($)], Transactions_and_Customer_Information_Joined[SKU], 'Competitive Analysis (Step 1)'!$A57, Transactions_and_Customer_Information_Joined[Order Status], "Completed")</f>
        <v>400.57999999999993</v>
      </c>
      <c r="X57" s="9">
        <v>0.35068827708703371</v>
      </c>
      <c r="Y57" s="24">
        <v>10</v>
      </c>
      <c r="Z57" s="41">
        <v>8</v>
      </c>
      <c r="AA57" s="21">
        <v>0.2</v>
      </c>
      <c r="AB57" s="21">
        <v>0.2</v>
      </c>
      <c r="AC57" s="21">
        <v>0.3</v>
      </c>
      <c r="AD57" s="21">
        <v>0.1</v>
      </c>
      <c r="AE57" s="21">
        <v>0</v>
      </c>
      <c r="AF57" s="31">
        <v>180.4</v>
      </c>
      <c r="AG57" s="21">
        <v>0.33333333333333331</v>
      </c>
      <c r="AH57" s="21">
        <v>0.23076923076923078</v>
      </c>
      <c r="AI57" s="5" t="str">
        <v>Reduce</v>
      </c>
    </row>
    <row r="58" spans="1:35">
      <c r="A58" s="24" t="str">
        <v>SKU-1012</v>
      </c>
      <c r="B58" s="24" t="str">
        <v>Hoodie</v>
      </c>
      <c r="C58" s="24" t="str">
        <v>RivalMart</v>
      </c>
      <c r="D58" s="23">
        <v>22.22</v>
      </c>
      <c r="E58" s="24">
        <v>3.4</v>
      </c>
      <c r="F58" s="24">
        <v>1853</v>
      </c>
      <c r="G58" s="40">
        <v>45380</v>
      </c>
      <c r="H58" s="28">
        <v>19.759999999999998</v>
      </c>
      <c r="I58" s="11">
        <f t="shared" si="0"/>
        <v>-8.3258325832583163E-2</v>
      </c>
      <c r="J58" s="24" t="str">
        <v>Apparel</v>
      </c>
      <c r="K58" s="23">
        <v>20.37</v>
      </c>
      <c r="L58" s="23">
        <v>9.76</v>
      </c>
      <c r="M58" s="9">
        <v>0.52086401570937657</v>
      </c>
      <c r="N58" s="24">
        <v>4.4000000000000004</v>
      </c>
      <c r="O58" s="24">
        <v>2802</v>
      </c>
      <c r="P58" s="24">
        <v>348</v>
      </c>
      <c r="Q58" s="24">
        <v>15</v>
      </c>
      <c r="R58" s="23">
        <v>254.24999999999997</v>
      </c>
      <c r="S58" s="23">
        <v>146.39999999999998</v>
      </c>
      <c r="T58" s="28">
        <v>107.85</v>
      </c>
      <c r="U58" s="23">
        <v>27.12</v>
      </c>
      <c r="V58" s="23">
        <v>227.13</v>
      </c>
      <c r="W58" s="23">
        <f>SUMIFS(Transactions_and_Customer_Information_Joined[Gross Profit ($)], Transactions_and_Customer_Information_Joined[SKU], 'Competitive Analysis (Step 1)'!$A58, Transactions_and_Customer_Information_Joined[Order Status], "Completed")</f>
        <v>80.72999999999999</v>
      </c>
      <c r="X58" s="9">
        <v>2.0862501651036847</v>
      </c>
      <c r="Y58" s="24">
        <v>7</v>
      </c>
      <c r="Z58" s="41">
        <v>10</v>
      </c>
      <c r="AA58" s="21">
        <v>0.2857142857142857</v>
      </c>
      <c r="AB58" s="21">
        <v>0.14285714285714285</v>
      </c>
      <c r="AC58" s="21">
        <v>0.2857142857142857</v>
      </c>
      <c r="AD58" s="21">
        <v>0</v>
      </c>
      <c r="AE58" s="21">
        <v>0.14285714285714285</v>
      </c>
      <c r="AF58" s="31">
        <v>121.71428571428571</v>
      </c>
      <c r="AG58" s="21">
        <v>0</v>
      </c>
      <c r="AH58" s="21">
        <v>0.2857142857142857</v>
      </c>
      <c r="AI58" s="5" t="str">
        <v>Hold</v>
      </c>
    </row>
    <row r="59" spans="1:35">
      <c r="A59" s="24" t="str">
        <v>SKU-1012</v>
      </c>
      <c r="B59" s="24" t="str">
        <v>Hoodie</v>
      </c>
      <c r="C59" s="24" t="str">
        <v>ShopNow</v>
      </c>
      <c r="D59" s="23">
        <v>17.16</v>
      </c>
      <c r="E59" s="24">
        <v>3.3</v>
      </c>
      <c r="F59" s="24">
        <v>2321</v>
      </c>
      <c r="G59" s="40">
        <v>45381</v>
      </c>
      <c r="H59" s="28">
        <v>19.759999999999998</v>
      </c>
      <c r="I59" s="11">
        <f t="shared" si="0"/>
        <v>0.18706293706293711</v>
      </c>
      <c r="J59" s="24" t="str">
        <v>Apparel</v>
      </c>
      <c r="K59" s="23">
        <v>20.37</v>
      </c>
      <c r="L59" s="23">
        <v>9.76</v>
      </c>
      <c r="M59" s="9">
        <v>0.52086401570937657</v>
      </c>
      <c r="N59" s="24">
        <v>4.4000000000000004</v>
      </c>
      <c r="O59" s="24">
        <v>2802</v>
      </c>
      <c r="P59" s="24">
        <v>348</v>
      </c>
      <c r="Q59" s="24">
        <v>15</v>
      </c>
      <c r="R59" s="23">
        <v>254.24999999999997</v>
      </c>
      <c r="S59" s="23">
        <v>146.39999999999998</v>
      </c>
      <c r="T59" s="28">
        <v>107.85</v>
      </c>
      <c r="U59" s="23">
        <v>27.12</v>
      </c>
      <c r="V59" s="23">
        <v>227.13</v>
      </c>
      <c r="W59" s="23">
        <f>SUMIFS(Transactions_and_Customer_Information_Joined[Gross Profit ($)], Transactions_and_Customer_Information_Joined[SKU], 'Competitive Analysis (Step 1)'!$A59, Transactions_and_Customer_Information_Joined[Order Status], "Completed")</f>
        <v>80.72999999999999</v>
      </c>
      <c r="X59" s="9">
        <v>2.0862501651036847</v>
      </c>
      <c r="Y59" s="24">
        <v>7</v>
      </c>
      <c r="Z59" s="41">
        <v>10</v>
      </c>
      <c r="AA59" s="21">
        <v>0.2857142857142857</v>
      </c>
      <c r="AB59" s="21">
        <v>0.14285714285714285</v>
      </c>
      <c r="AC59" s="21">
        <v>0.2857142857142857</v>
      </c>
      <c r="AD59" s="21">
        <v>0</v>
      </c>
      <c r="AE59" s="21">
        <v>0.14285714285714285</v>
      </c>
      <c r="AF59" s="31">
        <v>121.71428571428571</v>
      </c>
      <c r="AG59" s="21">
        <v>0</v>
      </c>
      <c r="AH59" s="21">
        <v>0.2857142857142857</v>
      </c>
      <c r="AI59" s="5" t="str">
        <v>Reduce</v>
      </c>
    </row>
    <row r="60" spans="1:35">
      <c r="A60" s="24" t="str">
        <v>SKU-1012</v>
      </c>
      <c r="B60" s="24" t="str">
        <v>Hoodie</v>
      </c>
      <c r="C60" s="24" t="str">
        <v>BestDeals</v>
      </c>
      <c r="D60" s="23">
        <v>19.27</v>
      </c>
      <c r="E60" s="24">
        <v>4.5</v>
      </c>
      <c r="F60" s="24">
        <v>647</v>
      </c>
      <c r="G60" s="40">
        <v>45321</v>
      </c>
      <c r="H60" s="28">
        <v>19.759999999999998</v>
      </c>
      <c r="I60" s="11">
        <f t="shared" si="0"/>
        <v>5.7083549558899917E-2</v>
      </c>
      <c r="J60" s="24" t="str">
        <v>Apparel</v>
      </c>
      <c r="K60" s="23">
        <v>20.37</v>
      </c>
      <c r="L60" s="23">
        <v>9.76</v>
      </c>
      <c r="M60" s="9">
        <v>0.52086401570937657</v>
      </c>
      <c r="N60" s="24">
        <v>4.4000000000000004</v>
      </c>
      <c r="O60" s="24">
        <v>2802</v>
      </c>
      <c r="P60" s="24">
        <v>348</v>
      </c>
      <c r="Q60" s="24">
        <v>15</v>
      </c>
      <c r="R60" s="23">
        <v>254.24999999999997</v>
      </c>
      <c r="S60" s="23">
        <v>146.39999999999998</v>
      </c>
      <c r="T60" s="28">
        <v>107.85</v>
      </c>
      <c r="U60" s="23">
        <v>27.12</v>
      </c>
      <c r="V60" s="23">
        <v>227.13</v>
      </c>
      <c r="W60" s="23">
        <f>SUMIFS(Transactions_and_Customer_Information_Joined[Gross Profit ($)], Transactions_and_Customer_Information_Joined[SKU], 'Competitive Analysis (Step 1)'!$A60, Transactions_and_Customer_Information_Joined[Order Status], "Completed")</f>
        <v>80.72999999999999</v>
      </c>
      <c r="X60" s="9">
        <v>2.0862501651036847</v>
      </c>
      <c r="Y60" s="24">
        <v>7</v>
      </c>
      <c r="Z60" s="41">
        <v>10</v>
      </c>
      <c r="AA60" s="21">
        <v>0.2857142857142857</v>
      </c>
      <c r="AB60" s="21">
        <v>0.14285714285714285</v>
      </c>
      <c r="AC60" s="21">
        <v>0.2857142857142857</v>
      </c>
      <c r="AD60" s="21">
        <v>0</v>
      </c>
      <c r="AE60" s="21">
        <v>0.14285714285714285</v>
      </c>
      <c r="AF60" s="31">
        <v>121.71428571428571</v>
      </c>
      <c r="AG60" s="21">
        <v>0</v>
      </c>
      <c r="AH60" s="21">
        <v>0.2857142857142857</v>
      </c>
      <c r="AI60" s="5" t="str">
        <v>Hold</v>
      </c>
    </row>
    <row r="61" spans="1:35">
      <c r="A61" s="24" t="str">
        <v>SKU-1012</v>
      </c>
      <c r="B61" s="24" t="str">
        <v>Hoodie</v>
      </c>
      <c r="C61" s="24" t="str">
        <v>QuickCart</v>
      </c>
      <c r="D61" s="23">
        <v>20.39</v>
      </c>
      <c r="E61" s="24">
        <v>4.8</v>
      </c>
      <c r="F61" s="24">
        <v>594</v>
      </c>
      <c r="G61" s="40">
        <v>45299</v>
      </c>
      <c r="H61" s="28">
        <v>19.759999999999998</v>
      </c>
      <c r="I61" s="11">
        <f t="shared" si="0"/>
        <v>-9.8087297694946407E-4</v>
      </c>
      <c r="J61" s="24" t="str">
        <v>Apparel</v>
      </c>
      <c r="K61" s="23">
        <v>20.37</v>
      </c>
      <c r="L61" s="23">
        <v>9.76</v>
      </c>
      <c r="M61" s="9">
        <v>0.52086401570937657</v>
      </c>
      <c r="N61" s="24">
        <v>4.4000000000000004</v>
      </c>
      <c r="O61" s="24">
        <v>2802</v>
      </c>
      <c r="P61" s="24">
        <v>348</v>
      </c>
      <c r="Q61" s="24">
        <v>15</v>
      </c>
      <c r="R61" s="23">
        <v>254.24999999999997</v>
      </c>
      <c r="S61" s="23">
        <v>146.39999999999998</v>
      </c>
      <c r="T61" s="28">
        <v>107.85</v>
      </c>
      <c r="U61" s="23">
        <v>27.12</v>
      </c>
      <c r="V61" s="23">
        <v>227.13</v>
      </c>
      <c r="W61" s="23">
        <f>SUMIFS(Transactions_and_Customer_Information_Joined[Gross Profit ($)], Transactions_and_Customer_Information_Joined[SKU], 'Competitive Analysis (Step 1)'!$A61, Transactions_and_Customer_Information_Joined[Order Status], "Completed")</f>
        <v>80.72999999999999</v>
      </c>
      <c r="X61" s="9">
        <v>2.0862501651036847</v>
      </c>
      <c r="Y61" s="24">
        <v>7</v>
      </c>
      <c r="Z61" s="41">
        <v>10</v>
      </c>
      <c r="AA61" s="21">
        <v>0.2857142857142857</v>
      </c>
      <c r="AB61" s="21">
        <v>0.14285714285714285</v>
      </c>
      <c r="AC61" s="21">
        <v>0.2857142857142857</v>
      </c>
      <c r="AD61" s="21">
        <v>0</v>
      </c>
      <c r="AE61" s="21">
        <v>0.14285714285714285</v>
      </c>
      <c r="AF61" s="31">
        <v>121.71428571428571</v>
      </c>
      <c r="AG61" s="21">
        <v>0</v>
      </c>
      <c r="AH61" s="21">
        <v>0.2857142857142857</v>
      </c>
      <c r="AI61" s="5" t="str">
        <v>Hold</v>
      </c>
    </row>
    <row r="62" spans="1:35">
      <c r="A62" s="24" t="str">
        <v>SKU-1013</v>
      </c>
      <c r="B62" s="24" t="str">
        <v>Running Shorts</v>
      </c>
      <c r="C62" s="24" t="str">
        <v>RivalMart</v>
      </c>
      <c r="D62" s="23">
        <v>73.290000000000006</v>
      </c>
      <c r="E62" s="24">
        <v>4.0999999999999996</v>
      </c>
      <c r="F62" s="24">
        <v>313</v>
      </c>
      <c r="G62" s="40">
        <v>45325</v>
      </c>
      <c r="H62" s="28">
        <v>81.05</v>
      </c>
      <c r="I62" s="11">
        <f t="shared" si="0"/>
        <v>0.15909401009687538</v>
      </c>
      <c r="J62" s="24" t="str">
        <v>Apparel</v>
      </c>
      <c r="K62" s="23">
        <v>84.95</v>
      </c>
      <c r="L62" s="23">
        <v>53.07</v>
      </c>
      <c r="M62" s="9">
        <v>0.37527957622130664</v>
      </c>
      <c r="N62" s="24">
        <v>4.9000000000000004</v>
      </c>
      <c r="O62" s="24">
        <v>2957</v>
      </c>
      <c r="P62" s="24">
        <v>1</v>
      </c>
      <c r="Q62" s="24">
        <v>36</v>
      </c>
      <c r="R62" s="23">
        <v>3058.2000000000003</v>
      </c>
      <c r="S62" s="23">
        <v>1910.5200000000004</v>
      </c>
      <c r="T62" s="28">
        <v>1147.6799999999998</v>
      </c>
      <c r="U62" s="23">
        <v>310.05999999999995</v>
      </c>
      <c r="V62" s="23">
        <v>2748.14</v>
      </c>
      <c r="W62" s="23">
        <f>SUMIFS(Transactions_and_Customer_Information_Joined[Gross Profit ($)], Transactions_and_Customer_Information_Joined[SKU], 'Competitive Analysis (Step 1)'!$A62, Transactions_and_Customer_Information_Joined[Order Status], "Completed")</f>
        <v>837.61999999999989</v>
      </c>
      <c r="X62" s="9">
        <v>0.17242571339160304</v>
      </c>
      <c r="Y62" s="24">
        <v>14</v>
      </c>
      <c r="Z62" s="41">
        <v>9.6428571428571423</v>
      </c>
      <c r="AA62" s="21">
        <v>0.42857142857142855</v>
      </c>
      <c r="AB62" s="21">
        <v>7.1428571428571425E-2</v>
      </c>
      <c r="AC62" s="21">
        <v>0.35714285714285715</v>
      </c>
      <c r="AD62" s="21">
        <v>0</v>
      </c>
      <c r="AE62" s="21">
        <v>0.14285714285714285</v>
      </c>
      <c r="AF62" s="31">
        <v>174.14285714285714</v>
      </c>
      <c r="AG62" s="21">
        <v>0</v>
      </c>
      <c r="AH62" s="21">
        <v>0.44444444444444442</v>
      </c>
      <c r="AI62" s="5" t="str">
        <v>Reduce</v>
      </c>
    </row>
    <row r="63" spans="1:35">
      <c r="A63" s="24" t="str">
        <v>SKU-1013</v>
      </c>
      <c r="B63" s="24" t="str">
        <v>Running Shorts</v>
      </c>
      <c r="C63" s="24" t="str">
        <v>ShopNow</v>
      </c>
      <c r="D63" s="23">
        <v>77.34</v>
      </c>
      <c r="E63" s="24">
        <v>4.0999999999999996</v>
      </c>
      <c r="F63" s="24">
        <v>101</v>
      </c>
      <c r="G63" s="40">
        <v>45375</v>
      </c>
      <c r="H63" s="28">
        <v>81.05</v>
      </c>
      <c r="I63" s="11">
        <f t="shared" si="0"/>
        <v>9.8396689940522364E-2</v>
      </c>
      <c r="J63" s="24" t="str">
        <v>Apparel</v>
      </c>
      <c r="K63" s="23">
        <v>84.95</v>
      </c>
      <c r="L63" s="23">
        <v>53.07</v>
      </c>
      <c r="M63" s="9">
        <v>0.37527957622130664</v>
      </c>
      <c r="N63" s="24">
        <v>4.9000000000000004</v>
      </c>
      <c r="O63" s="24">
        <v>2957</v>
      </c>
      <c r="P63" s="24">
        <v>1</v>
      </c>
      <c r="Q63" s="24">
        <v>36</v>
      </c>
      <c r="R63" s="23">
        <v>3058.2000000000003</v>
      </c>
      <c r="S63" s="23">
        <v>1910.5200000000004</v>
      </c>
      <c r="T63" s="28">
        <v>1147.6799999999998</v>
      </c>
      <c r="U63" s="23">
        <v>310.05999999999995</v>
      </c>
      <c r="V63" s="23">
        <v>2748.14</v>
      </c>
      <c r="W63" s="23">
        <f>SUMIFS(Transactions_and_Customer_Information_Joined[Gross Profit ($)], Transactions_and_Customer_Information_Joined[SKU], 'Competitive Analysis (Step 1)'!$A63, Transactions_and_Customer_Information_Joined[Order Status], "Completed")</f>
        <v>837.61999999999989</v>
      </c>
      <c r="X63" s="9">
        <v>0.17242571339160304</v>
      </c>
      <c r="Y63" s="24">
        <v>14</v>
      </c>
      <c r="Z63" s="41">
        <v>9.6428571428571423</v>
      </c>
      <c r="AA63" s="21">
        <v>0.42857142857142855</v>
      </c>
      <c r="AB63" s="21">
        <v>7.1428571428571425E-2</v>
      </c>
      <c r="AC63" s="21">
        <v>0.35714285714285715</v>
      </c>
      <c r="AD63" s="21">
        <v>0</v>
      </c>
      <c r="AE63" s="21">
        <v>0.14285714285714285</v>
      </c>
      <c r="AF63" s="31">
        <v>174.14285714285714</v>
      </c>
      <c r="AG63" s="21">
        <v>0</v>
      </c>
      <c r="AH63" s="21">
        <v>0.44444444444444442</v>
      </c>
      <c r="AI63" s="5" t="str">
        <v>Hold</v>
      </c>
    </row>
    <row r="64" spans="1:35">
      <c r="A64" s="24" t="str">
        <v>SKU-1013</v>
      </c>
      <c r="B64" s="24" t="str">
        <v>Running Shorts</v>
      </c>
      <c r="C64" s="24" t="str">
        <v>BestDeals</v>
      </c>
      <c r="D64" s="23">
        <v>71.84</v>
      </c>
      <c r="E64" s="24">
        <v>4.4000000000000004</v>
      </c>
      <c r="F64" s="24">
        <v>572</v>
      </c>
      <c r="G64" s="40">
        <v>45358</v>
      </c>
      <c r="H64" s="28">
        <v>81.05</v>
      </c>
      <c r="I64" s="11">
        <f t="shared" si="0"/>
        <v>0.18248886414253895</v>
      </c>
      <c r="J64" s="24" t="str">
        <v>Apparel</v>
      </c>
      <c r="K64" s="23">
        <v>84.95</v>
      </c>
      <c r="L64" s="23">
        <v>53.07</v>
      </c>
      <c r="M64" s="9">
        <v>0.37527957622130664</v>
      </c>
      <c r="N64" s="24">
        <v>4.9000000000000004</v>
      </c>
      <c r="O64" s="24">
        <v>2957</v>
      </c>
      <c r="P64" s="24">
        <v>1</v>
      </c>
      <c r="Q64" s="24">
        <v>36</v>
      </c>
      <c r="R64" s="23">
        <v>3058.2000000000003</v>
      </c>
      <c r="S64" s="23">
        <v>1910.5200000000004</v>
      </c>
      <c r="T64" s="28">
        <v>1147.6799999999998</v>
      </c>
      <c r="U64" s="23">
        <v>310.05999999999995</v>
      </c>
      <c r="V64" s="23">
        <v>2748.14</v>
      </c>
      <c r="W64" s="23">
        <f>SUMIFS(Transactions_and_Customer_Information_Joined[Gross Profit ($)], Transactions_and_Customer_Information_Joined[SKU], 'Competitive Analysis (Step 1)'!$A64, Transactions_and_Customer_Information_Joined[Order Status], "Completed")</f>
        <v>837.61999999999989</v>
      </c>
      <c r="X64" s="9">
        <v>0.17242571339160304</v>
      </c>
      <c r="Y64" s="24">
        <v>14</v>
      </c>
      <c r="Z64" s="41">
        <v>9.6428571428571423</v>
      </c>
      <c r="AA64" s="21">
        <v>0.42857142857142855</v>
      </c>
      <c r="AB64" s="21">
        <v>7.1428571428571425E-2</v>
      </c>
      <c r="AC64" s="21">
        <v>0.35714285714285715</v>
      </c>
      <c r="AD64" s="21">
        <v>0</v>
      </c>
      <c r="AE64" s="21">
        <v>0.14285714285714285</v>
      </c>
      <c r="AF64" s="31">
        <v>174.14285714285714</v>
      </c>
      <c r="AG64" s="21">
        <v>0</v>
      </c>
      <c r="AH64" s="21">
        <v>0.44444444444444442</v>
      </c>
      <c r="AI64" s="5" t="str">
        <v>Reduce</v>
      </c>
    </row>
    <row r="65" spans="1:35">
      <c r="A65" s="24" t="str">
        <v>SKU-1013</v>
      </c>
      <c r="B65" s="24" t="str">
        <v>Running Shorts</v>
      </c>
      <c r="C65" s="24" t="str">
        <v>QuickCart</v>
      </c>
      <c r="D65" s="23">
        <v>101.73</v>
      </c>
      <c r="E65" s="24">
        <v>4.0999999999999996</v>
      </c>
      <c r="F65" s="24">
        <v>969</v>
      </c>
      <c r="G65" s="40">
        <v>45365</v>
      </c>
      <c r="H65" s="28">
        <v>81.05</v>
      </c>
      <c r="I65" s="11">
        <f t="shared" si="0"/>
        <v>-0.16494642681608179</v>
      </c>
      <c r="J65" s="24" t="str">
        <v>Apparel</v>
      </c>
      <c r="K65" s="23">
        <v>84.95</v>
      </c>
      <c r="L65" s="23">
        <v>53.07</v>
      </c>
      <c r="M65" s="9">
        <v>0.37527957622130664</v>
      </c>
      <c r="N65" s="24">
        <v>4.9000000000000004</v>
      </c>
      <c r="O65" s="24">
        <v>2957</v>
      </c>
      <c r="P65" s="24">
        <v>1</v>
      </c>
      <c r="Q65" s="24">
        <v>36</v>
      </c>
      <c r="R65" s="23">
        <v>3058.2000000000003</v>
      </c>
      <c r="S65" s="23">
        <v>1910.5200000000004</v>
      </c>
      <c r="T65" s="28">
        <v>1147.6799999999998</v>
      </c>
      <c r="U65" s="23">
        <v>310.05999999999995</v>
      </c>
      <c r="V65" s="23">
        <v>2748.14</v>
      </c>
      <c r="W65" s="23">
        <f>SUMIFS(Transactions_and_Customer_Information_Joined[Gross Profit ($)], Transactions_and_Customer_Information_Joined[SKU], 'Competitive Analysis (Step 1)'!$A65, Transactions_and_Customer_Information_Joined[Order Status], "Completed")</f>
        <v>837.61999999999989</v>
      </c>
      <c r="X65" s="9">
        <v>0.17242571339160304</v>
      </c>
      <c r="Y65" s="24">
        <v>14</v>
      </c>
      <c r="Z65" s="41">
        <v>9.6428571428571423</v>
      </c>
      <c r="AA65" s="21">
        <v>0.42857142857142855</v>
      </c>
      <c r="AB65" s="21">
        <v>7.1428571428571425E-2</v>
      </c>
      <c r="AC65" s="21">
        <v>0.35714285714285715</v>
      </c>
      <c r="AD65" s="21">
        <v>0</v>
      </c>
      <c r="AE65" s="21">
        <v>0.14285714285714285</v>
      </c>
      <c r="AF65" s="31">
        <v>174.14285714285714</v>
      </c>
      <c r="AG65" s="21">
        <v>0</v>
      </c>
      <c r="AH65" s="21">
        <v>0.44444444444444442</v>
      </c>
      <c r="AI65" s="5" t="str">
        <v>Raise</v>
      </c>
    </row>
    <row r="66" spans="1:35">
      <c r="A66" s="24" t="str">
        <v>SKU-1014</v>
      </c>
      <c r="B66" s="24" t="str">
        <v>Wool Sweater</v>
      </c>
      <c r="C66" s="24" t="str">
        <v>RivalMart</v>
      </c>
      <c r="D66" s="23">
        <v>176.21</v>
      </c>
      <c r="E66" s="24">
        <v>2.9</v>
      </c>
      <c r="F66" s="24">
        <v>1974</v>
      </c>
      <c r="G66" s="40">
        <v>45320</v>
      </c>
      <c r="H66" s="28">
        <v>158.38</v>
      </c>
      <c r="I66" s="11">
        <f t="shared" si="0"/>
        <v>-0.18392826740820609</v>
      </c>
      <c r="J66" s="24" t="str">
        <v>Apparel</v>
      </c>
      <c r="K66" s="23">
        <v>143.80000000000001</v>
      </c>
      <c r="L66" s="23">
        <v>62.15</v>
      </c>
      <c r="M66" s="9">
        <v>0.56780250347705141</v>
      </c>
      <c r="N66" s="24">
        <v>4.3</v>
      </c>
      <c r="O66" s="24">
        <v>2504</v>
      </c>
      <c r="P66" s="24">
        <v>430</v>
      </c>
      <c r="Q66" s="24">
        <v>29</v>
      </c>
      <c r="R66" s="23">
        <v>4170.2</v>
      </c>
      <c r="S66" s="23">
        <v>1802.3499999999997</v>
      </c>
      <c r="T66" s="28">
        <v>2367.8500000000004</v>
      </c>
      <c r="U66" s="23">
        <v>409.83</v>
      </c>
      <c r="V66" s="23">
        <v>3760.3699999999994</v>
      </c>
      <c r="W66" s="23">
        <f>SUMIFS(Transactions_and_Customer_Information_Joined[Gross Profit ($)], Transactions_and_Customer_Information_Joined[SKU], 'Competitive Analysis (Step 1)'!$A66, Transactions_and_Customer_Information_Joined[Order Status], "Completed")</f>
        <v>1958.0199999999998</v>
      </c>
      <c r="X66" s="9">
        <v>0.12601153609884133</v>
      </c>
      <c r="Y66" s="24">
        <v>10</v>
      </c>
      <c r="Z66" s="41">
        <v>7.5</v>
      </c>
      <c r="AA66" s="21">
        <v>0.5</v>
      </c>
      <c r="AB66" s="21">
        <v>0.1</v>
      </c>
      <c r="AC66" s="21">
        <v>0</v>
      </c>
      <c r="AD66" s="21">
        <v>0.3</v>
      </c>
      <c r="AE66" s="21">
        <v>0.2</v>
      </c>
      <c r="AF66" s="31">
        <v>154.80000000000001</v>
      </c>
      <c r="AG66" s="21">
        <v>0.16666666666666666</v>
      </c>
      <c r="AH66" s="21">
        <v>0.33333333333333331</v>
      </c>
      <c r="AI66" s="5" t="str">
        <v>Raise</v>
      </c>
    </row>
    <row r="67" spans="1:35">
      <c r="A67" s="24" t="str">
        <v>SKU-1014</v>
      </c>
      <c r="B67" s="24" t="str">
        <v>Wool Sweater</v>
      </c>
      <c r="C67" s="24" t="str">
        <v>ShopNow</v>
      </c>
      <c r="D67" s="23">
        <v>123.68</v>
      </c>
      <c r="E67" s="24">
        <v>3.7</v>
      </c>
      <c r="F67" s="24">
        <v>1315</v>
      </c>
      <c r="G67" s="40">
        <v>45319</v>
      </c>
      <c r="H67" s="28">
        <v>158.38</v>
      </c>
      <c r="I67" s="11">
        <f t="shared" si="0"/>
        <v>0.16267787839586031</v>
      </c>
      <c r="J67" s="24" t="str">
        <v>Apparel</v>
      </c>
      <c r="K67" s="23">
        <v>143.80000000000001</v>
      </c>
      <c r="L67" s="23">
        <v>62.15</v>
      </c>
      <c r="M67" s="9">
        <v>0.56780250347705141</v>
      </c>
      <c r="N67" s="24">
        <v>4.3</v>
      </c>
      <c r="O67" s="24">
        <v>2504</v>
      </c>
      <c r="P67" s="24">
        <v>430</v>
      </c>
      <c r="Q67" s="24">
        <v>29</v>
      </c>
      <c r="R67" s="23">
        <v>4170.2</v>
      </c>
      <c r="S67" s="23">
        <v>1802.3499999999997</v>
      </c>
      <c r="T67" s="28">
        <v>2367.8500000000004</v>
      </c>
      <c r="U67" s="23">
        <v>409.83</v>
      </c>
      <c r="V67" s="23">
        <v>3760.3699999999994</v>
      </c>
      <c r="W67" s="23">
        <f>SUMIFS(Transactions_and_Customer_Information_Joined[Gross Profit ($)], Transactions_and_Customer_Information_Joined[SKU], 'Competitive Analysis (Step 1)'!$A67, Transactions_and_Customer_Information_Joined[Order Status], "Completed")</f>
        <v>1958.0199999999998</v>
      </c>
      <c r="X67" s="9">
        <v>0.12601153609884133</v>
      </c>
      <c r="Y67" s="24">
        <v>10</v>
      </c>
      <c r="Z67" s="41">
        <v>7.5</v>
      </c>
      <c r="AA67" s="21">
        <v>0.5</v>
      </c>
      <c r="AB67" s="21">
        <v>0.1</v>
      </c>
      <c r="AC67" s="21">
        <v>0</v>
      </c>
      <c r="AD67" s="21">
        <v>0.3</v>
      </c>
      <c r="AE67" s="21">
        <v>0.2</v>
      </c>
      <c r="AF67" s="31">
        <v>154.80000000000001</v>
      </c>
      <c r="AG67" s="21">
        <v>0.16666666666666666</v>
      </c>
      <c r="AH67" s="21">
        <v>0.33333333333333331</v>
      </c>
      <c r="AI67" s="5" t="str">
        <v>Reduce</v>
      </c>
    </row>
    <row r="68" spans="1:35">
      <c r="A68" s="24" t="str">
        <v>SKU-1014</v>
      </c>
      <c r="B68" s="24" t="str">
        <v>Wool Sweater</v>
      </c>
      <c r="C68" s="24" t="str">
        <v>BestDeals</v>
      </c>
      <c r="D68" s="23">
        <v>176.01</v>
      </c>
      <c r="E68" s="24">
        <v>3.9</v>
      </c>
      <c r="F68" s="24">
        <v>219</v>
      </c>
      <c r="G68" s="40">
        <v>45314</v>
      </c>
      <c r="H68" s="28">
        <v>158.38</v>
      </c>
      <c r="I68" s="11">
        <f t="shared" si="0"/>
        <v>-0.18300096585421272</v>
      </c>
      <c r="J68" s="24" t="str">
        <v>Apparel</v>
      </c>
      <c r="K68" s="23">
        <v>143.80000000000001</v>
      </c>
      <c r="L68" s="23">
        <v>62.15</v>
      </c>
      <c r="M68" s="9">
        <v>0.56780250347705141</v>
      </c>
      <c r="N68" s="24">
        <v>4.3</v>
      </c>
      <c r="O68" s="24">
        <v>2504</v>
      </c>
      <c r="P68" s="24">
        <v>430</v>
      </c>
      <c r="Q68" s="24">
        <v>29</v>
      </c>
      <c r="R68" s="23">
        <v>4170.2</v>
      </c>
      <c r="S68" s="23">
        <v>1802.3499999999997</v>
      </c>
      <c r="T68" s="28">
        <v>2367.8500000000004</v>
      </c>
      <c r="U68" s="23">
        <v>409.83</v>
      </c>
      <c r="V68" s="23">
        <v>3760.3699999999994</v>
      </c>
      <c r="W68" s="23">
        <f>SUMIFS(Transactions_and_Customer_Information_Joined[Gross Profit ($)], Transactions_and_Customer_Information_Joined[SKU], 'Competitive Analysis (Step 1)'!$A68, Transactions_and_Customer_Information_Joined[Order Status], "Completed")</f>
        <v>1958.0199999999998</v>
      </c>
      <c r="X68" s="9">
        <v>0.12601153609884133</v>
      </c>
      <c r="Y68" s="24">
        <v>10</v>
      </c>
      <c r="Z68" s="41">
        <v>7.5</v>
      </c>
      <c r="AA68" s="21">
        <v>0.5</v>
      </c>
      <c r="AB68" s="21">
        <v>0.1</v>
      </c>
      <c r="AC68" s="21">
        <v>0</v>
      </c>
      <c r="AD68" s="21">
        <v>0.3</v>
      </c>
      <c r="AE68" s="21">
        <v>0.2</v>
      </c>
      <c r="AF68" s="31">
        <v>154.80000000000001</v>
      </c>
      <c r="AG68" s="21">
        <v>0.16666666666666666</v>
      </c>
      <c r="AH68" s="21">
        <v>0.33333333333333331</v>
      </c>
      <c r="AI68" s="5" t="str">
        <v>Raise</v>
      </c>
    </row>
    <row r="69" spans="1:35">
      <c r="A69" s="24" t="str">
        <v>SKU-1014</v>
      </c>
      <c r="B69" s="24" t="str">
        <v>Wool Sweater</v>
      </c>
      <c r="C69" s="24" t="str">
        <v>QuickCart</v>
      </c>
      <c r="D69" s="23">
        <v>157.62</v>
      </c>
      <c r="E69" s="24">
        <v>3.6</v>
      </c>
      <c r="F69" s="24">
        <v>2359</v>
      </c>
      <c r="G69" s="40">
        <v>45382</v>
      </c>
      <c r="H69" s="28">
        <v>158.38</v>
      </c>
      <c r="I69" s="11">
        <f t="shared" si="0"/>
        <v>-8.7679228524298908E-2</v>
      </c>
      <c r="J69" s="24" t="str">
        <v>Apparel</v>
      </c>
      <c r="K69" s="23">
        <v>143.80000000000001</v>
      </c>
      <c r="L69" s="23">
        <v>62.15</v>
      </c>
      <c r="M69" s="9">
        <v>0.56780250347705141</v>
      </c>
      <c r="N69" s="24">
        <v>4.3</v>
      </c>
      <c r="O69" s="24">
        <v>2504</v>
      </c>
      <c r="P69" s="24">
        <v>430</v>
      </c>
      <c r="Q69" s="24">
        <v>29</v>
      </c>
      <c r="R69" s="23">
        <v>4170.2</v>
      </c>
      <c r="S69" s="23">
        <v>1802.3499999999997</v>
      </c>
      <c r="T69" s="28">
        <v>2367.8500000000004</v>
      </c>
      <c r="U69" s="23">
        <v>409.83</v>
      </c>
      <c r="V69" s="23">
        <v>3760.3699999999994</v>
      </c>
      <c r="W69" s="23">
        <f>SUMIFS(Transactions_and_Customer_Information_Joined[Gross Profit ($)], Transactions_and_Customer_Information_Joined[SKU], 'Competitive Analysis (Step 1)'!$A69, Transactions_and_Customer_Information_Joined[Order Status], "Completed")</f>
        <v>1958.0199999999998</v>
      </c>
      <c r="X69" s="9">
        <v>0.12601153609884133</v>
      </c>
      <c r="Y69" s="24">
        <v>10</v>
      </c>
      <c r="Z69" s="41">
        <v>7.5</v>
      </c>
      <c r="AA69" s="21">
        <v>0.5</v>
      </c>
      <c r="AB69" s="21">
        <v>0.1</v>
      </c>
      <c r="AC69" s="21">
        <v>0</v>
      </c>
      <c r="AD69" s="21">
        <v>0.3</v>
      </c>
      <c r="AE69" s="21">
        <v>0.2</v>
      </c>
      <c r="AF69" s="31">
        <v>154.80000000000001</v>
      </c>
      <c r="AG69" s="21">
        <v>0.16666666666666666</v>
      </c>
      <c r="AH69" s="21">
        <v>0.33333333333333331</v>
      </c>
      <c r="AI69" s="5" t="str">
        <v>Hold</v>
      </c>
    </row>
    <row r="70" spans="1:35">
      <c r="A70" s="24" t="str">
        <v>SKU-1015</v>
      </c>
      <c r="B70" s="24" t="str">
        <v>Denim Jacket</v>
      </c>
      <c r="C70" s="24" t="str">
        <v>RivalMart</v>
      </c>
      <c r="D70" s="23">
        <v>46.68</v>
      </c>
      <c r="E70" s="24">
        <v>4</v>
      </c>
      <c r="F70" s="24">
        <v>1361</v>
      </c>
      <c r="G70" s="40">
        <v>45315</v>
      </c>
      <c r="H70" s="28">
        <v>52.010000000000005</v>
      </c>
      <c r="I70" s="11">
        <f t="shared" si="0"/>
        <v>0.19665809768637532</v>
      </c>
      <c r="J70" s="24" t="str">
        <v>Apparel</v>
      </c>
      <c r="K70" s="23">
        <v>55.86</v>
      </c>
      <c r="L70" s="23">
        <v>33.04</v>
      </c>
      <c r="M70" s="9">
        <v>0.4085213032581454</v>
      </c>
      <c r="N70" s="24">
        <v>3.6</v>
      </c>
      <c r="O70" s="24">
        <v>89</v>
      </c>
      <c r="P70" s="24">
        <v>306</v>
      </c>
      <c r="Q70" s="24">
        <v>33</v>
      </c>
      <c r="R70" s="23">
        <v>1715.3400000000001</v>
      </c>
      <c r="S70" s="23">
        <v>1090.32</v>
      </c>
      <c r="T70" s="28">
        <v>625.02000000000021</v>
      </c>
      <c r="U70" s="23">
        <v>132.54</v>
      </c>
      <c r="V70" s="23">
        <v>1582.8000000000002</v>
      </c>
      <c r="W70" s="23">
        <f>SUMIFS(Transactions_and_Customer_Information_Joined[Gross Profit ($)], Transactions_and_Customer_Information_Joined[SKU], 'Competitive Analysis (Step 1)'!$A70, Transactions_and_Customer_Information_Joined[Order Status], "Completed")</f>
        <v>492.48</v>
      </c>
      <c r="X70" s="9">
        <v>0.29937452615617882</v>
      </c>
      <c r="Y70" s="24">
        <v>10</v>
      </c>
      <c r="Z70" s="41">
        <v>8</v>
      </c>
      <c r="AA70" s="21">
        <v>0.3</v>
      </c>
      <c r="AB70" s="21">
        <v>0.1</v>
      </c>
      <c r="AC70" s="21">
        <v>0.3</v>
      </c>
      <c r="AD70" s="21">
        <v>0.3</v>
      </c>
      <c r="AE70" s="21">
        <v>0.2</v>
      </c>
      <c r="AF70" s="31">
        <v>200.8</v>
      </c>
      <c r="AG70" s="21">
        <v>0.41176470588235292</v>
      </c>
      <c r="AH70" s="21">
        <v>0.33333333333333331</v>
      </c>
      <c r="AI70" s="5" t="str">
        <v>Reduce</v>
      </c>
    </row>
    <row r="71" spans="1:35">
      <c r="A71" s="24" t="str">
        <v>SKU-1015</v>
      </c>
      <c r="B71" s="24" t="str">
        <v>Denim Jacket</v>
      </c>
      <c r="C71" s="24" t="str">
        <v>ShopNow</v>
      </c>
      <c r="D71" s="23">
        <v>42.66</v>
      </c>
      <c r="E71" s="24">
        <v>4.2</v>
      </c>
      <c r="F71" s="24">
        <v>463</v>
      </c>
      <c r="G71" s="40">
        <v>45373</v>
      </c>
      <c r="H71" s="28">
        <v>52.010000000000005</v>
      </c>
      <c r="I71" s="11">
        <f t="shared" si="0"/>
        <v>0.30942334739803101</v>
      </c>
      <c r="J71" s="24" t="str">
        <v>Apparel</v>
      </c>
      <c r="K71" s="23">
        <v>55.86</v>
      </c>
      <c r="L71" s="23">
        <v>33.04</v>
      </c>
      <c r="M71" s="9">
        <v>0.4085213032581454</v>
      </c>
      <c r="N71" s="24">
        <v>3.6</v>
      </c>
      <c r="O71" s="24">
        <v>89</v>
      </c>
      <c r="P71" s="24">
        <v>306</v>
      </c>
      <c r="Q71" s="24">
        <v>33</v>
      </c>
      <c r="R71" s="23">
        <v>1715.3400000000001</v>
      </c>
      <c r="S71" s="23">
        <v>1090.32</v>
      </c>
      <c r="T71" s="28">
        <v>625.02000000000021</v>
      </c>
      <c r="U71" s="23">
        <v>132.54</v>
      </c>
      <c r="V71" s="23">
        <v>1582.8000000000002</v>
      </c>
      <c r="W71" s="23">
        <f>SUMIFS(Transactions_and_Customer_Information_Joined[Gross Profit ($)], Transactions_and_Customer_Information_Joined[SKU], 'Competitive Analysis (Step 1)'!$A71, Transactions_and_Customer_Information_Joined[Order Status], "Completed")</f>
        <v>492.48</v>
      </c>
      <c r="X71" s="9">
        <v>0.29937452615617882</v>
      </c>
      <c r="Y71" s="24">
        <v>10</v>
      </c>
      <c r="Z71" s="41">
        <v>8</v>
      </c>
      <c r="AA71" s="21">
        <v>0.3</v>
      </c>
      <c r="AB71" s="21">
        <v>0.1</v>
      </c>
      <c r="AC71" s="21">
        <v>0.3</v>
      </c>
      <c r="AD71" s="21">
        <v>0.3</v>
      </c>
      <c r="AE71" s="21">
        <v>0.2</v>
      </c>
      <c r="AF71" s="31">
        <v>200.8</v>
      </c>
      <c r="AG71" s="21">
        <v>0.41176470588235292</v>
      </c>
      <c r="AH71" s="21">
        <v>0.33333333333333331</v>
      </c>
      <c r="AI71" s="5" t="str">
        <v>Reduce</v>
      </c>
    </row>
    <row r="72" spans="1:35">
      <c r="A72" s="24" t="str">
        <v>SKU-1015</v>
      </c>
      <c r="B72" s="24" t="str">
        <v>Denim Jacket</v>
      </c>
      <c r="C72" s="24" t="str">
        <v>BestDeals</v>
      </c>
      <c r="D72" s="23">
        <v>61.43</v>
      </c>
      <c r="E72" s="24">
        <v>4.2</v>
      </c>
      <c r="F72" s="24">
        <v>1245</v>
      </c>
      <c r="G72" s="40">
        <v>45331</v>
      </c>
      <c r="H72" s="28">
        <v>52.010000000000005</v>
      </c>
      <c r="I72" s="11">
        <f t="shared" si="0"/>
        <v>-9.0672309946280324E-2</v>
      </c>
      <c r="J72" s="24" t="str">
        <v>Apparel</v>
      </c>
      <c r="K72" s="23">
        <v>55.86</v>
      </c>
      <c r="L72" s="23">
        <v>33.04</v>
      </c>
      <c r="M72" s="9">
        <v>0.4085213032581454</v>
      </c>
      <c r="N72" s="24">
        <v>3.6</v>
      </c>
      <c r="O72" s="24">
        <v>89</v>
      </c>
      <c r="P72" s="24">
        <v>306</v>
      </c>
      <c r="Q72" s="24">
        <v>33</v>
      </c>
      <c r="R72" s="23">
        <v>1715.3400000000001</v>
      </c>
      <c r="S72" s="23">
        <v>1090.32</v>
      </c>
      <c r="T72" s="28">
        <v>625.02000000000021</v>
      </c>
      <c r="U72" s="23">
        <v>132.54</v>
      </c>
      <c r="V72" s="23">
        <v>1582.8000000000002</v>
      </c>
      <c r="W72" s="23">
        <f>SUMIFS(Transactions_and_Customer_Information_Joined[Gross Profit ($)], Transactions_and_Customer_Information_Joined[SKU], 'Competitive Analysis (Step 1)'!$A72, Transactions_and_Customer_Information_Joined[Order Status], "Completed")</f>
        <v>492.48</v>
      </c>
      <c r="X72" s="9">
        <v>0.29937452615617882</v>
      </c>
      <c r="Y72" s="24">
        <v>10</v>
      </c>
      <c r="Z72" s="41">
        <v>8</v>
      </c>
      <c r="AA72" s="21">
        <v>0.3</v>
      </c>
      <c r="AB72" s="21">
        <v>0.1</v>
      </c>
      <c r="AC72" s="21">
        <v>0.3</v>
      </c>
      <c r="AD72" s="21">
        <v>0.3</v>
      </c>
      <c r="AE72" s="21">
        <v>0.2</v>
      </c>
      <c r="AF72" s="31">
        <v>200.8</v>
      </c>
      <c r="AG72" s="21">
        <v>0.41176470588235292</v>
      </c>
      <c r="AH72" s="21">
        <v>0.33333333333333331</v>
      </c>
      <c r="AI72" s="5" t="str">
        <v>Hold</v>
      </c>
    </row>
    <row r="73" spans="1:35">
      <c r="A73" s="24" t="str">
        <v>SKU-1015</v>
      </c>
      <c r="B73" s="24" t="str">
        <v>Denim Jacket</v>
      </c>
      <c r="C73" s="24" t="str">
        <v>QuickCart</v>
      </c>
      <c r="D73" s="23">
        <v>57.27</v>
      </c>
      <c r="E73" s="24">
        <v>3.8</v>
      </c>
      <c r="F73" s="24">
        <v>583</v>
      </c>
      <c r="G73" s="40">
        <v>45292</v>
      </c>
      <c r="H73" s="28">
        <v>52.010000000000005</v>
      </c>
      <c r="I73" s="11">
        <f t="shared" si="0"/>
        <v>-2.4620220010476753E-2</v>
      </c>
      <c r="J73" s="24" t="str">
        <v>Apparel</v>
      </c>
      <c r="K73" s="23">
        <v>55.86</v>
      </c>
      <c r="L73" s="23">
        <v>33.04</v>
      </c>
      <c r="M73" s="9">
        <v>0.4085213032581454</v>
      </c>
      <c r="N73" s="24">
        <v>3.6</v>
      </c>
      <c r="O73" s="24">
        <v>89</v>
      </c>
      <c r="P73" s="24">
        <v>306</v>
      </c>
      <c r="Q73" s="24">
        <v>33</v>
      </c>
      <c r="R73" s="23">
        <v>1715.3400000000001</v>
      </c>
      <c r="S73" s="23">
        <v>1090.32</v>
      </c>
      <c r="T73" s="28">
        <v>625.02000000000021</v>
      </c>
      <c r="U73" s="23">
        <v>132.54</v>
      </c>
      <c r="V73" s="23">
        <v>1582.8000000000002</v>
      </c>
      <c r="W73" s="23">
        <f>SUMIFS(Transactions_and_Customer_Information_Joined[Gross Profit ($)], Transactions_and_Customer_Information_Joined[SKU], 'Competitive Analysis (Step 1)'!$A73, Transactions_and_Customer_Information_Joined[Order Status], "Completed")</f>
        <v>492.48</v>
      </c>
      <c r="X73" s="9">
        <v>0.29937452615617882</v>
      </c>
      <c r="Y73" s="24">
        <v>10</v>
      </c>
      <c r="Z73" s="41">
        <v>8</v>
      </c>
      <c r="AA73" s="21">
        <v>0.3</v>
      </c>
      <c r="AB73" s="21">
        <v>0.1</v>
      </c>
      <c r="AC73" s="21">
        <v>0.3</v>
      </c>
      <c r="AD73" s="21">
        <v>0.3</v>
      </c>
      <c r="AE73" s="21">
        <v>0.2</v>
      </c>
      <c r="AF73" s="31">
        <v>200.8</v>
      </c>
      <c r="AG73" s="21">
        <v>0.41176470588235292</v>
      </c>
      <c r="AH73" s="21">
        <v>0.33333333333333331</v>
      </c>
      <c r="AI73" s="5" t="str">
        <v>Hold</v>
      </c>
    </row>
    <row r="74" spans="1:35">
      <c r="A74" s="24" t="str">
        <v>SKU-1016</v>
      </c>
      <c r="B74" s="24" t="str">
        <v>Yoga Pants</v>
      </c>
      <c r="C74" s="24" t="str">
        <v>RivalMart</v>
      </c>
      <c r="D74" s="23">
        <v>199.91</v>
      </c>
      <c r="E74" s="24">
        <v>3.6</v>
      </c>
      <c r="F74" s="24">
        <v>2255</v>
      </c>
      <c r="G74" s="40">
        <v>45351</v>
      </c>
      <c r="H74" s="28">
        <v>193.26749999999998</v>
      </c>
      <c r="I74" s="11">
        <f t="shared" si="0"/>
        <v>2.7462358061127554E-2</v>
      </c>
      <c r="J74" s="24" t="str">
        <v>Apparel</v>
      </c>
      <c r="K74" s="23">
        <v>205.4</v>
      </c>
      <c r="L74" s="23">
        <v>70.900000000000006</v>
      </c>
      <c r="M74" s="9">
        <v>0.65481986368062317</v>
      </c>
      <c r="N74" s="24">
        <v>4.8</v>
      </c>
      <c r="O74" s="24">
        <v>332</v>
      </c>
      <c r="P74" s="24">
        <v>123</v>
      </c>
      <c r="Q74" s="24">
        <v>37</v>
      </c>
      <c r="R74" s="23">
        <v>7599.8</v>
      </c>
      <c r="S74" s="23">
        <v>2623.3</v>
      </c>
      <c r="T74" s="28">
        <v>4976.5</v>
      </c>
      <c r="U74" s="23">
        <v>780.52</v>
      </c>
      <c r="V74" s="23">
        <v>6819.2800000000007</v>
      </c>
      <c r="W74" s="23">
        <f>SUMIFS(Transactions_and_Customer_Information_Joined[Gross Profit ($)], Transactions_and_Customer_Information_Joined[SKU], 'Competitive Analysis (Step 1)'!$A74, Transactions_and_Customer_Information_Joined[Order Status], "Completed")</f>
        <v>4195.9799999999996</v>
      </c>
      <c r="X74" s="9">
        <v>6.9486807991459495E-2</v>
      </c>
      <c r="Y74" s="24">
        <v>13</v>
      </c>
      <c r="Z74" s="41">
        <v>9.615384615384615</v>
      </c>
      <c r="AA74" s="21">
        <v>0.38461538461538464</v>
      </c>
      <c r="AB74" s="21">
        <v>0.15384615384615385</v>
      </c>
      <c r="AC74" s="21">
        <v>7.6923076923076927E-2</v>
      </c>
      <c r="AD74" s="21">
        <v>7.6923076923076927E-2</v>
      </c>
      <c r="AE74" s="21">
        <v>0.23076923076923078</v>
      </c>
      <c r="AF74" s="31">
        <v>140.15384615384616</v>
      </c>
      <c r="AG74" s="21">
        <v>0.375</v>
      </c>
      <c r="AH74" s="21">
        <v>0.33333333333333331</v>
      </c>
      <c r="AI74" s="5" t="str">
        <v>Hold</v>
      </c>
    </row>
    <row r="75" spans="1:35">
      <c r="A75" s="24" t="str">
        <v>SKU-1016</v>
      </c>
      <c r="B75" s="24" t="str">
        <v>Yoga Pants</v>
      </c>
      <c r="C75" s="24" t="str">
        <v>ShopNow</v>
      </c>
      <c r="D75" s="23">
        <v>155.47999999999999</v>
      </c>
      <c r="E75" s="24">
        <v>4.2</v>
      </c>
      <c r="F75" s="24">
        <v>701</v>
      </c>
      <c r="G75" s="40">
        <v>45305</v>
      </c>
      <c r="H75" s="28">
        <v>193.26749999999998</v>
      </c>
      <c r="I75" s="11">
        <f t="shared" ref="I75:I138" si="1">($K75 - $D75) / $D75</f>
        <v>0.32107023411371249</v>
      </c>
      <c r="J75" s="24" t="str">
        <v>Apparel</v>
      </c>
      <c r="K75" s="23">
        <v>205.4</v>
      </c>
      <c r="L75" s="23">
        <v>70.900000000000006</v>
      </c>
      <c r="M75" s="9">
        <v>0.65481986368062317</v>
      </c>
      <c r="N75" s="24">
        <v>4.8</v>
      </c>
      <c r="O75" s="24">
        <v>332</v>
      </c>
      <c r="P75" s="24">
        <v>123</v>
      </c>
      <c r="Q75" s="24">
        <v>37</v>
      </c>
      <c r="R75" s="23">
        <v>7599.8</v>
      </c>
      <c r="S75" s="23">
        <v>2623.3</v>
      </c>
      <c r="T75" s="28">
        <v>4976.5</v>
      </c>
      <c r="U75" s="23">
        <v>780.52</v>
      </c>
      <c r="V75" s="23">
        <v>6819.2800000000007</v>
      </c>
      <c r="W75" s="23">
        <f>SUMIFS(Transactions_and_Customer_Information_Joined[Gross Profit ($)], Transactions_and_Customer_Information_Joined[SKU], 'Competitive Analysis (Step 1)'!$A75, Transactions_and_Customer_Information_Joined[Order Status], "Completed")</f>
        <v>4195.9799999999996</v>
      </c>
      <c r="X75" s="9">
        <v>6.9486807991459495E-2</v>
      </c>
      <c r="Y75" s="24">
        <v>13</v>
      </c>
      <c r="Z75" s="41">
        <v>9.615384615384615</v>
      </c>
      <c r="AA75" s="21">
        <v>0.38461538461538464</v>
      </c>
      <c r="AB75" s="21">
        <v>0.15384615384615385</v>
      </c>
      <c r="AC75" s="21">
        <v>7.6923076923076927E-2</v>
      </c>
      <c r="AD75" s="21">
        <v>7.6923076923076927E-2</v>
      </c>
      <c r="AE75" s="21">
        <v>0.23076923076923078</v>
      </c>
      <c r="AF75" s="31">
        <v>140.15384615384616</v>
      </c>
      <c r="AG75" s="21">
        <v>0.375</v>
      </c>
      <c r="AH75" s="21">
        <v>0.33333333333333331</v>
      </c>
      <c r="AI75" s="5" t="str">
        <v>Reduce</v>
      </c>
    </row>
    <row r="76" spans="1:35">
      <c r="A76" s="24" t="str">
        <v>SKU-1016</v>
      </c>
      <c r="B76" s="24" t="str">
        <v>Yoga Pants</v>
      </c>
      <c r="C76" s="24" t="str">
        <v>BestDeals</v>
      </c>
      <c r="D76" s="23">
        <v>228.26</v>
      </c>
      <c r="E76" s="24">
        <v>3.8</v>
      </c>
      <c r="F76" s="24">
        <v>228</v>
      </c>
      <c r="G76" s="40">
        <v>45309</v>
      </c>
      <c r="H76" s="28">
        <v>193.26749999999998</v>
      </c>
      <c r="I76" s="11">
        <f t="shared" si="1"/>
        <v>-0.10014895294839213</v>
      </c>
      <c r="J76" s="24" t="str">
        <v>Apparel</v>
      </c>
      <c r="K76" s="23">
        <v>205.4</v>
      </c>
      <c r="L76" s="23">
        <v>70.900000000000006</v>
      </c>
      <c r="M76" s="9">
        <v>0.65481986368062317</v>
      </c>
      <c r="N76" s="24">
        <v>4.8</v>
      </c>
      <c r="O76" s="24">
        <v>332</v>
      </c>
      <c r="P76" s="24">
        <v>123</v>
      </c>
      <c r="Q76" s="24">
        <v>37</v>
      </c>
      <c r="R76" s="23">
        <v>7599.8</v>
      </c>
      <c r="S76" s="23">
        <v>2623.3</v>
      </c>
      <c r="T76" s="28">
        <v>4976.5</v>
      </c>
      <c r="U76" s="23">
        <v>780.52</v>
      </c>
      <c r="V76" s="23">
        <v>6819.2800000000007</v>
      </c>
      <c r="W76" s="23">
        <f>SUMIFS(Transactions_and_Customer_Information_Joined[Gross Profit ($)], Transactions_and_Customer_Information_Joined[SKU], 'Competitive Analysis (Step 1)'!$A76, Transactions_and_Customer_Information_Joined[Order Status], "Completed")</f>
        <v>4195.9799999999996</v>
      </c>
      <c r="X76" s="9">
        <v>6.9486807991459495E-2</v>
      </c>
      <c r="Y76" s="24">
        <v>13</v>
      </c>
      <c r="Z76" s="41">
        <v>9.615384615384615</v>
      </c>
      <c r="AA76" s="21">
        <v>0.38461538461538464</v>
      </c>
      <c r="AB76" s="21">
        <v>0.15384615384615385</v>
      </c>
      <c r="AC76" s="21">
        <v>7.6923076923076927E-2</v>
      </c>
      <c r="AD76" s="21">
        <v>7.6923076923076927E-2</v>
      </c>
      <c r="AE76" s="21">
        <v>0.23076923076923078</v>
      </c>
      <c r="AF76" s="31">
        <v>140.15384615384616</v>
      </c>
      <c r="AG76" s="21">
        <v>0.375</v>
      </c>
      <c r="AH76" s="21">
        <v>0.33333333333333331</v>
      </c>
      <c r="AI76" s="5" t="str">
        <v>Raise</v>
      </c>
    </row>
    <row r="77" spans="1:35">
      <c r="A77" s="24" t="str">
        <v>SKU-1016</v>
      </c>
      <c r="B77" s="24" t="str">
        <v>Yoga Pants</v>
      </c>
      <c r="C77" s="24" t="str">
        <v>QuickCart</v>
      </c>
      <c r="D77" s="23">
        <v>189.42</v>
      </c>
      <c r="E77" s="24">
        <v>4.4000000000000004</v>
      </c>
      <c r="F77" s="24">
        <v>2450</v>
      </c>
      <c r="G77" s="40">
        <v>45359</v>
      </c>
      <c r="H77" s="28">
        <v>193.26749999999998</v>
      </c>
      <c r="I77" s="11">
        <f t="shared" si="1"/>
        <v>8.4362791679864949E-2</v>
      </c>
      <c r="J77" s="24" t="str">
        <v>Apparel</v>
      </c>
      <c r="K77" s="23">
        <v>205.4</v>
      </c>
      <c r="L77" s="23">
        <v>70.900000000000006</v>
      </c>
      <c r="M77" s="9">
        <v>0.65481986368062317</v>
      </c>
      <c r="N77" s="24">
        <v>4.8</v>
      </c>
      <c r="O77" s="24">
        <v>332</v>
      </c>
      <c r="P77" s="24">
        <v>123</v>
      </c>
      <c r="Q77" s="24">
        <v>37</v>
      </c>
      <c r="R77" s="23">
        <v>7599.8</v>
      </c>
      <c r="S77" s="23">
        <v>2623.3</v>
      </c>
      <c r="T77" s="28">
        <v>4976.5</v>
      </c>
      <c r="U77" s="23">
        <v>780.52</v>
      </c>
      <c r="V77" s="23">
        <v>6819.2800000000007</v>
      </c>
      <c r="W77" s="23">
        <f>SUMIFS(Transactions_and_Customer_Information_Joined[Gross Profit ($)], Transactions_and_Customer_Information_Joined[SKU], 'Competitive Analysis (Step 1)'!$A77, Transactions_and_Customer_Information_Joined[Order Status], "Completed")</f>
        <v>4195.9799999999996</v>
      </c>
      <c r="X77" s="9">
        <v>6.9486807991459495E-2</v>
      </c>
      <c r="Y77" s="24">
        <v>13</v>
      </c>
      <c r="Z77" s="41">
        <v>9.615384615384615</v>
      </c>
      <c r="AA77" s="21">
        <v>0.38461538461538464</v>
      </c>
      <c r="AB77" s="21">
        <v>0.15384615384615385</v>
      </c>
      <c r="AC77" s="21">
        <v>7.6923076923076927E-2</v>
      </c>
      <c r="AD77" s="21">
        <v>7.6923076923076927E-2</v>
      </c>
      <c r="AE77" s="21">
        <v>0.23076923076923078</v>
      </c>
      <c r="AF77" s="31">
        <v>140.15384615384616</v>
      </c>
      <c r="AG77" s="21">
        <v>0.375</v>
      </c>
      <c r="AH77" s="21">
        <v>0.33333333333333331</v>
      </c>
      <c r="AI77" s="5" t="str">
        <v>Hold</v>
      </c>
    </row>
    <row r="78" spans="1:35">
      <c r="A78" s="24" t="str">
        <v>SKU-1017</v>
      </c>
      <c r="B78" s="24" t="str">
        <v>Baseball Cap</v>
      </c>
      <c r="C78" s="24" t="str">
        <v>RivalMart</v>
      </c>
      <c r="D78" s="23">
        <v>55.01</v>
      </c>
      <c r="E78" s="24">
        <v>2.9</v>
      </c>
      <c r="F78" s="24">
        <v>860</v>
      </c>
      <c r="G78" s="40">
        <v>45314</v>
      </c>
      <c r="H78" s="28">
        <v>62.199999999999996</v>
      </c>
      <c r="I78" s="11">
        <f t="shared" si="1"/>
        <v>0.14870023632066898</v>
      </c>
      <c r="J78" s="24" t="str">
        <v>Apparel</v>
      </c>
      <c r="K78" s="23">
        <v>63.19</v>
      </c>
      <c r="L78" s="23">
        <v>41.45</v>
      </c>
      <c r="M78" s="9">
        <v>0.34404177876246234</v>
      </c>
      <c r="N78" s="24">
        <v>4</v>
      </c>
      <c r="O78" s="24">
        <v>2261</v>
      </c>
      <c r="P78" s="24">
        <v>337</v>
      </c>
      <c r="Q78" s="24">
        <v>19</v>
      </c>
      <c r="R78" s="23">
        <v>1070.27</v>
      </c>
      <c r="S78" s="23">
        <v>787.55000000000007</v>
      </c>
      <c r="T78" s="28">
        <v>282.71999999999991</v>
      </c>
      <c r="U78" s="23">
        <v>45.06</v>
      </c>
      <c r="V78" s="23">
        <v>1025.21</v>
      </c>
      <c r="W78" s="23">
        <f>SUMIFS(Transactions_and_Customer_Information_Joined[Gross Profit ($)], Transactions_and_Customer_Information_Joined[SKU], 'Competitive Analysis (Step 1)'!$A78, Transactions_and_Customer_Information_Joined[Order Status], "Completed")</f>
        <v>237.66</v>
      </c>
      <c r="X78" s="9">
        <v>0.46219798870475309</v>
      </c>
      <c r="Y78" s="24">
        <v>9</v>
      </c>
      <c r="Z78" s="41">
        <v>5.5555555555555554</v>
      </c>
      <c r="AA78" s="21">
        <v>0.1111111111111111</v>
      </c>
      <c r="AB78" s="21">
        <v>0.1111111111111111</v>
      </c>
      <c r="AC78" s="21">
        <v>0.1111111111111111</v>
      </c>
      <c r="AD78" s="21">
        <v>0.22222222222222221</v>
      </c>
      <c r="AE78" s="21">
        <v>0.22222222222222221</v>
      </c>
      <c r="AF78" s="31">
        <v>181.88888888888889</v>
      </c>
      <c r="AG78" s="21">
        <v>0.16666666666666666</v>
      </c>
      <c r="AH78" s="21">
        <v>0.23076923076923078</v>
      </c>
      <c r="AI78" s="5" t="str">
        <v>Reduce</v>
      </c>
    </row>
    <row r="79" spans="1:35">
      <c r="A79" s="24" t="str">
        <v>SKU-1017</v>
      </c>
      <c r="B79" s="24" t="str">
        <v>Baseball Cap</v>
      </c>
      <c r="C79" s="24" t="str">
        <v>ShopNow</v>
      </c>
      <c r="D79" s="23">
        <v>47.59</v>
      </c>
      <c r="E79" s="24">
        <v>3</v>
      </c>
      <c r="F79" s="24">
        <v>218</v>
      </c>
      <c r="G79" s="40">
        <v>45321</v>
      </c>
      <c r="H79" s="28">
        <v>62.199999999999996</v>
      </c>
      <c r="I79" s="11">
        <f t="shared" si="1"/>
        <v>0.32779995797436423</v>
      </c>
      <c r="J79" s="24" t="str">
        <v>Apparel</v>
      </c>
      <c r="K79" s="23">
        <v>63.19</v>
      </c>
      <c r="L79" s="23">
        <v>41.45</v>
      </c>
      <c r="M79" s="9">
        <v>0.34404177876246234</v>
      </c>
      <c r="N79" s="24">
        <v>4</v>
      </c>
      <c r="O79" s="24">
        <v>2261</v>
      </c>
      <c r="P79" s="24">
        <v>337</v>
      </c>
      <c r="Q79" s="24">
        <v>19</v>
      </c>
      <c r="R79" s="23">
        <v>1070.27</v>
      </c>
      <c r="S79" s="23">
        <v>787.55000000000007</v>
      </c>
      <c r="T79" s="28">
        <v>282.71999999999991</v>
      </c>
      <c r="U79" s="23">
        <v>45.06</v>
      </c>
      <c r="V79" s="23">
        <v>1025.21</v>
      </c>
      <c r="W79" s="23">
        <f>SUMIFS(Transactions_and_Customer_Information_Joined[Gross Profit ($)], Transactions_and_Customer_Information_Joined[SKU], 'Competitive Analysis (Step 1)'!$A79, Transactions_and_Customer_Information_Joined[Order Status], "Completed")</f>
        <v>237.66</v>
      </c>
      <c r="X79" s="9">
        <v>0.46219798870475309</v>
      </c>
      <c r="Y79" s="24">
        <v>9</v>
      </c>
      <c r="Z79" s="41">
        <v>5.5555555555555554</v>
      </c>
      <c r="AA79" s="21">
        <v>0.1111111111111111</v>
      </c>
      <c r="AB79" s="21">
        <v>0.1111111111111111</v>
      </c>
      <c r="AC79" s="21">
        <v>0.1111111111111111</v>
      </c>
      <c r="AD79" s="21">
        <v>0.22222222222222221</v>
      </c>
      <c r="AE79" s="21">
        <v>0.22222222222222221</v>
      </c>
      <c r="AF79" s="31">
        <v>181.88888888888889</v>
      </c>
      <c r="AG79" s="21">
        <v>0.16666666666666666</v>
      </c>
      <c r="AH79" s="21">
        <v>0.23076923076923078</v>
      </c>
      <c r="AI79" s="5" t="str">
        <v>Reduce</v>
      </c>
    </row>
    <row r="80" spans="1:35">
      <c r="A80" s="24" t="str">
        <v>SKU-1017</v>
      </c>
      <c r="B80" s="24" t="str">
        <v>Baseball Cap</v>
      </c>
      <c r="C80" s="24" t="str">
        <v>BestDeals</v>
      </c>
      <c r="D80" s="23">
        <v>67.61</v>
      </c>
      <c r="E80" s="24">
        <v>3.9</v>
      </c>
      <c r="F80" s="24">
        <v>281</v>
      </c>
      <c r="G80" s="40">
        <v>45299</v>
      </c>
      <c r="H80" s="28">
        <v>62.199999999999996</v>
      </c>
      <c r="I80" s="11">
        <f t="shared" si="1"/>
        <v>-6.5374944534832155E-2</v>
      </c>
      <c r="J80" s="24" t="str">
        <v>Apparel</v>
      </c>
      <c r="K80" s="23">
        <v>63.19</v>
      </c>
      <c r="L80" s="23">
        <v>41.45</v>
      </c>
      <c r="M80" s="9">
        <v>0.34404177876246234</v>
      </c>
      <c r="N80" s="24">
        <v>4</v>
      </c>
      <c r="O80" s="24">
        <v>2261</v>
      </c>
      <c r="P80" s="24">
        <v>337</v>
      </c>
      <c r="Q80" s="24">
        <v>19</v>
      </c>
      <c r="R80" s="23">
        <v>1070.27</v>
      </c>
      <c r="S80" s="23">
        <v>787.55000000000007</v>
      </c>
      <c r="T80" s="28">
        <v>282.71999999999991</v>
      </c>
      <c r="U80" s="23">
        <v>45.06</v>
      </c>
      <c r="V80" s="23">
        <v>1025.21</v>
      </c>
      <c r="W80" s="23">
        <f>SUMIFS(Transactions_and_Customer_Information_Joined[Gross Profit ($)], Transactions_and_Customer_Information_Joined[SKU], 'Competitive Analysis (Step 1)'!$A80, Transactions_and_Customer_Information_Joined[Order Status], "Completed")</f>
        <v>237.66</v>
      </c>
      <c r="X80" s="9">
        <v>0.46219798870475309</v>
      </c>
      <c r="Y80" s="24">
        <v>9</v>
      </c>
      <c r="Z80" s="41">
        <v>5.5555555555555554</v>
      </c>
      <c r="AA80" s="21">
        <v>0.1111111111111111</v>
      </c>
      <c r="AB80" s="21">
        <v>0.1111111111111111</v>
      </c>
      <c r="AC80" s="21">
        <v>0.1111111111111111</v>
      </c>
      <c r="AD80" s="21">
        <v>0.22222222222222221</v>
      </c>
      <c r="AE80" s="21">
        <v>0.22222222222222221</v>
      </c>
      <c r="AF80" s="31">
        <v>181.88888888888889</v>
      </c>
      <c r="AG80" s="21">
        <v>0.16666666666666666</v>
      </c>
      <c r="AH80" s="21">
        <v>0.23076923076923078</v>
      </c>
      <c r="AI80" s="5" t="str">
        <v>Hold</v>
      </c>
    </row>
    <row r="81" spans="1:35">
      <c r="A81" s="24" t="str">
        <v>SKU-1017</v>
      </c>
      <c r="B81" s="24" t="str">
        <v>Baseball Cap</v>
      </c>
      <c r="C81" s="24" t="str">
        <v>QuickCart</v>
      </c>
      <c r="D81" s="23">
        <v>78.59</v>
      </c>
      <c r="E81" s="24">
        <v>3.2</v>
      </c>
      <c r="F81" s="24">
        <v>1404</v>
      </c>
      <c r="G81" s="40">
        <v>45349</v>
      </c>
      <c r="H81" s="28">
        <v>62.199999999999996</v>
      </c>
      <c r="I81" s="11">
        <f t="shared" si="1"/>
        <v>-0.19595368367476784</v>
      </c>
      <c r="J81" s="24" t="str">
        <v>Apparel</v>
      </c>
      <c r="K81" s="23">
        <v>63.19</v>
      </c>
      <c r="L81" s="23">
        <v>41.45</v>
      </c>
      <c r="M81" s="9">
        <v>0.34404177876246234</v>
      </c>
      <c r="N81" s="24">
        <v>4</v>
      </c>
      <c r="O81" s="24">
        <v>2261</v>
      </c>
      <c r="P81" s="24">
        <v>337</v>
      </c>
      <c r="Q81" s="24">
        <v>19</v>
      </c>
      <c r="R81" s="23">
        <v>1070.27</v>
      </c>
      <c r="S81" s="23">
        <v>787.55000000000007</v>
      </c>
      <c r="T81" s="28">
        <v>282.71999999999991</v>
      </c>
      <c r="U81" s="23">
        <v>45.06</v>
      </c>
      <c r="V81" s="23">
        <v>1025.21</v>
      </c>
      <c r="W81" s="23">
        <f>SUMIFS(Transactions_and_Customer_Information_Joined[Gross Profit ($)], Transactions_and_Customer_Information_Joined[SKU], 'Competitive Analysis (Step 1)'!$A81, Transactions_and_Customer_Information_Joined[Order Status], "Completed")</f>
        <v>237.66</v>
      </c>
      <c r="X81" s="9">
        <v>0.46219798870475309</v>
      </c>
      <c r="Y81" s="24">
        <v>9</v>
      </c>
      <c r="Z81" s="41">
        <v>5.5555555555555554</v>
      </c>
      <c r="AA81" s="21">
        <v>0.1111111111111111</v>
      </c>
      <c r="AB81" s="21">
        <v>0.1111111111111111</v>
      </c>
      <c r="AC81" s="21">
        <v>0.1111111111111111</v>
      </c>
      <c r="AD81" s="21">
        <v>0.22222222222222221</v>
      </c>
      <c r="AE81" s="21">
        <v>0.22222222222222221</v>
      </c>
      <c r="AF81" s="31">
        <v>181.88888888888889</v>
      </c>
      <c r="AG81" s="21">
        <v>0.16666666666666666</v>
      </c>
      <c r="AH81" s="21">
        <v>0.23076923076923078</v>
      </c>
      <c r="AI81" s="5" t="str">
        <v>Raise</v>
      </c>
    </row>
    <row r="82" spans="1:35">
      <c r="A82" s="24" t="str">
        <v>SKU-1018</v>
      </c>
      <c r="B82" s="24" t="str">
        <v>Sneakers</v>
      </c>
      <c r="C82" s="24" t="str">
        <v>RivalMart</v>
      </c>
      <c r="D82" s="23">
        <v>101.47</v>
      </c>
      <c r="E82" s="24">
        <v>4.7</v>
      </c>
      <c r="F82" s="24">
        <v>473</v>
      </c>
      <c r="G82" s="40">
        <v>45311</v>
      </c>
      <c r="H82" s="28">
        <v>114.185</v>
      </c>
      <c r="I82" s="11">
        <f t="shared" si="1"/>
        <v>9.4806346703459193E-2</v>
      </c>
      <c r="J82" s="24" t="str">
        <v>Apparel</v>
      </c>
      <c r="K82" s="23">
        <v>111.09</v>
      </c>
      <c r="L82" s="23">
        <v>44.58</v>
      </c>
      <c r="M82" s="9">
        <v>0.5987037537132055</v>
      </c>
      <c r="N82" s="24">
        <v>3.6</v>
      </c>
      <c r="O82" s="24">
        <v>2761</v>
      </c>
      <c r="P82" s="24">
        <v>365</v>
      </c>
      <c r="Q82" s="24">
        <v>43</v>
      </c>
      <c r="R82" s="23">
        <v>4453.08</v>
      </c>
      <c r="S82" s="23">
        <v>1916.94</v>
      </c>
      <c r="T82" s="28">
        <v>2536.14</v>
      </c>
      <c r="U82" s="23">
        <v>377.99</v>
      </c>
      <c r="V82" s="23">
        <v>4075.0899999999997</v>
      </c>
      <c r="W82" s="23">
        <f>SUMIFS(Transactions_and_Customer_Information_Joined[Gross Profit ($)], Transactions_and_Customer_Information_Joined[SKU], 'Competitive Analysis (Step 1)'!$A82, Transactions_and_Customer_Information_Joined[Order Status], "Completed")</f>
        <v>2158.15</v>
      </c>
      <c r="X82" s="9">
        <v>0.11627964044965877</v>
      </c>
      <c r="Y82" s="24">
        <v>16</v>
      </c>
      <c r="Z82" s="41">
        <v>8.75</v>
      </c>
      <c r="AA82" s="21">
        <v>0.25</v>
      </c>
      <c r="AB82" s="21">
        <v>0.3125</v>
      </c>
      <c r="AC82" s="21">
        <v>0.1875</v>
      </c>
      <c r="AD82" s="21">
        <v>0.125</v>
      </c>
      <c r="AE82" s="21">
        <v>0</v>
      </c>
      <c r="AF82" s="31">
        <v>172.125</v>
      </c>
      <c r="AG82" s="21">
        <v>0.33333333333333331</v>
      </c>
      <c r="AH82" s="21">
        <v>0.16666666666666666</v>
      </c>
      <c r="AI82" s="5" t="str">
        <v>Hold</v>
      </c>
    </row>
    <row r="83" spans="1:35">
      <c r="A83" s="24" t="str">
        <v>SKU-1018</v>
      </c>
      <c r="B83" s="24" t="str">
        <v>Sneakers</v>
      </c>
      <c r="C83" s="24" t="str">
        <v>ShopNow</v>
      </c>
      <c r="D83" s="23">
        <v>107.28</v>
      </c>
      <c r="E83" s="24">
        <v>2.9</v>
      </c>
      <c r="F83" s="24">
        <v>233</v>
      </c>
      <c r="G83" s="40">
        <v>45355</v>
      </c>
      <c r="H83" s="28">
        <v>114.185</v>
      </c>
      <c r="I83" s="11">
        <f t="shared" si="1"/>
        <v>3.5514541387024631E-2</v>
      </c>
      <c r="J83" s="24" t="str">
        <v>Apparel</v>
      </c>
      <c r="K83" s="23">
        <v>111.09</v>
      </c>
      <c r="L83" s="23">
        <v>44.58</v>
      </c>
      <c r="M83" s="9">
        <v>0.5987037537132055</v>
      </c>
      <c r="N83" s="24">
        <v>3.6</v>
      </c>
      <c r="O83" s="24">
        <v>2761</v>
      </c>
      <c r="P83" s="24">
        <v>365</v>
      </c>
      <c r="Q83" s="24">
        <v>43</v>
      </c>
      <c r="R83" s="23">
        <v>4453.08</v>
      </c>
      <c r="S83" s="23">
        <v>1916.94</v>
      </c>
      <c r="T83" s="28">
        <v>2536.14</v>
      </c>
      <c r="U83" s="23">
        <v>377.99</v>
      </c>
      <c r="V83" s="23">
        <v>4075.0899999999997</v>
      </c>
      <c r="W83" s="23">
        <f>SUMIFS(Transactions_and_Customer_Information_Joined[Gross Profit ($)], Transactions_and_Customer_Information_Joined[SKU], 'Competitive Analysis (Step 1)'!$A83, Transactions_and_Customer_Information_Joined[Order Status], "Completed")</f>
        <v>2158.15</v>
      </c>
      <c r="X83" s="9">
        <v>0.11627964044965877</v>
      </c>
      <c r="Y83" s="24">
        <v>16</v>
      </c>
      <c r="Z83" s="41">
        <v>8.75</v>
      </c>
      <c r="AA83" s="21">
        <v>0.25</v>
      </c>
      <c r="AB83" s="21">
        <v>0.3125</v>
      </c>
      <c r="AC83" s="21">
        <v>0.1875</v>
      </c>
      <c r="AD83" s="21">
        <v>0.125</v>
      </c>
      <c r="AE83" s="21">
        <v>0</v>
      </c>
      <c r="AF83" s="31">
        <v>172.125</v>
      </c>
      <c r="AG83" s="21">
        <v>0.33333333333333331</v>
      </c>
      <c r="AH83" s="21">
        <v>0.16666666666666666</v>
      </c>
      <c r="AI83" s="5" t="str">
        <v>Hold</v>
      </c>
    </row>
    <row r="84" spans="1:35">
      <c r="A84" s="24" t="str">
        <v>SKU-1018</v>
      </c>
      <c r="B84" s="24" t="str">
        <v>Sneakers</v>
      </c>
      <c r="C84" s="24" t="str">
        <v>BestDeals</v>
      </c>
      <c r="D84" s="23">
        <v>125.68</v>
      </c>
      <c r="E84" s="24">
        <v>4.4000000000000004</v>
      </c>
      <c r="F84" s="24">
        <v>871</v>
      </c>
      <c r="G84" s="40">
        <v>45318</v>
      </c>
      <c r="H84" s="28">
        <v>114.185</v>
      </c>
      <c r="I84" s="11">
        <f t="shared" si="1"/>
        <v>-0.11608847867600257</v>
      </c>
      <c r="J84" s="24" t="str">
        <v>Apparel</v>
      </c>
      <c r="K84" s="23">
        <v>111.09</v>
      </c>
      <c r="L84" s="23">
        <v>44.58</v>
      </c>
      <c r="M84" s="9">
        <v>0.5987037537132055</v>
      </c>
      <c r="N84" s="24">
        <v>3.6</v>
      </c>
      <c r="O84" s="24">
        <v>2761</v>
      </c>
      <c r="P84" s="24">
        <v>365</v>
      </c>
      <c r="Q84" s="24">
        <v>43</v>
      </c>
      <c r="R84" s="23">
        <v>4453.08</v>
      </c>
      <c r="S84" s="23">
        <v>1916.94</v>
      </c>
      <c r="T84" s="28">
        <v>2536.14</v>
      </c>
      <c r="U84" s="23">
        <v>377.99</v>
      </c>
      <c r="V84" s="23">
        <v>4075.0899999999997</v>
      </c>
      <c r="W84" s="23">
        <f>SUMIFS(Transactions_and_Customer_Information_Joined[Gross Profit ($)], Transactions_and_Customer_Information_Joined[SKU], 'Competitive Analysis (Step 1)'!$A84, Transactions_and_Customer_Information_Joined[Order Status], "Completed")</f>
        <v>2158.15</v>
      </c>
      <c r="X84" s="9">
        <v>0.11627964044965877</v>
      </c>
      <c r="Y84" s="24">
        <v>16</v>
      </c>
      <c r="Z84" s="41">
        <v>8.75</v>
      </c>
      <c r="AA84" s="21">
        <v>0.25</v>
      </c>
      <c r="AB84" s="21">
        <v>0.3125</v>
      </c>
      <c r="AC84" s="21">
        <v>0.1875</v>
      </c>
      <c r="AD84" s="21">
        <v>0.125</v>
      </c>
      <c r="AE84" s="21">
        <v>0</v>
      </c>
      <c r="AF84" s="31">
        <v>172.125</v>
      </c>
      <c r="AG84" s="21">
        <v>0.33333333333333331</v>
      </c>
      <c r="AH84" s="21">
        <v>0.16666666666666666</v>
      </c>
      <c r="AI84" s="5" t="str">
        <v>Raise</v>
      </c>
    </row>
    <row r="85" spans="1:35">
      <c r="A85" s="24" t="str">
        <v>SKU-1018</v>
      </c>
      <c r="B85" s="24" t="str">
        <v>Sneakers</v>
      </c>
      <c r="C85" s="24" t="str">
        <v>QuickCart</v>
      </c>
      <c r="D85" s="23">
        <v>122.31</v>
      </c>
      <c r="E85" s="24">
        <v>3.1</v>
      </c>
      <c r="F85" s="24">
        <v>428</v>
      </c>
      <c r="G85" s="40">
        <v>45351</v>
      </c>
      <c r="H85" s="28">
        <v>114.185</v>
      </c>
      <c r="I85" s="11">
        <f t="shared" si="1"/>
        <v>-9.1734118224184438E-2</v>
      </c>
      <c r="J85" s="24" t="str">
        <v>Apparel</v>
      </c>
      <c r="K85" s="23">
        <v>111.09</v>
      </c>
      <c r="L85" s="23">
        <v>44.58</v>
      </c>
      <c r="M85" s="9">
        <v>0.5987037537132055</v>
      </c>
      <c r="N85" s="24">
        <v>3.6</v>
      </c>
      <c r="O85" s="24">
        <v>2761</v>
      </c>
      <c r="P85" s="24">
        <v>365</v>
      </c>
      <c r="Q85" s="24">
        <v>43</v>
      </c>
      <c r="R85" s="23">
        <v>4453.08</v>
      </c>
      <c r="S85" s="23">
        <v>1916.94</v>
      </c>
      <c r="T85" s="28">
        <v>2536.14</v>
      </c>
      <c r="U85" s="23">
        <v>377.99</v>
      </c>
      <c r="V85" s="23">
        <v>4075.0899999999997</v>
      </c>
      <c r="W85" s="23">
        <f>SUMIFS(Transactions_and_Customer_Information_Joined[Gross Profit ($)], Transactions_and_Customer_Information_Joined[SKU], 'Competitive Analysis (Step 1)'!$A85, Transactions_and_Customer_Information_Joined[Order Status], "Completed")</f>
        <v>2158.15</v>
      </c>
      <c r="X85" s="9">
        <v>0.11627964044965877</v>
      </c>
      <c r="Y85" s="24">
        <v>16</v>
      </c>
      <c r="Z85" s="41">
        <v>8.75</v>
      </c>
      <c r="AA85" s="21">
        <v>0.25</v>
      </c>
      <c r="AB85" s="21">
        <v>0.3125</v>
      </c>
      <c r="AC85" s="21">
        <v>0.1875</v>
      </c>
      <c r="AD85" s="21">
        <v>0.125</v>
      </c>
      <c r="AE85" s="21">
        <v>0</v>
      </c>
      <c r="AF85" s="31">
        <v>172.125</v>
      </c>
      <c r="AG85" s="21">
        <v>0.33333333333333331</v>
      </c>
      <c r="AH85" s="21">
        <v>0.16666666666666666</v>
      </c>
      <c r="AI85" s="5" t="str">
        <v>Hold</v>
      </c>
    </row>
    <row r="86" spans="1:35">
      <c r="A86" s="24" t="str">
        <v>SKU-1019</v>
      </c>
      <c r="B86" s="24" t="str">
        <v>Canvas Tote Bag</v>
      </c>
      <c r="C86" s="24" t="str">
        <v>RivalMart</v>
      </c>
      <c r="D86" s="23">
        <v>151.30000000000001</v>
      </c>
      <c r="E86" s="24">
        <v>4.5999999999999996</v>
      </c>
      <c r="F86" s="24">
        <v>718</v>
      </c>
      <c r="G86" s="40">
        <v>45307</v>
      </c>
      <c r="H86" s="28">
        <v>174.54500000000002</v>
      </c>
      <c r="I86" s="11">
        <f t="shared" si="1"/>
        <v>5.9814937210839275E-2</v>
      </c>
      <c r="J86" s="24" t="str">
        <v>Apparel</v>
      </c>
      <c r="K86" s="23">
        <v>160.35</v>
      </c>
      <c r="L86" s="23">
        <v>72.47</v>
      </c>
      <c r="M86" s="9">
        <v>0.54805113813532891</v>
      </c>
      <c r="N86" s="24">
        <v>3</v>
      </c>
      <c r="O86" s="24">
        <v>2278</v>
      </c>
      <c r="P86" s="24">
        <v>173</v>
      </c>
      <c r="Q86" s="24">
        <v>36</v>
      </c>
      <c r="R86" s="23">
        <v>5772.5999999999995</v>
      </c>
      <c r="S86" s="23">
        <v>2608.92</v>
      </c>
      <c r="T86" s="28">
        <v>3163.6799999999994</v>
      </c>
      <c r="U86" s="23">
        <v>489.07000000000005</v>
      </c>
      <c r="V86" s="23">
        <v>5283.5300000000007</v>
      </c>
      <c r="W86" s="23">
        <f>SUMIFS(Transactions_and_Customer_Information_Joined[Gross Profit ($)], Transactions_and_Customer_Information_Joined[SKU], 'Competitive Analysis (Step 1)'!$A86, Transactions_and_Customer_Information_Joined[Order Status], "Completed")</f>
        <v>2674.6099999999997</v>
      </c>
      <c r="X86" s="9">
        <v>8.9684358752576368E-2</v>
      </c>
      <c r="Y86" s="24">
        <v>12</v>
      </c>
      <c r="Z86" s="41">
        <v>6.666666666666667</v>
      </c>
      <c r="AA86" s="21">
        <v>0.41666666666666669</v>
      </c>
      <c r="AB86" s="21">
        <v>0.16666666666666666</v>
      </c>
      <c r="AC86" s="21">
        <v>0.16666666666666666</v>
      </c>
      <c r="AD86" s="21">
        <v>0.16666666666666666</v>
      </c>
      <c r="AE86" s="21">
        <v>0.16666666666666666</v>
      </c>
      <c r="AF86" s="31">
        <v>150.75</v>
      </c>
      <c r="AG86" s="21">
        <v>0.41176470588235292</v>
      </c>
      <c r="AH86" s="21">
        <v>0.41176470588235292</v>
      </c>
      <c r="AI86" s="5" t="str">
        <v>Hold</v>
      </c>
    </row>
    <row r="87" spans="1:35">
      <c r="A87" s="24" t="str">
        <v>SKU-1019</v>
      </c>
      <c r="B87" s="24" t="str">
        <v>Canvas Tote Bag</v>
      </c>
      <c r="C87" s="24" t="str">
        <v>ShopNow</v>
      </c>
      <c r="D87" s="23">
        <v>192.91</v>
      </c>
      <c r="E87" s="24">
        <v>3.4</v>
      </c>
      <c r="F87" s="24">
        <v>661</v>
      </c>
      <c r="G87" s="40">
        <v>45304</v>
      </c>
      <c r="H87" s="28">
        <v>174.54500000000002</v>
      </c>
      <c r="I87" s="11">
        <f t="shared" si="1"/>
        <v>-0.16878337048364525</v>
      </c>
      <c r="J87" s="24" t="str">
        <v>Apparel</v>
      </c>
      <c r="K87" s="23">
        <v>160.35</v>
      </c>
      <c r="L87" s="23">
        <v>72.47</v>
      </c>
      <c r="M87" s="9">
        <v>0.54805113813532891</v>
      </c>
      <c r="N87" s="24">
        <v>3</v>
      </c>
      <c r="O87" s="24">
        <v>2278</v>
      </c>
      <c r="P87" s="24">
        <v>173</v>
      </c>
      <c r="Q87" s="24">
        <v>36</v>
      </c>
      <c r="R87" s="23">
        <v>5772.5999999999995</v>
      </c>
      <c r="S87" s="23">
        <v>2608.92</v>
      </c>
      <c r="T87" s="28">
        <v>3163.6799999999994</v>
      </c>
      <c r="U87" s="23">
        <v>489.07000000000005</v>
      </c>
      <c r="V87" s="23">
        <v>5283.5300000000007</v>
      </c>
      <c r="W87" s="23">
        <f>SUMIFS(Transactions_and_Customer_Information_Joined[Gross Profit ($)], Transactions_and_Customer_Information_Joined[SKU], 'Competitive Analysis (Step 1)'!$A87, Transactions_and_Customer_Information_Joined[Order Status], "Completed")</f>
        <v>2674.6099999999997</v>
      </c>
      <c r="X87" s="9">
        <v>8.9684358752576368E-2</v>
      </c>
      <c r="Y87" s="24">
        <v>12</v>
      </c>
      <c r="Z87" s="41">
        <v>6.666666666666667</v>
      </c>
      <c r="AA87" s="21">
        <v>0.41666666666666669</v>
      </c>
      <c r="AB87" s="21">
        <v>0.16666666666666666</v>
      </c>
      <c r="AC87" s="21">
        <v>0.16666666666666666</v>
      </c>
      <c r="AD87" s="21">
        <v>0.16666666666666666</v>
      </c>
      <c r="AE87" s="21">
        <v>0.16666666666666666</v>
      </c>
      <c r="AF87" s="31">
        <v>150.75</v>
      </c>
      <c r="AG87" s="21">
        <v>0.41176470588235292</v>
      </c>
      <c r="AH87" s="21">
        <v>0.41176470588235292</v>
      </c>
      <c r="AI87" s="5" t="str">
        <v>Raise</v>
      </c>
    </row>
    <row r="88" spans="1:35">
      <c r="A88" s="24" t="str">
        <v>SKU-1019</v>
      </c>
      <c r="B88" s="24" t="str">
        <v>Canvas Tote Bag</v>
      </c>
      <c r="C88" s="24" t="str">
        <v>BestDeals</v>
      </c>
      <c r="D88" s="23">
        <v>188.67</v>
      </c>
      <c r="E88" s="24">
        <v>3.4</v>
      </c>
      <c r="F88" s="24">
        <v>2368</v>
      </c>
      <c r="G88" s="40">
        <v>45336</v>
      </c>
      <c r="H88" s="28">
        <v>174.54500000000002</v>
      </c>
      <c r="I88" s="11">
        <f t="shared" si="1"/>
        <v>-0.15010335506439812</v>
      </c>
      <c r="J88" s="24" t="str">
        <v>Apparel</v>
      </c>
      <c r="K88" s="23">
        <v>160.35</v>
      </c>
      <c r="L88" s="23">
        <v>72.47</v>
      </c>
      <c r="M88" s="9">
        <v>0.54805113813532891</v>
      </c>
      <c r="N88" s="24">
        <v>3</v>
      </c>
      <c r="O88" s="24">
        <v>2278</v>
      </c>
      <c r="P88" s="24">
        <v>173</v>
      </c>
      <c r="Q88" s="24">
        <v>36</v>
      </c>
      <c r="R88" s="23">
        <v>5772.5999999999995</v>
      </c>
      <c r="S88" s="23">
        <v>2608.92</v>
      </c>
      <c r="T88" s="28">
        <v>3163.6799999999994</v>
      </c>
      <c r="U88" s="23">
        <v>489.07000000000005</v>
      </c>
      <c r="V88" s="23">
        <v>5283.5300000000007</v>
      </c>
      <c r="W88" s="23">
        <f>SUMIFS(Transactions_and_Customer_Information_Joined[Gross Profit ($)], Transactions_and_Customer_Information_Joined[SKU], 'Competitive Analysis (Step 1)'!$A88, Transactions_and_Customer_Information_Joined[Order Status], "Completed")</f>
        <v>2674.6099999999997</v>
      </c>
      <c r="X88" s="9">
        <v>8.9684358752576368E-2</v>
      </c>
      <c r="Y88" s="24">
        <v>12</v>
      </c>
      <c r="Z88" s="41">
        <v>6.666666666666667</v>
      </c>
      <c r="AA88" s="21">
        <v>0.41666666666666669</v>
      </c>
      <c r="AB88" s="21">
        <v>0.16666666666666666</v>
      </c>
      <c r="AC88" s="21">
        <v>0.16666666666666666</v>
      </c>
      <c r="AD88" s="21">
        <v>0.16666666666666666</v>
      </c>
      <c r="AE88" s="21">
        <v>0.16666666666666666</v>
      </c>
      <c r="AF88" s="31">
        <v>150.75</v>
      </c>
      <c r="AG88" s="21">
        <v>0.41176470588235292</v>
      </c>
      <c r="AH88" s="21">
        <v>0.41176470588235292</v>
      </c>
      <c r="AI88" s="5" t="str">
        <v>Raise</v>
      </c>
    </row>
    <row r="89" spans="1:35">
      <c r="A89" s="24" t="str">
        <v>SKU-1019</v>
      </c>
      <c r="B89" s="24" t="str">
        <v>Canvas Tote Bag</v>
      </c>
      <c r="C89" s="24" t="str">
        <v>QuickCart</v>
      </c>
      <c r="D89" s="23">
        <v>165.3</v>
      </c>
      <c r="E89" s="24">
        <v>4.8</v>
      </c>
      <c r="F89" s="24">
        <v>1440</v>
      </c>
      <c r="G89" s="40">
        <v>45342</v>
      </c>
      <c r="H89" s="28">
        <v>174.54500000000002</v>
      </c>
      <c r="I89" s="11">
        <f t="shared" si="1"/>
        <v>-2.9945553539020064E-2</v>
      </c>
      <c r="J89" s="24" t="str">
        <v>Apparel</v>
      </c>
      <c r="K89" s="23">
        <v>160.35</v>
      </c>
      <c r="L89" s="23">
        <v>72.47</v>
      </c>
      <c r="M89" s="9">
        <v>0.54805113813532891</v>
      </c>
      <c r="N89" s="24">
        <v>3</v>
      </c>
      <c r="O89" s="24">
        <v>2278</v>
      </c>
      <c r="P89" s="24">
        <v>173</v>
      </c>
      <c r="Q89" s="24">
        <v>36</v>
      </c>
      <c r="R89" s="23">
        <v>5772.5999999999995</v>
      </c>
      <c r="S89" s="23">
        <v>2608.92</v>
      </c>
      <c r="T89" s="28">
        <v>3163.6799999999994</v>
      </c>
      <c r="U89" s="23">
        <v>489.07000000000005</v>
      </c>
      <c r="V89" s="23">
        <v>5283.5300000000007</v>
      </c>
      <c r="W89" s="23">
        <f>SUMIFS(Transactions_and_Customer_Information_Joined[Gross Profit ($)], Transactions_and_Customer_Information_Joined[SKU], 'Competitive Analysis (Step 1)'!$A89, Transactions_and_Customer_Information_Joined[Order Status], "Completed")</f>
        <v>2674.6099999999997</v>
      </c>
      <c r="X89" s="9">
        <v>8.9684358752576368E-2</v>
      </c>
      <c r="Y89" s="24">
        <v>12</v>
      </c>
      <c r="Z89" s="41">
        <v>6.666666666666667</v>
      </c>
      <c r="AA89" s="21">
        <v>0.41666666666666669</v>
      </c>
      <c r="AB89" s="21">
        <v>0.16666666666666666</v>
      </c>
      <c r="AC89" s="21">
        <v>0.16666666666666666</v>
      </c>
      <c r="AD89" s="21">
        <v>0.16666666666666666</v>
      </c>
      <c r="AE89" s="21">
        <v>0.16666666666666666</v>
      </c>
      <c r="AF89" s="31">
        <v>150.75</v>
      </c>
      <c r="AG89" s="21">
        <v>0.41176470588235292</v>
      </c>
      <c r="AH89" s="21">
        <v>0.41176470588235292</v>
      </c>
      <c r="AI89" s="5" t="str">
        <v>Hold</v>
      </c>
    </row>
    <row r="90" spans="1:35">
      <c r="A90" s="24" t="str">
        <v>SKU-1020</v>
      </c>
      <c r="B90" s="24" t="str">
        <v>Coffee Maker</v>
      </c>
      <c r="C90" s="24" t="str">
        <v>RivalMart</v>
      </c>
      <c r="D90" s="23">
        <v>27.28</v>
      </c>
      <c r="E90" s="24">
        <v>4.0999999999999996</v>
      </c>
      <c r="F90" s="24">
        <v>1340</v>
      </c>
      <c r="G90" s="40">
        <v>45368</v>
      </c>
      <c r="H90" s="28">
        <v>30.602500000000003</v>
      </c>
      <c r="I90" s="11">
        <f t="shared" si="1"/>
        <v>0.20527859237536661</v>
      </c>
      <c r="J90" s="24" t="str">
        <v>Home &amp; Kitchen</v>
      </c>
      <c r="K90" s="23">
        <v>32.880000000000003</v>
      </c>
      <c r="L90" s="23">
        <v>21.52</v>
      </c>
      <c r="M90" s="9">
        <v>0.34549878345498791</v>
      </c>
      <c r="N90" s="24">
        <v>3.7</v>
      </c>
      <c r="O90" s="24">
        <v>2115</v>
      </c>
      <c r="P90" s="24">
        <v>440</v>
      </c>
      <c r="Q90" s="24">
        <v>32</v>
      </c>
      <c r="R90" s="23">
        <v>796.79999999999984</v>
      </c>
      <c r="S90" s="23">
        <v>688.63999999999987</v>
      </c>
      <c r="T90" s="28">
        <v>108.15999999999997</v>
      </c>
      <c r="U90" s="23">
        <v>74.690000000000012</v>
      </c>
      <c r="V90" s="23">
        <v>722.11</v>
      </c>
      <c r="W90" s="23">
        <f>SUMIFS(Transactions_and_Customer_Information_Joined[Gross Profit ($)], Transactions_and_Customer_Information_Joined[SKU], 'Competitive Analysis (Step 1)'!$A90, Transactions_and_Customer_Information_Joined[Order Status], "Completed")</f>
        <v>33.469999999999992</v>
      </c>
      <c r="X90" s="9">
        <v>0.65620196368974237</v>
      </c>
      <c r="Y90" s="24">
        <v>12</v>
      </c>
      <c r="Z90" s="41">
        <v>9.5833333333333339</v>
      </c>
      <c r="AA90" s="21">
        <v>0.41666666666666669</v>
      </c>
      <c r="AB90" s="21">
        <v>0.33333333333333331</v>
      </c>
      <c r="AC90" s="21">
        <v>0.16666666666666666</v>
      </c>
      <c r="AD90" s="21">
        <v>8.3333333333333329E-2</v>
      </c>
      <c r="AE90" s="21">
        <v>0.16666666666666666</v>
      </c>
      <c r="AF90" s="31">
        <v>137.58333333333334</v>
      </c>
      <c r="AG90" s="21">
        <v>0.375</v>
      </c>
      <c r="AH90" s="21">
        <v>0.33333333333333331</v>
      </c>
      <c r="AI90" s="5" t="str">
        <v>Reduce</v>
      </c>
    </row>
    <row r="91" spans="1:35">
      <c r="A91" s="24" t="str">
        <v>SKU-1020</v>
      </c>
      <c r="B91" s="24" t="str">
        <v>Coffee Maker</v>
      </c>
      <c r="C91" s="24" t="str">
        <v>ShopNow</v>
      </c>
      <c r="D91" s="23">
        <v>25.2</v>
      </c>
      <c r="E91" s="24">
        <v>4.5999999999999996</v>
      </c>
      <c r="F91" s="24">
        <v>312</v>
      </c>
      <c r="G91" s="40">
        <v>45330</v>
      </c>
      <c r="H91" s="28">
        <v>30.602500000000003</v>
      </c>
      <c r="I91" s="11">
        <f t="shared" si="1"/>
        <v>0.3047619047619049</v>
      </c>
      <c r="J91" s="24" t="str">
        <v>Home &amp; Kitchen</v>
      </c>
      <c r="K91" s="23">
        <v>32.880000000000003</v>
      </c>
      <c r="L91" s="23">
        <v>21.52</v>
      </c>
      <c r="M91" s="9">
        <v>0.34549878345498791</v>
      </c>
      <c r="N91" s="24">
        <v>3.7</v>
      </c>
      <c r="O91" s="24">
        <v>2115</v>
      </c>
      <c r="P91" s="24">
        <v>440</v>
      </c>
      <c r="Q91" s="24">
        <v>32</v>
      </c>
      <c r="R91" s="23">
        <v>796.79999999999984</v>
      </c>
      <c r="S91" s="23">
        <v>688.63999999999987</v>
      </c>
      <c r="T91" s="28">
        <v>108.15999999999997</v>
      </c>
      <c r="U91" s="23">
        <v>74.690000000000012</v>
      </c>
      <c r="V91" s="23">
        <v>722.11</v>
      </c>
      <c r="W91" s="23">
        <f>SUMIFS(Transactions_and_Customer_Information_Joined[Gross Profit ($)], Transactions_and_Customer_Information_Joined[SKU], 'Competitive Analysis (Step 1)'!$A91, Transactions_and_Customer_Information_Joined[Order Status], "Completed")</f>
        <v>33.469999999999992</v>
      </c>
      <c r="X91" s="9">
        <v>0.65620196368974237</v>
      </c>
      <c r="Y91" s="24">
        <v>12</v>
      </c>
      <c r="Z91" s="41">
        <v>9.5833333333333339</v>
      </c>
      <c r="AA91" s="21">
        <v>0.41666666666666669</v>
      </c>
      <c r="AB91" s="21">
        <v>0.33333333333333331</v>
      </c>
      <c r="AC91" s="21">
        <v>0.16666666666666666</v>
      </c>
      <c r="AD91" s="21">
        <v>8.3333333333333329E-2</v>
      </c>
      <c r="AE91" s="21">
        <v>0.16666666666666666</v>
      </c>
      <c r="AF91" s="31">
        <v>137.58333333333334</v>
      </c>
      <c r="AG91" s="21">
        <v>0.375</v>
      </c>
      <c r="AH91" s="21">
        <v>0.33333333333333331</v>
      </c>
      <c r="AI91" s="5" t="str">
        <v>Reduce</v>
      </c>
    </row>
    <row r="92" spans="1:35">
      <c r="A92" s="24" t="str">
        <v>SKU-1020</v>
      </c>
      <c r="B92" s="24" t="str">
        <v>Coffee Maker</v>
      </c>
      <c r="C92" s="24" t="str">
        <v>BestDeals</v>
      </c>
      <c r="D92" s="23">
        <v>32.85</v>
      </c>
      <c r="E92" s="24">
        <v>4.4000000000000004</v>
      </c>
      <c r="F92" s="24">
        <v>1756</v>
      </c>
      <c r="G92" s="40">
        <v>45317</v>
      </c>
      <c r="H92" s="28">
        <v>30.602500000000003</v>
      </c>
      <c r="I92" s="11">
        <f t="shared" si="1"/>
        <v>9.1324200913245465E-4</v>
      </c>
      <c r="J92" s="24" t="str">
        <v>Home &amp; Kitchen</v>
      </c>
      <c r="K92" s="23">
        <v>32.880000000000003</v>
      </c>
      <c r="L92" s="23">
        <v>21.52</v>
      </c>
      <c r="M92" s="9">
        <v>0.34549878345498791</v>
      </c>
      <c r="N92" s="24">
        <v>3.7</v>
      </c>
      <c r="O92" s="24">
        <v>2115</v>
      </c>
      <c r="P92" s="24">
        <v>440</v>
      </c>
      <c r="Q92" s="24">
        <v>32</v>
      </c>
      <c r="R92" s="23">
        <v>796.79999999999984</v>
      </c>
      <c r="S92" s="23">
        <v>688.63999999999987</v>
      </c>
      <c r="T92" s="28">
        <v>108.15999999999997</v>
      </c>
      <c r="U92" s="23">
        <v>74.690000000000012</v>
      </c>
      <c r="V92" s="23">
        <v>722.11</v>
      </c>
      <c r="W92" s="23">
        <f>SUMIFS(Transactions_and_Customer_Information_Joined[Gross Profit ($)], Transactions_and_Customer_Information_Joined[SKU], 'Competitive Analysis (Step 1)'!$A92, Transactions_and_Customer_Information_Joined[Order Status], "Completed")</f>
        <v>33.469999999999992</v>
      </c>
      <c r="X92" s="9">
        <v>0.65620196368974237</v>
      </c>
      <c r="Y92" s="24">
        <v>12</v>
      </c>
      <c r="Z92" s="41">
        <v>9.5833333333333339</v>
      </c>
      <c r="AA92" s="21">
        <v>0.41666666666666669</v>
      </c>
      <c r="AB92" s="21">
        <v>0.33333333333333331</v>
      </c>
      <c r="AC92" s="21">
        <v>0.16666666666666666</v>
      </c>
      <c r="AD92" s="21">
        <v>8.3333333333333329E-2</v>
      </c>
      <c r="AE92" s="21">
        <v>0.16666666666666666</v>
      </c>
      <c r="AF92" s="31">
        <v>137.58333333333334</v>
      </c>
      <c r="AG92" s="21">
        <v>0.375</v>
      </c>
      <c r="AH92" s="21">
        <v>0.33333333333333331</v>
      </c>
      <c r="AI92" s="5" t="str">
        <v>Hold</v>
      </c>
    </row>
    <row r="93" spans="1:35">
      <c r="A93" s="24" t="str">
        <v>SKU-1020</v>
      </c>
      <c r="B93" s="24" t="str">
        <v>Coffee Maker</v>
      </c>
      <c r="C93" s="24" t="str">
        <v>QuickCart</v>
      </c>
      <c r="D93" s="23">
        <v>37.08</v>
      </c>
      <c r="E93" s="24">
        <v>3.5</v>
      </c>
      <c r="F93" s="24">
        <v>1714</v>
      </c>
      <c r="G93" s="40">
        <v>45329</v>
      </c>
      <c r="H93" s="28">
        <v>30.602500000000003</v>
      </c>
      <c r="I93" s="11">
        <f t="shared" si="1"/>
        <v>-0.11326860841423937</v>
      </c>
      <c r="J93" s="24" t="str">
        <v>Home &amp; Kitchen</v>
      </c>
      <c r="K93" s="23">
        <v>32.880000000000003</v>
      </c>
      <c r="L93" s="23">
        <v>21.52</v>
      </c>
      <c r="M93" s="9">
        <v>0.34549878345498791</v>
      </c>
      <c r="N93" s="24">
        <v>3.7</v>
      </c>
      <c r="O93" s="24">
        <v>2115</v>
      </c>
      <c r="P93" s="24">
        <v>440</v>
      </c>
      <c r="Q93" s="24">
        <v>32</v>
      </c>
      <c r="R93" s="23">
        <v>796.79999999999984</v>
      </c>
      <c r="S93" s="23">
        <v>688.63999999999987</v>
      </c>
      <c r="T93" s="28">
        <v>108.15999999999997</v>
      </c>
      <c r="U93" s="23">
        <v>74.690000000000012</v>
      </c>
      <c r="V93" s="23">
        <v>722.11</v>
      </c>
      <c r="W93" s="23">
        <f>SUMIFS(Transactions_and_Customer_Information_Joined[Gross Profit ($)], Transactions_and_Customer_Information_Joined[SKU], 'Competitive Analysis (Step 1)'!$A93, Transactions_and_Customer_Information_Joined[Order Status], "Completed")</f>
        <v>33.469999999999992</v>
      </c>
      <c r="X93" s="9">
        <v>0.65620196368974237</v>
      </c>
      <c r="Y93" s="24">
        <v>12</v>
      </c>
      <c r="Z93" s="41">
        <v>9.5833333333333339</v>
      </c>
      <c r="AA93" s="21">
        <v>0.41666666666666669</v>
      </c>
      <c r="AB93" s="21">
        <v>0.33333333333333331</v>
      </c>
      <c r="AC93" s="21">
        <v>0.16666666666666666</v>
      </c>
      <c r="AD93" s="21">
        <v>8.3333333333333329E-2</v>
      </c>
      <c r="AE93" s="21">
        <v>0.16666666666666666</v>
      </c>
      <c r="AF93" s="31">
        <v>137.58333333333334</v>
      </c>
      <c r="AG93" s="21">
        <v>0.375</v>
      </c>
      <c r="AH93" s="21">
        <v>0.33333333333333331</v>
      </c>
      <c r="AI93" s="5" t="str">
        <v>Raise</v>
      </c>
    </row>
    <row r="94" spans="1:35">
      <c r="A94" s="24" t="str">
        <v>SKU-1021</v>
      </c>
      <c r="B94" s="24" t="str">
        <v>Air Fryer</v>
      </c>
      <c r="C94" s="24" t="str">
        <v>RivalMart</v>
      </c>
      <c r="D94" s="23">
        <v>111.79</v>
      </c>
      <c r="E94" s="24">
        <v>3.9</v>
      </c>
      <c r="F94" s="24">
        <v>1281</v>
      </c>
      <c r="G94" s="40">
        <v>45355</v>
      </c>
      <c r="H94" s="28">
        <v>105.46749999999999</v>
      </c>
      <c r="I94" s="11">
        <f t="shared" si="1"/>
        <v>-0.1187941676357456</v>
      </c>
      <c r="J94" s="24" t="str">
        <v>Home &amp; Kitchen</v>
      </c>
      <c r="K94" s="23">
        <v>98.51</v>
      </c>
      <c r="L94" s="23">
        <v>55.17</v>
      </c>
      <c r="M94" s="9">
        <v>0.43995533448380875</v>
      </c>
      <c r="N94" s="24">
        <v>4.5999999999999996</v>
      </c>
      <c r="O94" s="24">
        <v>1677</v>
      </c>
      <c r="P94" s="24">
        <v>124</v>
      </c>
      <c r="Q94" s="24">
        <v>34</v>
      </c>
      <c r="R94" s="23">
        <v>3349.34</v>
      </c>
      <c r="S94" s="23">
        <v>1875.78</v>
      </c>
      <c r="T94" s="28">
        <v>1473.5600000000002</v>
      </c>
      <c r="U94" s="23">
        <v>270.89999999999998</v>
      </c>
      <c r="V94" s="23">
        <v>3078.44</v>
      </c>
      <c r="W94" s="23">
        <f>SUMIFS(Transactions_and_Customer_Information_Joined[Gross Profit ($)], Transactions_and_Customer_Information_Joined[SKU], 'Competitive Analysis (Step 1)'!$A94, Transactions_and_Customer_Information_Joined[Order Status], "Completed")</f>
        <v>1202.6600000000001</v>
      </c>
      <c r="X94" s="9">
        <v>0.15392536479515595</v>
      </c>
      <c r="Y94" s="24">
        <v>13</v>
      </c>
      <c r="Z94" s="41">
        <v>9.2307692307692299</v>
      </c>
      <c r="AA94" s="21">
        <v>0.30769230769230771</v>
      </c>
      <c r="AB94" s="21">
        <v>0.23076923076923078</v>
      </c>
      <c r="AC94" s="21">
        <v>0.15384615384615385</v>
      </c>
      <c r="AD94" s="21">
        <v>7.6923076923076927E-2</v>
      </c>
      <c r="AE94" s="21">
        <v>7.6923076923076927E-2</v>
      </c>
      <c r="AF94" s="31">
        <v>217.23076923076923</v>
      </c>
      <c r="AG94" s="21">
        <v>0.16666666666666666</v>
      </c>
      <c r="AH94" s="21">
        <v>9.0909090909090912E-2</v>
      </c>
      <c r="AI94" s="5" t="str">
        <v>Raise</v>
      </c>
    </row>
    <row r="95" spans="1:35">
      <c r="A95" s="24" t="str">
        <v>SKU-1021</v>
      </c>
      <c r="B95" s="24" t="str">
        <v>Air Fryer</v>
      </c>
      <c r="C95" s="24" t="str">
        <v>ShopNow</v>
      </c>
      <c r="D95" s="23">
        <v>95.41</v>
      </c>
      <c r="E95" s="24">
        <v>4.7</v>
      </c>
      <c r="F95" s="24">
        <v>1329</v>
      </c>
      <c r="G95" s="40">
        <v>45378</v>
      </c>
      <c r="H95" s="28">
        <v>105.46749999999999</v>
      </c>
      <c r="I95" s="11">
        <f t="shared" si="1"/>
        <v>3.24913531076408E-2</v>
      </c>
      <c r="J95" s="24" t="str">
        <v>Home &amp; Kitchen</v>
      </c>
      <c r="K95" s="23">
        <v>98.51</v>
      </c>
      <c r="L95" s="23">
        <v>55.17</v>
      </c>
      <c r="M95" s="9">
        <v>0.43995533448380875</v>
      </c>
      <c r="N95" s="24">
        <v>4.5999999999999996</v>
      </c>
      <c r="O95" s="24">
        <v>1677</v>
      </c>
      <c r="P95" s="24">
        <v>124</v>
      </c>
      <c r="Q95" s="24">
        <v>34</v>
      </c>
      <c r="R95" s="23">
        <v>3349.34</v>
      </c>
      <c r="S95" s="23">
        <v>1875.78</v>
      </c>
      <c r="T95" s="28">
        <v>1473.5600000000002</v>
      </c>
      <c r="U95" s="23">
        <v>270.89999999999998</v>
      </c>
      <c r="V95" s="23">
        <v>3078.44</v>
      </c>
      <c r="W95" s="23">
        <f>SUMIFS(Transactions_and_Customer_Information_Joined[Gross Profit ($)], Transactions_and_Customer_Information_Joined[SKU], 'Competitive Analysis (Step 1)'!$A95, Transactions_and_Customer_Information_Joined[Order Status], "Completed")</f>
        <v>1202.6600000000001</v>
      </c>
      <c r="X95" s="9">
        <v>0.15392536479515595</v>
      </c>
      <c r="Y95" s="24">
        <v>13</v>
      </c>
      <c r="Z95" s="41">
        <v>9.2307692307692299</v>
      </c>
      <c r="AA95" s="21">
        <v>0.30769230769230771</v>
      </c>
      <c r="AB95" s="21">
        <v>0.23076923076923078</v>
      </c>
      <c r="AC95" s="21">
        <v>0.15384615384615385</v>
      </c>
      <c r="AD95" s="21">
        <v>7.6923076923076927E-2</v>
      </c>
      <c r="AE95" s="21">
        <v>7.6923076923076927E-2</v>
      </c>
      <c r="AF95" s="31">
        <v>217.23076923076923</v>
      </c>
      <c r="AG95" s="21">
        <v>0.16666666666666666</v>
      </c>
      <c r="AH95" s="21">
        <v>9.0909090909090912E-2</v>
      </c>
      <c r="AI95" s="5" t="str">
        <v>Hold</v>
      </c>
    </row>
    <row r="96" spans="1:35">
      <c r="A96" s="24" t="str">
        <v>SKU-1021</v>
      </c>
      <c r="B96" s="24" t="str">
        <v>Air Fryer</v>
      </c>
      <c r="C96" s="24" t="str">
        <v>BestDeals</v>
      </c>
      <c r="D96" s="23">
        <v>98.35</v>
      </c>
      <c r="E96" s="24">
        <v>3.5</v>
      </c>
      <c r="F96" s="24">
        <v>2301</v>
      </c>
      <c r="G96" s="40">
        <v>45344</v>
      </c>
      <c r="H96" s="28">
        <v>105.46749999999999</v>
      </c>
      <c r="I96" s="11">
        <f t="shared" si="1"/>
        <v>1.6268429079818079E-3</v>
      </c>
      <c r="J96" s="24" t="str">
        <v>Home &amp; Kitchen</v>
      </c>
      <c r="K96" s="23">
        <v>98.51</v>
      </c>
      <c r="L96" s="23">
        <v>55.17</v>
      </c>
      <c r="M96" s="9">
        <v>0.43995533448380875</v>
      </c>
      <c r="N96" s="24">
        <v>4.5999999999999996</v>
      </c>
      <c r="O96" s="24">
        <v>1677</v>
      </c>
      <c r="P96" s="24">
        <v>124</v>
      </c>
      <c r="Q96" s="24">
        <v>34</v>
      </c>
      <c r="R96" s="23">
        <v>3349.34</v>
      </c>
      <c r="S96" s="23">
        <v>1875.78</v>
      </c>
      <c r="T96" s="28">
        <v>1473.5600000000002</v>
      </c>
      <c r="U96" s="23">
        <v>270.89999999999998</v>
      </c>
      <c r="V96" s="23">
        <v>3078.44</v>
      </c>
      <c r="W96" s="23">
        <f>SUMIFS(Transactions_and_Customer_Information_Joined[Gross Profit ($)], Transactions_and_Customer_Information_Joined[SKU], 'Competitive Analysis (Step 1)'!$A96, Transactions_and_Customer_Information_Joined[Order Status], "Completed")</f>
        <v>1202.6600000000001</v>
      </c>
      <c r="X96" s="9">
        <v>0.15392536479515595</v>
      </c>
      <c r="Y96" s="24">
        <v>13</v>
      </c>
      <c r="Z96" s="41">
        <v>9.2307692307692299</v>
      </c>
      <c r="AA96" s="21">
        <v>0.30769230769230771</v>
      </c>
      <c r="AB96" s="21">
        <v>0.23076923076923078</v>
      </c>
      <c r="AC96" s="21">
        <v>0.15384615384615385</v>
      </c>
      <c r="AD96" s="21">
        <v>7.6923076923076927E-2</v>
      </c>
      <c r="AE96" s="21">
        <v>7.6923076923076927E-2</v>
      </c>
      <c r="AF96" s="31">
        <v>217.23076923076923</v>
      </c>
      <c r="AG96" s="21">
        <v>0.16666666666666666</v>
      </c>
      <c r="AH96" s="21">
        <v>9.0909090909090912E-2</v>
      </c>
      <c r="AI96" s="5" t="str">
        <v>Hold</v>
      </c>
    </row>
    <row r="97" spans="1:35">
      <c r="A97" s="24" t="str">
        <v>SKU-1021</v>
      </c>
      <c r="B97" s="24" t="str">
        <v>Air Fryer</v>
      </c>
      <c r="C97" s="24" t="str">
        <v>QuickCart</v>
      </c>
      <c r="D97" s="23">
        <v>116.32</v>
      </c>
      <c r="E97" s="24">
        <v>3.6</v>
      </c>
      <c r="F97" s="24">
        <v>2458</v>
      </c>
      <c r="G97" s="40">
        <v>45366</v>
      </c>
      <c r="H97" s="28">
        <v>105.46749999999999</v>
      </c>
      <c r="I97" s="11">
        <f t="shared" si="1"/>
        <v>-0.1531121045392021</v>
      </c>
      <c r="J97" s="24" t="str">
        <v>Home &amp; Kitchen</v>
      </c>
      <c r="K97" s="23">
        <v>98.51</v>
      </c>
      <c r="L97" s="23">
        <v>55.17</v>
      </c>
      <c r="M97" s="9">
        <v>0.43995533448380875</v>
      </c>
      <c r="N97" s="24">
        <v>4.5999999999999996</v>
      </c>
      <c r="O97" s="24">
        <v>1677</v>
      </c>
      <c r="P97" s="24">
        <v>124</v>
      </c>
      <c r="Q97" s="24">
        <v>34</v>
      </c>
      <c r="R97" s="23">
        <v>3349.34</v>
      </c>
      <c r="S97" s="23">
        <v>1875.78</v>
      </c>
      <c r="T97" s="28">
        <v>1473.5600000000002</v>
      </c>
      <c r="U97" s="23">
        <v>270.89999999999998</v>
      </c>
      <c r="V97" s="23">
        <v>3078.44</v>
      </c>
      <c r="W97" s="23">
        <f>SUMIFS(Transactions_and_Customer_Information_Joined[Gross Profit ($)], Transactions_and_Customer_Information_Joined[SKU], 'Competitive Analysis (Step 1)'!$A97, Transactions_and_Customer_Information_Joined[Order Status], "Completed")</f>
        <v>1202.6600000000001</v>
      </c>
      <c r="X97" s="9">
        <v>0.15392536479515595</v>
      </c>
      <c r="Y97" s="24">
        <v>13</v>
      </c>
      <c r="Z97" s="41">
        <v>9.2307692307692299</v>
      </c>
      <c r="AA97" s="21">
        <v>0.30769230769230771</v>
      </c>
      <c r="AB97" s="21">
        <v>0.23076923076923078</v>
      </c>
      <c r="AC97" s="21">
        <v>0.15384615384615385</v>
      </c>
      <c r="AD97" s="21">
        <v>7.6923076923076927E-2</v>
      </c>
      <c r="AE97" s="21">
        <v>7.6923076923076927E-2</v>
      </c>
      <c r="AF97" s="31">
        <v>217.23076923076923</v>
      </c>
      <c r="AG97" s="21">
        <v>0.16666666666666666</v>
      </c>
      <c r="AH97" s="21">
        <v>9.0909090909090912E-2</v>
      </c>
      <c r="AI97" s="5" t="str">
        <v>Raise</v>
      </c>
    </row>
    <row r="98" spans="1:35">
      <c r="A98" s="24" t="str">
        <v>SKU-1022</v>
      </c>
      <c r="B98" s="24" t="str">
        <v>Blender</v>
      </c>
      <c r="C98" s="24" t="str">
        <v>RivalMart</v>
      </c>
      <c r="D98" s="23">
        <v>25.55</v>
      </c>
      <c r="E98" s="24">
        <v>4.5999999999999996</v>
      </c>
      <c r="F98" s="24">
        <v>277</v>
      </c>
      <c r="G98" s="40">
        <v>45304</v>
      </c>
      <c r="H98" s="28">
        <v>24.91</v>
      </c>
      <c r="I98" s="11">
        <f t="shared" si="1"/>
        <v>4.5009784735812075E-2</v>
      </c>
      <c r="J98" s="24" t="str">
        <v>Home &amp; Kitchen</v>
      </c>
      <c r="K98" s="23">
        <v>26.7</v>
      </c>
      <c r="L98" s="23">
        <v>12.27</v>
      </c>
      <c r="M98" s="9">
        <v>0.54044943820224722</v>
      </c>
      <c r="N98" s="24">
        <v>4.5</v>
      </c>
      <c r="O98" s="24">
        <v>2768</v>
      </c>
      <c r="P98" s="24">
        <v>442</v>
      </c>
      <c r="Q98" s="24">
        <v>29</v>
      </c>
      <c r="R98" s="23">
        <v>774.29999999999984</v>
      </c>
      <c r="S98" s="23">
        <v>355.83</v>
      </c>
      <c r="T98" s="28">
        <v>418.46999999999986</v>
      </c>
      <c r="U98" s="23">
        <v>42.72</v>
      </c>
      <c r="V98" s="23">
        <v>731.58</v>
      </c>
      <c r="W98" s="23">
        <f>SUMIFS(Transactions_and_Customer_Information_Joined[Gross Profit ($)], Transactions_and_Customer_Information_Joined[SKU], 'Competitive Analysis (Step 1)'!$A98, Transactions_and_Customer_Information_Joined[Order Status], "Completed")</f>
        <v>375.75000000000011</v>
      </c>
      <c r="X98" s="9">
        <v>0.6477077011399982</v>
      </c>
      <c r="Y98" s="24">
        <v>12</v>
      </c>
      <c r="Z98" s="41">
        <v>5.416666666666667</v>
      </c>
      <c r="AA98" s="21">
        <v>0</v>
      </c>
      <c r="AB98" s="21">
        <v>0.16666666666666666</v>
      </c>
      <c r="AC98" s="21">
        <v>0.16666666666666666</v>
      </c>
      <c r="AD98" s="21">
        <v>0.41666666666666669</v>
      </c>
      <c r="AE98" s="21">
        <v>0.16666666666666666</v>
      </c>
      <c r="AF98" s="31">
        <v>188.58333333333334</v>
      </c>
      <c r="AG98" s="21">
        <v>0.2857142857142857</v>
      </c>
      <c r="AH98" s="21">
        <v>0.16666666666666666</v>
      </c>
      <c r="AI98" s="5" t="str">
        <v>Hold</v>
      </c>
    </row>
    <row r="99" spans="1:35">
      <c r="A99" s="24" t="str">
        <v>SKU-1022</v>
      </c>
      <c r="B99" s="24" t="str">
        <v>Blender</v>
      </c>
      <c r="C99" s="24" t="str">
        <v>ShopNow</v>
      </c>
      <c r="D99" s="23">
        <v>25.02</v>
      </c>
      <c r="E99" s="24">
        <v>3.5</v>
      </c>
      <c r="F99" s="24">
        <v>567</v>
      </c>
      <c r="G99" s="40">
        <v>45334</v>
      </c>
      <c r="H99" s="28">
        <v>24.91</v>
      </c>
      <c r="I99" s="11">
        <f t="shared" si="1"/>
        <v>6.7146282973621088E-2</v>
      </c>
      <c r="J99" s="24" t="str">
        <v>Home &amp; Kitchen</v>
      </c>
      <c r="K99" s="23">
        <v>26.7</v>
      </c>
      <c r="L99" s="23">
        <v>12.27</v>
      </c>
      <c r="M99" s="9">
        <v>0.54044943820224722</v>
      </c>
      <c r="N99" s="24">
        <v>4.5</v>
      </c>
      <c r="O99" s="24">
        <v>2768</v>
      </c>
      <c r="P99" s="24">
        <v>442</v>
      </c>
      <c r="Q99" s="24">
        <v>29</v>
      </c>
      <c r="R99" s="23">
        <v>774.29999999999984</v>
      </c>
      <c r="S99" s="23">
        <v>355.83</v>
      </c>
      <c r="T99" s="28">
        <v>418.46999999999986</v>
      </c>
      <c r="U99" s="23">
        <v>42.72</v>
      </c>
      <c r="V99" s="23">
        <v>731.58</v>
      </c>
      <c r="W99" s="23">
        <f>SUMIFS(Transactions_and_Customer_Information_Joined[Gross Profit ($)], Transactions_and_Customer_Information_Joined[SKU], 'Competitive Analysis (Step 1)'!$A99, Transactions_and_Customer_Information_Joined[Order Status], "Completed")</f>
        <v>375.75000000000011</v>
      </c>
      <c r="X99" s="9">
        <v>0.6477077011399982</v>
      </c>
      <c r="Y99" s="24">
        <v>12</v>
      </c>
      <c r="Z99" s="41">
        <v>5.416666666666667</v>
      </c>
      <c r="AA99" s="21">
        <v>0</v>
      </c>
      <c r="AB99" s="21">
        <v>0.16666666666666666</v>
      </c>
      <c r="AC99" s="21">
        <v>0.16666666666666666</v>
      </c>
      <c r="AD99" s="21">
        <v>0.41666666666666669</v>
      </c>
      <c r="AE99" s="21">
        <v>0.16666666666666666</v>
      </c>
      <c r="AF99" s="31">
        <v>188.58333333333334</v>
      </c>
      <c r="AG99" s="21">
        <v>0.2857142857142857</v>
      </c>
      <c r="AH99" s="21">
        <v>0.16666666666666666</v>
      </c>
      <c r="AI99" s="5" t="str">
        <v>Hold</v>
      </c>
    </row>
    <row r="100" spans="1:35">
      <c r="A100" s="24" t="str">
        <v>SKU-1022</v>
      </c>
      <c r="B100" s="24" t="str">
        <v>Blender</v>
      </c>
      <c r="C100" s="24" t="str">
        <v>BestDeals</v>
      </c>
      <c r="D100" s="23">
        <v>25.54</v>
      </c>
      <c r="E100" s="24">
        <v>2.8</v>
      </c>
      <c r="F100" s="24">
        <v>683</v>
      </c>
      <c r="G100" s="40">
        <v>45346</v>
      </c>
      <c r="H100" s="28">
        <v>24.91</v>
      </c>
      <c r="I100" s="11">
        <f t="shared" si="1"/>
        <v>4.5418950665622557E-2</v>
      </c>
      <c r="J100" s="24" t="str">
        <v>Home &amp; Kitchen</v>
      </c>
      <c r="K100" s="23">
        <v>26.7</v>
      </c>
      <c r="L100" s="23">
        <v>12.27</v>
      </c>
      <c r="M100" s="9">
        <v>0.54044943820224722</v>
      </c>
      <c r="N100" s="24">
        <v>4.5</v>
      </c>
      <c r="O100" s="24">
        <v>2768</v>
      </c>
      <c r="P100" s="24">
        <v>442</v>
      </c>
      <c r="Q100" s="24">
        <v>29</v>
      </c>
      <c r="R100" s="23">
        <v>774.29999999999984</v>
      </c>
      <c r="S100" s="23">
        <v>355.83</v>
      </c>
      <c r="T100" s="28">
        <v>418.46999999999986</v>
      </c>
      <c r="U100" s="23">
        <v>42.72</v>
      </c>
      <c r="V100" s="23">
        <v>731.58</v>
      </c>
      <c r="W100" s="23">
        <f>SUMIFS(Transactions_and_Customer_Information_Joined[Gross Profit ($)], Transactions_and_Customer_Information_Joined[SKU], 'Competitive Analysis (Step 1)'!$A100, Transactions_and_Customer_Information_Joined[Order Status], "Completed")</f>
        <v>375.75000000000011</v>
      </c>
      <c r="X100" s="9">
        <v>0.6477077011399982</v>
      </c>
      <c r="Y100" s="24">
        <v>12</v>
      </c>
      <c r="Z100" s="41">
        <v>5.416666666666667</v>
      </c>
      <c r="AA100" s="21">
        <v>0</v>
      </c>
      <c r="AB100" s="21">
        <v>0.16666666666666666</v>
      </c>
      <c r="AC100" s="21">
        <v>0.16666666666666666</v>
      </c>
      <c r="AD100" s="21">
        <v>0.41666666666666669</v>
      </c>
      <c r="AE100" s="21">
        <v>0.16666666666666666</v>
      </c>
      <c r="AF100" s="31">
        <v>188.58333333333334</v>
      </c>
      <c r="AG100" s="21">
        <v>0.2857142857142857</v>
      </c>
      <c r="AH100" s="21">
        <v>0.16666666666666666</v>
      </c>
      <c r="AI100" s="5" t="str">
        <v>Hold</v>
      </c>
    </row>
    <row r="101" spans="1:35">
      <c r="A101" s="24" t="str">
        <v>SKU-1022</v>
      </c>
      <c r="B101" s="24" t="str">
        <v>Blender</v>
      </c>
      <c r="C101" s="24" t="str">
        <v>QuickCart</v>
      </c>
      <c r="D101" s="23">
        <v>23.53</v>
      </c>
      <c r="E101" s="24">
        <v>4.0999999999999996</v>
      </c>
      <c r="F101" s="24">
        <v>194</v>
      </c>
      <c r="G101" s="40">
        <v>45361</v>
      </c>
      <c r="H101" s="28">
        <v>24.91</v>
      </c>
      <c r="I101" s="11">
        <f t="shared" si="1"/>
        <v>0.13472163195920092</v>
      </c>
      <c r="J101" s="24" t="str">
        <v>Home &amp; Kitchen</v>
      </c>
      <c r="K101" s="23">
        <v>26.7</v>
      </c>
      <c r="L101" s="23">
        <v>12.27</v>
      </c>
      <c r="M101" s="9">
        <v>0.54044943820224722</v>
      </c>
      <c r="N101" s="24">
        <v>4.5</v>
      </c>
      <c r="O101" s="24">
        <v>2768</v>
      </c>
      <c r="P101" s="24">
        <v>442</v>
      </c>
      <c r="Q101" s="24">
        <v>29</v>
      </c>
      <c r="R101" s="23">
        <v>774.29999999999984</v>
      </c>
      <c r="S101" s="23">
        <v>355.83</v>
      </c>
      <c r="T101" s="28">
        <v>418.46999999999986</v>
      </c>
      <c r="U101" s="23">
        <v>42.72</v>
      </c>
      <c r="V101" s="23">
        <v>731.58</v>
      </c>
      <c r="W101" s="23">
        <f>SUMIFS(Transactions_and_Customer_Information_Joined[Gross Profit ($)], Transactions_and_Customer_Information_Joined[SKU], 'Competitive Analysis (Step 1)'!$A101, Transactions_and_Customer_Information_Joined[Order Status], "Completed")</f>
        <v>375.75000000000011</v>
      </c>
      <c r="X101" s="9">
        <v>0.6477077011399982</v>
      </c>
      <c r="Y101" s="24">
        <v>12</v>
      </c>
      <c r="Z101" s="41">
        <v>5.416666666666667</v>
      </c>
      <c r="AA101" s="21">
        <v>0</v>
      </c>
      <c r="AB101" s="21">
        <v>0.16666666666666666</v>
      </c>
      <c r="AC101" s="21">
        <v>0.16666666666666666</v>
      </c>
      <c r="AD101" s="21">
        <v>0.41666666666666669</v>
      </c>
      <c r="AE101" s="21">
        <v>0.16666666666666666</v>
      </c>
      <c r="AF101" s="31">
        <v>188.58333333333334</v>
      </c>
      <c r="AG101" s="21">
        <v>0.2857142857142857</v>
      </c>
      <c r="AH101" s="21">
        <v>0.16666666666666666</v>
      </c>
      <c r="AI101" s="5" t="str">
        <v>Reduce</v>
      </c>
    </row>
    <row r="102" spans="1:35">
      <c r="A102" s="24" t="str">
        <v>SKU-1023</v>
      </c>
      <c r="B102" s="24" t="str">
        <v>Non-stick Pan</v>
      </c>
      <c r="C102" s="24" t="str">
        <v>RivalMart</v>
      </c>
      <c r="D102" s="23">
        <v>54.75</v>
      </c>
      <c r="E102" s="24">
        <v>4.2</v>
      </c>
      <c r="F102" s="24">
        <v>1673</v>
      </c>
      <c r="G102" s="40">
        <v>45292</v>
      </c>
      <c r="H102" s="28">
        <v>65.834999999999994</v>
      </c>
      <c r="I102" s="11">
        <f t="shared" si="1"/>
        <v>0.29278538812785393</v>
      </c>
      <c r="J102" s="24" t="str">
        <v>Home &amp; Kitchen</v>
      </c>
      <c r="K102" s="23">
        <v>70.78</v>
      </c>
      <c r="L102" s="23">
        <v>35.200000000000003</v>
      </c>
      <c r="M102" s="9">
        <v>0.50268437411698219</v>
      </c>
      <c r="N102" s="24">
        <v>3.9</v>
      </c>
      <c r="O102" s="24">
        <v>1738</v>
      </c>
      <c r="P102" s="24">
        <v>274</v>
      </c>
      <c r="Q102" s="24">
        <v>26</v>
      </c>
      <c r="R102" s="23">
        <v>1402.7</v>
      </c>
      <c r="S102" s="23">
        <v>915.2</v>
      </c>
      <c r="T102" s="28">
        <v>487.5</v>
      </c>
      <c r="U102" s="23">
        <v>102.5</v>
      </c>
      <c r="V102" s="23">
        <v>1300.1999999999998</v>
      </c>
      <c r="W102" s="23">
        <f>SUMIFS(Transactions_and_Customer_Information_Joined[Gross Profit ($)], Transactions_and_Customer_Information_Joined[SKU], 'Competitive Analysis (Step 1)'!$A102, Transactions_and_Customer_Information_Joined[Order Status], "Completed")</f>
        <v>384.99999999999994</v>
      </c>
      <c r="X102" s="9">
        <v>0.36444393170281492</v>
      </c>
      <c r="Y102" s="24">
        <v>10</v>
      </c>
      <c r="Z102" s="41">
        <v>6</v>
      </c>
      <c r="AA102" s="21">
        <v>0.1</v>
      </c>
      <c r="AB102" s="21">
        <v>0.1</v>
      </c>
      <c r="AC102" s="21">
        <v>0.1</v>
      </c>
      <c r="AD102" s="21">
        <v>0.1</v>
      </c>
      <c r="AE102" s="21">
        <v>0.1</v>
      </c>
      <c r="AF102" s="31">
        <v>158.6</v>
      </c>
      <c r="AG102" s="21">
        <v>0.375</v>
      </c>
      <c r="AH102" s="21">
        <v>0.16666666666666666</v>
      </c>
      <c r="AI102" s="5" t="str">
        <v>Reduce</v>
      </c>
    </row>
    <row r="103" spans="1:35">
      <c r="A103" s="24" t="str">
        <v>SKU-1023</v>
      </c>
      <c r="B103" s="24" t="str">
        <v>Non-stick Pan</v>
      </c>
      <c r="C103" s="24" t="str">
        <v>ShopNow</v>
      </c>
      <c r="D103" s="23">
        <v>77.599999999999994</v>
      </c>
      <c r="E103" s="24">
        <v>3.3</v>
      </c>
      <c r="F103" s="24">
        <v>756</v>
      </c>
      <c r="G103" s="40">
        <v>45356</v>
      </c>
      <c r="H103" s="28">
        <v>65.834999999999994</v>
      </c>
      <c r="I103" s="11">
        <f t="shared" si="1"/>
        <v>-8.7886597938144254E-2</v>
      </c>
      <c r="J103" s="24" t="str">
        <v>Home &amp; Kitchen</v>
      </c>
      <c r="K103" s="23">
        <v>70.78</v>
      </c>
      <c r="L103" s="23">
        <v>35.200000000000003</v>
      </c>
      <c r="M103" s="9">
        <v>0.50268437411698219</v>
      </c>
      <c r="N103" s="24">
        <v>3.9</v>
      </c>
      <c r="O103" s="24">
        <v>1738</v>
      </c>
      <c r="P103" s="24">
        <v>274</v>
      </c>
      <c r="Q103" s="24">
        <v>26</v>
      </c>
      <c r="R103" s="23">
        <v>1402.7</v>
      </c>
      <c r="S103" s="23">
        <v>915.2</v>
      </c>
      <c r="T103" s="28">
        <v>487.5</v>
      </c>
      <c r="U103" s="23">
        <v>102.5</v>
      </c>
      <c r="V103" s="23">
        <v>1300.1999999999998</v>
      </c>
      <c r="W103" s="23">
        <f>SUMIFS(Transactions_and_Customer_Information_Joined[Gross Profit ($)], Transactions_and_Customer_Information_Joined[SKU], 'Competitive Analysis (Step 1)'!$A103, Transactions_and_Customer_Information_Joined[Order Status], "Completed")</f>
        <v>384.99999999999994</v>
      </c>
      <c r="X103" s="9">
        <v>0.36444393170281492</v>
      </c>
      <c r="Y103" s="24">
        <v>10</v>
      </c>
      <c r="Z103" s="41">
        <v>6</v>
      </c>
      <c r="AA103" s="21">
        <v>0.1</v>
      </c>
      <c r="AB103" s="21">
        <v>0.1</v>
      </c>
      <c r="AC103" s="21">
        <v>0.1</v>
      </c>
      <c r="AD103" s="21">
        <v>0.1</v>
      </c>
      <c r="AE103" s="21">
        <v>0.1</v>
      </c>
      <c r="AF103" s="31">
        <v>158.6</v>
      </c>
      <c r="AG103" s="21">
        <v>0.375</v>
      </c>
      <c r="AH103" s="21">
        <v>0.16666666666666666</v>
      </c>
      <c r="AI103" s="5" t="str">
        <v>Hold</v>
      </c>
    </row>
    <row r="104" spans="1:35">
      <c r="A104" s="24" t="str">
        <v>SKU-1023</v>
      </c>
      <c r="B104" s="24" t="str">
        <v>Non-stick Pan</v>
      </c>
      <c r="C104" s="24" t="str">
        <v>BestDeals</v>
      </c>
      <c r="D104" s="23">
        <v>66.22</v>
      </c>
      <c r="E104" s="24">
        <v>3</v>
      </c>
      <c r="F104" s="24">
        <v>587</v>
      </c>
      <c r="G104" s="40">
        <v>45351</v>
      </c>
      <c r="H104" s="28">
        <v>65.834999999999994</v>
      </c>
      <c r="I104" s="11">
        <f t="shared" si="1"/>
        <v>6.8861371186952625E-2</v>
      </c>
      <c r="J104" s="24" t="str">
        <v>Home &amp; Kitchen</v>
      </c>
      <c r="K104" s="23">
        <v>70.78</v>
      </c>
      <c r="L104" s="23">
        <v>35.200000000000003</v>
      </c>
      <c r="M104" s="9">
        <v>0.50268437411698219</v>
      </c>
      <c r="N104" s="24">
        <v>3.9</v>
      </c>
      <c r="O104" s="24">
        <v>1738</v>
      </c>
      <c r="P104" s="24">
        <v>274</v>
      </c>
      <c r="Q104" s="24">
        <v>26</v>
      </c>
      <c r="R104" s="23">
        <v>1402.7</v>
      </c>
      <c r="S104" s="23">
        <v>915.2</v>
      </c>
      <c r="T104" s="28">
        <v>487.5</v>
      </c>
      <c r="U104" s="23">
        <v>102.5</v>
      </c>
      <c r="V104" s="23">
        <v>1300.1999999999998</v>
      </c>
      <c r="W104" s="23">
        <f>SUMIFS(Transactions_and_Customer_Information_Joined[Gross Profit ($)], Transactions_and_Customer_Information_Joined[SKU], 'Competitive Analysis (Step 1)'!$A104, Transactions_and_Customer_Information_Joined[Order Status], "Completed")</f>
        <v>384.99999999999994</v>
      </c>
      <c r="X104" s="9">
        <v>0.36444393170281492</v>
      </c>
      <c r="Y104" s="24">
        <v>10</v>
      </c>
      <c r="Z104" s="41">
        <v>6</v>
      </c>
      <c r="AA104" s="21">
        <v>0.1</v>
      </c>
      <c r="AB104" s="21">
        <v>0.1</v>
      </c>
      <c r="AC104" s="21">
        <v>0.1</v>
      </c>
      <c r="AD104" s="21">
        <v>0.1</v>
      </c>
      <c r="AE104" s="21">
        <v>0.1</v>
      </c>
      <c r="AF104" s="31">
        <v>158.6</v>
      </c>
      <c r="AG104" s="21">
        <v>0.375</v>
      </c>
      <c r="AH104" s="21">
        <v>0.16666666666666666</v>
      </c>
      <c r="AI104" s="5" t="str">
        <v>Hold</v>
      </c>
    </row>
    <row r="105" spans="1:35">
      <c r="A105" s="24" t="str">
        <v>SKU-1023</v>
      </c>
      <c r="B105" s="24" t="str">
        <v>Non-stick Pan</v>
      </c>
      <c r="C105" s="24" t="str">
        <v>QuickCart</v>
      </c>
      <c r="D105" s="23">
        <v>64.77</v>
      </c>
      <c r="E105" s="24">
        <v>2.9</v>
      </c>
      <c r="F105" s="24">
        <v>651</v>
      </c>
      <c r="G105" s="40">
        <v>45315</v>
      </c>
      <c r="H105" s="28">
        <v>65.834999999999994</v>
      </c>
      <c r="I105" s="11">
        <f t="shared" si="1"/>
        <v>9.2789871854253594E-2</v>
      </c>
      <c r="J105" s="24" t="str">
        <v>Home &amp; Kitchen</v>
      </c>
      <c r="K105" s="23">
        <v>70.78</v>
      </c>
      <c r="L105" s="23">
        <v>35.200000000000003</v>
      </c>
      <c r="M105" s="9">
        <v>0.50268437411698219</v>
      </c>
      <c r="N105" s="24">
        <v>3.9</v>
      </c>
      <c r="O105" s="24">
        <v>1738</v>
      </c>
      <c r="P105" s="24">
        <v>274</v>
      </c>
      <c r="Q105" s="24">
        <v>26</v>
      </c>
      <c r="R105" s="23">
        <v>1402.7</v>
      </c>
      <c r="S105" s="23">
        <v>915.2</v>
      </c>
      <c r="T105" s="28">
        <v>487.5</v>
      </c>
      <c r="U105" s="23">
        <v>102.5</v>
      </c>
      <c r="V105" s="23">
        <v>1300.1999999999998</v>
      </c>
      <c r="W105" s="23">
        <f>SUMIFS(Transactions_and_Customer_Information_Joined[Gross Profit ($)], Transactions_and_Customer_Information_Joined[SKU], 'Competitive Analysis (Step 1)'!$A105, Transactions_and_Customer_Information_Joined[Order Status], "Completed")</f>
        <v>384.99999999999994</v>
      </c>
      <c r="X105" s="9">
        <v>0.36444393170281492</v>
      </c>
      <c r="Y105" s="24">
        <v>10</v>
      </c>
      <c r="Z105" s="41">
        <v>6</v>
      </c>
      <c r="AA105" s="21">
        <v>0.1</v>
      </c>
      <c r="AB105" s="21">
        <v>0.1</v>
      </c>
      <c r="AC105" s="21">
        <v>0.1</v>
      </c>
      <c r="AD105" s="21">
        <v>0.1</v>
      </c>
      <c r="AE105" s="21">
        <v>0.1</v>
      </c>
      <c r="AF105" s="31">
        <v>158.6</v>
      </c>
      <c r="AG105" s="21">
        <v>0.375</v>
      </c>
      <c r="AH105" s="21">
        <v>0.16666666666666666</v>
      </c>
      <c r="AI105" s="5" t="str">
        <v>Hold</v>
      </c>
    </row>
    <row r="106" spans="1:35">
      <c r="A106" s="24" t="str">
        <v>SKU-1024</v>
      </c>
      <c r="B106" s="24" t="str">
        <v>Cutting Board</v>
      </c>
      <c r="C106" s="24" t="str">
        <v>RivalMart</v>
      </c>
      <c r="D106" s="23">
        <v>108.31</v>
      </c>
      <c r="E106" s="24">
        <v>3.2</v>
      </c>
      <c r="F106" s="24">
        <v>923</v>
      </c>
      <c r="G106" s="40">
        <v>45363</v>
      </c>
      <c r="H106" s="28">
        <v>114.48</v>
      </c>
      <c r="I106" s="11">
        <f t="shared" si="1"/>
        <v>9.0111716369679531E-2</v>
      </c>
      <c r="J106" s="24" t="str">
        <v>Home &amp; Kitchen</v>
      </c>
      <c r="K106" s="23">
        <v>118.07</v>
      </c>
      <c r="L106" s="23">
        <v>39.700000000000003</v>
      </c>
      <c r="M106" s="9">
        <v>0.66375878716015924</v>
      </c>
      <c r="N106" s="24">
        <v>4.3</v>
      </c>
      <c r="O106" s="24">
        <v>2224</v>
      </c>
      <c r="P106" s="24">
        <v>25</v>
      </c>
      <c r="Q106" s="24">
        <v>33</v>
      </c>
      <c r="R106" s="23">
        <v>3896.3099999999995</v>
      </c>
      <c r="S106" s="23">
        <v>1310.1000000000001</v>
      </c>
      <c r="T106" s="28">
        <v>2586.2099999999991</v>
      </c>
      <c r="U106" s="23">
        <v>342.4</v>
      </c>
      <c r="V106" s="23">
        <v>3553.91</v>
      </c>
      <c r="W106" s="23">
        <f>SUMIFS(Transactions_and_Customer_Information_Joined[Gross Profit ($)], Transactions_and_Customer_Information_Joined[SKU], 'Competitive Analysis (Step 1)'!$A106, Transactions_and_Customer_Information_Joined[Order Status], "Completed")</f>
        <v>2243.81</v>
      </c>
      <c r="X106" s="9">
        <v>0.13333202022561064</v>
      </c>
      <c r="Y106" s="24">
        <v>13</v>
      </c>
      <c r="Z106" s="41">
        <v>8.8461538461538467</v>
      </c>
      <c r="AA106" s="21">
        <v>0.38461538461538464</v>
      </c>
      <c r="AB106" s="21">
        <v>0.23076923076923078</v>
      </c>
      <c r="AC106" s="21">
        <v>0.30769230769230771</v>
      </c>
      <c r="AD106" s="21">
        <v>7.6923076923076927E-2</v>
      </c>
      <c r="AE106" s="21">
        <v>0</v>
      </c>
      <c r="AF106" s="31">
        <v>164.07692307692307</v>
      </c>
      <c r="AG106" s="21">
        <v>0</v>
      </c>
      <c r="AH106" s="21">
        <v>0.375</v>
      </c>
      <c r="AI106" s="5" t="str">
        <v>Hold</v>
      </c>
    </row>
    <row r="107" spans="1:35">
      <c r="A107" s="24" t="str">
        <v>SKU-1024</v>
      </c>
      <c r="B107" s="24" t="str">
        <v>Cutting Board</v>
      </c>
      <c r="C107" s="24" t="str">
        <v>ShopNow</v>
      </c>
      <c r="D107" s="23">
        <v>89.29</v>
      </c>
      <c r="E107" s="24">
        <v>3.4</v>
      </c>
      <c r="F107" s="24">
        <v>1570</v>
      </c>
      <c r="G107" s="40">
        <v>45309</v>
      </c>
      <c r="H107" s="28">
        <v>114.48</v>
      </c>
      <c r="I107" s="11">
        <f t="shared" si="1"/>
        <v>0.32232052861462634</v>
      </c>
      <c r="J107" s="24" t="str">
        <v>Home &amp; Kitchen</v>
      </c>
      <c r="K107" s="23">
        <v>118.07</v>
      </c>
      <c r="L107" s="23">
        <v>39.700000000000003</v>
      </c>
      <c r="M107" s="9">
        <v>0.66375878716015924</v>
      </c>
      <c r="N107" s="24">
        <v>4.3</v>
      </c>
      <c r="O107" s="24">
        <v>2224</v>
      </c>
      <c r="P107" s="24">
        <v>25</v>
      </c>
      <c r="Q107" s="24">
        <v>33</v>
      </c>
      <c r="R107" s="23">
        <v>3896.3099999999995</v>
      </c>
      <c r="S107" s="23">
        <v>1310.1000000000001</v>
      </c>
      <c r="T107" s="28">
        <v>2586.2099999999991</v>
      </c>
      <c r="U107" s="23">
        <v>342.4</v>
      </c>
      <c r="V107" s="23">
        <v>3553.91</v>
      </c>
      <c r="W107" s="23">
        <f>SUMIFS(Transactions_and_Customer_Information_Joined[Gross Profit ($)], Transactions_and_Customer_Information_Joined[SKU], 'Competitive Analysis (Step 1)'!$A107, Transactions_and_Customer_Information_Joined[Order Status], "Completed")</f>
        <v>2243.81</v>
      </c>
      <c r="X107" s="9">
        <v>0.13333202022561064</v>
      </c>
      <c r="Y107" s="24">
        <v>13</v>
      </c>
      <c r="Z107" s="41">
        <v>8.8461538461538467</v>
      </c>
      <c r="AA107" s="21">
        <v>0.38461538461538464</v>
      </c>
      <c r="AB107" s="21">
        <v>0.23076923076923078</v>
      </c>
      <c r="AC107" s="21">
        <v>0.30769230769230771</v>
      </c>
      <c r="AD107" s="21">
        <v>7.6923076923076927E-2</v>
      </c>
      <c r="AE107" s="21">
        <v>0</v>
      </c>
      <c r="AF107" s="31">
        <v>164.07692307692307</v>
      </c>
      <c r="AG107" s="21">
        <v>0</v>
      </c>
      <c r="AH107" s="21">
        <v>0.375</v>
      </c>
      <c r="AI107" s="5" t="str">
        <v>Reduce</v>
      </c>
    </row>
    <row r="108" spans="1:35">
      <c r="A108" s="24" t="str">
        <v>SKU-1024</v>
      </c>
      <c r="B108" s="24" t="str">
        <v>Cutting Board</v>
      </c>
      <c r="C108" s="24" t="str">
        <v>BestDeals</v>
      </c>
      <c r="D108" s="23">
        <v>141.57</v>
      </c>
      <c r="E108" s="24">
        <v>3.3</v>
      </c>
      <c r="F108" s="24">
        <v>397</v>
      </c>
      <c r="G108" s="40">
        <v>45329</v>
      </c>
      <c r="H108" s="28">
        <v>114.48</v>
      </c>
      <c r="I108" s="11">
        <f t="shared" si="1"/>
        <v>-0.16599562054107508</v>
      </c>
      <c r="J108" s="24" t="str">
        <v>Home &amp; Kitchen</v>
      </c>
      <c r="K108" s="23">
        <v>118.07</v>
      </c>
      <c r="L108" s="23">
        <v>39.700000000000003</v>
      </c>
      <c r="M108" s="9">
        <v>0.66375878716015924</v>
      </c>
      <c r="N108" s="24">
        <v>4.3</v>
      </c>
      <c r="O108" s="24">
        <v>2224</v>
      </c>
      <c r="P108" s="24">
        <v>25</v>
      </c>
      <c r="Q108" s="24">
        <v>33</v>
      </c>
      <c r="R108" s="23">
        <v>3896.3099999999995</v>
      </c>
      <c r="S108" s="23">
        <v>1310.1000000000001</v>
      </c>
      <c r="T108" s="28">
        <v>2586.2099999999991</v>
      </c>
      <c r="U108" s="23">
        <v>342.4</v>
      </c>
      <c r="V108" s="23">
        <v>3553.91</v>
      </c>
      <c r="W108" s="23">
        <f>SUMIFS(Transactions_and_Customer_Information_Joined[Gross Profit ($)], Transactions_and_Customer_Information_Joined[SKU], 'Competitive Analysis (Step 1)'!$A108, Transactions_and_Customer_Information_Joined[Order Status], "Completed")</f>
        <v>2243.81</v>
      </c>
      <c r="X108" s="9">
        <v>0.13333202022561064</v>
      </c>
      <c r="Y108" s="24">
        <v>13</v>
      </c>
      <c r="Z108" s="41">
        <v>8.8461538461538467</v>
      </c>
      <c r="AA108" s="21">
        <v>0.38461538461538464</v>
      </c>
      <c r="AB108" s="21">
        <v>0.23076923076923078</v>
      </c>
      <c r="AC108" s="21">
        <v>0.30769230769230771</v>
      </c>
      <c r="AD108" s="21">
        <v>7.6923076923076927E-2</v>
      </c>
      <c r="AE108" s="21">
        <v>0</v>
      </c>
      <c r="AF108" s="31">
        <v>164.07692307692307</v>
      </c>
      <c r="AG108" s="21">
        <v>0</v>
      </c>
      <c r="AH108" s="21">
        <v>0.375</v>
      </c>
      <c r="AI108" s="5" t="str">
        <v>Raise</v>
      </c>
    </row>
    <row r="109" spans="1:35">
      <c r="A109" s="24" t="str">
        <v>SKU-1024</v>
      </c>
      <c r="B109" s="24" t="str">
        <v>Cutting Board</v>
      </c>
      <c r="C109" s="24" t="str">
        <v>QuickCart</v>
      </c>
      <c r="D109" s="23">
        <v>118.75</v>
      </c>
      <c r="E109" s="24">
        <v>4</v>
      </c>
      <c r="F109" s="24">
        <v>1935</v>
      </c>
      <c r="G109" s="40">
        <v>45372</v>
      </c>
      <c r="H109" s="28">
        <v>114.48</v>
      </c>
      <c r="I109" s="11">
        <f t="shared" si="1"/>
        <v>-5.7263157894737416E-3</v>
      </c>
      <c r="J109" s="24" t="str">
        <v>Home &amp; Kitchen</v>
      </c>
      <c r="K109" s="23">
        <v>118.07</v>
      </c>
      <c r="L109" s="23">
        <v>39.700000000000003</v>
      </c>
      <c r="M109" s="9">
        <v>0.66375878716015924</v>
      </c>
      <c r="N109" s="24">
        <v>4.3</v>
      </c>
      <c r="O109" s="24">
        <v>2224</v>
      </c>
      <c r="P109" s="24">
        <v>25</v>
      </c>
      <c r="Q109" s="24">
        <v>33</v>
      </c>
      <c r="R109" s="23">
        <v>3896.3099999999995</v>
      </c>
      <c r="S109" s="23">
        <v>1310.1000000000001</v>
      </c>
      <c r="T109" s="28">
        <v>2586.2099999999991</v>
      </c>
      <c r="U109" s="23">
        <v>342.4</v>
      </c>
      <c r="V109" s="23">
        <v>3553.91</v>
      </c>
      <c r="W109" s="23">
        <f>SUMIFS(Transactions_and_Customer_Information_Joined[Gross Profit ($)], Transactions_and_Customer_Information_Joined[SKU], 'Competitive Analysis (Step 1)'!$A109, Transactions_and_Customer_Information_Joined[Order Status], "Completed")</f>
        <v>2243.81</v>
      </c>
      <c r="X109" s="9">
        <v>0.13333202022561064</v>
      </c>
      <c r="Y109" s="24">
        <v>13</v>
      </c>
      <c r="Z109" s="41">
        <v>8.8461538461538467</v>
      </c>
      <c r="AA109" s="21">
        <v>0.38461538461538464</v>
      </c>
      <c r="AB109" s="21">
        <v>0.23076923076923078</v>
      </c>
      <c r="AC109" s="21">
        <v>0.30769230769230771</v>
      </c>
      <c r="AD109" s="21">
        <v>7.6923076923076927E-2</v>
      </c>
      <c r="AE109" s="21">
        <v>0</v>
      </c>
      <c r="AF109" s="31">
        <v>164.07692307692307</v>
      </c>
      <c r="AG109" s="21">
        <v>0</v>
      </c>
      <c r="AH109" s="21">
        <v>0.375</v>
      </c>
      <c r="AI109" s="5" t="str">
        <v>Hold</v>
      </c>
    </row>
    <row r="110" spans="1:35">
      <c r="A110" s="24" t="str">
        <v>SKU-1025</v>
      </c>
      <c r="B110" s="24" t="str">
        <v>Knife Set</v>
      </c>
      <c r="C110" s="24" t="str">
        <v>RivalMart</v>
      </c>
      <c r="D110" s="23">
        <v>173.53</v>
      </c>
      <c r="E110" s="24">
        <v>3.1</v>
      </c>
      <c r="F110" s="24">
        <v>2451</v>
      </c>
      <c r="G110" s="40">
        <v>45334</v>
      </c>
      <c r="H110" s="28">
        <v>196.2525</v>
      </c>
      <c r="I110" s="11">
        <f t="shared" si="1"/>
        <v>0.25655506252521182</v>
      </c>
      <c r="J110" s="24" t="str">
        <v>Home &amp; Kitchen</v>
      </c>
      <c r="K110" s="23">
        <v>218.05</v>
      </c>
      <c r="L110" s="23">
        <v>74.48</v>
      </c>
      <c r="M110" s="9">
        <v>0.65842696629213482</v>
      </c>
      <c r="N110" s="24">
        <v>3.4</v>
      </c>
      <c r="O110" s="24">
        <v>1652</v>
      </c>
      <c r="P110" s="24">
        <v>246</v>
      </c>
      <c r="Q110" s="24">
        <v>16</v>
      </c>
      <c r="R110" s="23">
        <v>3488.8</v>
      </c>
      <c r="S110" s="23">
        <v>1191.68</v>
      </c>
      <c r="T110" s="28">
        <v>2297.12</v>
      </c>
      <c r="U110" s="23">
        <v>141.73000000000002</v>
      </c>
      <c r="V110" s="23">
        <v>3347.07</v>
      </c>
      <c r="W110" s="23">
        <f>SUMIFS(Transactions_and_Customer_Information_Joined[Gross Profit ($)], Transactions_and_Customer_Information_Joined[SKU], 'Competitive Analysis (Step 1)'!$A110, Transactions_and_Customer_Information_Joined[Order Status], "Completed")</f>
        <v>2155.39</v>
      </c>
      <c r="X110" s="9">
        <v>0.14157158350437843</v>
      </c>
      <c r="Y110" s="24">
        <v>6</v>
      </c>
      <c r="Z110" s="41">
        <v>4.166666666666667</v>
      </c>
      <c r="AA110" s="21">
        <v>0.16666666666666666</v>
      </c>
      <c r="AB110" s="21">
        <v>0</v>
      </c>
      <c r="AC110" s="21">
        <v>0</v>
      </c>
      <c r="AD110" s="21">
        <v>0.16666666666666666</v>
      </c>
      <c r="AE110" s="21">
        <v>0</v>
      </c>
      <c r="AF110" s="31">
        <v>131.83333333333334</v>
      </c>
      <c r="AG110" s="21">
        <v>0.16666666666666666</v>
      </c>
      <c r="AH110" s="21">
        <v>0.2857142857142857</v>
      </c>
      <c r="AI110" s="5" t="str">
        <v>Reduce</v>
      </c>
    </row>
    <row r="111" spans="1:35">
      <c r="A111" s="24" t="str">
        <v>SKU-1025</v>
      </c>
      <c r="B111" s="24" t="str">
        <v>Knife Set</v>
      </c>
      <c r="C111" s="24" t="str">
        <v>ShopNow</v>
      </c>
      <c r="D111" s="23">
        <v>193.61</v>
      </c>
      <c r="E111" s="24">
        <v>4.3</v>
      </c>
      <c r="F111" s="24">
        <v>2242</v>
      </c>
      <c r="G111" s="40">
        <v>45332</v>
      </c>
      <c r="H111" s="28">
        <v>196.2525</v>
      </c>
      <c r="I111" s="11">
        <f t="shared" si="1"/>
        <v>0.12623314911419864</v>
      </c>
      <c r="J111" s="24" t="str">
        <v>Home &amp; Kitchen</v>
      </c>
      <c r="K111" s="23">
        <v>218.05</v>
      </c>
      <c r="L111" s="23">
        <v>74.48</v>
      </c>
      <c r="M111" s="9">
        <v>0.65842696629213482</v>
      </c>
      <c r="N111" s="24">
        <v>3.4</v>
      </c>
      <c r="O111" s="24">
        <v>1652</v>
      </c>
      <c r="P111" s="24">
        <v>246</v>
      </c>
      <c r="Q111" s="24">
        <v>16</v>
      </c>
      <c r="R111" s="23">
        <v>3488.8</v>
      </c>
      <c r="S111" s="23">
        <v>1191.68</v>
      </c>
      <c r="T111" s="28">
        <v>2297.12</v>
      </c>
      <c r="U111" s="23">
        <v>141.73000000000002</v>
      </c>
      <c r="V111" s="23">
        <v>3347.07</v>
      </c>
      <c r="W111" s="23">
        <f>SUMIFS(Transactions_and_Customer_Information_Joined[Gross Profit ($)], Transactions_and_Customer_Information_Joined[SKU], 'Competitive Analysis (Step 1)'!$A111, Transactions_and_Customer_Information_Joined[Order Status], "Completed")</f>
        <v>2155.39</v>
      </c>
      <c r="X111" s="9">
        <v>0.14157158350437843</v>
      </c>
      <c r="Y111" s="24">
        <v>6</v>
      </c>
      <c r="Z111" s="41">
        <v>4.166666666666667</v>
      </c>
      <c r="AA111" s="21">
        <v>0.16666666666666666</v>
      </c>
      <c r="AB111" s="21">
        <v>0</v>
      </c>
      <c r="AC111" s="21">
        <v>0</v>
      </c>
      <c r="AD111" s="21">
        <v>0.16666666666666666</v>
      </c>
      <c r="AE111" s="21">
        <v>0</v>
      </c>
      <c r="AF111" s="31">
        <v>131.83333333333334</v>
      </c>
      <c r="AG111" s="21">
        <v>0.16666666666666666</v>
      </c>
      <c r="AH111" s="21">
        <v>0.2857142857142857</v>
      </c>
      <c r="AI111" s="5" t="str">
        <v>Reduce</v>
      </c>
    </row>
    <row r="112" spans="1:35">
      <c r="A112" s="24" t="str">
        <v>SKU-1025</v>
      </c>
      <c r="B112" s="24" t="str">
        <v>Knife Set</v>
      </c>
      <c r="C112" s="24" t="str">
        <v>BestDeals</v>
      </c>
      <c r="D112" s="23">
        <v>187.92</v>
      </c>
      <c r="E112" s="24">
        <v>3.5</v>
      </c>
      <c r="F112" s="24">
        <v>1206</v>
      </c>
      <c r="G112" s="40">
        <v>45365</v>
      </c>
      <c r="H112" s="28">
        <v>196.2525</v>
      </c>
      <c r="I112" s="11">
        <f t="shared" si="1"/>
        <v>0.16033418475947225</v>
      </c>
      <c r="J112" s="24" t="str">
        <v>Home &amp; Kitchen</v>
      </c>
      <c r="K112" s="23">
        <v>218.05</v>
      </c>
      <c r="L112" s="23">
        <v>74.48</v>
      </c>
      <c r="M112" s="9">
        <v>0.65842696629213482</v>
      </c>
      <c r="N112" s="24">
        <v>3.4</v>
      </c>
      <c r="O112" s="24">
        <v>1652</v>
      </c>
      <c r="P112" s="24">
        <v>246</v>
      </c>
      <c r="Q112" s="24">
        <v>16</v>
      </c>
      <c r="R112" s="23">
        <v>3488.8</v>
      </c>
      <c r="S112" s="23">
        <v>1191.68</v>
      </c>
      <c r="T112" s="28">
        <v>2297.12</v>
      </c>
      <c r="U112" s="23">
        <v>141.73000000000002</v>
      </c>
      <c r="V112" s="23">
        <v>3347.07</v>
      </c>
      <c r="W112" s="23">
        <f>SUMIFS(Transactions_and_Customer_Information_Joined[Gross Profit ($)], Transactions_and_Customer_Information_Joined[SKU], 'Competitive Analysis (Step 1)'!$A112, Transactions_and_Customer_Information_Joined[Order Status], "Completed")</f>
        <v>2155.39</v>
      </c>
      <c r="X112" s="9">
        <v>0.14157158350437843</v>
      </c>
      <c r="Y112" s="24">
        <v>6</v>
      </c>
      <c r="Z112" s="41">
        <v>4.166666666666667</v>
      </c>
      <c r="AA112" s="21">
        <v>0.16666666666666666</v>
      </c>
      <c r="AB112" s="21">
        <v>0</v>
      </c>
      <c r="AC112" s="21">
        <v>0</v>
      </c>
      <c r="AD112" s="21">
        <v>0.16666666666666666</v>
      </c>
      <c r="AE112" s="21">
        <v>0</v>
      </c>
      <c r="AF112" s="31">
        <v>131.83333333333334</v>
      </c>
      <c r="AG112" s="21">
        <v>0.16666666666666666</v>
      </c>
      <c r="AH112" s="21">
        <v>0.2857142857142857</v>
      </c>
      <c r="AI112" s="5" t="str">
        <v>Reduce</v>
      </c>
    </row>
    <row r="113" spans="1:35">
      <c r="A113" s="24" t="str">
        <v>SKU-1025</v>
      </c>
      <c r="B113" s="24" t="str">
        <v>Knife Set</v>
      </c>
      <c r="C113" s="24" t="str">
        <v>QuickCart</v>
      </c>
      <c r="D113" s="23">
        <v>229.95</v>
      </c>
      <c r="E113" s="24">
        <v>3.7</v>
      </c>
      <c r="F113" s="24">
        <v>1428</v>
      </c>
      <c r="G113" s="40">
        <v>45320</v>
      </c>
      <c r="H113" s="28">
        <v>196.2525</v>
      </c>
      <c r="I113" s="11">
        <f t="shared" si="1"/>
        <v>-5.1750380517503712E-2</v>
      </c>
      <c r="J113" s="24" t="str">
        <v>Home &amp; Kitchen</v>
      </c>
      <c r="K113" s="23">
        <v>218.05</v>
      </c>
      <c r="L113" s="23">
        <v>74.48</v>
      </c>
      <c r="M113" s="9">
        <v>0.65842696629213482</v>
      </c>
      <c r="N113" s="24">
        <v>3.4</v>
      </c>
      <c r="O113" s="24">
        <v>1652</v>
      </c>
      <c r="P113" s="24">
        <v>246</v>
      </c>
      <c r="Q113" s="24">
        <v>16</v>
      </c>
      <c r="R113" s="23">
        <v>3488.8</v>
      </c>
      <c r="S113" s="23">
        <v>1191.68</v>
      </c>
      <c r="T113" s="28">
        <v>2297.12</v>
      </c>
      <c r="U113" s="23">
        <v>141.73000000000002</v>
      </c>
      <c r="V113" s="23">
        <v>3347.07</v>
      </c>
      <c r="W113" s="23">
        <f>SUMIFS(Transactions_and_Customer_Information_Joined[Gross Profit ($)], Transactions_and_Customer_Information_Joined[SKU], 'Competitive Analysis (Step 1)'!$A113, Transactions_and_Customer_Information_Joined[Order Status], "Completed")</f>
        <v>2155.39</v>
      </c>
      <c r="X113" s="9">
        <v>0.14157158350437843</v>
      </c>
      <c r="Y113" s="24">
        <v>6</v>
      </c>
      <c r="Z113" s="41">
        <v>4.166666666666667</v>
      </c>
      <c r="AA113" s="21">
        <v>0.16666666666666666</v>
      </c>
      <c r="AB113" s="21">
        <v>0</v>
      </c>
      <c r="AC113" s="21">
        <v>0</v>
      </c>
      <c r="AD113" s="21">
        <v>0.16666666666666666</v>
      </c>
      <c r="AE113" s="21">
        <v>0</v>
      </c>
      <c r="AF113" s="31">
        <v>131.83333333333334</v>
      </c>
      <c r="AG113" s="21">
        <v>0.16666666666666666</v>
      </c>
      <c r="AH113" s="21">
        <v>0.2857142857142857</v>
      </c>
      <c r="AI113" s="5" t="str">
        <v>Hold</v>
      </c>
    </row>
    <row r="114" spans="1:35">
      <c r="A114" s="24" t="str">
        <v>SKU-1026</v>
      </c>
      <c r="B114" s="24" t="str">
        <v>Dish Rack</v>
      </c>
      <c r="C114" s="24" t="str">
        <v>RivalMart</v>
      </c>
      <c r="D114" s="23">
        <v>129.6</v>
      </c>
      <c r="E114" s="24">
        <v>3.1</v>
      </c>
      <c r="F114" s="24">
        <v>2258</v>
      </c>
      <c r="G114" s="40">
        <v>45352</v>
      </c>
      <c r="H114" s="28">
        <v>113.89750000000001</v>
      </c>
      <c r="I114" s="11">
        <f t="shared" si="1"/>
        <v>-0.18163580246913574</v>
      </c>
      <c r="J114" s="24" t="str">
        <v>Home &amp; Kitchen</v>
      </c>
      <c r="K114" s="23">
        <v>106.06</v>
      </c>
      <c r="L114" s="23">
        <v>33.42</v>
      </c>
      <c r="M114" s="9">
        <v>0.68489534225909865</v>
      </c>
      <c r="N114" s="24">
        <v>3.8</v>
      </c>
      <c r="O114" s="24">
        <v>2286</v>
      </c>
      <c r="P114" s="24">
        <v>146</v>
      </c>
      <c r="Q114" s="24">
        <v>39</v>
      </c>
      <c r="R114" s="23">
        <v>4136.34</v>
      </c>
      <c r="S114" s="23">
        <v>1303.3800000000001</v>
      </c>
      <c r="T114" s="28">
        <v>2832.96</v>
      </c>
      <c r="U114" s="23">
        <v>212.13000000000002</v>
      </c>
      <c r="V114" s="23">
        <v>3924.21</v>
      </c>
      <c r="W114" s="23">
        <f>SUMIFS(Transactions_and_Customer_Information_Joined[Gross Profit ($)], Transactions_and_Customer_Information_Joined[SKU], 'Competitive Analysis (Step 1)'!$A114, Transactions_and_Customer_Information_Joined[Order Status], "Completed")</f>
        <v>2620.8300000000004</v>
      </c>
      <c r="X114" s="9">
        <v>0.12075041855558187</v>
      </c>
      <c r="Y114" s="24">
        <v>12</v>
      </c>
      <c r="Z114" s="41">
        <v>6.25</v>
      </c>
      <c r="AA114" s="21">
        <v>0.16666666666666666</v>
      </c>
      <c r="AB114" s="21">
        <v>8.3333333333333329E-2</v>
      </c>
      <c r="AC114" s="21">
        <v>0.33333333333333331</v>
      </c>
      <c r="AD114" s="21">
        <v>0.33333333333333331</v>
      </c>
      <c r="AE114" s="21">
        <v>8.3333333333333329E-2</v>
      </c>
      <c r="AF114" s="31">
        <v>209.16666666666666</v>
      </c>
      <c r="AG114" s="21">
        <v>0.41176470588235292</v>
      </c>
      <c r="AH114" s="21">
        <v>0.23076923076923078</v>
      </c>
      <c r="AI114" s="5" t="str">
        <v>Raise</v>
      </c>
    </row>
    <row r="115" spans="1:35">
      <c r="A115" s="24" t="str">
        <v>SKU-1026</v>
      </c>
      <c r="B115" s="24" t="str">
        <v>Dish Rack</v>
      </c>
      <c r="C115" s="24" t="str">
        <v>ShopNow</v>
      </c>
      <c r="D115" s="23">
        <v>114.14</v>
      </c>
      <c r="E115" s="24">
        <v>3</v>
      </c>
      <c r="F115" s="24">
        <v>33</v>
      </c>
      <c r="G115" s="40">
        <v>45365</v>
      </c>
      <c r="H115" s="28">
        <v>113.89750000000001</v>
      </c>
      <c r="I115" s="11">
        <f t="shared" si="1"/>
        <v>-7.0790257578412466E-2</v>
      </c>
      <c r="J115" s="24" t="str">
        <v>Home &amp; Kitchen</v>
      </c>
      <c r="K115" s="23">
        <v>106.06</v>
      </c>
      <c r="L115" s="23">
        <v>33.42</v>
      </c>
      <c r="M115" s="9">
        <v>0.68489534225909865</v>
      </c>
      <c r="N115" s="24">
        <v>3.8</v>
      </c>
      <c r="O115" s="24">
        <v>2286</v>
      </c>
      <c r="P115" s="24">
        <v>146</v>
      </c>
      <c r="Q115" s="24">
        <v>39</v>
      </c>
      <c r="R115" s="23">
        <v>4136.34</v>
      </c>
      <c r="S115" s="23">
        <v>1303.3800000000001</v>
      </c>
      <c r="T115" s="28">
        <v>2832.96</v>
      </c>
      <c r="U115" s="23">
        <v>212.13000000000002</v>
      </c>
      <c r="V115" s="23">
        <v>3924.21</v>
      </c>
      <c r="W115" s="23">
        <f>SUMIFS(Transactions_and_Customer_Information_Joined[Gross Profit ($)], Transactions_and_Customer_Information_Joined[SKU], 'Competitive Analysis (Step 1)'!$A115, Transactions_and_Customer_Information_Joined[Order Status], "Completed")</f>
        <v>2620.8300000000004</v>
      </c>
      <c r="X115" s="9">
        <v>0.12075041855558187</v>
      </c>
      <c r="Y115" s="24">
        <v>12</v>
      </c>
      <c r="Z115" s="41">
        <v>6.25</v>
      </c>
      <c r="AA115" s="21">
        <v>0.16666666666666666</v>
      </c>
      <c r="AB115" s="21">
        <v>8.3333333333333329E-2</v>
      </c>
      <c r="AC115" s="21">
        <v>0.33333333333333331</v>
      </c>
      <c r="AD115" s="21">
        <v>0.33333333333333331</v>
      </c>
      <c r="AE115" s="21">
        <v>8.3333333333333329E-2</v>
      </c>
      <c r="AF115" s="31">
        <v>209.16666666666666</v>
      </c>
      <c r="AG115" s="21">
        <v>0.41176470588235292</v>
      </c>
      <c r="AH115" s="21">
        <v>0.23076923076923078</v>
      </c>
      <c r="AI115" s="5" t="str">
        <v>Hold</v>
      </c>
    </row>
    <row r="116" spans="1:35">
      <c r="A116" s="24" t="str">
        <v>SKU-1026</v>
      </c>
      <c r="B116" s="24" t="str">
        <v>Dish Rack</v>
      </c>
      <c r="C116" s="24" t="str">
        <v>BestDeals</v>
      </c>
      <c r="D116" s="23">
        <v>116.29</v>
      </c>
      <c r="E116" s="24">
        <v>4</v>
      </c>
      <c r="F116" s="24">
        <v>2038</v>
      </c>
      <c r="G116" s="40">
        <v>45377</v>
      </c>
      <c r="H116" s="28">
        <v>113.89750000000001</v>
      </c>
      <c r="I116" s="11">
        <f t="shared" si="1"/>
        <v>-8.7969730845300576E-2</v>
      </c>
      <c r="J116" s="24" t="str">
        <v>Home &amp; Kitchen</v>
      </c>
      <c r="K116" s="23">
        <v>106.06</v>
      </c>
      <c r="L116" s="23">
        <v>33.42</v>
      </c>
      <c r="M116" s="9">
        <v>0.68489534225909865</v>
      </c>
      <c r="N116" s="24">
        <v>3.8</v>
      </c>
      <c r="O116" s="24">
        <v>2286</v>
      </c>
      <c r="P116" s="24">
        <v>146</v>
      </c>
      <c r="Q116" s="24">
        <v>39</v>
      </c>
      <c r="R116" s="23">
        <v>4136.34</v>
      </c>
      <c r="S116" s="23">
        <v>1303.3800000000001</v>
      </c>
      <c r="T116" s="28">
        <v>2832.96</v>
      </c>
      <c r="U116" s="23">
        <v>212.13000000000002</v>
      </c>
      <c r="V116" s="23">
        <v>3924.21</v>
      </c>
      <c r="W116" s="23">
        <f>SUMIFS(Transactions_and_Customer_Information_Joined[Gross Profit ($)], Transactions_and_Customer_Information_Joined[SKU], 'Competitive Analysis (Step 1)'!$A116, Transactions_and_Customer_Information_Joined[Order Status], "Completed")</f>
        <v>2620.8300000000004</v>
      </c>
      <c r="X116" s="9">
        <v>0.12075041855558187</v>
      </c>
      <c r="Y116" s="24">
        <v>12</v>
      </c>
      <c r="Z116" s="41">
        <v>6.25</v>
      </c>
      <c r="AA116" s="21">
        <v>0.16666666666666666</v>
      </c>
      <c r="AB116" s="21">
        <v>8.3333333333333329E-2</v>
      </c>
      <c r="AC116" s="21">
        <v>0.33333333333333331</v>
      </c>
      <c r="AD116" s="21">
        <v>0.33333333333333331</v>
      </c>
      <c r="AE116" s="21">
        <v>8.3333333333333329E-2</v>
      </c>
      <c r="AF116" s="31">
        <v>209.16666666666666</v>
      </c>
      <c r="AG116" s="21">
        <v>0.41176470588235292</v>
      </c>
      <c r="AH116" s="21">
        <v>0.23076923076923078</v>
      </c>
      <c r="AI116" s="5" t="str">
        <v>Hold</v>
      </c>
    </row>
    <row r="117" spans="1:35">
      <c r="A117" s="24" t="str">
        <v>SKU-1026</v>
      </c>
      <c r="B117" s="24" t="str">
        <v>Dish Rack</v>
      </c>
      <c r="C117" s="24" t="str">
        <v>QuickCart</v>
      </c>
      <c r="D117" s="23">
        <v>95.56</v>
      </c>
      <c r="E117" s="24">
        <v>3.3</v>
      </c>
      <c r="F117" s="24">
        <v>264</v>
      </c>
      <c r="G117" s="40">
        <v>45307</v>
      </c>
      <c r="H117" s="28">
        <v>113.89750000000001</v>
      </c>
      <c r="I117" s="11">
        <f t="shared" si="1"/>
        <v>0.10987861029719548</v>
      </c>
      <c r="J117" s="24" t="str">
        <v>Home &amp; Kitchen</v>
      </c>
      <c r="K117" s="23">
        <v>106.06</v>
      </c>
      <c r="L117" s="23">
        <v>33.42</v>
      </c>
      <c r="M117" s="9">
        <v>0.68489534225909865</v>
      </c>
      <c r="N117" s="24">
        <v>3.8</v>
      </c>
      <c r="O117" s="24">
        <v>2286</v>
      </c>
      <c r="P117" s="24">
        <v>146</v>
      </c>
      <c r="Q117" s="24">
        <v>39</v>
      </c>
      <c r="R117" s="23">
        <v>4136.34</v>
      </c>
      <c r="S117" s="23">
        <v>1303.3800000000001</v>
      </c>
      <c r="T117" s="28">
        <v>2832.96</v>
      </c>
      <c r="U117" s="23">
        <v>212.13000000000002</v>
      </c>
      <c r="V117" s="23">
        <v>3924.21</v>
      </c>
      <c r="W117" s="23">
        <f>SUMIFS(Transactions_and_Customer_Information_Joined[Gross Profit ($)], Transactions_and_Customer_Information_Joined[SKU], 'Competitive Analysis (Step 1)'!$A117, Transactions_and_Customer_Information_Joined[Order Status], "Completed")</f>
        <v>2620.8300000000004</v>
      </c>
      <c r="X117" s="9">
        <v>0.12075041855558187</v>
      </c>
      <c r="Y117" s="24">
        <v>12</v>
      </c>
      <c r="Z117" s="41">
        <v>6.25</v>
      </c>
      <c r="AA117" s="21">
        <v>0.16666666666666666</v>
      </c>
      <c r="AB117" s="21">
        <v>8.3333333333333329E-2</v>
      </c>
      <c r="AC117" s="21">
        <v>0.33333333333333331</v>
      </c>
      <c r="AD117" s="21">
        <v>0.33333333333333331</v>
      </c>
      <c r="AE117" s="21">
        <v>8.3333333333333329E-2</v>
      </c>
      <c r="AF117" s="31">
        <v>209.16666666666666</v>
      </c>
      <c r="AG117" s="21">
        <v>0.41176470588235292</v>
      </c>
      <c r="AH117" s="21">
        <v>0.23076923076923078</v>
      </c>
      <c r="AI117" s="5" t="str">
        <v>Reduce</v>
      </c>
    </row>
    <row r="118" spans="1:35">
      <c r="A118" s="24" t="str">
        <v>SKU-1027</v>
      </c>
      <c r="B118" s="24" t="str">
        <v>Storage Bins</v>
      </c>
      <c r="C118" s="24" t="str">
        <v>RivalMart</v>
      </c>
      <c r="D118" s="23">
        <v>27.23</v>
      </c>
      <c r="E118" s="24">
        <v>3.3</v>
      </c>
      <c r="F118" s="24">
        <v>1740</v>
      </c>
      <c r="G118" s="40">
        <v>45295</v>
      </c>
      <c r="H118" s="28">
        <v>34.76</v>
      </c>
      <c r="I118" s="11">
        <f t="shared" si="1"/>
        <v>0.26625045905251549</v>
      </c>
      <c r="J118" s="24" t="str">
        <v>Home &amp; Kitchen</v>
      </c>
      <c r="K118" s="23">
        <v>34.479999999999997</v>
      </c>
      <c r="L118" s="23">
        <v>19.239999999999998</v>
      </c>
      <c r="M118" s="9">
        <v>0.44199535962877029</v>
      </c>
      <c r="N118" s="24">
        <v>3.6</v>
      </c>
      <c r="O118" s="24">
        <v>215</v>
      </c>
      <c r="P118" s="24">
        <v>382</v>
      </c>
      <c r="Q118" s="24">
        <v>19</v>
      </c>
      <c r="R118" s="23">
        <v>655.11999999999989</v>
      </c>
      <c r="S118" s="23">
        <v>365.55999999999995</v>
      </c>
      <c r="T118" s="28">
        <v>289.55999999999995</v>
      </c>
      <c r="U118" s="23">
        <v>67.240000000000009</v>
      </c>
      <c r="V118" s="23">
        <v>587.88000000000011</v>
      </c>
      <c r="W118" s="23">
        <f>SUMIFS(Transactions_and_Customer_Information_Joined[Gross Profit ($)], Transactions_and_Customer_Information_Joined[SKU], 'Competitive Analysis (Step 1)'!$A118, Transactions_and_Customer_Information_Joined[Order Status], "Completed")</f>
        <v>222.32</v>
      </c>
      <c r="X118" s="9">
        <v>0.80603184323331256</v>
      </c>
      <c r="Y118" s="24">
        <v>7</v>
      </c>
      <c r="Z118" s="41">
        <v>10.714285714285714</v>
      </c>
      <c r="AA118" s="21">
        <v>0.5714285714285714</v>
      </c>
      <c r="AB118" s="21">
        <v>0</v>
      </c>
      <c r="AC118" s="21">
        <v>0.14285714285714285</v>
      </c>
      <c r="AD118" s="21">
        <v>0</v>
      </c>
      <c r="AE118" s="21">
        <v>0.42857142857142855</v>
      </c>
      <c r="AF118" s="31">
        <v>177.14285714285714</v>
      </c>
      <c r="AG118" s="21">
        <v>0.23076923076923078</v>
      </c>
      <c r="AH118" s="21">
        <v>0.16666666666666666</v>
      </c>
      <c r="AI118" s="5" t="str">
        <v>Reduce</v>
      </c>
    </row>
    <row r="119" spans="1:35">
      <c r="A119" s="24" t="str">
        <v>SKU-1027</v>
      </c>
      <c r="B119" s="24" t="str">
        <v>Storage Bins</v>
      </c>
      <c r="C119" s="24" t="str">
        <v>ShopNow</v>
      </c>
      <c r="D119" s="23">
        <v>35.590000000000003</v>
      </c>
      <c r="E119" s="24">
        <v>4.8</v>
      </c>
      <c r="F119" s="24">
        <v>225</v>
      </c>
      <c r="G119" s="40">
        <v>45332</v>
      </c>
      <c r="H119" s="28">
        <v>34.76</v>
      </c>
      <c r="I119" s="11">
        <f t="shared" si="1"/>
        <v>-3.1188536105647834E-2</v>
      </c>
      <c r="J119" s="24" t="str">
        <v>Home &amp; Kitchen</v>
      </c>
      <c r="K119" s="23">
        <v>34.479999999999997</v>
      </c>
      <c r="L119" s="23">
        <v>19.239999999999998</v>
      </c>
      <c r="M119" s="9">
        <v>0.44199535962877029</v>
      </c>
      <c r="N119" s="24">
        <v>3.6</v>
      </c>
      <c r="O119" s="24">
        <v>215</v>
      </c>
      <c r="P119" s="24">
        <v>382</v>
      </c>
      <c r="Q119" s="24">
        <v>19</v>
      </c>
      <c r="R119" s="23">
        <v>655.11999999999989</v>
      </c>
      <c r="S119" s="23">
        <v>365.55999999999995</v>
      </c>
      <c r="T119" s="28">
        <v>289.55999999999995</v>
      </c>
      <c r="U119" s="23">
        <v>67.240000000000009</v>
      </c>
      <c r="V119" s="23">
        <v>587.88000000000011</v>
      </c>
      <c r="W119" s="23">
        <f>SUMIFS(Transactions_and_Customer_Information_Joined[Gross Profit ($)], Transactions_and_Customer_Information_Joined[SKU], 'Competitive Analysis (Step 1)'!$A119, Transactions_and_Customer_Information_Joined[Order Status], "Completed")</f>
        <v>222.32</v>
      </c>
      <c r="X119" s="9">
        <v>0.80603184323331256</v>
      </c>
      <c r="Y119" s="24">
        <v>7</v>
      </c>
      <c r="Z119" s="41">
        <v>10.714285714285714</v>
      </c>
      <c r="AA119" s="21">
        <v>0.5714285714285714</v>
      </c>
      <c r="AB119" s="21">
        <v>0</v>
      </c>
      <c r="AC119" s="21">
        <v>0.14285714285714285</v>
      </c>
      <c r="AD119" s="21">
        <v>0</v>
      </c>
      <c r="AE119" s="21">
        <v>0.42857142857142855</v>
      </c>
      <c r="AF119" s="31">
        <v>177.14285714285714</v>
      </c>
      <c r="AG119" s="21">
        <v>0.23076923076923078</v>
      </c>
      <c r="AH119" s="21">
        <v>0.16666666666666666</v>
      </c>
      <c r="AI119" s="5" t="str">
        <v>Hold</v>
      </c>
    </row>
    <row r="120" spans="1:35">
      <c r="A120" s="24" t="str">
        <v>SKU-1027</v>
      </c>
      <c r="B120" s="24" t="str">
        <v>Storage Bins</v>
      </c>
      <c r="C120" s="24" t="str">
        <v>BestDeals</v>
      </c>
      <c r="D120" s="23">
        <v>37.4</v>
      </c>
      <c r="E120" s="24">
        <v>4.2</v>
      </c>
      <c r="F120" s="24">
        <v>1324</v>
      </c>
      <c r="G120" s="40">
        <v>45369</v>
      </c>
      <c r="H120" s="28">
        <v>34.76</v>
      </c>
      <c r="I120" s="11">
        <f t="shared" si="1"/>
        <v>-7.8074866310160473E-2</v>
      </c>
      <c r="J120" s="24" t="str">
        <v>Home &amp; Kitchen</v>
      </c>
      <c r="K120" s="23">
        <v>34.479999999999997</v>
      </c>
      <c r="L120" s="23">
        <v>19.239999999999998</v>
      </c>
      <c r="M120" s="9">
        <v>0.44199535962877029</v>
      </c>
      <c r="N120" s="24">
        <v>3.6</v>
      </c>
      <c r="O120" s="24">
        <v>215</v>
      </c>
      <c r="P120" s="24">
        <v>382</v>
      </c>
      <c r="Q120" s="24">
        <v>19</v>
      </c>
      <c r="R120" s="23">
        <v>655.11999999999989</v>
      </c>
      <c r="S120" s="23">
        <v>365.55999999999995</v>
      </c>
      <c r="T120" s="28">
        <v>289.55999999999995</v>
      </c>
      <c r="U120" s="23">
        <v>67.240000000000009</v>
      </c>
      <c r="V120" s="23">
        <v>587.88000000000011</v>
      </c>
      <c r="W120" s="23">
        <f>SUMIFS(Transactions_and_Customer_Information_Joined[Gross Profit ($)], Transactions_and_Customer_Information_Joined[SKU], 'Competitive Analysis (Step 1)'!$A120, Transactions_and_Customer_Information_Joined[Order Status], "Completed")</f>
        <v>222.32</v>
      </c>
      <c r="X120" s="9">
        <v>0.80603184323331256</v>
      </c>
      <c r="Y120" s="24">
        <v>7</v>
      </c>
      <c r="Z120" s="41">
        <v>10.714285714285714</v>
      </c>
      <c r="AA120" s="21">
        <v>0.5714285714285714</v>
      </c>
      <c r="AB120" s="21">
        <v>0</v>
      </c>
      <c r="AC120" s="21">
        <v>0.14285714285714285</v>
      </c>
      <c r="AD120" s="21">
        <v>0</v>
      </c>
      <c r="AE120" s="21">
        <v>0.42857142857142855</v>
      </c>
      <c r="AF120" s="31">
        <v>177.14285714285714</v>
      </c>
      <c r="AG120" s="21">
        <v>0.23076923076923078</v>
      </c>
      <c r="AH120" s="21">
        <v>0.16666666666666666</v>
      </c>
      <c r="AI120" s="5" t="str">
        <v>Hold</v>
      </c>
    </row>
    <row r="121" spans="1:35">
      <c r="A121" s="24" t="str">
        <v>SKU-1027</v>
      </c>
      <c r="B121" s="24" t="str">
        <v>Storage Bins</v>
      </c>
      <c r="C121" s="24" t="str">
        <v>QuickCart</v>
      </c>
      <c r="D121" s="23">
        <v>38.82</v>
      </c>
      <c r="E121" s="24">
        <v>4.0999999999999996</v>
      </c>
      <c r="F121" s="24">
        <v>1857</v>
      </c>
      <c r="G121" s="40">
        <v>45375</v>
      </c>
      <c r="H121" s="28">
        <v>34.76</v>
      </c>
      <c r="I121" s="11">
        <f t="shared" si="1"/>
        <v>-0.1117980422462649</v>
      </c>
      <c r="J121" s="24" t="str">
        <v>Home &amp; Kitchen</v>
      </c>
      <c r="K121" s="23">
        <v>34.479999999999997</v>
      </c>
      <c r="L121" s="23">
        <v>19.239999999999998</v>
      </c>
      <c r="M121" s="9">
        <v>0.44199535962877029</v>
      </c>
      <c r="N121" s="24">
        <v>3.6</v>
      </c>
      <c r="O121" s="24">
        <v>215</v>
      </c>
      <c r="P121" s="24">
        <v>382</v>
      </c>
      <c r="Q121" s="24">
        <v>19</v>
      </c>
      <c r="R121" s="23">
        <v>655.11999999999989</v>
      </c>
      <c r="S121" s="23">
        <v>365.55999999999995</v>
      </c>
      <c r="T121" s="28">
        <v>289.55999999999995</v>
      </c>
      <c r="U121" s="23">
        <v>67.240000000000009</v>
      </c>
      <c r="V121" s="23">
        <v>587.88000000000011</v>
      </c>
      <c r="W121" s="23">
        <f>SUMIFS(Transactions_and_Customer_Information_Joined[Gross Profit ($)], Transactions_and_Customer_Information_Joined[SKU], 'Competitive Analysis (Step 1)'!$A121, Transactions_and_Customer_Information_Joined[Order Status], "Completed")</f>
        <v>222.32</v>
      </c>
      <c r="X121" s="9">
        <v>0.80603184323331256</v>
      </c>
      <c r="Y121" s="24">
        <v>7</v>
      </c>
      <c r="Z121" s="41">
        <v>10.714285714285714</v>
      </c>
      <c r="AA121" s="21">
        <v>0.5714285714285714</v>
      </c>
      <c r="AB121" s="21">
        <v>0</v>
      </c>
      <c r="AC121" s="21">
        <v>0.14285714285714285</v>
      </c>
      <c r="AD121" s="21">
        <v>0</v>
      </c>
      <c r="AE121" s="21">
        <v>0.42857142857142855</v>
      </c>
      <c r="AF121" s="31">
        <v>177.14285714285714</v>
      </c>
      <c r="AG121" s="21">
        <v>0.23076923076923078</v>
      </c>
      <c r="AH121" s="21">
        <v>0.16666666666666666</v>
      </c>
      <c r="AI121" s="5" t="str">
        <v>Raise</v>
      </c>
    </row>
    <row r="122" spans="1:35">
      <c r="A122" s="24" t="str">
        <v>SKU-1028</v>
      </c>
      <c r="B122" s="24" t="str">
        <v>Throw Pillow</v>
      </c>
      <c r="C122" s="24" t="str">
        <v>RivalMart</v>
      </c>
      <c r="D122" s="23">
        <v>214.49</v>
      </c>
      <c r="E122" s="24">
        <v>2.9</v>
      </c>
      <c r="F122" s="24">
        <v>1488</v>
      </c>
      <c r="G122" s="40">
        <v>45370</v>
      </c>
      <c r="H122" s="28">
        <v>178.9375</v>
      </c>
      <c r="I122" s="11">
        <f t="shared" si="1"/>
        <v>-0.18770105832439749</v>
      </c>
      <c r="J122" s="24" t="str">
        <v>Home &amp; Kitchen</v>
      </c>
      <c r="K122" s="23">
        <v>174.23</v>
      </c>
      <c r="L122" s="23">
        <v>73.95</v>
      </c>
      <c r="M122" s="9">
        <v>0.57556104000459163</v>
      </c>
      <c r="N122" s="24">
        <v>3.4</v>
      </c>
      <c r="O122" s="24">
        <v>2447</v>
      </c>
      <c r="P122" s="24">
        <v>435</v>
      </c>
      <c r="Q122" s="24">
        <v>26</v>
      </c>
      <c r="R122" s="23">
        <v>4529.9799999999996</v>
      </c>
      <c r="S122" s="23">
        <v>1922.7000000000003</v>
      </c>
      <c r="T122" s="28">
        <v>2607.2799999999993</v>
      </c>
      <c r="U122" s="23">
        <v>174.23</v>
      </c>
      <c r="V122" s="23">
        <v>4355.75</v>
      </c>
      <c r="W122" s="23">
        <f>SUMIFS(Transactions_and_Customer_Information_Joined[Gross Profit ($)], Transactions_and_Customer_Information_Joined[SKU], 'Competitive Analysis (Step 1)'!$A122, Transactions_and_Customer_Information_Joined[Order Status], "Completed")</f>
        <v>2433.0500000000002</v>
      </c>
      <c r="X122" s="9">
        <v>0.10878723526373182</v>
      </c>
      <c r="Y122" s="24">
        <v>13</v>
      </c>
      <c r="Z122" s="41">
        <v>3.8461538461538463</v>
      </c>
      <c r="AA122" s="21">
        <v>7.6923076923076927E-2</v>
      </c>
      <c r="AB122" s="21">
        <v>0.30769230769230771</v>
      </c>
      <c r="AC122" s="21">
        <v>0.15384615384615385</v>
      </c>
      <c r="AD122" s="21">
        <v>0.15384615384615385</v>
      </c>
      <c r="AE122" s="21">
        <v>0.15384615384615385</v>
      </c>
      <c r="AF122" s="31">
        <v>135.46153846153845</v>
      </c>
      <c r="AG122" s="21">
        <v>0.16666666666666666</v>
      </c>
      <c r="AH122" s="21">
        <v>0.23076923076923078</v>
      </c>
      <c r="AI122" s="5" t="str">
        <v>Raise</v>
      </c>
    </row>
    <row r="123" spans="1:35">
      <c r="A123" s="24" t="str">
        <v>SKU-1028</v>
      </c>
      <c r="B123" s="24" t="str">
        <v>Throw Pillow</v>
      </c>
      <c r="C123" s="24" t="str">
        <v>ShopNow</v>
      </c>
      <c r="D123" s="23">
        <v>173.42</v>
      </c>
      <c r="E123" s="24">
        <v>3.3</v>
      </c>
      <c r="F123" s="24">
        <v>1196</v>
      </c>
      <c r="G123" s="40">
        <v>45337</v>
      </c>
      <c r="H123" s="28">
        <v>178.9375</v>
      </c>
      <c r="I123" s="11">
        <f t="shared" si="1"/>
        <v>4.6707415523007858E-3</v>
      </c>
      <c r="J123" s="24" t="str">
        <v>Home &amp; Kitchen</v>
      </c>
      <c r="K123" s="23">
        <v>174.23</v>
      </c>
      <c r="L123" s="23">
        <v>73.95</v>
      </c>
      <c r="M123" s="9">
        <v>0.57556104000459163</v>
      </c>
      <c r="N123" s="24">
        <v>3.4</v>
      </c>
      <c r="O123" s="24">
        <v>2447</v>
      </c>
      <c r="P123" s="24">
        <v>435</v>
      </c>
      <c r="Q123" s="24">
        <v>26</v>
      </c>
      <c r="R123" s="23">
        <v>4529.9799999999996</v>
      </c>
      <c r="S123" s="23">
        <v>1922.7000000000003</v>
      </c>
      <c r="T123" s="28">
        <v>2607.2799999999993</v>
      </c>
      <c r="U123" s="23">
        <v>174.23</v>
      </c>
      <c r="V123" s="23">
        <v>4355.75</v>
      </c>
      <c r="W123" s="23">
        <f>SUMIFS(Transactions_and_Customer_Information_Joined[Gross Profit ($)], Transactions_and_Customer_Information_Joined[SKU], 'Competitive Analysis (Step 1)'!$A123, Transactions_and_Customer_Information_Joined[Order Status], "Completed")</f>
        <v>2433.0500000000002</v>
      </c>
      <c r="X123" s="9">
        <v>0.10878723526373182</v>
      </c>
      <c r="Y123" s="24">
        <v>13</v>
      </c>
      <c r="Z123" s="41">
        <v>3.8461538461538463</v>
      </c>
      <c r="AA123" s="21">
        <v>7.6923076923076927E-2</v>
      </c>
      <c r="AB123" s="21">
        <v>0.30769230769230771</v>
      </c>
      <c r="AC123" s="21">
        <v>0.15384615384615385</v>
      </c>
      <c r="AD123" s="21">
        <v>0.15384615384615385</v>
      </c>
      <c r="AE123" s="21">
        <v>0.15384615384615385</v>
      </c>
      <c r="AF123" s="31">
        <v>135.46153846153845</v>
      </c>
      <c r="AG123" s="21">
        <v>0.16666666666666666</v>
      </c>
      <c r="AH123" s="21">
        <v>0.23076923076923078</v>
      </c>
      <c r="AI123" s="5" t="str">
        <v>Hold</v>
      </c>
    </row>
    <row r="124" spans="1:35">
      <c r="A124" s="24" t="str">
        <v>SKU-1028</v>
      </c>
      <c r="B124" s="24" t="str">
        <v>Throw Pillow</v>
      </c>
      <c r="C124" s="24" t="str">
        <v>BestDeals</v>
      </c>
      <c r="D124" s="23">
        <v>182.98</v>
      </c>
      <c r="E124" s="24">
        <v>3.2</v>
      </c>
      <c r="F124" s="24">
        <v>72</v>
      </c>
      <c r="G124" s="40">
        <v>45330</v>
      </c>
      <c r="H124" s="28">
        <v>178.9375</v>
      </c>
      <c r="I124" s="11">
        <f t="shared" si="1"/>
        <v>-4.78194338179036E-2</v>
      </c>
      <c r="J124" s="24" t="str">
        <v>Home &amp; Kitchen</v>
      </c>
      <c r="K124" s="23">
        <v>174.23</v>
      </c>
      <c r="L124" s="23">
        <v>73.95</v>
      </c>
      <c r="M124" s="9">
        <v>0.57556104000459163</v>
      </c>
      <c r="N124" s="24">
        <v>3.4</v>
      </c>
      <c r="O124" s="24">
        <v>2447</v>
      </c>
      <c r="P124" s="24">
        <v>435</v>
      </c>
      <c r="Q124" s="24">
        <v>26</v>
      </c>
      <c r="R124" s="23">
        <v>4529.9799999999996</v>
      </c>
      <c r="S124" s="23">
        <v>1922.7000000000003</v>
      </c>
      <c r="T124" s="28">
        <v>2607.2799999999993</v>
      </c>
      <c r="U124" s="23">
        <v>174.23</v>
      </c>
      <c r="V124" s="23">
        <v>4355.75</v>
      </c>
      <c r="W124" s="23">
        <f>SUMIFS(Transactions_and_Customer_Information_Joined[Gross Profit ($)], Transactions_and_Customer_Information_Joined[SKU], 'Competitive Analysis (Step 1)'!$A124, Transactions_and_Customer_Information_Joined[Order Status], "Completed")</f>
        <v>2433.0500000000002</v>
      </c>
      <c r="X124" s="9">
        <v>0.10878723526373182</v>
      </c>
      <c r="Y124" s="24">
        <v>13</v>
      </c>
      <c r="Z124" s="41">
        <v>3.8461538461538463</v>
      </c>
      <c r="AA124" s="21">
        <v>7.6923076923076927E-2</v>
      </c>
      <c r="AB124" s="21">
        <v>0.30769230769230771</v>
      </c>
      <c r="AC124" s="21">
        <v>0.15384615384615385</v>
      </c>
      <c r="AD124" s="21">
        <v>0.15384615384615385</v>
      </c>
      <c r="AE124" s="21">
        <v>0.15384615384615385</v>
      </c>
      <c r="AF124" s="31">
        <v>135.46153846153845</v>
      </c>
      <c r="AG124" s="21">
        <v>0.16666666666666666</v>
      </c>
      <c r="AH124" s="21">
        <v>0.23076923076923078</v>
      </c>
      <c r="AI124" s="5" t="str">
        <v>Hold</v>
      </c>
    </row>
    <row r="125" spans="1:35">
      <c r="A125" s="24" t="str">
        <v>SKU-1028</v>
      </c>
      <c r="B125" s="24" t="str">
        <v>Throw Pillow</v>
      </c>
      <c r="C125" s="24" t="str">
        <v>QuickCart</v>
      </c>
      <c r="D125" s="23">
        <v>144.86000000000001</v>
      </c>
      <c r="E125" s="24">
        <v>4.5</v>
      </c>
      <c r="F125" s="24">
        <v>2109</v>
      </c>
      <c r="G125" s="40">
        <v>45315</v>
      </c>
      <c r="H125" s="28">
        <v>178.9375</v>
      </c>
      <c r="I125" s="11">
        <f t="shared" si="1"/>
        <v>0.20274748032583165</v>
      </c>
      <c r="J125" s="24" t="str">
        <v>Home &amp; Kitchen</v>
      </c>
      <c r="K125" s="23">
        <v>174.23</v>
      </c>
      <c r="L125" s="23">
        <v>73.95</v>
      </c>
      <c r="M125" s="9">
        <v>0.57556104000459163</v>
      </c>
      <c r="N125" s="24">
        <v>3.4</v>
      </c>
      <c r="O125" s="24">
        <v>2447</v>
      </c>
      <c r="P125" s="24">
        <v>435</v>
      </c>
      <c r="Q125" s="24">
        <v>26</v>
      </c>
      <c r="R125" s="23">
        <v>4529.9799999999996</v>
      </c>
      <c r="S125" s="23">
        <v>1922.7000000000003</v>
      </c>
      <c r="T125" s="28">
        <v>2607.2799999999993</v>
      </c>
      <c r="U125" s="23">
        <v>174.23</v>
      </c>
      <c r="V125" s="23">
        <v>4355.75</v>
      </c>
      <c r="W125" s="23">
        <f>SUMIFS(Transactions_and_Customer_Information_Joined[Gross Profit ($)], Transactions_and_Customer_Information_Joined[SKU], 'Competitive Analysis (Step 1)'!$A125, Transactions_and_Customer_Information_Joined[Order Status], "Completed")</f>
        <v>2433.0500000000002</v>
      </c>
      <c r="X125" s="9">
        <v>0.10878723526373182</v>
      </c>
      <c r="Y125" s="24">
        <v>13</v>
      </c>
      <c r="Z125" s="41">
        <v>3.8461538461538463</v>
      </c>
      <c r="AA125" s="21">
        <v>7.6923076923076927E-2</v>
      </c>
      <c r="AB125" s="21">
        <v>0.30769230769230771</v>
      </c>
      <c r="AC125" s="21">
        <v>0.15384615384615385</v>
      </c>
      <c r="AD125" s="21">
        <v>0.15384615384615385</v>
      </c>
      <c r="AE125" s="21">
        <v>0.15384615384615385</v>
      </c>
      <c r="AF125" s="31">
        <v>135.46153846153845</v>
      </c>
      <c r="AG125" s="21">
        <v>0.16666666666666666</v>
      </c>
      <c r="AH125" s="21">
        <v>0.23076923076923078</v>
      </c>
      <c r="AI125" s="5" t="str">
        <v>Reduce</v>
      </c>
    </row>
    <row r="126" spans="1:35">
      <c r="A126" s="24" t="str">
        <v>SKU-1029</v>
      </c>
      <c r="B126" s="24" t="str">
        <v>Scented Candle</v>
      </c>
      <c r="C126" s="24" t="str">
        <v>RivalMart</v>
      </c>
      <c r="D126" s="23">
        <v>151.47</v>
      </c>
      <c r="E126" s="24">
        <v>3.5</v>
      </c>
      <c r="F126" s="24">
        <v>2340</v>
      </c>
      <c r="G126" s="40">
        <v>45296</v>
      </c>
      <c r="H126" s="28">
        <v>150.5675</v>
      </c>
      <c r="I126" s="11">
        <f t="shared" si="1"/>
        <v>-2.2182610417904439E-2</v>
      </c>
      <c r="J126" s="24" t="str">
        <v>Home &amp; Kitchen</v>
      </c>
      <c r="K126" s="23">
        <v>148.11000000000001</v>
      </c>
      <c r="L126" s="23">
        <v>69.64</v>
      </c>
      <c r="M126" s="9">
        <v>0.52980892579839312</v>
      </c>
      <c r="N126" s="24">
        <v>3.2</v>
      </c>
      <c r="O126" s="24">
        <v>2702</v>
      </c>
      <c r="P126" s="24">
        <v>317</v>
      </c>
      <c r="Q126" s="24">
        <v>27</v>
      </c>
      <c r="R126" s="23">
        <v>3368.79</v>
      </c>
      <c r="S126" s="23">
        <v>1880.2800000000002</v>
      </c>
      <c r="T126" s="28">
        <v>1488.5099999999998</v>
      </c>
      <c r="U126" s="23">
        <v>280.72999999999996</v>
      </c>
      <c r="V126" s="23">
        <v>3088.06</v>
      </c>
      <c r="W126" s="23">
        <f>SUMIFS(Transactions_and_Customer_Information_Joined[Gross Profit ($)], Transactions_and_Customer_Information_Joined[SKU], 'Competitive Analysis (Step 1)'!$A126, Transactions_and_Customer_Information_Joined[Order Status], "Completed")</f>
        <v>1207.78</v>
      </c>
      <c r="X126" s="9">
        <v>0.15344585273602193</v>
      </c>
      <c r="Y126" s="24">
        <v>12</v>
      </c>
      <c r="Z126" s="41">
        <v>7.5</v>
      </c>
      <c r="AA126" s="21">
        <v>0.33333333333333331</v>
      </c>
      <c r="AB126" s="21">
        <v>0.16666666666666666</v>
      </c>
      <c r="AC126" s="21">
        <v>0.16666666666666666</v>
      </c>
      <c r="AD126" s="21">
        <v>0.16666666666666666</v>
      </c>
      <c r="AE126" s="21">
        <v>8.3333333333333329E-2</v>
      </c>
      <c r="AF126" s="31">
        <v>179.16666666666666</v>
      </c>
      <c r="AG126" s="21">
        <v>0.375</v>
      </c>
      <c r="AH126" s="21">
        <v>0.375</v>
      </c>
      <c r="AI126" s="5" t="str">
        <v>Hold</v>
      </c>
    </row>
    <row r="127" spans="1:35">
      <c r="A127" s="24" t="str">
        <v>SKU-1029</v>
      </c>
      <c r="B127" s="24" t="str">
        <v>Scented Candle</v>
      </c>
      <c r="C127" s="24" t="str">
        <v>ShopNow</v>
      </c>
      <c r="D127" s="23">
        <v>172.78</v>
      </c>
      <c r="E127" s="24">
        <v>3.2</v>
      </c>
      <c r="F127" s="24">
        <v>1352</v>
      </c>
      <c r="G127" s="40">
        <v>45296</v>
      </c>
      <c r="H127" s="28">
        <v>150.5675</v>
      </c>
      <c r="I127" s="11">
        <f t="shared" si="1"/>
        <v>-0.14278272948257892</v>
      </c>
      <c r="J127" s="24" t="str">
        <v>Home &amp; Kitchen</v>
      </c>
      <c r="K127" s="23">
        <v>148.11000000000001</v>
      </c>
      <c r="L127" s="23">
        <v>69.64</v>
      </c>
      <c r="M127" s="9">
        <v>0.52980892579839312</v>
      </c>
      <c r="N127" s="24">
        <v>3.2</v>
      </c>
      <c r="O127" s="24">
        <v>2702</v>
      </c>
      <c r="P127" s="24">
        <v>317</v>
      </c>
      <c r="Q127" s="24">
        <v>27</v>
      </c>
      <c r="R127" s="23">
        <v>3368.79</v>
      </c>
      <c r="S127" s="23">
        <v>1880.2800000000002</v>
      </c>
      <c r="T127" s="28">
        <v>1488.5099999999998</v>
      </c>
      <c r="U127" s="23">
        <v>280.72999999999996</v>
      </c>
      <c r="V127" s="23">
        <v>3088.06</v>
      </c>
      <c r="W127" s="23">
        <f>SUMIFS(Transactions_and_Customer_Information_Joined[Gross Profit ($)], Transactions_and_Customer_Information_Joined[SKU], 'Competitive Analysis (Step 1)'!$A127, Transactions_and_Customer_Information_Joined[Order Status], "Completed")</f>
        <v>1207.78</v>
      </c>
      <c r="X127" s="9">
        <v>0.15344585273602193</v>
      </c>
      <c r="Y127" s="24">
        <v>12</v>
      </c>
      <c r="Z127" s="41">
        <v>7.5</v>
      </c>
      <c r="AA127" s="21">
        <v>0.33333333333333331</v>
      </c>
      <c r="AB127" s="21">
        <v>0.16666666666666666</v>
      </c>
      <c r="AC127" s="21">
        <v>0.16666666666666666</v>
      </c>
      <c r="AD127" s="21">
        <v>0.16666666666666666</v>
      </c>
      <c r="AE127" s="21">
        <v>8.3333333333333329E-2</v>
      </c>
      <c r="AF127" s="31">
        <v>179.16666666666666</v>
      </c>
      <c r="AG127" s="21">
        <v>0.375</v>
      </c>
      <c r="AH127" s="21">
        <v>0.375</v>
      </c>
      <c r="AI127" s="5" t="str">
        <v>Raise</v>
      </c>
    </row>
    <row r="128" spans="1:35">
      <c r="A128" s="24" t="str">
        <v>SKU-1029</v>
      </c>
      <c r="B128" s="24" t="str">
        <v>Scented Candle</v>
      </c>
      <c r="C128" s="24" t="str">
        <v>BestDeals</v>
      </c>
      <c r="D128" s="23">
        <v>163.37</v>
      </c>
      <c r="E128" s="24">
        <v>3.1</v>
      </c>
      <c r="F128" s="24">
        <v>499</v>
      </c>
      <c r="G128" s="40">
        <v>45369</v>
      </c>
      <c r="H128" s="28">
        <v>150.5675</v>
      </c>
      <c r="I128" s="11">
        <f t="shared" si="1"/>
        <v>-9.3407602374976986E-2</v>
      </c>
      <c r="J128" s="24" t="str">
        <v>Home &amp; Kitchen</v>
      </c>
      <c r="K128" s="23">
        <v>148.11000000000001</v>
      </c>
      <c r="L128" s="23">
        <v>69.64</v>
      </c>
      <c r="M128" s="9">
        <v>0.52980892579839312</v>
      </c>
      <c r="N128" s="24">
        <v>3.2</v>
      </c>
      <c r="O128" s="24">
        <v>2702</v>
      </c>
      <c r="P128" s="24">
        <v>317</v>
      </c>
      <c r="Q128" s="24">
        <v>27</v>
      </c>
      <c r="R128" s="23">
        <v>3368.79</v>
      </c>
      <c r="S128" s="23">
        <v>1880.2800000000002</v>
      </c>
      <c r="T128" s="28">
        <v>1488.5099999999998</v>
      </c>
      <c r="U128" s="23">
        <v>280.72999999999996</v>
      </c>
      <c r="V128" s="23">
        <v>3088.06</v>
      </c>
      <c r="W128" s="23">
        <f>SUMIFS(Transactions_and_Customer_Information_Joined[Gross Profit ($)], Transactions_and_Customer_Information_Joined[SKU], 'Competitive Analysis (Step 1)'!$A128, Transactions_and_Customer_Information_Joined[Order Status], "Completed")</f>
        <v>1207.78</v>
      </c>
      <c r="X128" s="9">
        <v>0.15344585273602193</v>
      </c>
      <c r="Y128" s="24">
        <v>12</v>
      </c>
      <c r="Z128" s="41">
        <v>7.5</v>
      </c>
      <c r="AA128" s="21">
        <v>0.33333333333333331</v>
      </c>
      <c r="AB128" s="21">
        <v>0.16666666666666666</v>
      </c>
      <c r="AC128" s="21">
        <v>0.16666666666666666</v>
      </c>
      <c r="AD128" s="21">
        <v>0.16666666666666666</v>
      </c>
      <c r="AE128" s="21">
        <v>8.3333333333333329E-2</v>
      </c>
      <c r="AF128" s="31">
        <v>179.16666666666666</v>
      </c>
      <c r="AG128" s="21">
        <v>0.375</v>
      </c>
      <c r="AH128" s="21">
        <v>0.375</v>
      </c>
      <c r="AI128" s="5" t="str">
        <v>Hold</v>
      </c>
    </row>
    <row r="129" spans="1:35">
      <c r="A129" s="24" t="str">
        <v>SKU-1029</v>
      </c>
      <c r="B129" s="24" t="str">
        <v>Scented Candle</v>
      </c>
      <c r="C129" s="24" t="str">
        <v>QuickCart</v>
      </c>
      <c r="D129" s="23">
        <v>114.65</v>
      </c>
      <c r="E129" s="24">
        <v>3.8</v>
      </c>
      <c r="F129" s="24">
        <v>1838</v>
      </c>
      <c r="G129" s="40">
        <v>45351</v>
      </c>
      <c r="H129" s="28">
        <v>150.5675</v>
      </c>
      <c r="I129" s="11">
        <f t="shared" si="1"/>
        <v>0.29184474487570872</v>
      </c>
      <c r="J129" s="24" t="str">
        <v>Home &amp; Kitchen</v>
      </c>
      <c r="K129" s="23">
        <v>148.11000000000001</v>
      </c>
      <c r="L129" s="23">
        <v>69.64</v>
      </c>
      <c r="M129" s="9">
        <v>0.52980892579839312</v>
      </c>
      <c r="N129" s="24">
        <v>3.2</v>
      </c>
      <c r="O129" s="24">
        <v>2702</v>
      </c>
      <c r="P129" s="24">
        <v>317</v>
      </c>
      <c r="Q129" s="24">
        <v>27</v>
      </c>
      <c r="R129" s="23">
        <v>3368.79</v>
      </c>
      <c r="S129" s="23">
        <v>1880.2800000000002</v>
      </c>
      <c r="T129" s="28">
        <v>1488.5099999999998</v>
      </c>
      <c r="U129" s="23">
        <v>280.72999999999996</v>
      </c>
      <c r="V129" s="23">
        <v>3088.06</v>
      </c>
      <c r="W129" s="23">
        <f>SUMIFS(Transactions_and_Customer_Information_Joined[Gross Profit ($)], Transactions_and_Customer_Information_Joined[SKU], 'Competitive Analysis (Step 1)'!$A129, Transactions_and_Customer_Information_Joined[Order Status], "Completed")</f>
        <v>1207.78</v>
      </c>
      <c r="X129" s="9">
        <v>0.15344585273602193</v>
      </c>
      <c r="Y129" s="24">
        <v>12</v>
      </c>
      <c r="Z129" s="41">
        <v>7.5</v>
      </c>
      <c r="AA129" s="21">
        <v>0.33333333333333331</v>
      </c>
      <c r="AB129" s="21">
        <v>0.16666666666666666</v>
      </c>
      <c r="AC129" s="21">
        <v>0.16666666666666666</v>
      </c>
      <c r="AD129" s="21">
        <v>0.16666666666666666</v>
      </c>
      <c r="AE129" s="21">
        <v>8.3333333333333329E-2</v>
      </c>
      <c r="AF129" s="31">
        <v>179.16666666666666</v>
      </c>
      <c r="AG129" s="21">
        <v>0.375</v>
      </c>
      <c r="AH129" s="21">
        <v>0.375</v>
      </c>
      <c r="AI129" s="5" t="str">
        <v>Reduce</v>
      </c>
    </row>
    <row r="130" spans="1:35">
      <c r="A130" s="24" t="str">
        <v>SKU-1030</v>
      </c>
      <c r="B130" s="24" t="str">
        <v>Vitamin C Serum</v>
      </c>
      <c r="C130" s="24" t="str">
        <v>RivalMart</v>
      </c>
      <c r="D130" s="23">
        <v>67.790000000000006</v>
      </c>
      <c r="E130" s="24">
        <v>4.5</v>
      </c>
      <c r="F130" s="24">
        <v>2377</v>
      </c>
      <c r="G130" s="40">
        <v>45340</v>
      </c>
      <c r="H130" s="28">
        <v>63.57</v>
      </c>
      <c r="I130" s="11">
        <f t="shared" si="1"/>
        <v>-0.19398141318778586</v>
      </c>
      <c r="J130" s="24" t="str">
        <v>Beauty &amp; Personal Care</v>
      </c>
      <c r="K130" s="23">
        <v>54.64</v>
      </c>
      <c r="L130" s="23">
        <v>20.32</v>
      </c>
      <c r="M130" s="9">
        <v>0.62811127379209375</v>
      </c>
      <c r="N130" s="24">
        <v>4.3</v>
      </c>
      <c r="O130" s="24">
        <v>1238</v>
      </c>
      <c r="P130" s="24">
        <v>67</v>
      </c>
      <c r="Q130" s="24">
        <v>55</v>
      </c>
      <c r="R130" s="23">
        <v>3005.2000000000012</v>
      </c>
      <c r="S130" s="23">
        <v>1117.6000000000004</v>
      </c>
      <c r="T130" s="28">
        <v>1887.6000000000008</v>
      </c>
      <c r="U130" s="23">
        <v>193.99</v>
      </c>
      <c r="V130" s="23">
        <v>2811.2100000000005</v>
      </c>
      <c r="W130" s="23">
        <f>SUMIFS(Transactions_and_Customer_Information_Joined[Gross Profit ($)], Transactions_and_Customer_Information_Joined[SKU], 'Competitive Analysis (Step 1)'!$A130, Transactions_and_Customer_Information_Joined[Order Status], "Completed")</f>
        <v>1693.6100000000001</v>
      </c>
      <c r="X130" s="9">
        <v>0.16855731162026311</v>
      </c>
      <c r="Y130" s="24">
        <v>21</v>
      </c>
      <c r="Z130" s="41">
        <v>5.2380952380952381</v>
      </c>
      <c r="AA130" s="21">
        <v>0.2857142857142857</v>
      </c>
      <c r="AB130" s="21">
        <v>0.14285714285714285</v>
      </c>
      <c r="AC130" s="21">
        <v>4.7619047619047616E-2</v>
      </c>
      <c r="AD130" s="21">
        <v>0.23809523809523808</v>
      </c>
      <c r="AE130" s="21">
        <v>0</v>
      </c>
      <c r="AF130" s="31">
        <v>204.61904761904762</v>
      </c>
      <c r="AG130" s="21">
        <v>0.16666666666666666</v>
      </c>
      <c r="AH130" s="21">
        <v>0.44444444444444442</v>
      </c>
      <c r="AI130" s="5" t="str">
        <v>Raise</v>
      </c>
    </row>
    <row r="131" spans="1:35">
      <c r="A131" s="24" t="str">
        <v>SKU-1030</v>
      </c>
      <c r="B131" s="24" t="str">
        <v>Vitamin C Serum</v>
      </c>
      <c r="C131" s="24" t="str">
        <v>ShopNow</v>
      </c>
      <c r="D131" s="23">
        <v>58.94</v>
      </c>
      <c r="E131" s="24">
        <v>4.9000000000000004</v>
      </c>
      <c r="F131" s="24">
        <v>1651</v>
      </c>
      <c r="G131" s="40">
        <v>45303</v>
      </c>
      <c r="H131" s="28">
        <v>63.57</v>
      </c>
      <c r="I131" s="11">
        <f t="shared" si="1"/>
        <v>-7.2955548014930399E-2</v>
      </c>
      <c r="J131" s="24" t="str">
        <v>Beauty &amp; Personal Care</v>
      </c>
      <c r="K131" s="23">
        <v>54.64</v>
      </c>
      <c r="L131" s="23">
        <v>20.32</v>
      </c>
      <c r="M131" s="9">
        <v>0.62811127379209375</v>
      </c>
      <c r="N131" s="24">
        <v>4.3</v>
      </c>
      <c r="O131" s="24">
        <v>1238</v>
      </c>
      <c r="P131" s="24">
        <v>67</v>
      </c>
      <c r="Q131" s="24">
        <v>55</v>
      </c>
      <c r="R131" s="23">
        <v>3005.2000000000012</v>
      </c>
      <c r="S131" s="23">
        <v>1117.6000000000004</v>
      </c>
      <c r="T131" s="28">
        <v>1887.6000000000008</v>
      </c>
      <c r="U131" s="23">
        <v>193.99</v>
      </c>
      <c r="V131" s="23">
        <v>2811.2100000000005</v>
      </c>
      <c r="W131" s="23">
        <f>SUMIFS(Transactions_and_Customer_Information_Joined[Gross Profit ($)], Transactions_and_Customer_Information_Joined[SKU], 'Competitive Analysis (Step 1)'!$A131, Transactions_and_Customer_Information_Joined[Order Status], "Completed")</f>
        <v>1693.6100000000001</v>
      </c>
      <c r="X131" s="9">
        <v>0.16855731162026311</v>
      </c>
      <c r="Y131" s="24">
        <v>21</v>
      </c>
      <c r="Z131" s="41">
        <v>5.2380952380952381</v>
      </c>
      <c r="AA131" s="21">
        <v>0.2857142857142857</v>
      </c>
      <c r="AB131" s="21">
        <v>0.14285714285714285</v>
      </c>
      <c r="AC131" s="21">
        <v>4.7619047619047616E-2</v>
      </c>
      <c r="AD131" s="21">
        <v>0.23809523809523808</v>
      </c>
      <c r="AE131" s="21">
        <v>0</v>
      </c>
      <c r="AF131" s="31">
        <v>204.61904761904762</v>
      </c>
      <c r="AG131" s="21">
        <v>0.16666666666666666</v>
      </c>
      <c r="AH131" s="21">
        <v>0.44444444444444442</v>
      </c>
      <c r="AI131" s="5" t="str">
        <v>Hold</v>
      </c>
    </row>
    <row r="132" spans="1:35">
      <c r="A132" s="24" t="str">
        <v>SKU-1030</v>
      </c>
      <c r="B132" s="24" t="str">
        <v>Vitamin C Serum</v>
      </c>
      <c r="C132" s="24" t="str">
        <v>BestDeals</v>
      </c>
      <c r="D132" s="23">
        <v>65.790000000000006</v>
      </c>
      <c r="E132" s="24">
        <v>4</v>
      </c>
      <c r="F132" s="24">
        <v>466</v>
      </c>
      <c r="G132" s="40">
        <v>45319</v>
      </c>
      <c r="H132" s="28">
        <v>63.57</v>
      </c>
      <c r="I132" s="11">
        <f t="shared" si="1"/>
        <v>-0.16947864417084671</v>
      </c>
      <c r="J132" s="24" t="str">
        <v>Beauty &amp; Personal Care</v>
      </c>
      <c r="K132" s="23">
        <v>54.64</v>
      </c>
      <c r="L132" s="23">
        <v>20.32</v>
      </c>
      <c r="M132" s="9">
        <v>0.62811127379209375</v>
      </c>
      <c r="N132" s="24">
        <v>4.3</v>
      </c>
      <c r="O132" s="24">
        <v>1238</v>
      </c>
      <c r="P132" s="24">
        <v>67</v>
      </c>
      <c r="Q132" s="24">
        <v>55</v>
      </c>
      <c r="R132" s="23">
        <v>3005.2000000000012</v>
      </c>
      <c r="S132" s="23">
        <v>1117.6000000000004</v>
      </c>
      <c r="T132" s="28">
        <v>1887.6000000000008</v>
      </c>
      <c r="U132" s="23">
        <v>193.99</v>
      </c>
      <c r="V132" s="23">
        <v>2811.2100000000005</v>
      </c>
      <c r="W132" s="23">
        <f>SUMIFS(Transactions_and_Customer_Information_Joined[Gross Profit ($)], Transactions_and_Customer_Information_Joined[SKU], 'Competitive Analysis (Step 1)'!$A132, Transactions_and_Customer_Information_Joined[Order Status], "Completed")</f>
        <v>1693.6100000000001</v>
      </c>
      <c r="X132" s="9">
        <v>0.16855731162026311</v>
      </c>
      <c r="Y132" s="24">
        <v>21</v>
      </c>
      <c r="Z132" s="41">
        <v>5.2380952380952381</v>
      </c>
      <c r="AA132" s="21">
        <v>0.2857142857142857</v>
      </c>
      <c r="AB132" s="21">
        <v>0.14285714285714285</v>
      </c>
      <c r="AC132" s="21">
        <v>4.7619047619047616E-2</v>
      </c>
      <c r="AD132" s="21">
        <v>0.23809523809523808</v>
      </c>
      <c r="AE132" s="21">
        <v>0</v>
      </c>
      <c r="AF132" s="31">
        <v>204.61904761904762</v>
      </c>
      <c r="AG132" s="21">
        <v>0.16666666666666666</v>
      </c>
      <c r="AH132" s="21">
        <v>0.44444444444444442</v>
      </c>
      <c r="AI132" s="5" t="str">
        <v>Raise</v>
      </c>
    </row>
    <row r="133" spans="1:35">
      <c r="A133" s="24" t="str">
        <v>SKU-1030</v>
      </c>
      <c r="B133" s="24" t="str">
        <v>Vitamin C Serum</v>
      </c>
      <c r="C133" s="24" t="str">
        <v>QuickCart</v>
      </c>
      <c r="D133" s="23">
        <v>61.76</v>
      </c>
      <c r="E133" s="24">
        <v>3.2</v>
      </c>
      <c r="F133" s="24">
        <v>2224</v>
      </c>
      <c r="G133" s="40">
        <v>45325</v>
      </c>
      <c r="H133" s="28">
        <v>63.57</v>
      </c>
      <c r="I133" s="11">
        <f t="shared" si="1"/>
        <v>-0.11528497409326421</v>
      </c>
      <c r="J133" s="24" t="str">
        <v>Beauty &amp; Personal Care</v>
      </c>
      <c r="K133" s="23">
        <v>54.64</v>
      </c>
      <c r="L133" s="23">
        <v>20.32</v>
      </c>
      <c r="M133" s="9">
        <v>0.62811127379209375</v>
      </c>
      <c r="N133" s="24">
        <v>4.3</v>
      </c>
      <c r="O133" s="24">
        <v>1238</v>
      </c>
      <c r="P133" s="24">
        <v>67</v>
      </c>
      <c r="Q133" s="24">
        <v>55</v>
      </c>
      <c r="R133" s="23">
        <v>3005.2000000000012</v>
      </c>
      <c r="S133" s="23">
        <v>1117.6000000000004</v>
      </c>
      <c r="T133" s="28">
        <v>1887.6000000000008</v>
      </c>
      <c r="U133" s="23">
        <v>193.99</v>
      </c>
      <c r="V133" s="23">
        <v>2811.2100000000005</v>
      </c>
      <c r="W133" s="23">
        <f>SUMIFS(Transactions_and_Customer_Information_Joined[Gross Profit ($)], Transactions_and_Customer_Information_Joined[SKU], 'Competitive Analysis (Step 1)'!$A133, Transactions_and_Customer_Information_Joined[Order Status], "Completed")</f>
        <v>1693.6100000000001</v>
      </c>
      <c r="X133" s="9">
        <v>0.16855731162026311</v>
      </c>
      <c r="Y133" s="24">
        <v>21</v>
      </c>
      <c r="Z133" s="41">
        <v>5.2380952380952381</v>
      </c>
      <c r="AA133" s="21">
        <v>0.2857142857142857</v>
      </c>
      <c r="AB133" s="21">
        <v>0.14285714285714285</v>
      </c>
      <c r="AC133" s="21">
        <v>4.7619047619047616E-2</v>
      </c>
      <c r="AD133" s="21">
        <v>0.23809523809523808</v>
      </c>
      <c r="AE133" s="21">
        <v>0</v>
      </c>
      <c r="AF133" s="31">
        <v>204.61904761904762</v>
      </c>
      <c r="AG133" s="21">
        <v>0.16666666666666666</v>
      </c>
      <c r="AH133" s="21">
        <v>0.44444444444444442</v>
      </c>
      <c r="AI133" s="5" t="str">
        <v>Raise</v>
      </c>
    </row>
    <row r="134" spans="1:35">
      <c r="A134" s="24" t="str">
        <v>SKU-1031</v>
      </c>
      <c r="B134" s="24" t="str">
        <v>SPF Moisturizer</v>
      </c>
      <c r="C134" s="24" t="str">
        <v>RivalMart</v>
      </c>
      <c r="D134" s="23">
        <v>263.52999999999997</v>
      </c>
      <c r="E134" s="24">
        <v>3.6</v>
      </c>
      <c r="F134" s="24">
        <v>2466</v>
      </c>
      <c r="G134" s="40">
        <v>45332</v>
      </c>
      <c r="H134" s="28">
        <v>263.31</v>
      </c>
      <c r="I134" s="11">
        <f t="shared" si="1"/>
        <v>-0.12594391530376037</v>
      </c>
      <c r="J134" s="24" t="str">
        <v>Beauty &amp; Personal Care</v>
      </c>
      <c r="K134" s="23">
        <v>230.34</v>
      </c>
      <c r="L134" s="23">
        <v>74.680000000000007</v>
      </c>
      <c r="M134" s="9">
        <v>0.675783624207693</v>
      </c>
      <c r="N134" s="24">
        <v>4.0999999999999996</v>
      </c>
      <c r="O134" s="24">
        <v>2082</v>
      </c>
      <c r="P134" s="24">
        <v>37</v>
      </c>
      <c r="Q134" s="24">
        <v>21</v>
      </c>
      <c r="R134" s="23">
        <v>4837.1399999999994</v>
      </c>
      <c r="S134" s="23">
        <v>1568.2799999999997</v>
      </c>
      <c r="T134" s="28">
        <v>3268.8599999999997</v>
      </c>
      <c r="U134" s="23">
        <v>679.4899999999999</v>
      </c>
      <c r="V134" s="23">
        <v>4157.6500000000005</v>
      </c>
      <c r="W134" s="23">
        <f>SUMIFS(Transactions_and_Customer_Information_Joined[Gross Profit ($)], Transactions_and_Customer_Information_Joined[SKU], 'Competitive Analysis (Step 1)'!$A134, Transactions_and_Customer_Information_Joined[Order Status], "Completed")</f>
        <v>2589.37</v>
      </c>
      <c r="X134" s="9">
        <v>0.11397063244861877</v>
      </c>
      <c r="Y134" s="24">
        <v>9</v>
      </c>
      <c r="Z134" s="41">
        <v>12.222222222222221</v>
      </c>
      <c r="AA134" s="21">
        <v>0.1111111111111111</v>
      </c>
      <c r="AB134" s="21">
        <v>0.1111111111111111</v>
      </c>
      <c r="AC134" s="21">
        <v>0.33333333333333331</v>
      </c>
      <c r="AD134" s="21">
        <v>0.22222222222222221</v>
      </c>
      <c r="AE134" s="21">
        <v>0.1111111111111111</v>
      </c>
      <c r="AF134" s="31">
        <v>197.88888888888889</v>
      </c>
      <c r="AG134" s="21">
        <v>0.33333333333333331</v>
      </c>
      <c r="AH134" s="21">
        <v>0.23076923076923078</v>
      </c>
      <c r="AI134" s="5" t="str">
        <v>Raise</v>
      </c>
    </row>
    <row r="135" spans="1:35">
      <c r="A135" s="24" t="str">
        <v>SKU-1031</v>
      </c>
      <c r="B135" s="24" t="str">
        <v>SPF Moisturizer</v>
      </c>
      <c r="C135" s="24" t="str">
        <v>ShopNow</v>
      </c>
      <c r="D135" s="23">
        <v>285.42</v>
      </c>
      <c r="E135" s="24">
        <v>4</v>
      </c>
      <c r="F135" s="24">
        <v>1497</v>
      </c>
      <c r="G135" s="40">
        <v>45360</v>
      </c>
      <c r="H135" s="28">
        <v>263.31</v>
      </c>
      <c r="I135" s="11">
        <f t="shared" si="1"/>
        <v>-0.19297876813117515</v>
      </c>
      <c r="J135" s="24" t="str">
        <v>Beauty &amp; Personal Care</v>
      </c>
      <c r="K135" s="23">
        <v>230.34</v>
      </c>
      <c r="L135" s="23">
        <v>74.680000000000007</v>
      </c>
      <c r="M135" s="9">
        <v>0.675783624207693</v>
      </c>
      <c r="N135" s="24">
        <v>4.0999999999999996</v>
      </c>
      <c r="O135" s="24">
        <v>2082</v>
      </c>
      <c r="P135" s="24">
        <v>37</v>
      </c>
      <c r="Q135" s="24">
        <v>21</v>
      </c>
      <c r="R135" s="23">
        <v>4837.1399999999994</v>
      </c>
      <c r="S135" s="23">
        <v>1568.2799999999997</v>
      </c>
      <c r="T135" s="28">
        <v>3268.8599999999997</v>
      </c>
      <c r="U135" s="23">
        <v>679.4899999999999</v>
      </c>
      <c r="V135" s="23">
        <v>4157.6500000000005</v>
      </c>
      <c r="W135" s="23">
        <f>SUMIFS(Transactions_and_Customer_Information_Joined[Gross Profit ($)], Transactions_and_Customer_Information_Joined[SKU], 'Competitive Analysis (Step 1)'!$A135, Transactions_and_Customer_Information_Joined[Order Status], "Completed")</f>
        <v>2589.37</v>
      </c>
      <c r="X135" s="9">
        <v>0.11397063244861877</v>
      </c>
      <c r="Y135" s="24">
        <v>9</v>
      </c>
      <c r="Z135" s="41">
        <v>12.222222222222221</v>
      </c>
      <c r="AA135" s="21">
        <v>0.1111111111111111</v>
      </c>
      <c r="AB135" s="21">
        <v>0.1111111111111111</v>
      </c>
      <c r="AC135" s="21">
        <v>0.33333333333333331</v>
      </c>
      <c r="AD135" s="21">
        <v>0.22222222222222221</v>
      </c>
      <c r="AE135" s="21">
        <v>0.1111111111111111</v>
      </c>
      <c r="AF135" s="31">
        <v>197.88888888888889</v>
      </c>
      <c r="AG135" s="21">
        <v>0.33333333333333331</v>
      </c>
      <c r="AH135" s="21">
        <v>0.23076923076923078</v>
      </c>
      <c r="AI135" s="5" t="str">
        <v>Raise</v>
      </c>
    </row>
    <row r="136" spans="1:35">
      <c r="A136" s="24" t="str">
        <v>SKU-1031</v>
      </c>
      <c r="B136" s="24" t="str">
        <v>SPF Moisturizer</v>
      </c>
      <c r="C136" s="24" t="str">
        <v>BestDeals</v>
      </c>
      <c r="D136" s="23">
        <v>284.39999999999998</v>
      </c>
      <c r="E136" s="24">
        <v>3.8</v>
      </c>
      <c r="F136" s="24">
        <v>257</v>
      </c>
      <c r="G136" s="40">
        <v>45380</v>
      </c>
      <c r="H136" s="28">
        <v>263.31</v>
      </c>
      <c r="I136" s="11">
        <f t="shared" si="1"/>
        <v>-0.19008438818565393</v>
      </c>
      <c r="J136" s="24" t="str">
        <v>Beauty &amp; Personal Care</v>
      </c>
      <c r="K136" s="23">
        <v>230.34</v>
      </c>
      <c r="L136" s="23">
        <v>74.680000000000007</v>
      </c>
      <c r="M136" s="9">
        <v>0.675783624207693</v>
      </c>
      <c r="N136" s="24">
        <v>4.0999999999999996</v>
      </c>
      <c r="O136" s="24">
        <v>2082</v>
      </c>
      <c r="P136" s="24">
        <v>37</v>
      </c>
      <c r="Q136" s="24">
        <v>21</v>
      </c>
      <c r="R136" s="23">
        <v>4837.1399999999994</v>
      </c>
      <c r="S136" s="23">
        <v>1568.2799999999997</v>
      </c>
      <c r="T136" s="28">
        <v>3268.8599999999997</v>
      </c>
      <c r="U136" s="23">
        <v>679.4899999999999</v>
      </c>
      <c r="V136" s="23">
        <v>4157.6500000000005</v>
      </c>
      <c r="W136" s="23">
        <f>SUMIFS(Transactions_and_Customer_Information_Joined[Gross Profit ($)], Transactions_and_Customer_Information_Joined[SKU], 'Competitive Analysis (Step 1)'!$A136, Transactions_and_Customer_Information_Joined[Order Status], "Completed")</f>
        <v>2589.37</v>
      </c>
      <c r="X136" s="9">
        <v>0.11397063244861877</v>
      </c>
      <c r="Y136" s="24">
        <v>9</v>
      </c>
      <c r="Z136" s="41">
        <v>12.222222222222221</v>
      </c>
      <c r="AA136" s="21">
        <v>0.1111111111111111</v>
      </c>
      <c r="AB136" s="21">
        <v>0.1111111111111111</v>
      </c>
      <c r="AC136" s="21">
        <v>0.33333333333333331</v>
      </c>
      <c r="AD136" s="21">
        <v>0.22222222222222221</v>
      </c>
      <c r="AE136" s="21">
        <v>0.1111111111111111</v>
      </c>
      <c r="AF136" s="31">
        <v>197.88888888888889</v>
      </c>
      <c r="AG136" s="21">
        <v>0.33333333333333331</v>
      </c>
      <c r="AH136" s="21">
        <v>0.23076923076923078</v>
      </c>
      <c r="AI136" s="5" t="str">
        <v>Raise</v>
      </c>
    </row>
    <row r="137" spans="1:35">
      <c r="A137" s="24" t="str">
        <v>SKU-1031</v>
      </c>
      <c r="B137" s="24" t="str">
        <v>SPF Moisturizer</v>
      </c>
      <c r="C137" s="24" t="str">
        <v>QuickCart</v>
      </c>
      <c r="D137" s="23">
        <v>219.89</v>
      </c>
      <c r="E137" s="24">
        <v>4.7</v>
      </c>
      <c r="F137" s="24">
        <v>1708</v>
      </c>
      <c r="G137" s="40">
        <v>45368</v>
      </c>
      <c r="H137" s="28">
        <v>263.31</v>
      </c>
      <c r="I137" s="11">
        <f t="shared" si="1"/>
        <v>4.7523761880940547E-2</v>
      </c>
      <c r="J137" s="24" t="str">
        <v>Beauty &amp; Personal Care</v>
      </c>
      <c r="K137" s="23">
        <v>230.34</v>
      </c>
      <c r="L137" s="23">
        <v>74.680000000000007</v>
      </c>
      <c r="M137" s="9">
        <v>0.675783624207693</v>
      </c>
      <c r="N137" s="24">
        <v>4.0999999999999996</v>
      </c>
      <c r="O137" s="24">
        <v>2082</v>
      </c>
      <c r="P137" s="24">
        <v>37</v>
      </c>
      <c r="Q137" s="24">
        <v>21</v>
      </c>
      <c r="R137" s="23">
        <v>4837.1399999999994</v>
      </c>
      <c r="S137" s="23">
        <v>1568.2799999999997</v>
      </c>
      <c r="T137" s="28">
        <v>3268.8599999999997</v>
      </c>
      <c r="U137" s="23">
        <v>679.4899999999999</v>
      </c>
      <c r="V137" s="23">
        <v>4157.6500000000005</v>
      </c>
      <c r="W137" s="23">
        <f>SUMIFS(Transactions_and_Customer_Information_Joined[Gross Profit ($)], Transactions_and_Customer_Information_Joined[SKU], 'Competitive Analysis (Step 1)'!$A137, Transactions_and_Customer_Information_Joined[Order Status], "Completed")</f>
        <v>2589.37</v>
      </c>
      <c r="X137" s="9">
        <v>0.11397063244861877</v>
      </c>
      <c r="Y137" s="24">
        <v>9</v>
      </c>
      <c r="Z137" s="41">
        <v>12.222222222222221</v>
      </c>
      <c r="AA137" s="21">
        <v>0.1111111111111111</v>
      </c>
      <c r="AB137" s="21">
        <v>0.1111111111111111</v>
      </c>
      <c r="AC137" s="21">
        <v>0.33333333333333331</v>
      </c>
      <c r="AD137" s="21">
        <v>0.22222222222222221</v>
      </c>
      <c r="AE137" s="21">
        <v>0.1111111111111111</v>
      </c>
      <c r="AF137" s="31">
        <v>197.88888888888889</v>
      </c>
      <c r="AG137" s="21">
        <v>0.33333333333333331</v>
      </c>
      <c r="AH137" s="21">
        <v>0.23076923076923078</v>
      </c>
      <c r="AI137" s="5" t="str">
        <v>Hold</v>
      </c>
    </row>
    <row r="138" spans="1:35">
      <c r="A138" s="24" t="str">
        <v>SKU-1032</v>
      </c>
      <c r="B138" s="24" t="str">
        <v>Shampoo Bar</v>
      </c>
      <c r="C138" s="24" t="str">
        <v>RivalMart</v>
      </c>
      <c r="D138" s="23">
        <v>261.82</v>
      </c>
      <c r="E138" s="24">
        <v>4.5</v>
      </c>
      <c r="F138" s="24">
        <v>1596</v>
      </c>
      <c r="G138" s="40">
        <v>45364</v>
      </c>
      <c r="H138" s="28">
        <v>234.33750000000001</v>
      </c>
      <c r="I138" s="11">
        <f t="shared" si="1"/>
        <v>-0.14487052173248799</v>
      </c>
      <c r="J138" s="24" t="str">
        <v>Beauty &amp; Personal Care</v>
      </c>
      <c r="K138" s="23">
        <v>223.89</v>
      </c>
      <c r="L138" s="23">
        <v>74.989999999999995</v>
      </c>
      <c r="M138" s="9">
        <v>0.66505873419983019</v>
      </c>
      <c r="N138" s="24">
        <v>4.7</v>
      </c>
      <c r="O138" s="24">
        <v>2891</v>
      </c>
      <c r="P138" s="24">
        <v>224</v>
      </c>
      <c r="Q138" s="24">
        <v>18</v>
      </c>
      <c r="R138" s="23">
        <v>3193.3799999999997</v>
      </c>
      <c r="S138" s="23">
        <v>1349.82</v>
      </c>
      <c r="T138" s="28">
        <v>1843.5599999999997</v>
      </c>
      <c r="U138" s="23">
        <v>319.33000000000004</v>
      </c>
      <c r="V138" s="23">
        <v>2874.0499999999997</v>
      </c>
      <c r="W138" s="23">
        <f>SUMIFS(Transactions_and_Customer_Information_Joined[Gross Profit ($)], Transactions_and_Customer_Information_Joined[SKU], 'Competitive Analysis (Step 1)'!$A138, Transactions_and_Customer_Information_Joined[Order Status], "Completed")</f>
        <v>1524.23</v>
      </c>
      <c r="X138" s="9">
        <v>0.16487187070510254</v>
      </c>
      <c r="Y138" s="24">
        <v>9</v>
      </c>
      <c r="Z138" s="41">
        <v>9.4444444444444446</v>
      </c>
      <c r="AA138" s="21">
        <v>0</v>
      </c>
      <c r="AB138" s="21">
        <v>0.22222222222222221</v>
      </c>
      <c r="AC138" s="21">
        <v>0.22222222222222221</v>
      </c>
      <c r="AD138" s="21">
        <v>0.1111111111111111</v>
      </c>
      <c r="AE138" s="21">
        <v>0</v>
      </c>
      <c r="AF138" s="31">
        <v>194</v>
      </c>
      <c r="AG138" s="21">
        <v>0.33333333333333331</v>
      </c>
      <c r="AH138" s="21">
        <v>0.2857142857142857</v>
      </c>
      <c r="AI138" s="5" t="str">
        <v>Raise</v>
      </c>
    </row>
    <row r="139" spans="1:35">
      <c r="A139" s="24" t="str">
        <v>SKU-1032</v>
      </c>
      <c r="B139" s="24" t="str">
        <v>Shampoo Bar</v>
      </c>
      <c r="C139" s="24" t="str">
        <v>ShopNow</v>
      </c>
      <c r="D139" s="23">
        <v>243.24</v>
      </c>
      <c r="E139" s="24">
        <v>4.0999999999999996</v>
      </c>
      <c r="F139" s="24">
        <v>1786</v>
      </c>
      <c r="G139" s="40">
        <v>45294</v>
      </c>
      <c r="H139" s="28">
        <v>234.33750000000001</v>
      </c>
      <c r="I139" s="11">
        <f t="shared" ref="I139:I202" si="2">($K139 - $D139) / $D139</f>
        <v>-7.9551060680809166E-2</v>
      </c>
      <c r="J139" s="24" t="str">
        <v>Beauty &amp; Personal Care</v>
      </c>
      <c r="K139" s="23">
        <v>223.89</v>
      </c>
      <c r="L139" s="23">
        <v>74.989999999999995</v>
      </c>
      <c r="M139" s="9">
        <v>0.66505873419983019</v>
      </c>
      <c r="N139" s="24">
        <v>4.7</v>
      </c>
      <c r="O139" s="24">
        <v>2891</v>
      </c>
      <c r="P139" s="24">
        <v>224</v>
      </c>
      <c r="Q139" s="24">
        <v>18</v>
      </c>
      <c r="R139" s="23">
        <v>3193.3799999999997</v>
      </c>
      <c r="S139" s="23">
        <v>1349.82</v>
      </c>
      <c r="T139" s="28">
        <v>1843.5599999999997</v>
      </c>
      <c r="U139" s="23">
        <v>319.33000000000004</v>
      </c>
      <c r="V139" s="23">
        <v>2874.0499999999997</v>
      </c>
      <c r="W139" s="23">
        <f>SUMIFS(Transactions_and_Customer_Information_Joined[Gross Profit ($)], Transactions_and_Customer_Information_Joined[SKU], 'Competitive Analysis (Step 1)'!$A139, Transactions_and_Customer_Information_Joined[Order Status], "Completed")</f>
        <v>1524.23</v>
      </c>
      <c r="X139" s="9">
        <v>0.16487187070510254</v>
      </c>
      <c r="Y139" s="24">
        <v>9</v>
      </c>
      <c r="Z139" s="41">
        <v>9.4444444444444446</v>
      </c>
      <c r="AA139" s="21">
        <v>0</v>
      </c>
      <c r="AB139" s="21">
        <v>0.22222222222222221</v>
      </c>
      <c r="AC139" s="21">
        <v>0.22222222222222221</v>
      </c>
      <c r="AD139" s="21">
        <v>0.1111111111111111</v>
      </c>
      <c r="AE139" s="21">
        <v>0</v>
      </c>
      <c r="AF139" s="31">
        <v>194</v>
      </c>
      <c r="AG139" s="21">
        <v>0.33333333333333331</v>
      </c>
      <c r="AH139" s="21">
        <v>0.2857142857142857</v>
      </c>
      <c r="AI139" s="5" t="str">
        <v>Hold</v>
      </c>
    </row>
    <row r="140" spans="1:35">
      <c r="A140" s="24" t="str">
        <v>SKU-1032</v>
      </c>
      <c r="B140" s="24" t="str">
        <v>Shampoo Bar</v>
      </c>
      <c r="C140" s="24" t="str">
        <v>BestDeals</v>
      </c>
      <c r="D140" s="23">
        <v>263.17</v>
      </c>
      <c r="E140" s="24">
        <v>3.8</v>
      </c>
      <c r="F140" s="24">
        <v>514</v>
      </c>
      <c r="G140" s="40">
        <v>45294</v>
      </c>
      <c r="H140" s="28">
        <v>234.33750000000001</v>
      </c>
      <c r="I140" s="11">
        <f t="shared" si="2"/>
        <v>-0.1492571341718282</v>
      </c>
      <c r="J140" s="24" t="str">
        <v>Beauty &amp; Personal Care</v>
      </c>
      <c r="K140" s="23">
        <v>223.89</v>
      </c>
      <c r="L140" s="23">
        <v>74.989999999999995</v>
      </c>
      <c r="M140" s="9">
        <v>0.66505873419983019</v>
      </c>
      <c r="N140" s="24">
        <v>4.7</v>
      </c>
      <c r="O140" s="24">
        <v>2891</v>
      </c>
      <c r="P140" s="24">
        <v>224</v>
      </c>
      <c r="Q140" s="24">
        <v>18</v>
      </c>
      <c r="R140" s="23">
        <v>3193.3799999999997</v>
      </c>
      <c r="S140" s="23">
        <v>1349.82</v>
      </c>
      <c r="T140" s="28">
        <v>1843.5599999999997</v>
      </c>
      <c r="U140" s="23">
        <v>319.33000000000004</v>
      </c>
      <c r="V140" s="23">
        <v>2874.0499999999997</v>
      </c>
      <c r="W140" s="23">
        <f>SUMIFS(Transactions_and_Customer_Information_Joined[Gross Profit ($)], Transactions_and_Customer_Information_Joined[SKU], 'Competitive Analysis (Step 1)'!$A140, Transactions_and_Customer_Information_Joined[Order Status], "Completed")</f>
        <v>1524.23</v>
      </c>
      <c r="X140" s="9">
        <v>0.16487187070510254</v>
      </c>
      <c r="Y140" s="24">
        <v>9</v>
      </c>
      <c r="Z140" s="41">
        <v>9.4444444444444446</v>
      </c>
      <c r="AA140" s="21">
        <v>0</v>
      </c>
      <c r="AB140" s="21">
        <v>0.22222222222222221</v>
      </c>
      <c r="AC140" s="21">
        <v>0.22222222222222221</v>
      </c>
      <c r="AD140" s="21">
        <v>0.1111111111111111</v>
      </c>
      <c r="AE140" s="21">
        <v>0</v>
      </c>
      <c r="AF140" s="31">
        <v>194</v>
      </c>
      <c r="AG140" s="21">
        <v>0.33333333333333331</v>
      </c>
      <c r="AH140" s="21">
        <v>0.2857142857142857</v>
      </c>
      <c r="AI140" s="5" t="str">
        <v>Raise</v>
      </c>
    </row>
    <row r="141" spans="1:35">
      <c r="A141" s="24" t="str">
        <v>SKU-1032</v>
      </c>
      <c r="B141" s="24" t="str">
        <v>Shampoo Bar</v>
      </c>
      <c r="C141" s="24" t="str">
        <v>QuickCart</v>
      </c>
      <c r="D141" s="23">
        <v>169.12</v>
      </c>
      <c r="E141" s="24">
        <v>3.5</v>
      </c>
      <c r="F141" s="24">
        <v>320</v>
      </c>
      <c r="G141" s="40">
        <v>45376</v>
      </c>
      <c r="H141" s="28">
        <v>234.33750000000001</v>
      </c>
      <c r="I141" s="11">
        <f t="shared" si="2"/>
        <v>0.32385288552507085</v>
      </c>
      <c r="J141" s="24" t="str">
        <v>Beauty &amp; Personal Care</v>
      </c>
      <c r="K141" s="23">
        <v>223.89</v>
      </c>
      <c r="L141" s="23">
        <v>74.989999999999995</v>
      </c>
      <c r="M141" s="9">
        <v>0.66505873419983019</v>
      </c>
      <c r="N141" s="24">
        <v>4.7</v>
      </c>
      <c r="O141" s="24">
        <v>2891</v>
      </c>
      <c r="P141" s="24">
        <v>224</v>
      </c>
      <c r="Q141" s="24">
        <v>18</v>
      </c>
      <c r="R141" s="23">
        <v>3193.3799999999997</v>
      </c>
      <c r="S141" s="23">
        <v>1349.82</v>
      </c>
      <c r="T141" s="28">
        <v>1843.5599999999997</v>
      </c>
      <c r="U141" s="23">
        <v>319.33000000000004</v>
      </c>
      <c r="V141" s="23">
        <v>2874.0499999999997</v>
      </c>
      <c r="W141" s="23">
        <f>SUMIFS(Transactions_and_Customer_Information_Joined[Gross Profit ($)], Transactions_and_Customer_Information_Joined[SKU], 'Competitive Analysis (Step 1)'!$A141, Transactions_and_Customer_Information_Joined[Order Status], "Completed")</f>
        <v>1524.23</v>
      </c>
      <c r="X141" s="9">
        <v>0.16487187070510254</v>
      </c>
      <c r="Y141" s="24">
        <v>9</v>
      </c>
      <c r="Z141" s="41">
        <v>9.4444444444444446</v>
      </c>
      <c r="AA141" s="21">
        <v>0</v>
      </c>
      <c r="AB141" s="21">
        <v>0.22222222222222221</v>
      </c>
      <c r="AC141" s="21">
        <v>0.22222222222222221</v>
      </c>
      <c r="AD141" s="21">
        <v>0.1111111111111111</v>
      </c>
      <c r="AE141" s="21">
        <v>0</v>
      </c>
      <c r="AF141" s="31">
        <v>194</v>
      </c>
      <c r="AG141" s="21">
        <v>0.33333333333333331</v>
      </c>
      <c r="AH141" s="21">
        <v>0.2857142857142857</v>
      </c>
      <c r="AI141" s="5" t="str">
        <v>Reduce</v>
      </c>
    </row>
    <row r="142" spans="1:35">
      <c r="A142" s="24" t="str">
        <v>SKU-1033</v>
      </c>
      <c r="B142" s="24" t="str">
        <v>Electric Toothbrush</v>
      </c>
      <c r="C142" s="24" t="str">
        <v>RivalMart</v>
      </c>
      <c r="D142" s="23">
        <v>184.03</v>
      </c>
      <c r="E142" s="24">
        <v>3.6</v>
      </c>
      <c r="F142" s="24">
        <v>2406</v>
      </c>
      <c r="G142" s="40">
        <v>45382</v>
      </c>
      <c r="H142" s="28">
        <v>240.12</v>
      </c>
      <c r="I142" s="11">
        <f t="shared" si="2"/>
        <v>0.22137694941042227</v>
      </c>
      <c r="J142" s="24" t="str">
        <v>Beauty &amp; Personal Care</v>
      </c>
      <c r="K142" s="23">
        <v>224.77</v>
      </c>
      <c r="L142" s="23">
        <v>78.790000000000006</v>
      </c>
      <c r="M142" s="9">
        <v>0.64946389642745928</v>
      </c>
      <c r="N142" s="24">
        <v>4.3</v>
      </c>
      <c r="O142" s="24">
        <v>560</v>
      </c>
      <c r="P142" s="24">
        <v>477</v>
      </c>
      <c r="Q142" s="24">
        <v>15</v>
      </c>
      <c r="R142" s="23">
        <v>2923.05</v>
      </c>
      <c r="S142" s="23">
        <v>1181.8500000000001</v>
      </c>
      <c r="T142" s="28">
        <v>1741.2</v>
      </c>
      <c r="U142" s="23">
        <v>214.35</v>
      </c>
      <c r="V142" s="23">
        <v>2708.7</v>
      </c>
      <c r="W142" s="23">
        <f>SUMIFS(Transactions_and_Customer_Information_Joined[Gross Profit ($)], Transactions_and_Customer_Information_Joined[SKU], 'Competitive Analysis (Step 1)'!$A142, Transactions_and_Customer_Information_Joined[Order Status], "Completed")</f>
        <v>1526.85</v>
      </c>
      <c r="X142" s="9">
        <v>0.17493631631409901</v>
      </c>
      <c r="Y142" s="24">
        <v>7</v>
      </c>
      <c r="Z142" s="41">
        <v>7.1428571428571432</v>
      </c>
      <c r="AA142" s="21">
        <v>0.14285714285714285</v>
      </c>
      <c r="AB142" s="21">
        <v>0.14285714285714285</v>
      </c>
      <c r="AC142" s="21">
        <v>0</v>
      </c>
      <c r="AD142" s="21">
        <v>0</v>
      </c>
      <c r="AE142" s="21">
        <v>0.14285714285714285</v>
      </c>
      <c r="AF142" s="31">
        <v>161.14285714285714</v>
      </c>
      <c r="AG142" s="21">
        <v>0.16666666666666666</v>
      </c>
      <c r="AH142" s="21">
        <v>0.2857142857142857</v>
      </c>
      <c r="AI142" s="5" t="str">
        <v>Reduce</v>
      </c>
    </row>
    <row r="143" spans="1:35">
      <c r="A143" s="24" t="str">
        <v>SKU-1033</v>
      </c>
      <c r="B143" s="24" t="str">
        <v>Electric Toothbrush</v>
      </c>
      <c r="C143" s="24" t="str">
        <v>ShopNow</v>
      </c>
      <c r="D143" s="23">
        <v>255.97</v>
      </c>
      <c r="E143" s="24">
        <v>3.5</v>
      </c>
      <c r="F143" s="24">
        <v>1927</v>
      </c>
      <c r="G143" s="40">
        <v>45318</v>
      </c>
      <c r="H143" s="28">
        <v>240.12</v>
      </c>
      <c r="I143" s="11">
        <f t="shared" si="2"/>
        <v>-0.12188928390045704</v>
      </c>
      <c r="J143" s="24" t="str">
        <v>Beauty &amp; Personal Care</v>
      </c>
      <c r="K143" s="23">
        <v>224.77</v>
      </c>
      <c r="L143" s="23">
        <v>78.790000000000006</v>
      </c>
      <c r="M143" s="9">
        <v>0.64946389642745928</v>
      </c>
      <c r="N143" s="24">
        <v>4.3</v>
      </c>
      <c r="O143" s="24">
        <v>560</v>
      </c>
      <c r="P143" s="24">
        <v>477</v>
      </c>
      <c r="Q143" s="24">
        <v>15</v>
      </c>
      <c r="R143" s="23">
        <v>2923.05</v>
      </c>
      <c r="S143" s="23">
        <v>1181.8500000000001</v>
      </c>
      <c r="T143" s="28">
        <v>1741.2</v>
      </c>
      <c r="U143" s="23">
        <v>214.35</v>
      </c>
      <c r="V143" s="23">
        <v>2708.7</v>
      </c>
      <c r="W143" s="23">
        <f>SUMIFS(Transactions_and_Customer_Information_Joined[Gross Profit ($)], Transactions_and_Customer_Information_Joined[SKU], 'Competitive Analysis (Step 1)'!$A143, Transactions_and_Customer_Information_Joined[Order Status], "Completed")</f>
        <v>1526.85</v>
      </c>
      <c r="X143" s="9">
        <v>0.17493631631409901</v>
      </c>
      <c r="Y143" s="24">
        <v>7</v>
      </c>
      <c r="Z143" s="41">
        <v>7.1428571428571432</v>
      </c>
      <c r="AA143" s="21">
        <v>0.14285714285714285</v>
      </c>
      <c r="AB143" s="21">
        <v>0.14285714285714285</v>
      </c>
      <c r="AC143" s="21">
        <v>0</v>
      </c>
      <c r="AD143" s="21">
        <v>0</v>
      </c>
      <c r="AE143" s="21">
        <v>0.14285714285714285</v>
      </c>
      <c r="AF143" s="31">
        <v>161.14285714285714</v>
      </c>
      <c r="AG143" s="21">
        <v>0.16666666666666666</v>
      </c>
      <c r="AH143" s="21">
        <v>0.2857142857142857</v>
      </c>
      <c r="AI143" s="5" t="str">
        <v>Raise</v>
      </c>
    </row>
    <row r="144" spans="1:35">
      <c r="A144" s="24" t="str">
        <v>SKU-1033</v>
      </c>
      <c r="B144" s="24" t="str">
        <v>Electric Toothbrush</v>
      </c>
      <c r="C144" s="24" t="str">
        <v>BestDeals</v>
      </c>
      <c r="D144" s="23">
        <v>247.69</v>
      </c>
      <c r="E144" s="24">
        <v>4.5999999999999996</v>
      </c>
      <c r="F144" s="24">
        <v>2308</v>
      </c>
      <c r="G144" s="40">
        <v>45336</v>
      </c>
      <c r="H144" s="28">
        <v>240.12</v>
      </c>
      <c r="I144" s="11">
        <f t="shared" si="2"/>
        <v>-9.2535023618232418E-2</v>
      </c>
      <c r="J144" s="24" t="str">
        <v>Beauty &amp; Personal Care</v>
      </c>
      <c r="K144" s="23">
        <v>224.77</v>
      </c>
      <c r="L144" s="23">
        <v>78.790000000000006</v>
      </c>
      <c r="M144" s="9">
        <v>0.64946389642745928</v>
      </c>
      <c r="N144" s="24">
        <v>4.3</v>
      </c>
      <c r="O144" s="24">
        <v>560</v>
      </c>
      <c r="P144" s="24">
        <v>477</v>
      </c>
      <c r="Q144" s="24">
        <v>15</v>
      </c>
      <c r="R144" s="23">
        <v>2923.05</v>
      </c>
      <c r="S144" s="23">
        <v>1181.8500000000001</v>
      </c>
      <c r="T144" s="28">
        <v>1741.2</v>
      </c>
      <c r="U144" s="23">
        <v>214.35</v>
      </c>
      <c r="V144" s="23">
        <v>2708.7</v>
      </c>
      <c r="W144" s="23">
        <f>SUMIFS(Transactions_and_Customer_Information_Joined[Gross Profit ($)], Transactions_and_Customer_Information_Joined[SKU], 'Competitive Analysis (Step 1)'!$A144, Transactions_and_Customer_Information_Joined[Order Status], "Completed")</f>
        <v>1526.85</v>
      </c>
      <c r="X144" s="9">
        <v>0.17493631631409901</v>
      </c>
      <c r="Y144" s="24">
        <v>7</v>
      </c>
      <c r="Z144" s="41">
        <v>7.1428571428571432</v>
      </c>
      <c r="AA144" s="21">
        <v>0.14285714285714285</v>
      </c>
      <c r="AB144" s="21">
        <v>0.14285714285714285</v>
      </c>
      <c r="AC144" s="21">
        <v>0</v>
      </c>
      <c r="AD144" s="21">
        <v>0</v>
      </c>
      <c r="AE144" s="21">
        <v>0.14285714285714285</v>
      </c>
      <c r="AF144" s="31">
        <v>161.14285714285714</v>
      </c>
      <c r="AG144" s="21">
        <v>0.16666666666666666</v>
      </c>
      <c r="AH144" s="21">
        <v>0.2857142857142857</v>
      </c>
      <c r="AI144" s="5" t="str">
        <v>Hold</v>
      </c>
    </row>
    <row r="145" spans="1:35">
      <c r="A145" s="24" t="str">
        <v>SKU-1033</v>
      </c>
      <c r="B145" s="24" t="str">
        <v>Electric Toothbrush</v>
      </c>
      <c r="C145" s="24" t="str">
        <v>QuickCart</v>
      </c>
      <c r="D145" s="23">
        <v>272.79000000000002</v>
      </c>
      <c r="E145" s="24">
        <v>3.2</v>
      </c>
      <c r="F145" s="24">
        <v>1957</v>
      </c>
      <c r="G145" s="40">
        <v>45337</v>
      </c>
      <c r="H145" s="28">
        <v>240.12</v>
      </c>
      <c r="I145" s="11">
        <f t="shared" si="2"/>
        <v>-0.17603284577880424</v>
      </c>
      <c r="J145" s="24" t="str">
        <v>Beauty &amp; Personal Care</v>
      </c>
      <c r="K145" s="23">
        <v>224.77</v>
      </c>
      <c r="L145" s="23">
        <v>78.790000000000006</v>
      </c>
      <c r="M145" s="9">
        <v>0.64946389642745928</v>
      </c>
      <c r="N145" s="24">
        <v>4.3</v>
      </c>
      <c r="O145" s="24">
        <v>560</v>
      </c>
      <c r="P145" s="24">
        <v>477</v>
      </c>
      <c r="Q145" s="24">
        <v>15</v>
      </c>
      <c r="R145" s="23">
        <v>2923.05</v>
      </c>
      <c r="S145" s="23">
        <v>1181.8500000000001</v>
      </c>
      <c r="T145" s="28">
        <v>1741.2</v>
      </c>
      <c r="U145" s="23">
        <v>214.35</v>
      </c>
      <c r="V145" s="23">
        <v>2708.7</v>
      </c>
      <c r="W145" s="23">
        <f>SUMIFS(Transactions_and_Customer_Information_Joined[Gross Profit ($)], Transactions_and_Customer_Information_Joined[SKU], 'Competitive Analysis (Step 1)'!$A145, Transactions_and_Customer_Information_Joined[Order Status], "Completed")</f>
        <v>1526.85</v>
      </c>
      <c r="X145" s="9">
        <v>0.17493631631409901</v>
      </c>
      <c r="Y145" s="24">
        <v>7</v>
      </c>
      <c r="Z145" s="41">
        <v>7.1428571428571432</v>
      </c>
      <c r="AA145" s="21">
        <v>0.14285714285714285</v>
      </c>
      <c r="AB145" s="21">
        <v>0.14285714285714285</v>
      </c>
      <c r="AC145" s="21">
        <v>0</v>
      </c>
      <c r="AD145" s="21">
        <v>0</v>
      </c>
      <c r="AE145" s="21">
        <v>0.14285714285714285</v>
      </c>
      <c r="AF145" s="31">
        <v>161.14285714285714</v>
      </c>
      <c r="AG145" s="21">
        <v>0.16666666666666666</v>
      </c>
      <c r="AH145" s="21">
        <v>0.2857142857142857</v>
      </c>
      <c r="AI145" s="5" t="str">
        <v>Raise</v>
      </c>
    </row>
    <row r="146" spans="1:35">
      <c r="A146" s="24" t="str">
        <v>SKU-1034</v>
      </c>
      <c r="B146" s="24" t="str">
        <v>Face Mask Kit</v>
      </c>
      <c r="C146" s="24" t="str">
        <v>RivalMart</v>
      </c>
      <c r="D146" s="23">
        <v>202.86</v>
      </c>
      <c r="E146" s="24">
        <v>4</v>
      </c>
      <c r="F146" s="24">
        <v>353</v>
      </c>
      <c r="G146" s="40">
        <v>45323</v>
      </c>
      <c r="H146" s="28">
        <v>219.67750000000001</v>
      </c>
      <c r="I146" s="11">
        <f t="shared" si="2"/>
        <v>-3.2436162870945542E-2</v>
      </c>
      <c r="J146" s="24" t="str">
        <v>Beauty &amp; Personal Care</v>
      </c>
      <c r="K146" s="23">
        <v>196.28</v>
      </c>
      <c r="L146" s="23">
        <v>71.73</v>
      </c>
      <c r="M146" s="9">
        <v>0.63455267984511921</v>
      </c>
      <c r="N146" s="24">
        <v>3.4</v>
      </c>
      <c r="O146" s="24">
        <v>1414</v>
      </c>
      <c r="P146" s="24">
        <v>309</v>
      </c>
      <c r="Q146" s="24">
        <v>38</v>
      </c>
      <c r="R146" s="23">
        <v>7458.64</v>
      </c>
      <c r="S146" s="23">
        <v>2725.7400000000002</v>
      </c>
      <c r="T146" s="28">
        <v>4732.8999999999996</v>
      </c>
      <c r="U146" s="23">
        <v>461.26</v>
      </c>
      <c r="V146" s="23">
        <v>6997.38</v>
      </c>
      <c r="W146" s="23">
        <f>SUMIFS(Transactions_and_Customer_Information_Joined[Gross Profit ($)], Transactions_and_Customer_Information_Joined[SKU], 'Competitive Analysis (Step 1)'!$A146, Transactions_and_Customer_Information_Joined[Order Status], "Completed")</f>
        <v>4271.6399999999994</v>
      </c>
      <c r="X146" s="9">
        <v>6.7718203098874136E-2</v>
      </c>
      <c r="Y146" s="24">
        <v>12</v>
      </c>
      <c r="Z146" s="41">
        <v>5.833333333333333</v>
      </c>
      <c r="AA146" s="21">
        <v>0.41666666666666669</v>
      </c>
      <c r="AB146" s="21">
        <v>0.16666666666666666</v>
      </c>
      <c r="AC146" s="21">
        <v>8.3333333333333329E-2</v>
      </c>
      <c r="AD146" s="21">
        <v>8.3333333333333329E-2</v>
      </c>
      <c r="AE146" s="21">
        <v>0.33333333333333331</v>
      </c>
      <c r="AF146" s="31">
        <v>213.33333333333334</v>
      </c>
      <c r="AG146" s="21">
        <v>0.23076923076923078</v>
      </c>
      <c r="AH146" s="21">
        <v>0.33333333333333331</v>
      </c>
      <c r="AI146" s="5" t="str">
        <v>Hold</v>
      </c>
    </row>
    <row r="147" spans="1:35">
      <c r="A147" s="24" t="str">
        <v>SKU-1034</v>
      </c>
      <c r="B147" s="24" t="str">
        <v>Face Mask Kit</v>
      </c>
      <c r="C147" s="24" t="str">
        <v>ShopNow</v>
      </c>
      <c r="D147" s="23">
        <v>219.09</v>
      </c>
      <c r="E147" s="24">
        <v>4.7</v>
      </c>
      <c r="F147" s="24">
        <v>2170</v>
      </c>
      <c r="G147" s="40">
        <v>45355</v>
      </c>
      <c r="H147" s="28">
        <v>219.67750000000001</v>
      </c>
      <c r="I147" s="11">
        <f t="shared" si="2"/>
        <v>-0.10411246519695104</v>
      </c>
      <c r="J147" s="24" t="str">
        <v>Beauty &amp; Personal Care</v>
      </c>
      <c r="K147" s="23">
        <v>196.28</v>
      </c>
      <c r="L147" s="23">
        <v>71.73</v>
      </c>
      <c r="M147" s="9">
        <v>0.63455267984511921</v>
      </c>
      <c r="N147" s="24">
        <v>3.4</v>
      </c>
      <c r="O147" s="24">
        <v>1414</v>
      </c>
      <c r="P147" s="24">
        <v>309</v>
      </c>
      <c r="Q147" s="24">
        <v>38</v>
      </c>
      <c r="R147" s="23">
        <v>7458.64</v>
      </c>
      <c r="S147" s="23">
        <v>2725.7400000000002</v>
      </c>
      <c r="T147" s="28">
        <v>4732.8999999999996</v>
      </c>
      <c r="U147" s="23">
        <v>461.26</v>
      </c>
      <c r="V147" s="23">
        <v>6997.38</v>
      </c>
      <c r="W147" s="23">
        <f>SUMIFS(Transactions_and_Customer_Information_Joined[Gross Profit ($)], Transactions_and_Customer_Information_Joined[SKU], 'Competitive Analysis (Step 1)'!$A147, Transactions_and_Customer_Information_Joined[Order Status], "Completed")</f>
        <v>4271.6399999999994</v>
      </c>
      <c r="X147" s="9">
        <v>6.7718203098874136E-2</v>
      </c>
      <c r="Y147" s="24">
        <v>12</v>
      </c>
      <c r="Z147" s="41">
        <v>5.833333333333333</v>
      </c>
      <c r="AA147" s="21">
        <v>0.41666666666666669</v>
      </c>
      <c r="AB147" s="21">
        <v>0.16666666666666666</v>
      </c>
      <c r="AC147" s="21">
        <v>8.3333333333333329E-2</v>
      </c>
      <c r="AD147" s="21">
        <v>8.3333333333333329E-2</v>
      </c>
      <c r="AE147" s="21">
        <v>0.33333333333333331</v>
      </c>
      <c r="AF147" s="31">
        <v>213.33333333333334</v>
      </c>
      <c r="AG147" s="21">
        <v>0.23076923076923078</v>
      </c>
      <c r="AH147" s="21">
        <v>0.33333333333333331</v>
      </c>
      <c r="AI147" s="5" t="str">
        <v>Raise</v>
      </c>
    </row>
    <row r="148" spans="1:35">
      <c r="A148" s="24" t="str">
        <v>SKU-1034</v>
      </c>
      <c r="B148" s="24" t="str">
        <v>Face Mask Kit</v>
      </c>
      <c r="C148" s="24" t="str">
        <v>BestDeals</v>
      </c>
      <c r="D148" s="23">
        <v>232.66</v>
      </c>
      <c r="E148" s="24">
        <v>4</v>
      </c>
      <c r="F148" s="24">
        <v>367</v>
      </c>
      <c r="G148" s="40">
        <v>45372</v>
      </c>
      <c r="H148" s="28">
        <v>219.67750000000001</v>
      </c>
      <c r="I148" s="11">
        <f t="shared" si="2"/>
        <v>-0.15636551190578524</v>
      </c>
      <c r="J148" s="24" t="str">
        <v>Beauty &amp; Personal Care</v>
      </c>
      <c r="K148" s="23">
        <v>196.28</v>
      </c>
      <c r="L148" s="23">
        <v>71.73</v>
      </c>
      <c r="M148" s="9">
        <v>0.63455267984511921</v>
      </c>
      <c r="N148" s="24">
        <v>3.4</v>
      </c>
      <c r="O148" s="24">
        <v>1414</v>
      </c>
      <c r="P148" s="24">
        <v>309</v>
      </c>
      <c r="Q148" s="24">
        <v>38</v>
      </c>
      <c r="R148" s="23">
        <v>7458.64</v>
      </c>
      <c r="S148" s="23">
        <v>2725.7400000000002</v>
      </c>
      <c r="T148" s="28">
        <v>4732.8999999999996</v>
      </c>
      <c r="U148" s="23">
        <v>461.26</v>
      </c>
      <c r="V148" s="23">
        <v>6997.38</v>
      </c>
      <c r="W148" s="23">
        <f>SUMIFS(Transactions_and_Customer_Information_Joined[Gross Profit ($)], Transactions_and_Customer_Information_Joined[SKU], 'Competitive Analysis (Step 1)'!$A148, Transactions_and_Customer_Information_Joined[Order Status], "Completed")</f>
        <v>4271.6399999999994</v>
      </c>
      <c r="X148" s="9">
        <v>6.7718203098874136E-2</v>
      </c>
      <c r="Y148" s="24">
        <v>12</v>
      </c>
      <c r="Z148" s="41">
        <v>5.833333333333333</v>
      </c>
      <c r="AA148" s="21">
        <v>0.41666666666666669</v>
      </c>
      <c r="AB148" s="21">
        <v>0.16666666666666666</v>
      </c>
      <c r="AC148" s="21">
        <v>8.3333333333333329E-2</v>
      </c>
      <c r="AD148" s="21">
        <v>8.3333333333333329E-2</v>
      </c>
      <c r="AE148" s="21">
        <v>0.33333333333333331</v>
      </c>
      <c r="AF148" s="31">
        <v>213.33333333333334</v>
      </c>
      <c r="AG148" s="21">
        <v>0.23076923076923078</v>
      </c>
      <c r="AH148" s="21">
        <v>0.33333333333333331</v>
      </c>
      <c r="AI148" s="5" t="str">
        <v>Raise</v>
      </c>
    </row>
    <row r="149" spans="1:35">
      <c r="A149" s="24" t="str">
        <v>SKU-1034</v>
      </c>
      <c r="B149" s="24" t="str">
        <v>Face Mask Kit</v>
      </c>
      <c r="C149" s="24" t="str">
        <v>QuickCart</v>
      </c>
      <c r="D149" s="23">
        <v>224.1</v>
      </c>
      <c r="E149" s="24">
        <v>3.1</v>
      </c>
      <c r="F149" s="24">
        <v>949</v>
      </c>
      <c r="G149" s="40">
        <v>45321</v>
      </c>
      <c r="H149" s="28">
        <v>219.67750000000001</v>
      </c>
      <c r="I149" s="11">
        <f t="shared" si="2"/>
        <v>-0.12414100847835785</v>
      </c>
      <c r="J149" s="24" t="str">
        <v>Beauty &amp; Personal Care</v>
      </c>
      <c r="K149" s="23">
        <v>196.28</v>
      </c>
      <c r="L149" s="23">
        <v>71.73</v>
      </c>
      <c r="M149" s="9">
        <v>0.63455267984511921</v>
      </c>
      <c r="N149" s="24">
        <v>3.4</v>
      </c>
      <c r="O149" s="24">
        <v>1414</v>
      </c>
      <c r="P149" s="24">
        <v>309</v>
      </c>
      <c r="Q149" s="24">
        <v>38</v>
      </c>
      <c r="R149" s="23">
        <v>7458.64</v>
      </c>
      <c r="S149" s="23">
        <v>2725.7400000000002</v>
      </c>
      <c r="T149" s="28">
        <v>4732.8999999999996</v>
      </c>
      <c r="U149" s="23">
        <v>461.26</v>
      </c>
      <c r="V149" s="23">
        <v>6997.38</v>
      </c>
      <c r="W149" s="23">
        <f>SUMIFS(Transactions_and_Customer_Information_Joined[Gross Profit ($)], Transactions_and_Customer_Information_Joined[SKU], 'Competitive Analysis (Step 1)'!$A149, Transactions_and_Customer_Information_Joined[Order Status], "Completed")</f>
        <v>4271.6399999999994</v>
      </c>
      <c r="X149" s="9">
        <v>6.7718203098874136E-2</v>
      </c>
      <c r="Y149" s="24">
        <v>12</v>
      </c>
      <c r="Z149" s="41">
        <v>5.833333333333333</v>
      </c>
      <c r="AA149" s="21">
        <v>0.41666666666666669</v>
      </c>
      <c r="AB149" s="21">
        <v>0.16666666666666666</v>
      </c>
      <c r="AC149" s="21">
        <v>8.3333333333333329E-2</v>
      </c>
      <c r="AD149" s="21">
        <v>8.3333333333333329E-2</v>
      </c>
      <c r="AE149" s="21">
        <v>0.33333333333333331</v>
      </c>
      <c r="AF149" s="31">
        <v>213.33333333333334</v>
      </c>
      <c r="AG149" s="21">
        <v>0.23076923076923078</v>
      </c>
      <c r="AH149" s="21">
        <v>0.33333333333333331</v>
      </c>
      <c r="AI149" s="5" t="str">
        <v>Raise</v>
      </c>
    </row>
    <row r="150" spans="1:35">
      <c r="A150" s="24" t="str">
        <v>SKU-1035</v>
      </c>
      <c r="B150" s="24" t="str">
        <v>Lip Balm Set</v>
      </c>
      <c r="C150" s="24" t="str">
        <v>RivalMart</v>
      </c>
      <c r="D150" s="23">
        <v>113.19</v>
      </c>
      <c r="E150" s="24">
        <v>4.5999999999999996</v>
      </c>
      <c r="F150" s="24">
        <v>659</v>
      </c>
      <c r="G150" s="40">
        <v>45318</v>
      </c>
      <c r="H150" s="28">
        <v>95.774999999999991</v>
      </c>
      <c r="I150" s="11">
        <f t="shared" si="2"/>
        <v>-0.12907500662602703</v>
      </c>
      <c r="J150" s="24" t="str">
        <v>Beauty &amp; Personal Care</v>
      </c>
      <c r="K150" s="23">
        <v>98.58</v>
      </c>
      <c r="L150" s="23">
        <v>52.57</v>
      </c>
      <c r="M150" s="9">
        <v>0.46672753093933861</v>
      </c>
      <c r="N150" s="24">
        <v>4.3</v>
      </c>
      <c r="O150" s="24">
        <v>1143</v>
      </c>
      <c r="P150" s="24">
        <v>47</v>
      </c>
      <c r="Q150" s="24">
        <v>26</v>
      </c>
      <c r="R150" s="23">
        <v>2563.08</v>
      </c>
      <c r="S150" s="23">
        <v>1366.82</v>
      </c>
      <c r="T150" s="28">
        <v>1196.26</v>
      </c>
      <c r="U150" s="23">
        <v>113.38</v>
      </c>
      <c r="V150" s="23">
        <v>2449.7000000000003</v>
      </c>
      <c r="W150" s="23">
        <f>SUMIFS(Transactions_and_Customer_Information_Joined[Gross Profit ($)], Transactions_and_Customer_Information_Joined[SKU], 'Competitive Analysis (Step 1)'!$A150, Transactions_and_Customer_Information_Joined[Order Status], "Completed")</f>
        <v>1082.8799999999999</v>
      </c>
      <c r="X150" s="9">
        <v>0.19343184879781192</v>
      </c>
      <c r="Y150" s="24">
        <v>12</v>
      </c>
      <c r="Z150" s="41">
        <v>5</v>
      </c>
      <c r="AA150" s="21">
        <v>0.41666666666666669</v>
      </c>
      <c r="AB150" s="21">
        <v>8.3333333333333329E-2</v>
      </c>
      <c r="AC150" s="21">
        <v>8.3333333333333329E-2</v>
      </c>
      <c r="AD150" s="21">
        <v>0.33333333333333331</v>
      </c>
      <c r="AE150" s="21">
        <v>8.3333333333333329E-2</v>
      </c>
      <c r="AF150" s="31">
        <v>131.16666666666666</v>
      </c>
      <c r="AG150" s="21">
        <v>0.375</v>
      </c>
      <c r="AH150" s="21">
        <v>0.44444444444444442</v>
      </c>
      <c r="AI150" s="5" t="str">
        <v>Raise</v>
      </c>
    </row>
    <row r="151" spans="1:35">
      <c r="A151" s="24" t="str">
        <v>SKU-1035</v>
      </c>
      <c r="B151" s="24" t="str">
        <v>Lip Balm Set</v>
      </c>
      <c r="C151" s="24" t="str">
        <v>ShopNow</v>
      </c>
      <c r="D151" s="23">
        <v>83.89</v>
      </c>
      <c r="E151" s="24">
        <v>3.3</v>
      </c>
      <c r="F151" s="24">
        <v>1133</v>
      </c>
      <c r="G151" s="40">
        <v>45302</v>
      </c>
      <c r="H151" s="28">
        <v>95.774999999999991</v>
      </c>
      <c r="I151" s="11">
        <f t="shared" si="2"/>
        <v>0.17511026344021929</v>
      </c>
      <c r="J151" s="24" t="str">
        <v>Beauty &amp; Personal Care</v>
      </c>
      <c r="K151" s="23">
        <v>98.58</v>
      </c>
      <c r="L151" s="23">
        <v>52.57</v>
      </c>
      <c r="M151" s="9">
        <v>0.46672753093933861</v>
      </c>
      <c r="N151" s="24">
        <v>4.3</v>
      </c>
      <c r="O151" s="24">
        <v>1143</v>
      </c>
      <c r="P151" s="24">
        <v>47</v>
      </c>
      <c r="Q151" s="24">
        <v>26</v>
      </c>
      <c r="R151" s="23">
        <v>2563.08</v>
      </c>
      <c r="S151" s="23">
        <v>1366.82</v>
      </c>
      <c r="T151" s="28">
        <v>1196.26</v>
      </c>
      <c r="U151" s="23">
        <v>113.38</v>
      </c>
      <c r="V151" s="23">
        <v>2449.7000000000003</v>
      </c>
      <c r="W151" s="23">
        <f>SUMIFS(Transactions_and_Customer_Information_Joined[Gross Profit ($)], Transactions_and_Customer_Information_Joined[SKU], 'Competitive Analysis (Step 1)'!$A151, Transactions_and_Customer_Information_Joined[Order Status], "Completed")</f>
        <v>1082.8799999999999</v>
      </c>
      <c r="X151" s="9">
        <v>0.19343184879781192</v>
      </c>
      <c r="Y151" s="24">
        <v>12</v>
      </c>
      <c r="Z151" s="41">
        <v>5</v>
      </c>
      <c r="AA151" s="21">
        <v>0.41666666666666669</v>
      </c>
      <c r="AB151" s="21">
        <v>8.3333333333333329E-2</v>
      </c>
      <c r="AC151" s="21">
        <v>8.3333333333333329E-2</v>
      </c>
      <c r="AD151" s="21">
        <v>0.33333333333333331</v>
      </c>
      <c r="AE151" s="21">
        <v>8.3333333333333329E-2</v>
      </c>
      <c r="AF151" s="31">
        <v>131.16666666666666</v>
      </c>
      <c r="AG151" s="21">
        <v>0.375</v>
      </c>
      <c r="AH151" s="21">
        <v>0.44444444444444442</v>
      </c>
      <c r="AI151" s="5" t="str">
        <v>Reduce</v>
      </c>
    </row>
    <row r="152" spans="1:35">
      <c r="A152" s="24" t="str">
        <v>SKU-1035</v>
      </c>
      <c r="B152" s="24" t="str">
        <v>Lip Balm Set</v>
      </c>
      <c r="C152" s="24" t="str">
        <v>BestDeals</v>
      </c>
      <c r="D152" s="23">
        <v>104.96</v>
      </c>
      <c r="E152" s="24">
        <v>2.8</v>
      </c>
      <c r="F152" s="24">
        <v>1910</v>
      </c>
      <c r="G152" s="40">
        <v>45304</v>
      </c>
      <c r="H152" s="28">
        <v>95.774999999999991</v>
      </c>
      <c r="I152" s="11">
        <f t="shared" si="2"/>
        <v>-6.0785060975609713E-2</v>
      </c>
      <c r="J152" s="24" t="str">
        <v>Beauty &amp; Personal Care</v>
      </c>
      <c r="K152" s="23">
        <v>98.58</v>
      </c>
      <c r="L152" s="23">
        <v>52.57</v>
      </c>
      <c r="M152" s="9">
        <v>0.46672753093933861</v>
      </c>
      <c r="N152" s="24">
        <v>4.3</v>
      </c>
      <c r="O152" s="24">
        <v>1143</v>
      </c>
      <c r="P152" s="24">
        <v>47</v>
      </c>
      <c r="Q152" s="24">
        <v>26</v>
      </c>
      <c r="R152" s="23">
        <v>2563.08</v>
      </c>
      <c r="S152" s="23">
        <v>1366.82</v>
      </c>
      <c r="T152" s="28">
        <v>1196.26</v>
      </c>
      <c r="U152" s="23">
        <v>113.38</v>
      </c>
      <c r="V152" s="23">
        <v>2449.7000000000003</v>
      </c>
      <c r="W152" s="23">
        <f>SUMIFS(Transactions_and_Customer_Information_Joined[Gross Profit ($)], Transactions_and_Customer_Information_Joined[SKU], 'Competitive Analysis (Step 1)'!$A152, Transactions_and_Customer_Information_Joined[Order Status], "Completed")</f>
        <v>1082.8799999999999</v>
      </c>
      <c r="X152" s="9">
        <v>0.19343184879781192</v>
      </c>
      <c r="Y152" s="24">
        <v>12</v>
      </c>
      <c r="Z152" s="41">
        <v>5</v>
      </c>
      <c r="AA152" s="21">
        <v>0.41666666666666669</v>
      </c>
      <c r="AB152" s="21">
        <v>8.3333333333333329E-2</v>
      </c>
      <c r="AC152" s="21">
        <v>8.3333333333333329E-2</v>
      </c>
      <c r="AD152" s="21">
        <v>0.33333333333333331</v>
      </c>
      <c r="AE152" s="21">
        <v>8.3333333333333329E-2</v>
      </c>
      <c r="AF152" s="31">
        <v>131.16666666666666</v>
      </c>
      <c r="AG152" s="21">
        <v>0.375</v>
      </c>
      <c r="AH152" s="21">
        <v>0.44444444444444442</v>
      </c>
      <c r="AI152" s="5" t="str">
        <v>Hold</v>
      </c>
    </row>
    <row r="153" spans="1:35">
      <c r="A153" s="24" t="str">
        <v>SKU-1035</v>
      </c>
      <c r="B153" s="24" t="str">
        <v>Lip Balm Set</v>
      </c>
      <c r="C153" s="24" t="str">
        <v>QuickCart</v>
      </c>
      <c r="D153" s="23">
        <v>81.06</v>
      </c>
      <c r="E153" s="24">
        <v>4.4000000000000004</v>
      </c>
      <c r="F153" s="24">
        <v>1709</v>
      </c>
      <c r="G153" s="40">
        <v>45322</v>
      </c>
      <c r="H153" s="28">
        <v>95.774999999999991</v>
      </c>
      <c r="I153" s="11">
        <f t="shared" si="2"/>
        <v>0.21613619541080675</v>
      </c>
      <c r="J153" s="24" t="str">
        <v>Beauty &amp; Personal Care</v>
      </c>
      <c r="K153" s="23">
        <v>98.58</v>
      </c>
      <c r="L153" s="23">
        <v>52.57</v>
      </c>
      <c r="M153" s="9">
        <v>0.46672753093933861</v>
      </c>
      <c r="N153" s="24">
        <v>4.3</v>
      </c>
      <c r="O153" s="24">
        <v>1143</v>
      </c>
      <c r="P153" s="24">
        <v>47</v>
      </c>
      <c r="Q153" s="24">
        <v>26</v>
      </c>
      <c r="R153" s="23">
        <v>2563.08</v>
      </c>
      <c r="S153" s="23">
        <v>1366.82</v>
      </c>
      <c r="T153" s="28">
        <v>1196.26</v>
      </c>
      <c r="U153" s="23">
        <v>113.38</v>
      </c>
      <c r="V153" s="23">
        <v>2449.7000000000003</v>
      </c>
      <c r="W153" s="23">
        <f>SUMIFS(Transactions_and_Customer_Information_Joined[Gross Profit ($)], Transactions_and_Customer_Information_Joined[SKU], 'Competitive Analysis (Step 1)'!$A153, Transactions_and_Customer_Information_Joined[Order Status], "Completed")</f>
        <v>1082.8799999999999</v>
      </c>
      <c r="X153" s="9">
        <v>0.19343184879781192</v>
      </c>
      <c r="Y153" s="24">
        <v>12</v>
      </c>
      <c r="Z153" s="41">
        <v>5</v>
      </c>
      <c r="AA153" s="21">
        <v>0.41666666666666669</v>
      </c>
      <c r="AB153" s="21">
        <v>8.3333333333333329E-2</v>
      </c>
      <c r="AC153" s="21">
        <v>8.3333333333333329E-2</v>
      </c>
      <c r="AD153" s="21">
        <v>0.33333333333333331</v>
      </c>
      <c r="AE153" s="21">
        <v>8.3333333333333329E-2</v>
      </c>
      <c r="AF153" s="31">
        <v>131.16666666666666</v>
      </c>
      <c r="AG153" s="21">
        <v>0.375</v>
      </c>
      <c r="AH153" s="21">
        <v>0.44444444444444442</v>
      </c>
      <c r="AI153" s="5" t="str">
        <v>Reduce</v>
      </c>
    </row>
    <row r="154" spans="1:35">
      <c r="A154" s="24" t="str">
        <v>SKU-1036</v>
      </c>
      <c r="B154" s="24" t="str">
        <v>Body Lotion</v>
      </c>
      <c r="C154" s="24" t="str">
        <v>RivalMart</v>
      </c>
      <c r="D154" s="23">
        <v>42.86</v>
      </c>
      <c r="E154" s="24">
        <v>4.4000000000000004</v>
      </c>
      <c r="F154" s="24">
        <v>172</v>
      </c>
      <c r="G154" s="40">
        <v>45357</v>
      </c>
      <c r="H154" s="28">
        <v>49.032499999999999</v>
      </c>
      <c r="I154" s="11">
        <f t="shared" si="2"/>
        <v>0.14559029398040135</v>
      </c>
      <c r="J154" s="24" t="str">
        <v>Beauty &amp; Personal Care</v>
      </c>
      <c r="K154" s="23">
        <v>49.1</v>
      </c>
      <c r="L154" s="23">
        <v>30.02</v>
      </c>
      <c r="M154" s="9">
        <v>0.38859470468431773</v>
      </c>
      <c r="N154" s="24">
        <v>4.4000000000000004</v>
      </c>
      <c r="O154" s="24">
        <v>2307</v>
      </c>
      <c r="P154" s="24">
        <v>282</v>
      </c>
      <c r="Q154" s="24">
        <v>37</v>
      </c>
      <c r="R154" s="23">
        <v>1344.9500000000003</v>
      </c>
      <c r="S154" s="23">
        <v>1110.74</v>
      </c>
      <c r="T154" s="28">
        <v>234.21000000000026</v>
      </c>
      <c r="U154" s="23">
        <v>123.58</v>
      </c>
      <c r="V154" s="23">
        <v>1221.3699999999999</v>
      </c>
      <c r="W154" s="23">
        <f>SUMIFS(Transactions_and_Customer_Information_Joined[Gross Profit ($)], Transactions_and_Customer_Information_Joined[SKU], 'Competitive Analysis (Step 1)'!$A154, Transactions_and_Customer_Information_Joined[Order Status], "Completed")</f>
        <v>110.63</v>
      </c>
      <c r="X154" s="9">
        <v>0.38796597263728433</v>
      </c>
      <c r="Y154" s="24">
        <v>13</v>
      </c>
      <c r="Z154" s="41">
        <v>8.8461538461538467</v>
      </c>
      <c r="AA154" s="21">
        <v>0.30769230769230771</v>
      </c>
      <c r="AB154" s="21">
        <v>0.15384615384615385</v>
      </c>
      <c r="AC154" s="21">
        <v>0.23076923076923078</v>
      </c>
      <c r="AD154" s="21">
        <v>7.6923076923076927E-2</v>
      </c>
      <c r="AE154" s="21">
        <v>0.15384615384615385</v>
      </c>
      <c r="AF154" s="31">
        <v>224.15384615384616</v>
      </c>
      <c r="AG154" s="21">
        <v>0.41176470588235292</v>
      </c>
      <c r="AH154" s="21">
        <v>0.16666666666666666</v>
      </c>
      <c r="AI154" s="5" t="str">
        <v>Reduce</v>
      </c>
    </row>
    <row r="155" spans="1:35">
      <c r="A155" s="24" t="str">
        <v>SKU-1036</v>
      </c>
      <c r="B155" s="24" t="str">
        <v>Body Lotion</v>
      </c>
      <c r="C155" s="24" t="str">
        <v>ShopNow</v>
      </c>
      <c r="D155" s="23">
        <v>54.62</v>
      </c>
      <c r="E155" s="24">
        <v>4.2</v>
      </c>
      <c r="F155" s="24">
        <v>710</v>
      </c>
      <c r="G155" s="40">
        <v>45314</v>
      </c>
      <c r="H155" s="28">
        <v>49.032499999999999</v>
      </c>
      <c r="I155" s="11">
        <f t="shared" si="2"/>
        <v>-0.10106188209447083</v>
      </c>
      <c r="J155" s="24" t="str">
        <v>Beauty &amp; Personal Care</v>
      </c>
      <c r="K155" s="23">
        <v>49.1</v>
      </c>
      <c r="L155" s="23">
        <v>30.02</v>
      </c>
      <c r="M155" s="9">
        <v>0.38859470468431773</v>
      </c>
      <c r="N155" s="24">
        <v>4.4000000000000004</v>
      </c>
      <c r="O155" s="24">
        <v>2307</v>
      </c>
      <c r="P155" s="24">
        <v>282</v>
      </c>
      <c r="Q155" s="24">
        <v>37</v>
      </c>
      <c r="R155" s="23">
        <v>1344.9500000000003</v>
      </c>
      <c r="S155" s="23">
        <v>1110.74</v>
      </c>
      <c r="T155" s="28">
        <v>234.21000000000026</v>
      </c>
      <c r="U155" s="23">
        <v>123.58</v>
      </c>
      <c r="V155" s="23">
        <v>1221.3699999999999</v>
      </c>
      <c r="W155" s="23">
        <f>SUMIFS(Transactions_and_Customer_Information_Joined[Gross Profit ($)], Transactions_and_Customer_Information_Joined[SKU], 'Competitive Analysis (Step 1)'!$A155, Transactions_and_Customer_Information_Joined[Order Status], "Completed")</f>
        <v>110.63</v>
      </c>
      <c r="X155" s="9">
        <v>0.38796597263728433</v>
      </c>
      <c r="Y155" s="24">
        <v>13</v>
      </c>
      <c r="Z155" s="41">
        <v>8.8461538461538467</v>
      </c>
      <c r="AA155" s="21">
        <v>0.30769230769230771</v>
      </c>
      <c r="AB155" s="21">
        <v>0.15384615384615385</v>
      </c>
      <c r="AC155" s="21">
        <v>0.23076923076923078</v>
      </c>
      <c r="AD155" s="21">
        <v>7.6923076923076927E-2</v>
      </c>
      <c r="AE155" s="21">
        <v>0.15384615384615385</v>
      </c>
      <c r="AF155" s="31">
        <v>224.15384615384616</v>
      </c>
      <c r="AG155" s="21">
        <v>0.41176470588235292</v>
      </c>
      <c r="AH155" s="21">
        <v>0.16666666666666666</v>
      </c>
      <c r="AI155" s="5" t="str">
        <v>Raise</v>
      </c>
    </row>
    <row r="156" spans="1:35">
      <c r="A156" s="24" t="str">
        <v>SKU-1036</v>
      </c>
      <c r="B156" s="24" t="str">
        <v>Body Lotion</v>
      </c>
      <c r="C156" s="24" t="str">
        <v>BestDeals</v>
      </c>
      <c r="D156" s="23">
        <v>54.9</v>
      </c>
      <c r="E156" s="24">
        <v>3.2</v>
      </c>
      <c r="F156" s="24">
        <v>226</v>
      </c>
      <c r="G156" s="40">
        <v>45331</v>
      </c>
      <c r="H156" s="28">
        <v>49.032499999999999</v>
      </c>
      <c r="I156" s="11">
        <f t="shared" si="2"/>
        <v>-0.10564663023679412</v>
      </c>
      <c r="J156" s="24" t="str">
        <v>Beauty &amp; Personal Care</v>
      </c>
      <c r="K156" s="23">
        <v>49.1</v>
      </c>
      <c r="L156" s="23">
        <v>30.02</v>
      </c>
      <c r="M156" s="9">
        <v>0.38859470468431773</v>
      </c>
      <c r="N156" s="24">
        <v>4.4000000000000004</v>
      </c>
      <c r="O156" s="24">
        <v>2307</v>
      </c>
      <c r="P156" s="24">
        <v>282</v>
      </c>
      <c r="Q156" s="24">
        <v>37</v>
      </c>
      <c r="R156" s="23">
        <v>1344.9500000000003</v>
      </c>
      <c r="S156" s="23">
        <v>1110.74</v>
      </c>
      <c r="T156" s="28">
        <v>234.21000000000026</v>
      </c>
      <c r="U156" s="23">
        <v>123.58</v>
      </c>
      <c r="V156" s="23">
        <v>1221.3699999999999</v>
      </c>
      <c r="W156" s="23">
        <f>SUMIFS(Transactions_and_Customer_Information_Joined[Gross Profit ($)], Transactions_and_Customer_Information_Joined[SKU], 'Competitive Analysis (Step 1)'!$A156, Transactions_and_Customer_Information_Joined[Order Status], "Completed")</f>
        <v>110.63</v>
      </c>
      <c r="X156" s="9">
        <v>0.38796597263728433</v>
      </c>
      <c r="Y156" s="24">
        <v>13</v>
      </c>
      <c r="Z156" s="41">
        <v>8.8461538461538467</v>
      </c>
      <c r="AA156" s="21">
        <v>0.30769230769230771</v>
      </c>
      <c r="AB156" s="21">
        <v>0.15384615384615385</v>
      </c>
      <c r="AC156" s="21">
        <v>0.23076923076923078</v>
      </c>
      <c r="AD156" s="21">
        <v>7.6923076923076927E-2</v>
      </c>
      <c r="AE156" s="21">
        <v>0.15384615384615385</v>
      </c>
      <c r="AF156" s="31">
        <v>224.15384615384616</v>
      </c>
      <c r="AG156" s="21">
        <v>0.41176470588235292</v>
      </c>
      <c r="AH156" s="21">
        <v>0.16666666666666666</v>
      </c>
      <c r="AI156" s="5" t="str">
        <v>Raise</v>
      </c>
    </row>
    <row r="157" spans="1:35">
      <c r="A157" s="24" t="str">
        <v>SKU-1036</v>
      </c>
      <c r="B157" s="24" t="str">
        <v>Body Lotion</v>
      </c>
      <c r="C157" s="24" t="str">
        <v>QuickCart</v>
      </c>
      <c r="D157" s="23">
        <v>43.75</v>
      </c>
      <c r="E157" s="24">
        <v>4.2</v>
      </c>
      <c r="F157" s="24">
        <v>984</v>
      </c>
      <c r="G157" s="40">
        <v>45332</v>
      </c>
      <c r="H157" s="28">
        <v>49.032499999999999</v>
      </c>
      <c r="I157" s="11">
        <f t="shared" si="2"/>
        <v>0.12228571428571432</v>
      </c>
      <c r="J157" s="24" t="str">
        <v>Beauty &amp; Personal Care</v>
      </c>
      <c r="K157" s="23">
        <v>49.1</v>
      </c>
      <c r="L157" s="23">
        <v>30.02</v>
      </c>
      <c r="M157" s="9">
        <v>0.38859470468431773</v>
      </c>
      <c r="N157" s="24">
        <v>4.4000000000000004</v>
      </c>
      <c r="O157" s="24">
        <v>2307</v>
      </c>
      <c r="P157" s="24">
        <v>282</v>
      </c>
      <c r="Q157" s="24">
        <v>37</v>
      </c>
      <c r="R157" s="23">
        <v>1344.9500000000003</v>
      </c>
      <c r="S157" s="23">
        <v>1110.74</v>
      </c>
      <c r="T157" s="28">
        <v>234.21000000000026</v>
      </c>
      <c r="U157" s="23">
        <v>123.58</v>
      </c>
      <c r="V157" s="23">
        <v>1221.3699999999999</v>
      </c>
      <c r="W157" s="23">
        <f>SUMIFS(Transactions_and_Customer_Information_Joined[Gross Profit ($)], Transactions_and_Customer_Information_Joined[SKU], 'Competitive Analysis (Step 1)'!$A157, Transactions_and_Customer_Information_Joined[Order Status], "Completed")</f>
        <v>110.63</v>
      </c>
      <c r="X157" s="9">
        <v>0.38796597263728433</v>
      </c>
      <c r="Y157" s="24">
        <v>13</v>
      </c>
      <c r="Z157" s="41">
        <v>8.8461538461538467</v>
      </c>
      <c r="AA157" s="21">
        <v>0.30769230769230771</v>
      </c>
      <c r="AB157" s="21">
        <v>0.15384615384615385</v>
      </c>
      <c r="AC157" s="21">
        <v>0.23076923076923078</v>
      </c>
      <c r="AD157" s="21">
        <v>7.6923076923076927E-2</v>
      </c>
      <c r="AE157" s="21">
        <v>0.15384615384615385</v>
      </c>
      <c r="AF157" s="31">
        <v>224.15384615384616</v>
      </c>
      <c r="AG157" s="21">
        <v>0.41176470588235292</v>
      </c>
      <c r="AH157" s="21">
        <v>0.16666666666666666</v>
      </c>
      <c r="AI157" s="5" t="str">
        <v>Reduce</v>
      </c>
    </row>
    <row r="158" spans="1:35">
      <c r="A158" s="24" t="str">
        <v>SKU-1037</v>
      </c>
      <c r="B158" s="24" t="str">
        <v>Perfume Roller</v>
      </c>
      <c r="C158" s="24" t="str">
        <v>RivalMart</v>
      </c>
      <c r="D158" s="23">
        <v>25.64</v>
      </c>
      <c r="E158" s="24">
        <v>3.9</v>
      </c>
      <c r="F158" s="24">
        <v>2306</v>
      </c>
      <c r="G158" s="40">
        <v>45304</v>
      </c>
      <c r="H158" s="28">
        <v>32.607500000000002</v>
      </c>
      <c r="I158" s="11">
        <f t="shared" si="2"/>
        <v>0.24063962558502333</v>
      </c>
      <c r="J158" s="24" t="str">
        <v>Beauty &amp; Personal Care</v>
      </c>
      <c r="K158" s="23">
        <v>31.81</v>
      </c>
      <c r="L158" s="23">
        <v>10.64</v>
      </c>
      <c r="M158" s="9">
        <v>0.66551398931153727</v>
      </c>
      <c r="N158" s="24">
        <v>4.0999999999999996</v>
      </c>
      <c r="O158" s="24">
        <v>1770</v>
      </c>
      <c r="P158" s="24">
        <v>298</v>
      </c>
      <c r="Q158" s="24">
        <v>25</v>
      </c>
      <c r="R158" s="23">
        <v>665.25000000000011</v>
      </c>
      <c r="S158" s="23">
        <v>266</v>
      </c>
      <c r="T158" s="28">
        <v>399.25000000000011</v>
      </c>
      <c r="U158" s="23">
        <v>39.909999999999997</v>
      </c>
      <c r="V158" s="23">
        <v>625.34</v>
      </c>
      <c r="W158" s="23">
        <f>SUMIFS(Transactions_and_Customer_Information_Joined[Gross Profit ($)], Transactions_and_Customer_Information_Joined[SKU], 'Competitive Analysis (Step 1)'!$A158, Transactions_and_Customer_Information_Joined[Order Status], "Completed")</f>
        <v>359.34</v>
      </c>
      <c r="X158" s="9">
        <v>0.75774778520484842</v>
      </c>
      <c r="Y158" s="24">
        <v>11</v>
      </c>
      <c r="Z158" s="41">
        <v>4.0909090909090908</v>
      </c>
      <c r="AA158" s="21">
        <v>0.27272727272727271</v>
      </c>
      <c r="AB158" s="21">
        <v>9.0909090909090912E-2</v>
      </c>
      <c r="AC158" s="21">
        <v>9.0909090909090912E-2</v>
      </c>
      <c r="AD158" s="21">
        <v>0.18181818181818182</v>
      </c>
      <c r="AE158" s="21">
        <v>0.18181818181818182</v>
      </c>
      <c r="AF158" s="31">
        <v>185.36363636363637</v>
      </c>
      <c r="AG158" s="21">
        <v>0.16666666666666666</v>
      </c>
      <c r="AH158" s="21">
        <v>0.16666666666666666</v>
      </c>
      <c r="AI158" s="5" t="str">
        <v>Reduce</v>
      </c>
    </row>
    <row r="159" spans="1:35">
      <c r="A159" s="24" t="str">
        <v>SKU-1037</v>
      </c>
      <c r="B159" s="24" t="str">
        <v>Perfume Roller</v>
      </c>
      <c r="C159" s="24" t="str">
        <v>ShopNow</v>
      </c>
      <c r="D159" s="23">
        <v>30.46</v>
      </c>
      <c r="E159" s="24">
        <v>4</v>
      </c>
      <c r="F159" s="24">
        <v>1953</v>
      </c>
      <c r="G159" s="40">
        <v>45306</v>
      </c>
      <c r="H159" s="28">
        <v>32.607500000000002</v>
      </c>
      <c r="I159" s="11">
        <f t="shared" si="2"/>
        <v>4.4320420223243527E-2</v>
      </c>
      <c r="J159" s="24" t="str">
        <v>Beauty &amp; Personal Care</v>
      </c>
      <c r="K159" s="23">
        <v>31.81</v>
      </c>
      <c r="L159" s="23">
        <v>10.64</v>
      </c>
      <c r="M159" s="9">
        <v>0.66551398931153727</v>
      </c>
      <c r="N159" s="24">
        <v>4.0999999999999996</v>
      </c>
      <c r="O159" s="24">
        <v>1770</v>
      </c>
      <c r="P159" s="24">
        <v>298</v>
      </c>
      <c r="Q159" s="24">
        <v>25</v>
      </c>
      <c r="R159" s="23">
        <v>665.25000000000011</v>
      </c>
      <c r="S159" s="23">
        <v>266</v>
      </c>
      <c r="T159" s="28">
        <v>399.25000000000011</v>
      </c>
      <c r="U159" s="23">
        <v>39.909999999999997</v>
      </c>
      <c r="V159" s="23">
        <v>625.34</v>
      </c>
      <c r="W159" s="23">
        <f>SUMIFS(Transactions_and_Customer_Information_Joined[Gross Profit ($)], Transactions_and_Customer_Information_Joined[SKU], 'Competitive Analysis (Step 1)'!$A159, Transactions_and_Customer_Information_Joined[Order Status], "Completed")</f>
        <v>359.34</v>
      </c>
      <c r="X159" s="9">
        <v>0.75774778520484842</v>
      </c>
      <c r="Y159" s="24">
        <v>11</v>
      </c>
      <c r="Z159" s="41">
        <v>4.0909090909090908</v>
      </c>
      <c r="AA159" s="21">
        <v>0.27272727272727271</v>
      </c>
      <c r="AB159" s="21">
        <v>9.0909090909090912E-2</v>
      </c>
      <c r="AC159" s="21">
        <v>9.0909090909090912E-2</v>
      </c>
      <c r="AD159" s="21">
        <v>0.18181818181818182</v>
      </c>
      <c r="AE159" s="21">
        <v>0.18181818181818182</v>
      </c>
      <c r="AF159" s="31">
        <v>185.36363636363637</v>
      </c>
      <c r="AG159" s="21">
        <v>0.16666666666666666</v>
      </c>
      <c r="AH159" s="21">
        <v>0.16666666666666666</v>
      </c>
      <c r="AI159" s="5" t="str">
        <v>Hold</v>
      </c>
    </row>
    <row r="160" spans="1:35">
      <c r="A160" s="24" t="str">
        <v>SKU-1037</v>
      </c>
      <c r="B160" s="24" t="str">
        <v>Perfume Roller</v>
      </c>
      <c r="C160" s="24" t="str">
        <v>BestDeals</v>
      </c>
      <c r="D160" s="23">
        <v>36.630000000000003</v>
      </c>
      <c r="E160" s="24">
        <v>4.5</v>
      </c>
      <c r="F160" s="24">
        <v>583</v>
      </c>
      <c r="G160" s="40">
        <v>45377</v>
      </c>
      <c r="H160" s="28">
        <v>32.607500000000002</v>
      </c>
      <c r="I160" s="11">
        <f t="shared" si="2"/>
        <v>-0.13158613158613169</v>
      </c>
      <c r="J160" s="24" t="str">
        <v>Beauty &amp; Personal Care</v>
      </c>
      <c r="K160" s="23">
        <v>31.81</v>
      </c>
      <c r="L160" s="23">
        <v>10.64</v>
      </c>
      <c r="M160" s="9">
        <v>0.66551398931153727</v>
      </c>
      <c r="N160" s="24">
        <v>4.0999999999999996</v>
      </c>
      <c r="O160" s="24">
        <v>1770</v>
      </c>
      <c r="P160" s="24">
        <v>298</v>
      </c>
      <c r="Q160" s="24">
        <v>25</v>
      </c>
      <c r="R160" s="23">
        <v>665.25000000000011</v>
      </c>
      <c r="S160" s="23">
        <v>266</v>
      </c>
      <c r="T160" s="28">
        <v>399.25000000000011</v>
      </c>
      <c r="U160" s="23">
        <v>39.909999999999997</v>
      </c>
      <c r="V160" s="23">
        <v>625.34</v>
      </c>
      <c r="W160" s="23">
        <f>SUMIFS(Transactions_and_Customer_Information_Joined[Gross Profit ($)], Transactions_and_Customer_Information_Joined[SKU], 'Competitive Analysis (Step 1)'!$A160, Transactions_and_Customer_Information_Joined[Order Status], "Completed")</f>
        <v>359.34</v>
      </c>
      <c r="X160" s="9">
        <v>0.75774778520484842</v>
      </c>
      <c r="Y160" s="24">
        <v>11</v>
      </c>
      <c r="Z160" s="41">
        <v>4.0909090909090908</v>
      </c>
      <c r="AA160" s="21">
        <v>0.27272727272727271</v>
      </c>
      <c r="AB160" s="21">
        <v>9.0909090909090912E-2</v>
      </c>
      <c r="AC160" s="21">
        <v>9.0909090909090912E-2</v>
      </c>
      <c r="AD160" s="21">
        <v>0.18181818181818182</v>
      </c>
      <c r="AE160" s="21">
        <v>0.18181818181818182</v>
      </c>
      <c r="AF160" s="31">
        <v>185.36363636363637</v>
      </c>
      <c r="AG160" s="21">
        <v>0.16666666666666666</v>
      </c>
      <c r="AH160" s="21">
        <v>0.16666666666666666</v>
      </c>
      <c r="AI160" s="5" t="str">
        <v>Raise</v>
      </c>
    </row>
    <row r="161" spans="1:35">
      <c r="A161" s="24" t="str">
        <v>SKU-1037</v>
      </c>
      <c r="B161" s="24" t="str">
        <v>Perfume Roller</v>
      </c>
      <c r="C161" s="24" t="str">
        <v>QuickCart</v>
      </c>
      <c r="D161" s="23">
        <v>37.700000000000003</v>
      </c>
      <c r="E161" s="24">
        <v>2.8</v>
      </c>
      <c r="F161" s="24">
        <v>768</v>
      </c>
      <c r="G161" s="40">
        <v>45357</v>
      </c>
      <c r="H161" s="28">
        <v>32.607500000000002</v>
      </c>
      <c r="I161" s="11">
        <f t="shared" si="2"/>
        <v>-0.15623342175066324</v>
      </c>
      <c r="J161" s="24" t="str">
        <v>Beauty &amp; Personal Care</v>
      </c>
      <c r="K161" s="23">
        <v>31.81</v>
      </c>
      <c r="L161" s="23">
        <v>10.64</v>
      </c>
      <c r="M161" s="9">
        <v>0.66551398931153727</v>
      </c>
      <c r="N161" s="24">
        <v>4.0999999999999996</v>
      </c>
      <c r="O161" s="24">
        <v>1770</v>
      </c>
      <c r="P161" s="24">
        <v>298</v>
      </c>
      <c r="Q161" s="24">
        <v>25</v>
      </c>
      <c r="R161" s="23">
        <v>665.25000000000011</v>
      </c>
      <c r="S161" s="23">
        <v>266</v>
      </c>
      <c r="T161" s="28">
        <v>399.25000000000011</v>
      </c>
      <c r="U161" s="23">
        <v>39.909999999999997</v>
      </c>
      <c r="V161" s="23">
        <v>625.34</v>
      </c>
      <c r="W161" s="23">
        <f>SUMIFS(Transactions_and_Customer_Information_Joined[Gross Profit ($)], Transactions_and_Customer_Information_Joined[SKU], 'Competitive Analysis (Step 1)'!$A161, Transactions_and_Customer_Information_Joined[Order Status], "Completed")</f>
        <v>359.34</v>
      </c>
      <c r="X161" s="9">
        <v>0.75774778520484842</v>
      </c>
      <c r="Y161" s="24">
        <v>11</v>
      </c>
      <c r="Z161" s="41">
        <v>4.0909090909090908</v>
      </c>
      <c r="AA161" s="21">
        <v>0.27272727272727271</v>
      </c>
      <c r="AB161" s="21">
        <v>9.0909090909090912E-2</v>
      </c>
      <c r="AC161" s="21">
        <v>9.0909090909090912E-2</v>
      </c>
      <c r="AD161" s="21">
        <v>0.18181818181818182</v>
      </c>
      <c r="AE161" s="21">
        <v>0.18181818181818182</v>
      </c>
      <c r="AF161" s="31">
        <v>185.36363636363637</v>
      </c>
      <c r="AG161" s="21">
        <v>0.16666666666666666</v>
      </c>
      <c r="AH161" s="21">
        <v>0.16666666666666666</v>
      </c>
      <c r="AI161" s="5" t="str">
        <v>Raise</v>
      </c>
    </row>
    <row r="162" spans="1:35">
      <c r="A162" s="24" t="str">
        <v>SKU-1038</v>
      </c>
      <c r="B162" s="24" t="str">
        <v>Hair Ties Pack</v>
      </c>
      <c r="C162" s="24" t="str">
        <v>RivalMart</v>
      </c>
      <c r="D162" s="23">
        <v>76.16</v>
      </c>
      <c r="E162" s="24">
        <v>3.4</v>
      </c>
      <c r="F162" s="24">
        <v>404</v>
      </c>
      <c r="G162" s="40">
        <v>45355</v>
      </c>
      <c r="H162" s="28">
        <v>78.307500000000005</v>
      </c>
      <c r="I162" s="11">
        <f t="shared" si="2"/>
        <v>0.11436449579831943</v>
      </c>
      <c r="J162" s="24" t="str">
        <v>Beauty &amp; Personal Care</v>
      </c>
      <c r="K162" s="23">
        <v>84.87</v>
      </c>
      <c r="L162" s="23">
        <v>28.12</v>
      </c>
      <c r="M162" s="9">
        <v>0.66866973017556264</v>
      </c>
      <c r="N162" s="24">
        <v>4.4000000000000004</v>
      </c>
      <c r="O162" s="24">
        <v>2741</v>
      </c>
      <c r="P162" s="24">
        <v>107</v>
      </c>
      <c r="Q162" s="24">
        <v>25</v>
      </c>
      <c r="R162" s="23">
        <v>1941.7500000000005</v>
      </c>
      <c r="S162" s="23">
        <v>703</v>
      </c>
      <c r="T162" s="28">
        <v>1238.7500000000005</v>
      </c>
      <c r="U162" s="23">
        <v>147.57</v>
      </c>
      <c r="V162" s="23">
        <v>1794.1800000000003</v>
      </c>
      <c r="W162" s="23">
        <f>SUMIFS(Transactions_and_Customer_Information_Joined[Gross Profit ($)], Transactions_and_Customer_Information_Joined[SKU], 'Competitive Analysis (Step 1)'!$A162, Transactions_and_Customer_Information_Joined[Order Status], "Completed")</f>
        <v>1091.1799999999998</v>
      </c>
      <c r="X162" s="9">
        <v>0.26410393605992699</v>
      </c>
      <c r="Y162" s="24">
        <v>11</v>
      </c>
      <c r="Z162" s="41">
        <v>6.8181818181818183</v>
      </c>
      <c r="AA162" s="21">
        <v>0.27272727272727271</v>
      </c>
      <c r="AB162" s="21">
        <v>0.27272727272727271</v>
      </c>
      <c r="AC162" s="21">
        <v>0.18181818181818182</v>
      </c>
      <c r="AD162" s="21">
        <v>0.18181818181818182</v>
      </c>
      <c r="AE162" s="21">
        <v>0</v>
      </c>
      <c r="AF162" s="31">
        <v>176.45454545454547</v>
      </c>
      <c r="AG162" s="21">
        <v>0.2857142857142857</v>
      </c>
      <c r="AH162" s="21">
        <v>0.23076923076923078</v>
      </c>
      <c r="AI162" s="5" t="str">
        <v>Reduce</v>
      </c>
    </row>
    <row r="163" spans="1:35">
      <c r="A163" s="24" t="str">
        <v>SKU-1038</v>
      </c>
      <c r="B163" s="24" t="str">
        <v>Hair Ties Pack</v>
      </c>
      <c r="C163" s="24" t="str">
        <v>ShopNow</v>
      </c>
      <c r="D163" s="23">
        <v>65.510000000000005</v>
      </c>
      <c r="E163" s="24">
        <v>3.9</v>
      </c>
      <c r="F163" s="24">
        <v>919</v>
      </c>
      <c r="G163" s="40">
        <v>45372</v>
      </c>
      <c r="H163" s="28">
        <v>78.307500000000005</v>
      </c>
      <c r="I163" s="11">
        <f t="shared" si="2"/>
        <v>0.29552740039688596</v>
      </c>
      <c r="J163" s="24" t="str">
        <v>Beauty &amp; Personal Care</v>
      </c>
      <c r="K163" s="23">
        <v>84.87</v>
      </c>
      <c r="L163" s="23">
        <v>28.12</v>
      </c>
      <c r="M163" s="9">
        <v>0.66866973017556264</v>
      </c>
      <c r="N163" s="24">
        <v>4.4000000000000004</v>
      </c>
      <c r="O163" s="24">
        <v>2741</v>
      </c>
      <c r="P163" s="24">
        <v>107</v>
      </c>
      <c r="Q163" s="24">
        <v>25</v>
      </c>
      <c r="R163" s="23">
        <v>1941.7500000000005</v>
      </c>
      <c r="S163" s="23">
        <v>703</v>
      </c>
      <c r="T163" s="28">
        <v>1238.7500000000005</v>
      </c>
      <c r="U163" s="23">
        <v>147.57</v>
      </c>
      <c r="V163" s="23">
        <v>1794.1800000000003</v>
      </c>
      <c r="W163" s="23">
        <f>SUMIFS(Transactions_and_Customer_Information_Joined[Gross Profit ($)], Transactions_and_Customer_Information_Joined[SKU], 'Competitive Analysis (Step 1)'!$A163, Transactions_and_Customer_Information_Joined[Order Status], "Completed")</f>
        <v>1091.1799999999998</v>
      </c>
      <c r="X163" s="9">
        <v>0.26410393605992699</v>
      </c>
      <c r="Y163" s="24">
        <v>11</v>
      </c>
      <c r="Z163" s="41">
        <v>6.8181818181818183</v>
      </c>
      <c r="AA163" s="21">
        <v>0.27272727272727271</v>
      </c>
      <c r="AB163" s="21">
        <v>0.27272727272727271</v>
      </c>
      <c r="AC163" s="21">
        <v>0.18181818181818182</v>
      </c>
      <c r="AD163" s="21">
        <v>0.18181818181818182</v>
      </c>
      <c r="AE163" s="21">
        <v>0</v>
      </c>
      <c r="AF163" s="31">
        <v>176.45454545454547</v>
      </c>
      <c r="AG163" s="21">
        <v>0.2857142857142857</v>
      </c>
      <c r="AH163" s="21">
        <v>0.23076923076923078</v>
      </c>
      <c r="AI163" s="5" t="str">
        <v>Reduce</v>
      </c>
    </row>
    <row r="164" spans="1:35">
      <c r="A164" s="24" t="str">
        <v>SKU-1038</v>
      </c>
      <c r="B164" s="24" t="str">
        <v>Hair Ties Pack</v>
      </c>
      <c r="C164" s="24" t="str">
        <v>BestDeals</v>
      </c>
      <c r="D164" s="23">
        <v>96.98</v>
      </c>
      <c r="E164" s="24">
        <v>3.8</v>
      </c>
      <c r="F164" s="24">
        <v>1134</v>
      </c>
      <c r="G164" s="40">
        <v>45318</v>
      </c>
      <c r="H164" s="28">
        <v>78.307500000000005</v>
      </c>
      <c r="I164" s="11">
        <f t="shared" si="2"/>
        <v>-0.12487110744483397</v>
      </c>
      <c r="J164" s="24" t="str">
        <v>Beauty &amp; Personal Care</v>
      </c>
      <c r="K164" s="23">
        <v>84.87</v>
      </c>
      <c r="L164" s="23">
        <v>28.12</v>
      </c>
      <c r="M164" s="9">
        <v>0.66866973017556264</v>
      </c>
      <c r="N164" s="24">
        <v>4.4000000000000004</v>
      </c>
      <c r="O164" s="24">
        <v>2741</v>
      </c>
      <c r="P164" s="24">
        <v>107</v>
      </c>
      <c r="Q164" s="24">
        <v>25</v>
      </c>
      <c r="R164" s="23">
        <v>1941.7500000000005</v>
      </c>
      <c r="S164" s="23">
        <v>703</v>
      </c>
      <c r="T164" s="28">
        <v>1238.7500000000005</v>
      </c>
      <c r="U164" s="23">
        <v>147.57</v>
      </c>
      <c r="V164" s="23">
        <v>1794.1800000000003</v>
      </c>
      <c r="W164" s="23">
        <f>SUMIFS(Transactions_and_Customer_Information_Joined[Gross Profit ($)], Transactions_and_Customer_Information_Joined[SKU], 'Competitive Analysis (Step 1)'!$A164, Transactions_and_Customer_Information_Joined[Order Status], "Completed")</f>
        <v>1091.1799999999998</v>
      </c>
      <c r="X164" s="9">
        <v>0.26410393605992699</v>
      </c>
      <c r="Y164" s="24">
        <v>11</v>
      </c>
      <c r="Z164" s="41">
        <v>6.8181818181818183</v>
      </c>
      <c r="AA164" s="21">
        <v>0.27272727272727271</v>
      </c>
      <c r="AB164" s="21">
        <v>0.27272727272727271</v>
      </c>
      <c r="AC164" s="21">
        <v>0.18181818181818182</v>
      </c>
      <c r="AD164" s="21">
        <v>0.18181818181818182</v>
      </c>
      <c r="AE164" s="21">
        <v>0</v>
      </c>
      <c r="AF164" s="31">
        <v>176.45454545454547</v>
      </c>
      <c r="AG164" s="21">
        <v>0.2857142857142857</v>
      </c>
      <c r="AH164" s="21">
        <v>0.23076923076923078</v>
      </c>
      <c r="AI164" s="5" t="str">
        <v>Raise</v>
      </c>
    </row>
    <row r="165" spans="1:35">
      <c r="A165" s="24" t="str">
        <v>SKU-1038</v>
      </c>
      <c r="B165" s="24" t="str">
        <v>Hair Ties Pack</v>
      </c>
      <c r="C165" s="24" t="str">
        <v>QuickCart</v>
      </c>
      <c r="D165" s="23">
        <v>74.58</v>
      </c>
      <c r="E165" s="24">
        <v>4.9000000000000004</v>
      </c>
      <c r="F165" s="24">
        <v>247</v>
      </c>
      <c r="G165" s="40">
        <v>45335</v>
      </c>
      <c r="H165" s="28">
        <v>78.307500000000005</v>
      </c>
      <c r="I165" s="11">
        <f t="shared" si="2"/>
        <v>0.13797264682220442</v>
      </c>
      <c r="J165" s="24" t="str">
        <v>Beauty &amp; Personal Care</v>
      </c>
      <c r="K165" s="23">
        <v>84.87</v>
      </c>
      <c r="L165" s="23">
        <v>28.12</v>
      </c>
      <c r="M165" s="9">
        <v>0.66866973017556264</v>
      </c>
      <c r="N165" s="24">
        <v>4.4000000000000004</v>
      </c>
      <c r="O165" s="24">
        <v>2741</v>
      </c>
      <c r="P165" s="24">
        <v>107</v>
      </c>
      <c r="Q165" s="24">
        <v>25</v>
      </c>
      <c r="R165" s="23">
        <v>1941.7500000000005</v>
      </c>
      <c r="S165" s="23">
        <v>703</v>
      </c>
      <c r="T165" s="28">
        <v>1238.7500000000005</v>
      </c>
      <c r="U165" s="23">
        <v>147.57</v>
      </c>
      <c r="V165" s="23">
        <v>1794.1800000000003</v>
      </c>
      <c r="W165" s="23">
        <f>SUMIFS(Transactions_and_Customer_Information_Joined[Gross Profit ($)], Transactions_and_Customer_Information_Joined[SKU], 'Competitive Analysis (Step 1)'!$A165, Transactions_and_Customer_Information_Joined[Order Status], "Completed")</f>
        <v>1091.1799999999998</v>
      </c>
      <c r="X165" s="9">
        <v>0.26410393605992699</v>
      </c>
      <c r="Y165" s="24">
        <v>11</v>
      </c>
      <c r="Z165" s="41">
        <v>6.8181818181818183</v>
      </c>
      <c r="AA165" s="21">
        <v>0.27272727272727271</v>
      </c>
      <c r="AB165" s="21">
        <v>0.27272727272727271</v>
      </c>
      <c r="AC165" s="21">
        <v>0.18181818181818182</v>
      </c>
      <c r="AD165" s="21">
        <v>0.18181818181818182</v>
      </c>
      <c r="AE165" s="21">
        <v>0</v>
      </c>
      <c r="AF165" s="31">
        <v>176.45454545454547</v>
      </c>
      <c r="AG165" s="21">
        <v>0.2857142857142857</v>
      </c>
      <c r="AH165" s="21">
        <v>0.23076923076923078</v>
      </c>
      <c r="AI165" s="5" t="str">
        <v>Reduce</v>
      </c>
    </row>
    <row r="166" spans="1:35">
      <c r="A166" s="24" t="str">
        <v>SKU-1039</v>
      </c>
      <c r="B166" s="24" t="str">
        <v>Nail Polish Set</v>
      </c>
      <c r="C166" s="24" t="str">
        <v>RivalMart</v>
      </c>
      <c r="D166" s="23">
        <v>212.68</v>
      </c>
      <c r="E166" s="24">
        <v>4</v>
      </c>
      <c r="F166" s="24">
        <v>1365</v>
      </c>
      <c r="G166" s="40">
        <v>45382</v>
      </c>
      <c r="H166" s="28">
        <v>219.14</v>
      </c>
      <c r="I166" s="11">
        <f t="shared" si="2"/>
        <v>-0.10668610118487867</v>
      </c>
      <c r="J166" s="24" t="str">
        <v>Beauty &amp; Personal Care</v>
      </c>
      <c r="K166" s="23">
        <v>189.99</v>
      </c>
      <c r="L166" s="23">
        <v>63.51</v>
      </c>
      <c r="M166" s="9">
        <v>0.66571924838149388</v>
      </c>
      <c r="N166" s="24">
        <v>4.9000000000000004</v>
      </c>
      <c r="O166" s="24">
        <v>675</v>
      </c>
      <c r="P166" s="24">
        <v>473</v>
      </c>
      <c r="Q166" s="24">
        <v>28</v>
      </c>
      <c r="R166" s="23">
        <v>5319.72</v>
      </c>
      <c r="S166" s="23">
        <v>1778.28</v>
      </c>
      <c r="T166" s="28">
        <v>3541.4400000000005</v>
      </c>
      <c r="U166" s="23">
        <v>607.97</v>
      </c>
      <c r="V166" s="23">
        <v>4711.7500000000009</v>
      </c>
      <c r="W166" s="23">
        <f>SUMIFS(Transactions_and_Customer_Information_Joined[Gross Profit ($)], Transactions_and_Customer_Information_Joined[SKU], 'Competitive Analysis (Step 1)'!$A166, Transactions_and_Customer_Information_Joined[Order Status], "Completed")</f>
        <v>2933.4700000000003</v>
      </c>
      <c r="X166" s="9">
        <v>0.10056772961213982</v>
      </c>
      <c r="Y166" s="24">
        <v>11</v>
      </c>
      <c r="Z166" s="41">
        <v>9.0909090909090917</v>
      </c>
      <c r="AA166" s="21">
        <v>0.27272727272727271</v>
      </c>
      <c r="AB166" s="21">
        <v>0.27272727272727271</v>
      </c>
      <c r="AC166" s="21">
        <v>0</v>
      </c>
      <c r="AD166" s="21">
        <v>0.18181818181818182</v>
      </c>
      <c r="AE166" s="21">
        <v>0.18181818181818182</v>
      </c>
      <c r="AF166" s="31">
        <v>160.63636363636363</v>
      </c>
      <c r="AG166" s="21">
        <v>0.16666666666666666</v>
      </c>
      <c r="AH166" s="21">
        <v>0.16666666666666666</v>
      </c>
      <c r="AI166" s="5" t="str">
        <v>Raise</v>
      </c>
    </row>
    <row r="167" spans="1:35">
      <c r="A167" s="24" t="str">
        <v>SKU-1039</v>
      </c>
      <c r="B167" s="24" t="str">
        <v>Nail Polish Set</v>
      </c>
      <c r="C167" s="24" t="str">
        <v>ShopNow</v>
      </c>
      <c r="D167" s="23">
        <v>219.14</v>
      </c>
      <c r="E167" s="24">
        <v>3.8</v>
      </c>
      <c r="F167" s="24">
        <v>918</v>
      </c>
      <c r="G167" s="40">
        <v>45323</v>
      </c>
      <c r="H167" s="28">
        <v>219.14</v>
      </c>
      <c r="I167" s="11">
        <f t="shared" si="2"/>
        <v>-0.13301998722277986</v>
      </c>
      <c r="J167" s="24" t="str">
        <v>Beauty &amp; Personal Care</v>
      </c>
      <c r="K167" s="23">
        <v>189.99</v>
      </c>
      <c r="L167" s="23">
        <v>63.51</v>
      </c>
      <c r="M167" s="9">
        <v>0.66571924838149388</v>
      </c>
      <c r="N167" s="24">
        <v>4.9000000000000004</v>
      </c>
      <c r="O167" s="24">
        <v>675</v>
      </c>
      <c r="P167" s="24">
        <v>473</v>
      </c>
      <c r="Q167" s="24">
        <v>28</v>
      </c>
      <c r="R167" s="23">
        <v>5319.72</v>
      </c>
      <c r="S167" s="23">
        <v>1778.28</v>
      </c>
      <c r="T167" s="28">
        <v>3541.4400000000005</v>
      </c>
      <c r="U167" s="23">
        <v>607.97</v>
      </c>
      <c r="V167" s="23">
        <v>4711.7500000000009</v>
      </c>
      <c r="W167" s="23">
        <f>SUMIFS(Transactions_and_Customer_Information_Joined[Gross Profit ($)], Transactions_and_Customer_Information_Joined[SKU], 'Competitive Analysis (Step 1)'!$A167, Transactions_and_Customer_Information_Joined[Order Status], "Completed")</f>
        <v>2933.4700000000003</v>
      </c>
      <c r="X167" s="9">
        <v>0.10056772961213982</v>
      </c>
      <c r="Y167" s="24">
        <v>11</v>
      </c>
      <c r="Z167" s="41">
        <v>9.0909090909090917</v>
      </c>
      <c r="AA167" s="21">
        <v>0.27272727272727271</v>
      </c>
      <c r="AB167" s="21">
        <v>0.27272727272727271</v>
      </c>
      <c r="AC167" s="21">
        <v>0</v>
      </c>
      <c r="AD167" s="21">
        <v>0.18181818181818182</v>
      </c>
      <c r="AE167" s="21">
        <v>0.18181818181818182</v>
      </c>
      <c r="AF167" s="31">
        <v>160.63636363636363</v>
      </c>
      <c r="AG167" s="21">
        <v>0.16666666666666666</v>
      </c>
      <c r="AH167" s="21">
        <v>0.16666666666666666</v>
      </c>
      <c r="AI167" s="5" t="str">
        <v>Raise</v>
      </c>
    </row>
    <row r="168" spans="1:35">
      <c r="A168" s="24" t="str">
        <v>SKU-1039</v>
      </c>
      <c r="B168" s="24" t="str">
        <v>Nail Polish Set</v>
      </c>
      <c r="C168" s="24" t="str">
        <v>BestDeals</v>
      </c>
      <c r="D168" s="23">
        <v>230.05</v>
      </c>
      <c r="E168" s="24">
        <v>3.3</v>
      </c>
      <c r="F168" s="24">
        <v>2056</v>
      </c>
      <c r="G168" s="40">
        <v>45312</v>
      </c>
      <c r="H168" s="28">
        <v>219.14</v>
      </c>
      <c r="I168" s="11">
        <f t="shared" si="2"/>
        <v>-0.1741360573788307</v>
      </c>
      <c r="J168" s="24" t="str">
        <v>Beauty &amp; Personal Care</v>
      </c>
      <c r="K168" s="23">
        <v>189.99</v>
      </c>
      <c r="L168" s="23">
        <v>63.51</v>
      </c>
      <c r="M168" s="9">
        <v>0.66571924838149388</v>
      </c>
      <c r="N168" s="24">
        <v>4.9000000000000004</v>
      </c>
      <c r="O168" s="24">
        <v>675</v>
      </c>
      <c r="P168" s="24">
        <v>473</v>
      </c>
      <c r="Q168" s="24">
        <v>28</v>
      </c>
      <c r="R168" s="23">
        <v>5319.72</v>
      </c>
      <c r="S168" s="23">
        <v>1778.28</v>
      </c>
      <c r="T168" s="28">
        <v>3541.4400000000005</v>
      </c>
      <c r="U168" s="23">
        <v>607.97</v>
      </c>
      <c r="V168" s="23">
        <v>4711.7500000000009</v>
      </c>
      <c r="W168" s="23">
        <f>SUMIFS(Transactions_and_Customer_Information_Joined[Gross Profit ($)], Transactions_and_Customer_Information_Joined[SKU], 'Competitive Analysis (Step 1)'!$A168, Transactions_and_Customer_Information_Joined[Order Status], "Completed")</f>
        <v>2933.4700000000003</v>
      </c>
      <c r="X168" s="9">
        <v>0.10056772961213982</v>
      </c>
      <c r="Y168" s="24">
        <v>11</v>
      </c>
      <c r="Z168" s="41">
        <v>9.0909090909090917</v>
      </c>
      <c r="AA168" s="21">
        <v>0.27272727272727271</v>
      </c>
      <c r="AB168" s="21">
        <v>0.27272727272727271</v>
      </c>
      <c r="AC168" s="21">
        <v>0</v>
      </c>
      <c r="AD168" s="21">
        <v>0.18181818181818182</v>
      </c>
      <c r="AE168" s="21">
        <v>0.18181818181818182</v>
      </c>
      <c r="AF168" s="31">
        <v>160.63636363636363</v>
      </c>
      <c r="AG168" s="21">
        <v>0.16666666666666666</v>
      </c>
      <c r="AH168" s="21">
        <v>0.16666666666666666</v>
      </c>
      <c r="AI168" s="5" t="str">
        <v>Raise</v>
      </c>
    </row>
    <row r="169" spans="1:35">
      <c r="A169" s="24" t="str">
        <v>SKU-1039</v>
      </c>
      <c r="B169" s="24" t="str">
        <v>Nail Polish Set</v>
      </c>
      <c r="C169" s="24" t="str">
        <v>QuickCart</v>
      </c>
      <c r="D169" s="23">
        <v>214.69</v>
      </c>
      <c r="E169" s="24">
        <v>3</v>
      </c>
      <c r="F169" s="24">
        <v>1375</v>
      </c>
      <c r="G169" s="40">
        <v>45311</v>
      </c>
      <c r="H169" s="28">
        <v>219.14</v>
      </c>
      <c r="I169" s="11">
        <f t="shared" si="2"/>
        <v>-0.11504960640924118</v>
      </c>
      <c r="J169" s="24" t="str">
        <v>Beauty &amp; Personal Care</v>
      </c>
      <c r="K169" s="23">
        <v>189.99</v>
      </c>
      <c r="L169" s="23">
        <v>63.51</v>
      </c>
      <c r="M169" s="9">
        <v>0.66571924838149388</v>
      </c>
      <c r="N169" s="24">
        <v>4.9000000000000004</v>
      </c>
      <c r="O169" s="24">
        <v>675</v>
      </c>
      <c r="P169" s="24">
        <v>473</v>
      </c>
      <c r="Q169" s="24">
        <v>28</v>
      </c>
      <c r="R169" s="23">
        <v>5319.72</v>
      </c>
      <c r="S169" s="23">
        <v>1778.28</v>
      </c>
      <c r="T169" s="28">
        <v>3541.4400000000005</v>
      </c>
      <c r="U169" s="23">
        <v>607.97</v>
      </c>
      <c r="V169" s="23">
        <v>4711.7500000000009</v>
      </c>
      <c r="W169" s="23">
        <f>SUMIFS(Transactions_and_Customer_Information_Joined[Gross Profit ($)], Transactions_and_Customer_Information_Joined[SKU], 'Competitive Analysis (Step 1)'!$A169, Transactions_and_Customer_Information_Joined[Order Status], "Completed")</f>
        <v>2933.4700000000003</v>
      </c>
      <c r="X169" s="9">
        <v>0.10056772961213982</v>
      </c>
      <c r="Y169" s="24">
        <v>11</v>
      </c>
      <c r="Z169" s="41">
        <v>9.0909090909090917</v>
      </c>
      <c r="AA169" s="21">
        <v>0.27272727272727271</v>
      </c>
      <c r="AB169" s="21">
        <v>0.27272727272727271</v>
      </c>
      <c r="AC169" s="21">
        <v>0</v>
      </c>
      <c r="AD169" s="21">
        <v>0.18181818181818182</v>
      </c>
      <c r="AE169" s="21">
        <v>0.18181818181818182</v>
      </c>
      <c r="AF169" s="31">
        <v>160.63636363636363</v>
      </c>
      <c r="AG169" s="21">
        <v>0.16666666666666666</v>
      </c>
      <c r="AH169" s="21">
        <v>0.16666666666666666</v>
      </c>
      <c r="AI169" s="5" t="str">
        <v>Raise</v>
      </c>
    </row>
    <row r="170" spans="1:35">
      <c r="A170" s="24" t="str">
        <v>SKU-1040</v>
      </c>
      <c r="B170" s="24" t="str">
        <v>Resistance Bands</v>
      </c>
      <c r="C170" s="24" t="str">
        <v>RivalMart</v>
      </c>
      <c r="D170" s="23">
        <v>19.760000000000002</v>
      </c>
      <c r="E170" s="24">
        <v>4.0999999999999996</v>
      </c>
      <c r="F170" s="24">
        <v>2270</v>
      </c>
      <c r="G170" s="40">
        <v>45339</v>
      </c>
      <c r="H170" s="28">
        <v>20.125</v>
      </c>
      <c r="I170" s="11">
        <f t="shared" si="2"/>
        <v>-5.3643724696356386E-2</v>
      </c>
      <c r="J170" s="24" t="str">
        <v>Sports &amp; Outdoors</v>
      </c>
      <c r="K170" s="23">
        <v>18.7</v>
      </c>
      <c r="L170" s="23">
        <v>6.86</v>
      </c>
      <c r="M170" s="9">
        <v>0.63315508021390376</v>
      </c>
      <c r="N170" s="24">
        <v>4.3</v>
      </c>
      <c r="O170" s="24">
        <v>1026</v>
      </c>
      <c r="P170" s="24">
        <v>410</v>
      </c>
      <c r="Q170" s="24">
        <v>26</v>
      </c>
      <c r="R170" s="23">
        <v>486.19999999999993</v>
      </c>
      <c r="S170" s="23">
        <v>178.35999999999999</v>
      </c>
      <c r="T170" s="28">
        <v>307.83999999999992</v>
      </c>
      <c r="U170" s="23">
        <v>42.1</v>
      </c>
      <c r="V170" s="23">
        <v>444.1</v>
      </c>
      <c r="W170" s="23">
        <f>SUMIFS(Transactions_and_Customer_Information_Joined[Gross Profit ($)], Transactions_and_Customer_Information_Joined[SKU], 'Competitive Analysis (Step 1)'!$A170, Transactions_and_Customer_Information_Joined[Order Status], "Completed")</f>
        <v>265.73999999999995</v>
      </c>
      <c r="X170" s="9">
        <v>1.0669894167980183</v>
      </c>
      <c r="Y170" s="24">
        <v>14</v>
      </c>
      <c r="Z170" s="41">
        <v>9.2857142857142865</v>
      </c>
      <c r="AA170" s="21">
        <v>0.35714285714285715</v>
      </c>
      <c r="AB170" s="21">
        <v>0.14285714285714285</v>
      </c>
      <c r="AC170" s="21">
        <v>7.1428571428571425E-2</v>
      </c>
      <c r="AD170" s="21">
        <v>7.1428571428571425E-2</v>
      </c>
      <c r="AE170" s="21">
        <v>0.2857142857142857</v>
      </c>
      <c r="AF170" s="31">
        <v>225.28571428571428</v>
      </c>
      <c r="AG170" s="21">
        <v>0.23076923076923078</v>
      </c>
      <c r="AH170" s="21">
        <v>0.16666666666666666</v>
      </c>
      <c r="AI170" s="5" t="str">
        <v>Hold</v>
      </c>
    </row>
    <row r="171" spans="1:35">
      <c r="A171" s="24" t="str">
        <v>SKU-1040</v>
      </c>
      <c r="B171" s="24" t="str">
        <v>Resistance Bands</v>
      </c>
      <c r="C171" s="24" t="str">
        <v>ShopNow</v>
      </c>
      <c r="D171" s="23">
        <v>23.37</v>
      </c>
      <c r="E171" s="24">
        <v>3.2</v>
      </c>
      <c r="F171" s="24">
        <v>383</v>
      </c>
      <c r="G171" s="40">
        <v>45341</v>
      </c>
      <c r="H171" s="28">
        <v>20.125</v>
      </c>
      <c r="I171" s="11">
        <f t="shared" si="2"/>
        <v>-0.19982884039366716</v>
      </c>
      <c r="J171" s="24" t="str">
        <v>Sports &amp; Outdoors</v>
      </c>
      <c r="K171" s="23">
        <v>18.7</v>
      </c>
      <c r="L171" s="23">
        <v>6.86</v>
      </c>
      <c r="M171" s="9">
        <v>0.63315508021390376</v>
      </c>
      <c r="N171" s="24">
        <v>4.3</v>
      </c>
      <c r="O171" s="24">
        <v>1026</v>
      </c>
      <c r="P171" s="24">
        <v>410</v>
      </c>
      <c r="Q171" s="24">
        <v>26</v>
      </c>
      <c r="R171" s="23">
        <v>486.19999999999993</v>
      </c>
      <c r="S171" s="23">
        <v>178.35999999999999</v>
      </c>
      <c r="T171" s="28">
        <v>307.83999999999992</v>
      </c>
      <c r="U171" s="23">
        <v>42.1</v>
      </c>
      <c r="V171" s="23">
        <v>444.1</v>
      </c>
      <c r="W171" s="23">
        <f>SUMIFS(Transactions_and_Customer_Information_Joined[Gross Profit ($)], Transactions_and_Customer_Information_Joined[SKU], 'Competitive Analysis (Step 1)'!$A171, Transactions_and_Customer_Information_Joined[Order Status], "Completed")</f>
        <v>265.73999999999995</v>
      </c>
      <c r="X171" s="9">
        <v>1.0669894167980183</v>
      </c>
      <c r="Y171" s="24">
        <v>14</v>
      </c>
      <c r="Z171" s="41">
        <v>9.2857142857142865</v>
      </c>
      <c r="AA171" s="21">
        <v>0.35714285714285715</v>
      </c>
      <c r="AB171" s="21">
        <v>0.14285714285714285</v>
      </c>
      <c r="AC171" s="21">
        <v>7.1428571428571425E-2</v>
      </c>
      <c r="AD171" s="21">
        <v>7.1428571428571425E-2</v>
      </c>
      <c r="AE171" s="21">
        <v>0.2857142857142857</v>
      </c>
      <c r="AF171" s="31">
        <v>225.28571428571428</v>
      </c>
      <c r="AG171" s="21">
        <v>0.23076923076923078</v>
      </c>
      <c r="AH171" s="21">
        <v>0.16666666666666666</v>
      </c>
      <c r="AI171" s="5" t="str">
        <v>Raise</v>
      </c>
    </row>
    <row r="172" spans="1:35">
      <c r="A172" s="24" t="str">
        <v>SKU-1040</v>
      </c>
      <c r="B172" s="24" t="str">
        <v>Resistance Bands</v>
      </c>
      <c r="C172" s="24" t="str">
        <v>BestDeals</v>
      </c>
      <c r="D172" s="23">
        <v>22.94</v>
      </c>
      <c r="E172" s="24">
        <v>4.0999999999999996</v>
      </c>
      <c r="F172" s="24">
        <v>1713</v>
      </c>
      <c r="G172" s="40">
        <v>45313</v>
      </c>
      <c r="H172" s="28">
        <v>20.125</v>
      </c>
      <c r="I172" s="11">
        <f t="shared" si="2"/>
        <v>-0.18482999128160427</v>
      </c>
      <c r="J172" s="24" t="str">
        <v>Sports &amp; Outdoors</v>
      </c>
      <c r="K172" s="23">
        <v>18.7</v>
      </c>
      <c r="L172" s="23">
        <v>6.86</v>
      </c>
      <c r="M172" s="9">
        <v>0.63315508021390376</v>
      </c>
      <c r="N172" s="24">
        <v>4.3</v>
      </c>
      <c r="O172" s="24">
        <v>1026</v>
      </c>
      <c r="P172" s="24">
        <v>410</v>
      </c>
      <c r="Q172" s="24">
        <v>26</v>
      </c>
      <c r="R172" s="23">
        <v>486.19999999999993</v>
      </c>
      <c r="S172" s="23">
        <v>178.35999999999999</v>
      </c>
      <c r="T172" s="28">
        <v>307.83999999999992</v>
      </c>
      <c r="U172" s="23">
        <v>42.1</v>
      </c>
      <c r="V172" s="23">
        <v>444.1</v>
      </c>
      <c r="W172" s="23">
        <f>SUMIFS(Transactions_and_Customer_Information_Joined[Gross Profit ($)], Transactions_and_Customer_Information_Joined[SKU], 'Competitive Analysis (Step 1)'!$A172, Transactions_and_Customer_Information_Joined[Order Status], "Completed")</f>
        <v>265.73999999999995</v>
      </c>
      <c r="X172" s="9">
        <v>1.0669894167980183</v>
      </c>
      <c r="Y172" s="24">
        <v>14</v>
      </c>
      <c r="Z172" s="41">
        <v>9.2857142857142865</v>
      </c>
      <c r="AA172" s="21">
        <v>0.35714285714285715</v>
      </c>
      <c r="AB172" s="21">
        <v>0.14285714285714285</v>
      </c>
      <c r="AC172" s="21">
        <v>7.1428571428571425E-2</v>
      </c>
      <c r="AD172" s="21">
        <v>7.1428571428571425E-2</v>
      </c>
      <c r="AE172" s="21">
        <v>0.2857142857142857</v>
      </c>
      <c r="AF172" s="31">
        <v>225.28571428571428</v>
      </c>
      <c r="AG172" s="21">
        <v>0.23076923076923078</v>
      </c>
      <c r="AH172" s="21">
        <v>0.16666666666666666</v>
      </c>
      <c r="AI172" s="5" t="str">
        <v>Raise</v>
      </c>
    </row>
    <row r="173" spans="1:35">
      <c r="A173" s="24" t="str">
        <v>SKU-1040</v>
      </c>
      <c r="B173" s="24" t="str">
        <v>Resistance Bands</v>
      </c>
      <c r="C173" s="24" t="str">
        <v>QuickCart</v>
      </c>
      <c r="D173" s="23">
        <v>14.43</v>
      </c>
      <c r="E173" s="24">
        <v>4.8</v>
      </c>
      <c r="F173" s="24">
        <v>548</v>
      </c>
      <c r="G173" s="40">
        <v>45326</v>
      </c>
      <c r="H173" s="28">
        <v>20.125</v>
      </c>
      <c r="I173" s="11">
        <f t="shared" si="2"/>
        <v>0.29591129591129589</v>
      </c>
      <c r="J173" s="24" t="str">
        <v>Sports &amp; Outdoors</v>
      </c>
      <c r="K173" s="23">
        <v>18.7</v>
      </c>
      <c r="L173" s="23">
        <v>6.86</v>
      </c>
      <c r="M173" s="9">
        <v>0.63315508021390376</v>
      </c>
      <c r="N173" s="24">
        <v>4.3</v>
      </c>
      <c r="O173" s="24">
        <v>1026</v>
      </c>
      <c r="P173" s="24">
        <v>410</v>
      </c>
      <c r="Q173" s="24">
        <v>26</v>
      </c>
      <c r="R173" s="23">
        <v>486.19999999999993</v>
      </c>
      <c r="S173" s="23">
        <v>178.35999999999999</v>
      </c>
      <c r="T173" s="28">
        <v>307.83999999999992</v>
      </c>
      <c r="U173" s="23">
        <v>42.1</v>
      </c>
      <c r="V173" s="23">
        <v>444.1</v>
      </c>
      <c r="W173" s="23">
        <f>SUMIFS(Transactions_and_Customer_Information_Joined[Gross Profit ($)], Transactions_and_Customer_Information_Joined[SKU], 'Competitive Analysis (Step 1)'!$A173, Transactions_and_Customer_Information_Joined[Order Status], "Completed")</f>
        <v>265.73999999999995</v>
      </c>
      <c r="X173" s="9">
        <v>1.0669894167980183</v>
      </c>
      <c r="Y173" s="24">
        <v>14</v>
      </c>
      <c r="Z173" s="41">
        <v>9.2857142857142865</v>
      </c>
      <c r="AA173" s="21">
        <v>0.35714285714285715</v>
      </c>
      <c r="AB173" s="21">
        <v>0.14285714285714285</v>
      </c>
      <c r="AC173" s="21">
        <v>7.1428571428571425E-2</v>
      </c>
      <c r="AD173" s="21">
        <v>7.1428571428571425E-2</v>
      </c>
      <c r="AE173" s="21">
        <v>0.2857142857142857</v>
      </c>
      <c r="AF173" s="31">
        <v>225.28571428571428</v>
      </c>
      <c r="AG173" s="21">
        <v>0.23076923076923078</v>
      </c>
      <c r="AH173" s="21">
        <v>0.16666666666666666</v>
      </c>
      <c r="AI173" s="5" t="str">
        <v>Reduce</v>
      </c>
    </row>
    <row r="174" spans="1:35">
      <c r="A174" s="24" t="str">
        <v>SKU-1041</v>
      </c>
      <c r="B174" s="24" t="str">
        <v>Yoga Mat</v>
      </c>
      <c r="C174" s="24" t="str">
        <v>RivalMart</v>
      </c>
      <c r="D174" s="23">
        <v>77.099999999999994</v>
      </c>
      <c r="E174" s="24">
        <v>3.7</v>
      </c>
      <c r="F174" s="24">
        <v>1388</v>
      </c>
      <c r="G174" s="40">
        <v>45377</v>
      </c>
      <c r="H174" s="28">
        <v>96.720000000000013</v>
      </c>
      <c r="I174" s="11">
        <f t="shared" si="2"/>
        <v>0.32464332036316473</v>
      </c>
      <c r="J174" s="24" t="str">
        <v>Sports &amp; Outdoors</v>
      </c>
      <c r="K174" s="23">
        <v>102.13</v>
      </c>
      <c r="L174" s="23">
        <v>64.05</v>
      </c>
      <c r="M174" s="9">
        <v>0.37285812200137081</v>
      </c>
      <c r="N174" s="24">
        <v>4.5999999999999996</v>
      </c>
      <c r="O174" s="24">
        <v>1895</v>
      </c>
      <c r="P174" s="24">
        <v>102</v>
      </c>
      <c r="Q174" s="24">
        <v>39</v>
      </c>
      <c r="R174" s="23">
        <v>3642.99</v>
      </c>
      <c r="S174" s="23">
        <v>2497.9500000000003</v>
      </c>
      <c r="T174" s="28">
        <v>1145.0399999999995</v>
      </c>
      <c r="U174" s="23">
        <v>154.11000000000001</v>
      </c>
      <c r="V174" s="23">
        <v>3488.8800000000006</v>
      </c>
      <c r="W174" s="23">
        <f>SUMIFS(Transactions_and_Customer_Information_Joined[Gross Profit ($)], Transactions_and_Customer_Information_Joined[SKU], 'Competitive Analysis (Step 1)'!$A174, Transactions_and_Customer_Information_Joined[Order Status], "Completed")</f>
        <v>990.93000000000018</v>
      </c>
      <c r="X174" s="9">
        <v>0.13581722501203819</v>
      </c>
      <c r="Y174" s="24">
        <v>15</v>
      </c>
      <c r="Z174" s="41">
        <v>5</v>
      </c>
      <c r="AA174" s="21">
        <v>0.2</v>
      </c>
      <c r="AB174" s="21">
        <v>6.6666666666666666E-2</v>
      </c>
      <c r="AC174" s="21">
        <v>0.13333333333333333</v>
      </c>
      <c r="AD174" s="21">
        <v>0.4</v>
      </c>
      <c r="AE174" s="21">
        <v>6.6666666666666666E-2</v>
      </c>
      <c r="AF174" s="31">
        <v>191.33333333333334</v>
      </c>
      <c r="AG174" s="21">
        <v>0.41176470588235292</v>
      </c>
      <c r="AH174" s="21">
        <v>0.2857142857142857</v>
      </c>
      <c r="AI174" s="5" t="str">
        <v>Reduce</v>
      </c>
    </row>
    <row r="175" spans="1:35">
      <c r="A175" s="24" t="str">
        <v>SKU-1041</v>
      </c>
      <c r="B175" s="24" t="str">
        <v>Yoga Mat</v>
      </c>
      <c r="C175" s="24" t="str">
        <v>ShopNow</v>
      </c>
      <c r="D175" s="23">
        <v>118.33</v>
      </c>
      <c r="E175" s="24">
        <v>3.1</v>
      </c>
      <c r="F175" s="24">
        <v>2360</v>
      </c>
      <c r="G175" s="40">
        <v>45308</v>
      </c>
      <c r="H175" s="28">
        <v>96.720000000000013</v>
      </c>
      <c r="I175" s="11">
        <f t="shared" si="2"/>
        <v>-0.1369052649370405</v>
      </c>
      <c r="J175" s="24" t="str">
        <v>Sports &amp; Outdoors</v>
      </c>
      <c r="K175" s="23">
        <v>102.13</v>
      </c>
      <c r="L175" s="23">
        <v>64.05</v>
      </c>
      <c r="M175" s="9">
        <v>0.37285812200137081</v>
      </c>
      <c r="N175" s="24">
        <v>4.5999999999999996</v>
      </c>
      <c r="O175" s="24">
        <v>1895</v>
      </c>
      <c r="P175" s="24">
        <v>102</v>
      </c>
      <c r="Q175" s="24">
        <v>39</v>
      </c>
      <c r="R175" s="23">
        <v>3642.99</v>
      </c>
      <c r="S175" s="23">
        <v>2497.9500000000003</v>
      </c>
      <c r="T175" s="28">
        <v>1145.0399999999995</v>
      </c>
      <c r="U175" s="23">
        <v>154.11000000000001</v>
      </c>
      <c r="V175" s="23">
        <v>3488.8800000000006</v>
      </c>
      <c r="W175" s="23">
        <f>SUMIFS(Transactions_and_Customer_Information_Joined[Gross Profit ($)], Transactions_and_Customer_Information_Joined[SKU], 'Competitive Analysis (Step 1)'!$A175, Transactions_and_Customer_Information_Joined[Order Status], "Completed")</f>
        <v>990.93000000000018</v>
      </c>
      <c r="X175" s="9">
        <v>0.13581722501203819</v>
      </c>
      <c r="Y175" s="24">
        <v>15</v>
      </c>
      <c r="Z175" s="41">
        <v>5</v>
      </c>
      <c r="AA175" s="21">
        <v>0.2</v>
      </c>
      <c r="AB175" s="21">
        <v>6.6666666666666666E-2</v>
      </c>
      <c r="AC175" s="21">
        <v>0.13333333333333333</v>
      </c>
      <c r="AD175" s="21">
        <v>0.4</v>
      </c>
      <c r="AE175" s="21">
        <v>6.6666666666666666E-2</v>
      </c>
      <c r="AF175" s="31">
        <v>191.33333333333334</v>
      </c>
      <c r="AG175" s="21">
        <v>0.41176470588235292</v>
      </c>
      <c r="AH175" s="21">
        <v>0.2857142857142857</v>
      </c>
      <c r="AI175" s="5" t="str">
        <v>Raise</v>
      </c>
    </row>
    <row r="176" spans="1:35">
      <c r="A176" s="24" t="str">
        <v>SKU-1041</v>
      </c>
      <c r="B176" s="24" t="str">
        <v>Yoga Mat</v>
      </c>
      <c r="C176" s="24" t="str">
        <v>BestDeals</v>
      </c>
      <c r="D176" s="23">
        <v>82.53</v>
      </c>
      <c r="E176" s="24">
        <v>4.7</v>
      </c>
      <c r="F176" s="24">
        <v>1367</v>
      </c>
      <c r="G176" s="40">
        <v>45297</v>
      </c>
      <c r="H176" s="28">
        <v>96.720000000000013</v>
      </c>
      <c r="I176" s="11">
        <f t="shared" si="2"/>
        <v>0.23748939779474124</v>
      </c>
      <c r="J176" s="24" t="str">
        <v>Sports &amp; Outdoors</v>
      </c>
      <c r="K176" s="23">
        <v>102.13</v>
      </c>
      <c r="L176" s="23">
        <v>64.05</v>
      </c>
      <c r="M176" s="9">
        <v>0.37285812200137081</v>
      </c>
      <c r="N176" s="24">
        <v>4.5999999999999996</v>
      </c>
      <c r="O176" s="24">
        <v>1895</v>
      </c>
      <c r="P176" s="24">
        <v>102</v>
      </c>
      <c r="Q176" s="24">
        <v>39</v>
      </c>
      <c r="R176" s="23">
        <v>3642.99</v>
      </c>
      <c r="S176" s="23">
        <v>2497.9500000000003</v>
      </c>
      <c r="T176" s="28">
        <v>1145.0399999999995</v>
      </c>
      <c r="U176" s="23">
        <v>154.11000000000001</v>
      </c>
      <c r="V176" s="23">
        <v>3488.8800000000006</v>
      </c>
      <c r="W176" s="23">
        <f>SUMIFS(Transactions_and_Customer_Information_Joined[Gross Profit ($)], Transactions_and_Customer_Information_Joined[SKU], 'Competitive Analysis (Step 1)'!$A176, Transactions_and_Customer_Information_Joined[Order Status], "Completed")</f>
        <v>990.93000000000018</v>
      </c>
      <c r="X176" s="9">
        <v>0.13581722501203819</v>
      </c>
      <c r="Y176" s="24">
        <v>15</v>
      </c>
      <c r="Z176" s="41">
        <v>5</v>
      </c>
      <c r="AA176" s="21">
        <v>0.2</v>
      </c>
      <c r="AB176" s="21">
        <v>6.6666666666666666E-2</v>
      </c>
      <c r="AC176" s="21">
        <v>0.13333333333333333</v>
      </c>
      <c r="AD176" s="21">
        <v>0.4</v>
      </c>
      <c r="AE176" s="21">
        <v>6.6666666666666666E-2</v>
      </c>
      <c r="AF176" s="31">
        <v>191.33333333333334</v>
      </c>
      <c r="AG176" s="21">
        <v>0.41176470588235292</v>
      </c>
      <c r="AH176" s="21">
        <v>0.2857142857142857</v>
      </c>
      <c r="AI176" s="5" t="str">
        <v>Reduce</v>
      </c>
    </row>
    <row r="177" spans="1:35">
      <c r="A177" s="24" t="str">
        <v>SKU-1041</v>
      </c>
      <c r="B177" s="24" t="str">
        <v>Yoga Mat</v>
      </c>
      <c r="C177" s="24" t="str">
        <v>QuickCart</v>
      </c>
      <c r="D177" s="23">
        <v>108.92</v>
      </c>
      <c r="E177" s="24">
        <v>3</v>
      </c>
      <c r="F177" s="24">
        <v>1114</v>
      </c>
      <c r="G177" s="40">
        <v>45324</v>
      </c>
      <c r="H177" s="28">
        <v>96.720000000000013</v>
      </c>
      <c r="I177" s="11">
        <f t="shared" si="2"/>
        <v>-6.2339331619537329E-2</v>
      </c>
      <c r="J177" s="24" t="str">
        <v>Sports &amp; Outdoors</v>
      </c>
      <c r="K177" s="23">
        <v>102.13</v>
      </c>
      <c r="L177" s="23">
        <v>64.05</v>
      </c>
      <c r="M177" s="9">
        <v>0.37285812200137081</v>
      </c>
      <c r="N177" s="24">
        <v>4.5999999999999996</v>
      </c>
      <c r="O177" s="24">
        <v>1895</v>
      </c>
      <c r="P177" s="24">
        <v>102</v>
      </c>
      <c r="Q177" s="24">
        <v>39</v>
      </c>
      <c r="R177" s="23">
        <v>3642.99</v>
      </c>
      <c r="S177" s="23">
        <v>2497.9500000000003</v>
      </c>
      <c r="T177" s="28">
        <v>1145.0399999999995</v>
      </c>
      <c r="U177" s="23">
        <v>154.11000000000001</v>
      </c>
      <c r="V177" s="23">
        <v>3488.8800000000006</v>
      </c>
      <c r="W177" s="23">
        <f>SUMIFS(Transactions_and_Customer_Information_Joined[Gross Profit ($)], Transactions_and_Customer_Information_Joined[SKU], 'Competitive Analysis (Step 1)'!$A177, Transactions_and_Customer_Information_Joined[Order Status], "Completed")</f>
        <v>990.93000000000018</v>
      </c>
      <c r="X177" s="9">
        <v>0.13581722501203819</v>
      </c>
      <c r="Y177" s="24">
        <v>15</v>
      </c>
      <c r="Z177" s="41">
        <v>5</v>
      </c>
      <c r="AA177" s="21">
        <v>0.2</v>
      </c>
      <c r="AB177" s="21">
        <v>6.6666666666666666E-2</v>
      </c>
      <c r="AC177" s="21">
        <v>0.13333333333333333</v>
      </c>
      <c r="AD177" s="21">
        <v>0.4</v>
      </c>
      <c r="AE177" s="21">
        <v>6.6666666666666666E-2</v>
      </c>
      <c r="AF177" s="31">
        <v>191.33333333333334</v>
      </c>
      <c r="AG177" s="21">
        <v>0.41176470588235292</v>
      </c>
      <c r="AH177" s="21">
        <v>0.2857142857142857</v>
      </c>
      <c r="AI177" s="5" t="str">
        <v>Hold</v>
      </c>
    </row>
    <row r="178" spans="1:35">
      <c r="A178" s="24" t="str">
        <v>SKU-1042</v>
      </c>
      <c r="B178" s="24" t="str">
        <v>Water Bottle</v>
      </c>
      <c r="C178" s="24" t="str">
        <v>RivalMart</v>
      </c>
      <c r="D178" s="23">
        <v>239.4</v>
      </c>
      <c r="E178" s="24">
        <v>3.9</v>
      </c>
      <c r="F178" s="24">
        <v>2380</v>
      </c>
      <c r="G178" s="40">
        <v>45333</v>
      </c>
      <c r="H178" s="28">
        <v>196.82249999999999</v>
      </c>
      <c r="I178" s="11">
        <f t="shared" si="2"/>
        <v>-0.17493734335839597</v>
      </c>
      <c r="J178" s="24" t="str">
        <v>Sports &amp; Outdoors</v>
      </c>
      <c r="K178" s="23">
        <v>197.52</v>
      </c>
      <c r="L178" s="23">
        <v>66.540000000000006</v>
      </c>
      <c r="M178" s="9">
        <v>0.66312272174969633</v>
      </c>
      <c r="N178" s="24">
        <v>3.7</v>
      </c>
      <c r="O178" s="24">
        <v>294</v>
      </c>
      <c r="P178" s="24">
        <v>204</v>
      </c>
      <c r="Q178" s="24">
        <v>23</v>
      </c>
      <c r="R178" s="23">
        <v>4542.96</v>
      </c>
      <c r="S178" s="23">
        <v>1530.42</v>
      </c>
      <c r="T178" s="28">
        <v>3012.54</v>
      </c>
      <c r="U178" s="23">
        <v>207.4</v>
      </c>
      <c r="V178" s="23">
        <v>4335.5599999999995</v>
      </c>
      <c r="W178" s="23">
        <f>SUMIFS(Transactions_and_Customer_Information_Joined[Gross Profit ($)], Transactions_and_Customer_Information_Joined[SKU], 'Competitive Analysis (Step 1)'!$A178, Transactions_and_Customer_Information_Joined[Order Status], "Completed")</f>
        <v>2805.14</v>
      </c>
      <c r="X178" s="9">
        <v>0.10929383978078956</v>
      </c>
      <c r="Y178" s="24">
        <v>11</v>
      </c>
      <c r="Z178" s="41">
        <v>4.5454545454545459</v>
      </c>
      <c r="AA178" s="21">
        <v>0.45454545454545453</v>
      </c>
      <c r="AB178" s="21">
        <v>9.0909090909090912E-2</v>
      </c>
      <c r="AC178" s="21">
        <v>0.27272727272727271</v>
      </c>
      <c r="AD178" s="21">
        <v>0.27272727272727271</v>
      </c>
      <c r="AE178" s="21">
        <v>0</v>
      </c>
      <c r="AF178" s="31">
        <v>183.63636363636363</v>
      </c>
      <c r="AG178" s="21">
        <v>0.23076923076923078</v>
      </c>
      <c r="AH178" s="21">
        <v>0.23076923076923078</v>
      </c>
      <c r="AI178" s="5" t="str">
        <v>Raise</v>
      </c>
    </row>
    <row r="179" spans="1:35">
      <c r="A179" s="24" t="str">
        <v>SKU-1042</v>
      </c>
      <c r="B179" s="24" t="str">
        <v>Water Bottle</v>
      </c>
      <c r="C179" s="24" t="str">
        <v>ShopNow</v>
      </c>
      <c r="D179" s="23">
        <v>150.81</v>
      </c>
      <c r="E179" s="24">
        <v>4.5</v>
      </c>
      <c r="F179" s="24">
        <v>343</v>
      </c>
      <c r="G179" s="40">
        <v>45359</v>
      </c>
      <c r="H179" s="28">
        <v>196.82249999999999</v>
      </c>
      <c r="I179" s="11">
        <f t="shared" si="2"/>
        <v>0.30972747165307346</v>
      </c>
      <c r="J179" s="24" t="str">
        <v>Sports &amp; Outdoors</v>
      </c>
      <c r="K179" s="23">
        <v>197.52</v>
      </c>
      <c r="L179" s="23">
        <v>66.540000000000006</v>
      </c>
      <c r="M179" s="9">
        <v>0.66312272174969633</v>
      </c>
      <c r="N179" s="24">
        <v>3.7</v>
      </c>
      <c r="O179" s="24">
        <v>294</v>
      </c>
      <c r="P179" s="24">
        <v>204</v>
      </c>
      <c r="Q179" s="24">
        <v>23</v>
      </c>
      <c r="R179" s="23">
        <v>4542.96</v>
      </c>
      <c r="S179" s="23">
        <v>1530.42</v>
      </c>
      <c r="T179" s="28">
        <v>3012.54</v>
      </c>
      <c r="U179" s="23">
        <v>207.4</v>
      </c>
      <c r="V179" s="23">
        <v>4335.5599999999995</v>
      </c>
      <c r="W179" s="23">
        <f>SUMIFS(Transactions_and_Customer_Information_Joined[Gross Profit ($)], Transactions_and_Customer_Information_Joined[SKU], 'Competitive Analysis (Step 1)'!$A179, Transactions_and_Customer_Information_Joined[Order Status], "Completed")</f>
        <v>2805.14</v>
      </c>
      <c r="X179" s="9">
        <v>0.10929383978078956</v>
      </c>
      <c r="Y179" s="24">
        <v>11</v>
      </c>
      <c r="Z179" s="41">
        <v>4.5454545454545459</v>
      </c>
      <c r="AA179" s="21">
        <v>0.45454545454545453</v>
      </c>
      <c r="AB179" s="21">
        <v>9.0909090909090912E-2</v>
      </c>
      <c r="AC179" s="21">
        <v>0.27272727272727271</v>
      </c>
      <c r="AD179" s="21">
        <v>0.27272727272727271</v>
      </c>
      <c r="AE179" s="21">
        <v>0</v>
      </c>
      <c r="AF179" s="31">
        <v>183.63636363636363</v>
      </c>
      <c r="AG179" s="21">
        <v>0.23076923076923078</v>
      </c>
      <c r="AH179" s="21">
        <v>0.23076923076923078</v>
      </c>
      <c r="AI179" s="5" t="str">
        <v>Reduce</v>
      </c>
    </row>
    <row r="180" spans="1:35">
      <c r="A180" s="24" t="str">
        <v>SKU-1042</v>
      </c>
      <c r="B180" s="24" t="str">
        <v>Water Bottle</v>
      </c>
      <c r="C180" s="24" t="str">
        <v>BestDeals</v>
      </c>
      <c r="D180" s="23">
        <v>176.32</v>
      </c>
      <c r="E180" s="24">
        <v>3.5</v>
      </c>
      <c r="F180" s="24">
        <v>2396</v>
      </c>
      <c r="G180" s="40">
        <v>45327</v>
      </c>
      <c r="H180" s="28">
        <v>196.82249999999999</v>
      </c>
      <c r="I180" s="11">
        <f t="shared" si="2"/>
        <v>0.12023593466424692</v>
      </c>
      <c r="J180" s="24" t="str">
        <v>Sports &amp; Outdoors</v>
      </c>
      <c r="K180" s="23">
        <v>197.52</v>
      </c>
      <c r="L180" s="23">
        <v>66.540000000000006</v>
      </c>
      <c r="M180" s="9">
        <v>0.66312272174969633</v>
      </c>
      <c r="N180" s="24">
        <v>3.7</v>
      </c>
      <c r="O180" s="24">
        <v>294</v>
      </c>
      <c r="P180" s="24">
        <v>204</v>
      </c>
      <c r="Q180" s="24">
        <v>23</v>
      </c>
      <c r="R180" s="23">
        <v>4542.96</v>
      </c>
      <c r="S180" s="23">
        <v>1530.42</v>
      </c>
      <c r="T180" s="28">
        <v>3012.54</v>
      </c>
      <c r="U180" s="23">
        <v>207.4</v>
      </c>
      <c r="V180" s="23">
        <v>4335.5599999999995</v>
      </c>
      <c r="W180" s="23">
        <f>SUMIFS(Transactions_and_Customer_Information_Joined[Gross Profit ($)], Transactions_and_Customer_Information_Joined[SKU], 'Competitive Analysis (Step 1)'!$A180, Transactions_and_Customer_Information_Joined[Order Status], "Completed")</f>
        <v>2805.14</v>
      </c>
      <c r="X180" s="9">
        <v>0.10929383978078956</v>
      </c>
      <c r="Y180" s="24">
        <v>11</v>
      </c>
      <c r="Z180" s="41">
        <v>4.5454545454545459</v>
      </c>
      <c r="AA180" s="21">
        <v>0.45454545454545453</v>
      </c>
      <c r="AB180" s="21">
        <v>9.0909090909090912E-2</v>
      </c>
      <c r="AC180" s="21">
        <v>0.27272727272727271</v>
      </c>
      <c r="AD180" s="21">
        <v>0.27272727272727271</v>
      </c>
      <c r="AE180" s="21">
        <v>0</v>
      </c>
      <c r="AF180" s="31">
        <v>183.63636363636363</v>
      </c>
      <c r="AG180" s="21">
        <v>0.23076923076923078</v>
      </c>
      <c r="AH180" s="21">
        <v>0.23076923076923078</v>
      </c>
      <c r="AI180" s="5" t="str">
        <v>Reduce</v>
      </c>
    </row>
    <row r="181" spans="1:35">
      <c r="A181" s="24" t="str">
        <v>SKU-1042</v>
      </c>
      <c r="B181" s="24" t="str">
        <v>Water Bottle</v>
      </c>
      <c r="C181" s="24" t="str">
        <v>QuickCart</v>
      </c>
      <c r="D181" s="23">
        <v>220.76</v>
      </c>
      <c r="E181" s="24">
        <v>3.1</v>
      </c>
      <c r="F181" s="24">
        <v>1212</v>
      </c>
      <c r="G181" s="40">
        <v>45351</v>
      </c>
      <c r="H181" s="28">
        <v>196.82249999999999</v>
      </c>
      <c r="I181" s="11">
        <f t="shared" si="2"/>
        <v>-0.10527269432868265</v>
      </c>
      <c r="J181" s="24" t="str">
        <v>Sports &amp; Outdoors</v>
      </c>
      <c r="K181" s="23">
        <v>197.52</v>
      </c>
      <c r="L181" s="23">
        <v>66.540000000000006</v>
      </c>
      <c r="M181" s="9">
        <v>0.66312272174969633</v>
      </c>
      <c r="N181" s="24">
        <v>3.7</v>
      </c>
      <c r="O181" s="24">
        <v>294</v>
      </c>
      <c r="P181" s="24">
        <v>204</v>
      </c>
      <c r="Q181" s="24">
        <v>23</v>
      </c>
      <c r="R181" s="23">
        <v>4542.96</v>
      </c>
      <c r="S181" s="23">
        <v>1530.42</v>
      </c>
      <c r="T181" s="28">
        <v>3012.54</v>
      </c>
      <c r="U181" s="23">
        <v>207.4</v>
      </c>
      <c r="V181" s="23">
        <v>4335.5599999999995</v>
      </c>
      <c r="W181" s="23">
        <f>SUMIFS(Transactions_and_Customer_Information_Joined[Gross Profit ($)], Transactions_and_Customer_Information_Joined[SKU], 'Competitive Analysis (Step 1)'!$A181, Transactions_and_Customer_Information_Joined[Order Status], "Completed")</f>
        <v>2805.14</v>
      </c>
      <c r="X181" s="9">
        <v>0.10929383978078956</v>
      </c>
      <c r="Y181" s="24">
        <v>11</v>
      </c>
      <c r="Z181" s="41">
        <v>4.5454545454545459</v>
      </c>
      <c r="AA181" s="21">
        <v>0.45454545454545453</v>
      </c>
      <c r="AB181" s="21">
        <v>9.0909090909090912E-2</v>
      </c>
      <c r="AC181" s="21">
        <v>0.27272727272727271</v>
      </c>
      <c r="AD181" s="21">
        <v>0.27272727272727271</v>
      </c>
      <c r="AE181" s="21">
        <v>0</v>
      </c>
      <c r="AF181" s="31">
        <v>183.63636363636363</v>
      </c>
      <c r="AG181" s="21">
        <v>0.23076923076923078</v>
      </c>
      <c r="AH181" s="21">
        <v>0.23076923076923078</v>
      </c>
      <c r="AI181" s="5" t="str">
        <v>Raise</v>
      </c>
    </row>
    <row r="182" spans="1:35">
      <c r="A182" s="24" t="str">
        <v>SKU-1043</v>
      </c>
      <c r="B182" s="24" t="str">
        <v>Jump Rope</v>
      </c>
      <c r="C182" s="24" t="str">
        <v>RivalMart</v>
      </c>
      <c r="D182" s="23">
        <v>131.84</v>
      </c>
      <c r="E182" s="24">
        <v>3.4</v>
      </c>
      <c r="F182" s="24">
        <v>1031</v>
      </c>
      <c r="G182" s="40">
        <v>45331</v>
      </c>
      <c r="H182" s="28">
        <v>118.0575</v>
      </c>
      <c r="I182" s="11">
        <f t="shared" si="2"/>
        <v>-0.14623786407766992</v>
      </c>
      <c r="J182" s="24" t="str">
        <v>Sports &amp; Outdoors</v>
      </c>
      <c r="K182" s="23">
        <v>112.56</v>
      </c>
      <c r="L182" s="23">
        <v>53.11</v>
      </c>
      <c r="M182" s="9">
        <v>0.52816275764036957</v>
      </c>
      <c r="N182" s="24">
        <v>4.8</v>
      </c>
      <c r="O182" s="24">
        <v>1079</v>
      </c>
      <c r="P182" s="24">
        <v>59</v>
      </c>
      <c r="Q182" s="24">
        <v>40</v>
      </c>
      <c r="R182" s="23">
        <v>3755.1999999999994</v>
      </c>
      <c r="S182" s="23">
        <v>2124.3999999999996</v>
      </c>
      <c r="T182" s="28">
        <v>1630.7999999999997</v>
      </c>
      <c r="U182" s="23">
        <v>211.22</v>
      </c>
      <c r="V182" s="23">
        <v>3543.9799999999991</v>
      </c>
      <c r="W182" s="23">
        <f>SUMIFS(Transactions_and_Customer_Information_Joined[Gross Profit ($)], Transactions_and_Customer_Information_Joined[SKU], 'Competitive Analysis (Step 1)'!$A182, Transactions_and_Customer_Information_Joined[Order Status], "Completed")</f>
        <v>1419.58</v>
      </c>
      <c r="X182" s="9">
        <v>0.13370560781945723</v>
      </c>
      <c r="Y182" s="24">
        <v>16</v>
      </c>
      <c r="Z182" s="41">
        <v>5.9375</v>
      </c>
      <c r="AA182" s="21">
        <v>0.375</v>
      </c>
      <c r="AB182" s="21">
        <v>0.1875</v>
      </c>
      <c r="AC182" s="21">
        <v>0.125</v>
      </c>
      <c r="AD182" s="21">
        <v>0.125</v>
      </c>
      <c r="AE182" s="21">
        <v>0.25</v>
      </c>
      <c r="AF182" s="31">
        <v>191.1875</v>
      </c>
      <c r="AG182" s="21">
        <v>0.41176470588235292</v>
      </c>
      <c r="AH182" s="21">
        <v>0.23076923076923078</v>
      </c>
      <c r="AI182" s="5" t="str">
        <v>Raise</v>
      </c>
    </row>
    <row r="183" spans="1:35">
      <c r="A183" s="24" t="str">
        <v>SKU-1043</v>
      </c>
      <c r="B183" s="24" t="str">
        <v>Jump Rope</v>
      </c>
      <c r="C183" s="24" t="str">
        <v>ShopNow</v>
      </c>
      <c r="D183" s="23">
        <v>140.22999999999999</v>
      </c>
      <c r="E183" s="24">
        <v>3.7</v>
      </c>
      <c r="F183" s="24">
        <v>1482</v>
      </c>
      <c r="G183" s="40">
        <v>45344</v>
      </c>
      <c r="H183" s="28">
        <v>118.0575</v>
      </c>
      <c r="I183" s="11">
        <f t="shared" si="2"/>
        <v>-0.19731869072238459</v>
      </c>
      <c r="J183" s="24" t="str">
        <v>Sports &amp; Outdoors</v>
      </c>
      <c r="K183" s="23">
        <v>112.56</v>
      </c>
      <c r="L183" s="23">
        <v>53.11</v>
      </c>
      <c r="M183" s="9">
        <v>0.52816275764036957</v>
      </c>
      <c r="N183" s="24">
        <v>4.8</v>
      </c>
      <c r="O183" s="24">
        <v>1079</v>
      </c>
      <c r="P183" s="24">
        <v>59</v>
      </c>
      <c r="Q183" s="24">
        <v>40</v>
      </c>
      <c r="R183" s="23">
        <v>3755.1999999999994</v>
      </c>
      <c r="S183" s="23">
        <v>2124.3999999999996</v>
      </c>
      <c r="T183" s="28">
        <v>1630.7999999999997</v>
      </c>
      <c r="U183" s="23">
        <v>211.22</v>
      </c>
      <c r="V183" s="23">
        <v>3543.9799999999991</v>
      </c>
      <c r="W183" s="23">
        <f>SUMIFS(Transactions_and_Customer_Information_Joined[Gross Profit ($)], Transactions_and_Customer_Information_Joined[SKU], 'Competitive Analysis (Step 1)'!$A183, Transactions_and_Customer_Information_Joined[Order Status], "Completed")</f>
        <v>1419.58</v>
      </c>
      <c r="X183" s="9">
        <v>0.13370560781945723</v>
      </c>
      <c r="Y183" s="24">
        <v>16</v>
      </c>
      <c r="Z183" s="41">
        <v>5.9375</v>
      </c>
      <c r="AA183" s="21">
        <v>0.375</v>
      </c>
      <c r="AB183" s="21">
        <v>0.1875</v>
      </c>
      <c r="AC183" s="21">
        <v>0.125</v>
      </c>
      <c r="AD183" s="21">
        <v>0.125</v>
      </c>
      <c r="AE183" s="21">
        <v>0.25</v>
      </c>
      <c r="AF183" s="31">
        <v>191.1875</v>
      </c>
      <c r="AG183" s="21">
        <v>0.41176470588235292</v>
      </c>
      <c r="AH183" s="21">
        <v>0.23076923076923078</v>
      </c>
      <c r="AI183" s="5" t="str">
        <v>Raise</v>
      </c>
    </row>
    <row r="184" spans="1:35">
      <c r="A184" s="24" t="str">
        <v>SKU-1043</v>
      </c>
      <c r="B184" s="24" t="str">
        <v>Jump Rope</v>
      </c>
      <c r="C184" s="24" t="str">
        <v>BestDeals</v>
      </c>
      <c r="D184" s="23">
        <v>97.42</v>
      </c>
      <c r="E184" s="24">
        <v>4</v>
      </c>
      <c r="F184" s="24">
        <v>1081</v>
      </c>
      <c r="G184" s="40">
        <v>45341</v>
      </c>
      <c r="H184" s="28">
        <v>118.0575</v>
      </c>
      <c r="I184" s="11">
        <f t="shared" si="2"/>
        <v>0.15540956682406076</v>
      </c>
      <c r="J184" s="24" t="str">
        <v>Sports &amp; Outdoors</v>
      </c>
      <c r="K184" s="23">
        <v>112.56</v>
      </c>
      <c r="L184" s="23">
        <v>53.11</v>
      </c>
      <c r="M184" s="9">
        <v>0.52816275764036957</v>
      </c>
      <c r="N184" s="24">
        <v>4.8</v>
      </c>
      <c r="O184" s="24">
        <v>1079</v>
      </c>
      <c r="P184" s="24">
        <v>59</v>
      </c>
      <c r="Q184" s="24">
        <v>40</v>
      </c>
      <c r="R184" s="23">
        <v>3755.1999999999994</v>
      </c>
      <c r="S184" s="23">
        <v>2124.3999999999996</v>
      </c>
      <c r="T184" s="28">
        <v>1630.7999999999997</v>
      </c>
      <c r="U184" s="23">
        <v>211.22</v>
      </c>
      <c r="V184" s="23">
        <v>3543.9799999999991</v>
      </c>
      <c r="W184" s="23">
        <f>SUMIFS(Transactions_and_Customer_Information_Joined[Gross Profit ($)], Transactions_and_Customer_Information_Joined[SKU], 'Competitive Analysis (Step 1)'!$A184, Transactions_and_Customer_Information_Joined[Order Status], "Completed")</f>
        <v>1419.58</v>
      </c>
      <c r="X184" s="9">
        <v>0.13370560781945723</v>
      </c>
      <c r="Y184" s="24">
        <v>16</v>
      </c>
      <c r="Z184" s="41">
        <v>5.9375</v>
      </c>
      <c r="AA184" s="21">
        <v>0.375</v>
      </c>
      <c r="AB184" s="21">
        <v>0.1875</v>
      </c>
      <c r="AC184" s="21">
        <v>0.125</v>
      </c>
      <c r="AD184" s="21">
        <v>0.125</v>
      </c>
      <c r="AE184" s="21">
        <v>0.25</v>
      </c>
      <c r="AF184" s="31">
        <v>191.1875</v>
      </c>
      <c r="AG184" s="21">
        <v>0.41176470588235292</v>
      </c>
      <c r="AH184" s="21">
        <v>0.23076923076923078</v>
      </c>
      <c r="AI184" s="5" t="str">
        <v>Reduce</v>
      </c>
    </row>
    <row r="185" spans="1:35">
      <c r="A185" s="24" t="str">
        <v>SKU-1043</v>
      </c>
      <c r="B185" s="24" t="str">
        <v>Jump Rope</v>
      </c>
      <c r="C185" s="24" t="str">
        <v>QuickCart</v>
      </c>
      <c r="D185" s="23">
        <v>102.74</v>
      </c>
      <c r="E185" s="24">
        <v>3.4</v>
      </c>
      <c r="F185" s="24">
        <v>1254</v>
      </c>
      <c r="G185" s="40">
        <v>45345</v>
      </c>
      <c r="H185" s="28">
        <v>118.0575</v>
      </c>
      <c r="I185" s="11">
        <f t="shared" si="2"/>
        <v>9.5581078450457546E-2</v>
      </c>
      <c r="J185" s="24" t="str">
        <v>Sports &amp; Outdoors</v>
      </c>
      <c r="K185" s="23">
        <v>112.56</v>
      </c>
      <c r="L185" s="23">
        <v>53.11</v>
      </c>
      <c r="M185" s="9">
        <v>0.52816275764036957</v>
      </c>
      <c r="N185" s="24">
        <v>4.8</v>
      </c>
      <c r="O185" s="24">
        <v>1079</v>
      </c>
      <c r="P185" s="24">
        <v>59</v>
      </c>
      <c r="Q185" s="24">
        <v>40</v>
      </c>
      <c r="R185" s="23">
        <v>3755.1999999999994</v>
      </c>
      <c r="S185" s="23">
        <v>2124.3999999999996</v>
      </c>
      <c r="T185" s="28">
        <v>1630.7999999999997</v>
      </c>
      <c r="U185" s="23">
        <v>211.22</v>
      </c>
      <c r="V185" s="23">
        <v>3543.9799999999991</v>
      </c>
      <c r="W185" s="23">
        <f>SUMIFS(Transactions_and_Customer_Information_Joined[Gross Profit ($)], Transactions_and_Customer_Information_Joined[SKU], 'Competitive Analysis (Step 1)'!$A185, Transactions_and_Customer_Information_Joined[Order Status], "Completed")</f>
        <v>1419.58</v>
      </c>
      <c r="X185" s="9">
        <v>0.13370560781945723</v>
      </c>
      <c r="Y185" s="24">
        <v>16</v>
      </c>
      <c r="Z185" s="41">
        <v>5.9375</v>
      </c>
      <c r="AA185" s="21">
        <v>0.375</v>
      </c>
      <c r="AB185" s="21">
        <v>0.1875</v>
      </c>
      <c r="AC185" s="21">
        <v>0.125</v>
      </c>
      <c r="AD185" s="21">
        <v>0.125</v>
      </c>
      <c r="AE185" s="21">
        <v>0.25</v>
      </c>
      <c r="AF185" s="31">
        <v>191.1875</v>
      </c>
      <c r="AG185" s="21">
        <v>0.41176470588235292</v>
      </c>
      <c r="AH185" s="21">
        <v>0.23076923076923078</v>
      </c>
      <c r="AI185" s="5" t="str">
        <v>Hold</v>
      </c>
    </row>
    <row r="186" spans="1:35">
      <c r="A186" s="24" t="str">
        <v>SKU-1044</v>
      </c>
      <c r="B186" s="24" t="str">
        <v>Foam Roller</v>
      </c>
      <c r="C186" s="24" t="str">
        <v>RivalMart</v>
      </c>
      <c r="D186" s="23">
        <v>158.99</v>
      </c>
      <c r="E186" s="24">
        <v>3.8</v>
      </c>
      <c r="F186" s="24">
        <v>2121</v>
      </c>
      <c r="G186" s="40">
        <v>45300</v>
      </c>
      <c r="H186" s="28">
        <v>167.85500000000002</v>
      </c>
      <c r="I186" s="11">
        <f t="shared" si="2"/>
        <v>-8.8307440719542232E-2</v>
      </c>
      <c r="J186" s="24" t="str">
        <v>Sports &amp; Outdoors</v>
      </c>
      <c r="K186" s="23">
        <v>144.94999999999999</v>
      </c>
      <c r="L186" s="23">
        <v>77.19</v>
      </c>
      <c r="M186" s="9">
        <v>0.46747154191100376</v>
      </c>
      <c r="N186" s="24">
        <v>4.5</v>
      </c>
      <c r="O186" s="24">
        <v>1294</v>
      </c>
      <c r="P186" s="24">
        <v>176</v>
      </c>
      <c r="Q186" s="24">
        <v>19</v>
      </c>
      <c r="R186" s="23">
        <v>2754.0499999999997</v>
      </c>
      <c r="S186" s="23">
        <v>1466.61</v>
      </c>
      <c r="T186" s="28">
        <v>1287.4399999999998</v>
      </c>
      <c r="U186" s="23">
        <v>152.17999999999998</v>
      </c>
      <c r="V186" s="23">
        <v>2601.87</v>
      </c>
      <c r="W186" s="23">
        <f>SUMIFS(Transactions_and_Customer_Information_Joined[Gross Profit ($)], Transactions_and_Customer_Information_Joined[SKU], 'Competitive Analysis (Step 1)'!$A186, Transactions_and_Customer_Information_Joined[Order Status], "Completed")</f>
        <v>1135.26</v>
      </c>
      <c r="X186" s="9">
        <v>0.18211901440118067</v>
      </c>
      <c r="Y186" s="24">
        <v>10</v>
      </c>
      <c r="Z186" s="41">
        <v>4</v>
      </c>
      <c r="AA186" s="21">
        <v>0.3</v>
      </c>
      <c r="AB186" s="21">
        <v>0.2</v>
      </c>
      <c r="AC186" s="21">
        <v>0.3</v>
      </c>
      <c r="AD186" s="21">
        <v>0.2</v>
      </c>
      <c r="AE186" s="21">
        <v>0.3</v>
      </c>
      <c r="AF186" s="31">
        <v>176.3</v>
      </c>
      <c r="AG186" s="21">
        <v>0.2857142857142857</v>
      </c>
      <c r="AH186" s="21">
        <v>0.2857142857142857</v>
      </c>
      <c r="AI186" s="5" t="str">
        <v>Hold</v>
      </c>
    </row>
    <row r="187" spans="1:35">
      <c r="A187" s="24" t="str">
        <v>SKU-1044</v>
      </c>
      <c r="B187" s="24" t="str">
        <v>Foam Roller</v>
      </c>
      <c r="C187" s="24" t="str">
        <v>ShopNow</v>
      </c>
      <c r="D187" s="23">
        <v>166.56</v>
      </c>
      <c r="E187" s="24">
        <v>3.1</v>
      </c>
      <c r="F187" s="24">
        <v>556</v>
      </c>
      <c r="G187" s="40">
        <v>45382</v>
      </c>
      <c r="H187" s="28">
        <v>167.85500000000002</v>
      </c>
      <c r="I187" s="11">
        <f t="shared" si="2"/>
        <v>-0.12974303554274744</v>
      </c>
      <c r="J187" s="24" t="str">
        <v>Sports &amp; Outdoors</v>
      </c>
      <c r="K187" s="23">
        <v>144.94999999999999</v>
      </c>
      <c r="L187" s="23">
        <v>77.19</v>
      </c>
      <c r="M187" s="9">
        <v>0.46747154191100376</v>
      </c>
      <c r="N187" s="24">
        <v>4.5</v>
      </c>
      <c r="O187" s="24">
        <v>1294</v>
      </c>
      <c r="P187" s="24">
        <v>176</v>
      </c>
      <c r="Q187" s="24">
        <v>19</v>
      </c>
      <c r="R187" s="23">
        <v>2754.0499999999997</v>
      </c>
      <c r="S187" s="23">
        <v>1466.61</v>
      </c>
      <c r="T187" s="28">
        <v>1287.4399999999998</v>
      </c>
      <c r="U187" s="23">
        <v>152.17999999999998</v>
      </c>
      <c r="V187" s="23">
        <v>2601.87</v>
      </c>
      <c r="W187" s="23">
        <f>SUMIFS(Transactions_and_Customer_Information_Joined[Gross Profit ($)], Transactions_and_Customer_Information_Joined[SKU], 'Competitive Analysis (Step 1)'!$A187, Transactions_and_Customer_Information_Joined[Order Status], "Completed")</f>
        <v>1135.26</v>
      </c>
      <c r="X187" s="9">
        <v>0.18211901440118067</v>
      </c>
      <c r="Y187" s="24">
        <v>10</v>
      </c>
      <c r="Z187" s="41">
        <v>4</v>
      </c>
      <c r="AA187" s="21">
        <v>0.3</v>
      </c>
      <c r="AB187" s="21">
        <v>0.2</v>
      </c>
      <c r="AC187" s="21">
        <v>0.3</v>
      </c>
      <c r="AD187" s="21">
        <v>0.2</v>
      </c>
      <c r="AE187" s="21">
        <v>0.3</v>
      </c>
      <c r="AF187" s="31">
        <v>176.3</v>
      </c>
      <c r="AG187" s="21">
        <v>0.2857142857142857</v>
      </c>
      <c r="AH187" s="21">
        <v>0.2857142857142857</v>
      </c>
      <c r="AI187" s="5" t="str">
        <v>Raise</v>
      </c>
    </row>
    <row r="188" spans="1:35">
      <c r="A188" s="24" t="str">
        <v>SKU-1044</v>
      </c>
      <c r="B188" s="24" t="str">
        <v>Foam Roller</v>
      </c>
      <c r="C188" s="24" t="str">
        <v>BestDeals</v>
      </c>
      <c r="D188" s="23">
        <v>173.03</v>
      </c>
      <c r="E188" s="24">
        <v>3.4</v>
      </c>
      <c r="F188" s="24">
        <v>1307</v>
      </c>
      <c r="G188" s="40">
        <v>45294</v>
      </c>
      <c r="H188" s="28">
        <v>167.85500000000002</v>
      </c>
      <c r="I188" s="11">
        <f t="shared" si="2"/>
        <v>-0.16228399699474086</v>
      </c>
      <c r="J188" s="24" t="str">
        <v>Sports &amp; Outdoors</v>
      </c>
      <c r="K188" s="23">
        <v>144.94999999999999</v>
      </c>
      <c r="L188" s="23">
        <v>77.19</v>
      </c>
      <c r="M188" s="9">
        <v>0.46747154191100376</v>
      </c>
      <c r="N188" s="24">
        <v>4.5</v>
      </c>
      <c r="O188" s="24">
        <v>1294</v>
      </c>
      <c r="P188" s="24">
        <v>176</v>
      </c>
      <c r="Q188" s="24">
        <v>19</v>
      </c>
      <c r="R188" s="23">
        <v>2754.0499999999997</v>
      </c>
      <c r="S188" s="23">
        <v>1466.61</v>
      </c>
      <c r="T188" s="28">
        <v>1287.4399999999998</v>
      </c>
      <c r="U188" s="23">
        <v>152.17999999999998</v>
      </c>
      <c r="V188" s="23">
        <v>2601.87</v>
      </c>
      <c r="W188" s="23">
        <f>SUMIFS(Transactions_and_Customer_Information_Joined[Gross Profit ($)], Transactions_and_Customer_Information_Joined[SKU], 'Competitive Analysis (Step 1)'!$A188, Transactions_and_Customer_Information_Joined[Order Status], "Completed")</f>
        <v>1135.26</v>
      </c>
      <c r="X188" s="9">
        <v>0.18211901440118067</v>
      </c>
      <c r="Y188" s="24">
        <v>10</v>
      </c>
      <c r="Z188" s="41">
        <v>4</v>
      </c>
      <c r="AA188" s="21">
        <v>0.3</v>
      </c>
      <c r="AB188" s="21">
        <v>0.2</v>
      </c>
      <c r="AC188" s="21">
        <v>0.3</v>
      </c>
      <c r="AD188" s="21">
        <v>0.2</v>
      </c>
      <c r="AE188" s="21">
        <v>0.3</v>
      </c>
      <c r="AF188" s="31">
        <v>176.3</v>
      </c>
      <c r="AG188" s="21">
        <v>0.2857142857142857</v>
      </c>
      <c r="AH188" s="21">
        <v>0.2857142857142857</v>
      </c>
      <c r="AI188" s="5" t="str">
        <v>Raise</v>
      </c>
    </row>
    <row r="189" spans="1:35">
      <c r="A189" s="24" t="str">
        <v>SKU-1044</v>
      </c>
      <c r="B189" s="24" t="str">
        <v>Foam Roller</v>
      </c>
      <c r="C189" s="24" t="str">
        <v>QuickCart</v>
      </c>
      <c r="D189" s="23">
        <v>172.84</v>
      </c>
      <c r="E189" s="24">
        <v>4.7</v>
      </c>
      <c r="F189" s="24">
        <v>1029</v>
      </c>
      <c r="G189" s="40">
        <v>45322</v>
      </c>
      <c r="H189" s="28">
        <v>167.85500000000002</v>
      </c>
      <c r="I189" s="11">
        <f t="shared" si="2"/>
        <v>-0.16136311039111326</v>
      </c>
      <c r="J189" s="24" t="str">
        <v>Sports &amp; Outdoors</v>
      </c>
      <c r="K189" s="23">
        <v>144.94999999999999</v>
      </c>
      <c r="L189" s="23">
        <v>77.19</v>
      </c>
      <c r="M189" s="9">
        <v>0.46747154191100376</v>
      </c>
      <c r="N189" s="24">
        <v>4.5</v>
      </c>
      <c r="O189" s="24">
        <v>1294</v>
      </c>
      <c r="P189" s="24">
        <v>176</v>
      </c>
      <c r="Q189" s="24">
        <v>19</v>
      </c>
      <c r="R189" s="23">
        <v>2754.0499999999997</v>
      </c>
      <c r="S189" s="23">
        <v>1466.61</v>
      </c>
      <c r="T189" s="28">
        <v>1287.4399999999998</v>
      </c>
      <c r="U189" s="23">
        <v>152.17999999999998</v>
      </c>
      <c r="V189" s="23">
        <v>2601.87</v>
      </c>
      <c r="W189" s="23">
        <f>SUMIFS(Transactions_and_Customer_Information_Joined[Gross Profit ($)], Transactions_and_Customer_Information_Joined[SKU], 'Competitive Analysis (Step 1)'!$A189, Transactions_and_Customer_Information_Joined[Order Status], "Completed")</f>
        <v>1135.26</v>
      </c>
      <c r="X189" s="9">
        <v>0.18211901440118067</v>
      </c>
      <c r="Y189" s="24">
        <v>10</v>
      </c>
      <c r="Z189" s="41">
        <v>4</v>
      </c>
      <c r="AA189" s="21">
        <v>0.3</v>
      </c>
      <c r="AB189" s="21">
        <v>0.2</v>
      </c>
      <c r="AC189" s="21">
        <v>0.3</v>
      </c>
      <c r="AD189" s="21">
        <v>0.2</v>
      </c>
      <c r="AE189" s="21">
        <v>0.3</v>
      </c>
      <c r="AF189" s="31">
        <v>176.3</v>
      </c>
      <c r="AG189" s="21">
        <v>0.2857142857142857</v>
      </c>
      <c r="AH189" s="21">
        <v>0.2857142857142857</v>
      </c>
      <c r="AI189" s="5" t="str">
        <v>Raise</v>
      </c>
    </row>
    <row r="190" spans="1:35">
      <c r="A190" s="24" t="str">
        <v>SKU-1045</v>
      </c>
      <c r="B190" s="24" t="str">
        <v>Dumbbell Set</v>
      </c>
      <c r="C190" s="24" t="str">
        <v>RivalMart</v>
      </c>
      <c r="D190" s="23">
        <v>157.26</v>
      </c>
      <c r="E190" s="24">
        <v>4.7</v>
      </c>
      <c r="F190" s="24">
        <v>1208</v>
      </c>
      <c r="G190" s="40">
        <v>45311</v>
      </c>
      <c r="H190" s="28">
        <v>131.22999999999999</v>
      </c>
      <c r="I190" s="11">
        <f t="shared" si="2"/>
        <v>-0.19394633091695274</v>
      </c>
      <c r="J190" s="24" t="str">
        <v>Sports &amp; Outdoors</v>
      </c>
      <c r="K190" s="23">
        <v>126.76</v>
      </c>
      <c r="L190" s="23">
        <v>78.819999999999993</v>
      </c>
      <c r="M190" s="9">
        <v>0.37819501420006318</v>
      </c>
      <c r="N190" s="24">
        <v>3.9</v>
      </c>
      <c r="O190" s="24">
        <v>2139</v>
      </c>
      <c r="P190" s="24">
        <v>362</v>
      </c>
      <c r="Q190" s="24">
        <v>23</v>
      </c>
      <c r="R190" s="23">
        <v>2179.48</v>
      </c>
      <c r="S190" s="23">
        <v>1812.86</v>
      </c>
      <c r="T190" s="28">
        <v>366.62000000000012</v>
      </c>
      <c r="U190" s="23">
        <v>85.28</v>
      </c>
      <c r="V190" s="23">
        <v>2094.1999999999998</v>
      </c>
      <c r="W190" s="23">
        <f>SUMIFS(Transactions_and_Customer_Information_Joined[Gross Profit ($)], Transactions_and_Customer_Information_Joined[SKU], 'Competitive Analysis (Step 1)'!$A190, Transactions_and_Customer_Information_Joined[Order Status], "Completed")</f>
        <v>281.33999999999997</v>
      </c>
      <c r="X190" s="9">
        <v>0.22626778722185081</v>
      </c>
      <c r="Y190" s="24">
        <v>7</v>
      </c>
      <c r="Z190" s="41">
        <v>4.2857142857142856</v>
      </c>
      <c r="AA190" s="21">
        <v>0</v>
      </c>
      <c r="AB190" s="21">
        <v>0.42857142857142855</v>
      </c>
      <c r="AC190" s="21">
        <v>0.2857142857142857</v>
      </c>
      <c r="AD190" s="21">
        <v>0</v>
      </c>
      <c r="AE190" s="21">
        <v>0.14285714285714285</v>
      </c>
      <c r="AF190" s="31">
        <v>176</v>
      </c>
      <c r="AG190" s="21">
        <v>0.2857142857142857</v>
      </c>
      <c r="AH190" s="21">
        <v>0.33333333333333331</v>
      </c>
      <c r="AI190" s="5" t="str">
        <v>Raise</v>
      </c>
    </row>
    <row r="191" spans="1:35">
      <c r="A191" s="24" t="str">
        <v>SKU-1045</v>
      </c>
      <c r="B191" s="24" t="str">
        <v>Dumbbell Set</v>
      </c>
      <c r="C191" s="24" t="str">
        <v>ShopNow</v>
      </c>
      <c r="D191" s="23">
        <v>99.91</v>
      </c>
      <c r="E191" s="24">
        <v>3.3</v>
      </c>
      <c r="F191" s="24">
        <v>1794</v>
      </c>
      <c r="G191" s="40">
        <v>45381</v>
      </c>
      <c r="H191" s="28">
        <v>131.22999999999999</v>
      </c>
      <c r="I191" s="11">
        <f t="shared" si="2"/>
        <v>0.2687418676809129</v>
      </c>
      <c r="J191" s="24" t="str">
        <v>Sports &amp; Outdoors</v>
      </c>
      <c r="K191" s="23">
        <v>126.76</v>
      </c>
      <c r="L191" s="23">
        <v>78.819999999999993</v>
      </c>
      <c r="M191" s="9">
        <v>0.37819501420006318</v>
      </c>
      <c r="N191" s="24">
        <v>3.9</v>
      </c>
      <c r="O191" s="24">
        <v>2139</v>
      </c>
      <c r="P191" s="24">
        <v>362</v>
      </c>
      <c r="Q191" s="24">
        <v>23</v>
      </c>
      <c r="R191" s="23">
        <v>2179.48</v>
      </c>
      <c r="S191" s="23">
        <v>1812.86</v>
      </c>
      <c r="T191" s="28">
        <v>366.62000000000012</v>
      </c>
      <c r="U191" s="23">
        <v>85.28</v>
      </c>
      <c r="V191" s="23">
        <v>2094.1999999999998</v>
      </c>
      <c r="W191" s="23">
        <f>SUMIFS(Transactions_and_Customer_Information_Joined[Gross Profit ($)], Transactions_and_Customer_Information_Joined[SKU], 'Competitive Analysis (Step 1)'!$A191, Transactions_and_Customer_Information_Joined[Order Status], "Completed")</f>
        <v>281.33999999999997</v>
      </c>
      <c r="X191" s="9">
        <v>0.22626778722185081</v>
      </c>
      <c r="Y191" s="24">
        <v>7</v>
      </c>
      <c r="Z191" s="41">
        <v>4.2857142857142856</v>
      </c>
      <c r="AA191" s="21">
        <v>0</v>
      </c>
      <c r="AB191" s="21">
        <v>0.42857142857142855</v>
      </c>
      <c r="AC191" s="21">
        <v>0.2857142857142857</v>
      </c>
      <c r="AD191" s="21">
        <v>0</v>
      </c>
      <c r="AE191" s="21">
        <v>0.14285714285714285</v>
      </c>
      <c r="AF191" s="31">
        <v>176</v>
      </c>
      <c r="AG191" s="21">
        <v>0.2857142857142857</v>
      </c>
      <c r="AH191" s="21">
        <v>0.33333333333333331</v>
      </c>
      <c r="AI191" s="5" t="str">
        <v>Reduce</v>
      </c>
    </row>
    <row r="192" spans="1:35">
      <c r="A192" s="24" t="str">
        <v>SKU-1045</v>
      </c>
      <c r="B192" s="24" t="str">
        <v>Dumbbell Set</v>
      </c>
      <c r="C192" s="24" t="str">
        <v>BestDeals</v>
      </c>
      <c r="D192" s="23">
        <v>133.69</v>
      </c>
      <c r="E192" s="24">
        <v>3.5</v>
      </c>
      <c r="F192" s="24">
        <v>2163</v>
      </c>
      <c r="G192" s="40">
        <v>45320</v>
      </c>
      <c r="H192" s="28">
        <v>131.22999999999999</v>
      </c>
      <c r="I192" s="11">
        <f t="shared" si="2"/>
        <v>-5.1836337796394592E-2</v>
      </c>
      <c r="J192" s="24" t="str">
        <v>Sports &amp; Outdoors</v>
      </c>
      <c r="K192" s="23">
        <v>126.76</v>
      </c>
      <c r="L192" s="23">
        <v>78.819999999999993</v>
      </c>
      <c r="M192" s="9">
        <v>0.37819501420006318</v>
      </c>
      <c r="N192" s="24">
        <v>3.9</v>
      </c>
      <c r="O192" s="24">
        <v>2139</v>
      </c>
      <c r="P192" s="24">
        <v>362</v>
      </c>
      <c r="Q192" s="24">
        <v>23</v>
      </c>
      <c r="R192" s="23">
        <v>2179.48</v>
      </c>
      <c r="S192" s="23">
        <v>1812.86</v>
      </c>
      <c r="T192" s="28">
        <v>366.62000000000012</v>
      </c>
      <c r="U192" s="23">
        <v>85.28</v>
      </c>
      <c r="V192" s="23">
        <v>2094.1999999999998</v>
      </c>
      <c r="W192" s="23">
        <f>SUMIFS(Transactions_and_Customer_Information_Joined[Gross Profit ($)], Transactions_and_Customer_Information_Joined[SKU], 'Competitive Analysis (Step 1)'!$A192, Transactions_and_Customer_Information_Joined[Order Status], "Completed")</f>
        <v>281.33999999999997</v>
      </c>
      <c r="X192" s="9">
        <v>0.22626778722185081</v>
      </c>
      <c r="Y192" s="24">
        <v>7</v>
      </c>
      <c r="Z192" s="41">
        <v>4.2857142857142856</v>
      </c>
      <c r="AA192" s="21">
        <v>0</v>
      </c>
      <c r="AB192" s="21">
        <v>0.42857142857142855</v>
      </c>
      <c r="AC192" s="21">
        <v>0.2857142857142857</v>
      </c>
      <c r="AD192" s="21">
        <v>0</v>
      </c>
      <c r="AE192" s="21">
        <v>0.14285714285714285</v>
      </c>
      <c r="AF192" s="31">
        <v>176</v>
      </c>
      <c r="AG192" s="21">
        <v>0.2857142857142857</v>
      </c>
      <c r="AH192" s="21">
        <v>0.33333333333333331</v>
      </c>
      <c r="AI192" s="5" t="str">
        <v>Hold</v>
      </c>
    </row>
    <row r="193" spans="1:35">
      <c r="A193" s="24" t="str">
        <v>SKU-1045</v>
      </c>
      <c r="B193" s="24" t="str">
        <v>Dumbbell Set</v>
      </c>
      <c r="C193" s="24" t="str">
        <v>QuickCart</v>
      </c>
      <c r="D193" s="23">
        <v>134.06</v>
      </c>
      <c r="E193" s="24">
        <v>3.8</v>
      </c>
      <c r="F193" s="24">
        <v>547</v>
      </c>
      <c r="G193" s="40">
        <v>45348</v>
      </c>
      <c r="H193" s="28">
        <v>131.22999999999999</v>
      </c>
      <c r="I193" s="11">
        <f t="shared" si="2"/>
        <v>-5.4453229897060994E-2</v>
      </c>
      <c r="J193" s="24" t="str">
        <v>Sports &amp; Outdoors</v>
      </c>
      <c r="K193" s="23">
        <v>126.76</v>
      </c>
      <c r="L193" s="23">
        <v>78.819999999999993</v>
      </c>
      <c r="M193" s="9">
        <v>0.37819501420006318</v>
      </c>
      <c r="N193" s="24">
        <v>3.9</v>
      </c>
      <c r="O193" s="24">
        <v>2139</v>
      </c>
      <c r="P193" s="24">
        <v>362</v>
      </c>
      <c r="Q193" s="24">
        <v>23</v>
      </c>
      <c r="R193" s="23">
        <v>2179.48</v>
      </c>
      <c r="S193" s="23">
        <v>1812.86</v>
      </c>
      <c r="T193" s="28">
        <v>366.62000000000012</v>
      </c>
      <c r="U193" s="23">
        <v>85.28</v>
      </c>
      <c r="V193" s="23">
        <v>2094.1999999999998</v>
      </c>
      <c r="W193" s="23">
        <f>SUMIFS(Transactions_and_Customer_Information_Joined[Gross Profit ($)], Transactions_and_Customer_Information_Joined[SKU], 'Competitive Analysis (Step 1)'!$A193, Transactions_and_Customer_Information_Joined[Order Status], "Completed")</f>
        <v>281.33999999999997</v>
      </c>
      <c r="X193" s="9">
        <v>0.22626778722185081</v>
      </c>
      <c r="Y193" s="24">
        <v>7</v>
      </c>
      <c r="Z193" s="41">
        <v>4.2857142857142856</v>
      </c>
      <c r="AA193" s="21">
        <v>0</v>
      </c>
      <c r="AB193" s="21">
        <v>0.42857142857142855</v>
      </c>
      <c r="AC193" s="21">
        <v>0.2857142857142857</v>
      </c>
      <c r="AD193" s="21">
        <v>0</v>
      </c>
      <c r="AE193" s="21">
        <v>0.14285714285714285</v>
      </c>
      <c r="AF193" s="31">
        <v>176</v>
      </c>
      <c r="AG193" s="21">
        <v>0.2857142857142857</v>
      </c>
      <c r="AH193" s="21">
        <v>0.33333333333333331</v>
      </c>
      <c r="AI193" s="5" t="str">
        <v>Hold</v>
      </c>
    </row>
    <row r="194" spans="1:35">
      <c r="A194" s="24" t="str">
        <v>SKU-1046</v>
      </c>
      <c r="B194" s="24" t="str">
        <v>Cycling Gloves</v>
      </c>
      <c r="C194" s="24" t="str">
        <v>RivalMart</v>
      </c>
      <c r="D194" s="23">
        <v>129.88</v>
      </c>
      <c r="E194" s="24">
        <v>3.3</v>
      </c>
      <c r="F194" s="24">
        <v>625</v>
      </c>
      <c r="G194" s="40">
        <v>45312</v>
      </c>
      <c r="H194" s="28">
        <v>118.03749999999999</v>
      </c>
      <c r="I194" s="11">
        <f t="shared" si="2"/>
        <v>-0.1062519248537111</v>
      </c>
      <c r="J194" s="24" t="str">
        <v>Sports &amp; Outdoors</v>
      </c>
      <c r="K194" s="23">
        <v>116.08</v>
      </c>
      <c r="L194" s="23">
        <v>37.35</v>
      </c>
      <c r="M194" s="9">
        <v>0.67823914541695374</v>
      </c>
      <c r="N194" s="24">
        <v>4.8</v>
      </c>
      <c r="O194" s="24">
        <v>2087</v>
      </c>
      <c r="P194" s="24">
        <v>368</v>
      </c>
      <c r="Q194" s="24">
        <v>19</v>
      </c>
      <c r="R194" s="23">
        <v>1887.46</v>
      </c>
      <c r="S194" s="23">
        <v>709.65000000000009</v>
      </c>
      <c r="T194" s="28">
        <v>1177.81</v>
      </c>
      <c r="U194" s="23">
        <v>89.4</v>
      </c>
      <c r="V194" s="23">
        <v>1798.0600000000002</v>
      </c>
      <c r="W194" s="23">
        <f>SUMIFS(Transactions_and_Customer_Information_Joined[Gross Profit ($)], Transactions_and_Customer_Information_Joined[SKU], 'Competitive Analysis (Step 1)'!$A194, Transactions_and_Customer_Information_Joined[Order Status], "Completed")</f>
        <v>1088.4100000000001</v>
      </c>
      <c r="X194" s="9">
        <v>0.2635340311224319</v>
      </c>
      <c r="Y194" s="24">
        <v>10</v>
      </c>
      <c r="Z194" s="41">
        <v>4</v>
      </c>
      <c r="AA194" s="21">
        <v>0.5</v>
      </c>
      <c r="AB194" s="21">
        <v>0.2</v>
      </c>
      <c r="AC194" s="21">
        <v>0.3</v>
      </c>
      <c r="AD194" s="21">
        <v>0.1</v>
      </c>
      <c r="AE194" s="21">
        <v>0.2</v>
      </c>
      <c r="AF194" s="31">
        <v>187.9</v>
      </c>
      <c r="AG194" s="21">
        <v>0.375</v>
      </c>
      <c r="AH194" s="21">
        <v>0.41176470588235292</v>
      </c>
      <c r="AI194" s="5" t="str">
        <v>Raise</v>
      </c>
    </row>
    <row r="195" spans="1:35">
      <c r="A195" s="24" t="str">
        <v>SKU-1046</v>
      </c>
      <c r="B195" s="24" t="str">
        <v>Cycling Gloves</v>
      </c>
      <c r="C195" s="24" t="str">
        <v>ShopNow</v>
      </c>
      <c r="D195" s="23">
        <v>102</v>
      </c>
      <c r="E195" s="24">
        <v>4.9000000000000004</v>
      </c>
      <c r="F195" s="24">
        <v>11</v>
      </c>
      <c r="G195" s="40">
        <v>45318</v>
      </c>
      <c r="H195" s="28">
        <v>118.03749999999999</v>
      </c>
      <c r="I195" s="11">
        <f t="shared" si="2"/>
        <v>0.1380392156862745</v>
      </c>
      <c r="J195" s="24" t="str">
        <v>Sports &amp; Outdoors</v>
      </c>
      <c r="K195" s="23">
        <v>116.08</v>
      </c>
      <c r="L195" s="23">
        <v>37.35</v>
      </c>
      <c r="M195" s="9">
        <v>0.67823914541695374</v>
      </c>
      <c r="N195" s="24">
        <v>4.8</v>
      </c>
      <c r="O195" s="24">
        <v>2087</v>
      </c>
      <c r="P195" s="24">
        <v>368</v>
      </c>
      <c r="Q195" s="24">
        <v>19</v>
      </c>
      <c r="R195" s="23">
        <v>1887.46</v>
      </c>
      <c r="S195" s="23">
        <v>709.65000000000009</v>
      </c>
      <c r="T195" s="28">
        <v>1177.81</v>
      </c>
      <c r="U195" s="23">
        <v>89.4</v>
      </c>
      <c r="V195" s="23">
        <v>1798.0600000000002</v>
      </c>
      <c r="W195" s="23">
        <f>SUMIFS(Transactions_and_Customer_Information_Joined[Gross Profit ($)], Transactions_and_Customer_Information_Joined[SKU], 'Competitive Analysis (Step 1)'!$A195, Transactions_and_Customer_Information_Joined[Order Status], "Completed")</f>
        <v>1088.4100000000001</v>
      </c>
      <c r="X195" s="9">
        <v>0.2635340311224319</v>
      </c>
      <c r="Y195" s="24">
        <v>10</v>
      </c>
      <c r="Z195" s="41">
        <v>4</v>
      </c>
      <c r="AA195" s="21">
        <v>0.5</v>
      </c>
      <c r="AB195" s="21">
        <v>0.2</v>
      </c>
      <c r="AC195" s="21">
        <v>0.3</v>
      </c>
      <c r="AD195" s="21">
        <v>0.1</v>
      </c>
      <c r="AE195" s="21">
        <v>0.2</v>
      </c>
      <c r="AF195" s="31">
        <v>187.9</v>
      </c>
      <c r="AG195" s="21">
        <v>0.375</v>
      </c>
      <c r="AH195" s="21">
        <v>0.41176470588235292</v>
      </c>
      <c r="AI195" s="5" t="str">
        <v>Reduce</v>
      </c>
    </row>
    <row r="196" spans="1:35">
      <c r="A196" s="24" t="str">
        <v>SKU-1046</v>
      </c>
      <c r="B196" s="24" t="str">
        <v>Cycling Gloves</v>
      </c>
      <c r="C196" s="24" t="str">
        <v>BestDeals</v>
      </c>
      <c r="D196" s="23">
        <v>136.5</v>
      </c>
      <c r="E196" s="24">
        <v>3.4</v>
      </c>
      <c r="F196" s="24">
        <v>406</v>
      </c>
      <c r="G196" s="40">
        <v>45315</v>
      </c>
      <c r="H196" s="28">
        <v>118.03749999999999</v>
      </c>
      <c r="I196" s="11">
        <f t="shared" si="2"/>
        <v>-0.14959706959706962</v>
      </c>
      <c r="J196" s="24" t="str">
        <v>Sports &amp; Outdoors</v>
      </c>
      <c r="K196" s="23">
        <v>116.08</v>
      </c>
      <c r="L196" s="23">
        <v>37.35</v>
      </c>
      <c r="M196" s="9">
        <v>0.67823914541695374</v>
      </c>
      <c r="N196" s="24">
        <v>4.8</v>
      </c>
      <c r="O196" s="24">
        <v>2087</v>
      </c>
      <c r="P196" s="24">
        <v>368</v>
      </c>
      <c r="Q196" s="24">
        <v>19</v>
      </c>
      <c r="R196" s="23">
        <v>1887.46</v>
      </c>
      <c r="S196" s="23">
        <v>709.65000000000009</v>
      </c>
      <c r="T196" s="28">
        <v>1177.81</v>
      </c>
      <c r="U196" s="23">
        <v>89.4</v>
      </c>
      <c r="V196" s="23">
        <v>1798.0600000000002</v>
      </c>
      <c r="W196" s="23">
        <f>SUMIFS(Transactions_and_Customer_Information_Joined[Gross Profit ($)], Transactions_and_Customer_Information_Joined[SKU], 'Competitive Analysis (Step 1)'!$A196, Transactions_and_Customer_Information_Joined[Order Status], "Completed")</f>
        <v>1088.4100000000001</v>
      </c>
      <c r="X196" s="9">
        <v>0.2635340311224319</v>
      </c>
      <c r="Y196" s="24">
        <v>10</v>
      </c>
      <c r="Z196" s="41">
        <v>4</v>
      </c>
      <c r="AA196" s="21">
        <v>0.5</v>
      </c>
      <c r="AB196" s="21">
        <v>0.2</v>
      </c>
      <c r="AC196" s="21">
        <v>0.3</v>
      </c>
      <c r="AD196" s="21">
        <v>0.1</v>
      </c>
      <c r="AE196" s="21">
        <v>0.2</v>
      </c>
      <c r="AF196" s="31">
        <v>187.9</v>
      </c>
      <c r="AG196" s="21">
        <v>0.375</v>
      </c>
      <c r="AH196" s="21">
        <v>0.41176470588235292</v>
      </c>
      <c r="AI196" s="5" t="str">
        <v>Raise</v>
      </c>
    </row>
    <row r="197" spans="1:35">
      <c r="A197" s="24" t="str">
        <v>SKU-1046</v>
      </c>
      <c r="B197" s="24" t="str">
        <v>Cycling Gloves</v>
      </c>
      <c r="C197" s="24" t="str">
        <v>QuickCart</v>
      </c>
      <c r="D197" s="23">
        <v>103.77</v>
      </c>
      <c r="E197" s="24">
        <v>3.2</v>
      </c>
      <c r="F197" s="24">
        <v>1869</v>
      </c>
      <c r="G197" s="40">
        <v>45310</v>
      </c>
      <c r="H197" s="28">
        <v>118.03749999999999</v>
      </c>
      <c r="I197" s="11">
        <f t="shared" si="2"/>
        <v>0.11862773441264338</v>
      </c>
      <c r="J197" s="24" t="str">
        <v>Sports &amp; Outdoors</v>
      </c>
      <c r="K197" s="23">
        <v>116.08</v>
      </c>
      <c r="L197" s="23">
        <v>37.35</v>
      </c>
      <c r="M197" s="9">
        <v>0.67823914541695374</v>
      </c>
      <c r="N197" s="24">
        <v>4.8</v>
      </c>
      <c r="O197" s="24">
        <v>2087</v>
      </c>
      <c r="P197" s="24">
        <v>368</v>
      </c>
      <c r="Q197" s="24">
        <v>19</v>
      </c>
      <c r="R197" s="23">
        <v>1887.46</v>
      </c>
      <c r="S197" s="23">
        <v>709.65000000000009</v>
      </c>
      <c r="T197" s="28">
        <v>1177.81</v>
      </c>
      <c r="U197" s="23">
        <v>89.4</v>
      </c>
      <c r="V197" s="23">
        <v>1798.0600000000002</v>
      </c>
      <c r="W197" s="23">
        <f>SUMIFS(Transactions_and_Customer_Information_Joined[Gross Profit ($)], Transactions_and_Customer_Information_Joined[SKU], 'Competitive Analysis (Step 1)'!$A197, Transactions_and_Customer_Information_Joined[Order Status], "Completed")</f>
        <v>1088.4100000000001</v>
      </c>
      <c r="X197" s="9">
        <v>0.2635340311224319</v>
      </c>
      <c r="Y197" s="24">
        <v>10</v>
      </c>
      <c r="Z197" s="41">
        <v>4</v>
      </c>
      <c r="AA197" s="21">
        <v>0.5</v>
      </c>
      <c r="AB197" s="21">
        <v>0.2</v>
      </c>
      <c r="AC197" s="21">
        <v>0.3</v>
      </c>
      <c r="AD197" s="21">
        <v>0.1</v>
      </c>
      <c r="AE197" s="21">
        <v>0.2</v>
      </c>
      <c r="AF197" s="31">
        <v>187.9</v>
      </c>
      <c r="AG197" s="21">
        <v>0.375</v>
      </c>
      <c r="AH197" s="21">
        <v>0.41176470588235292</v>
      </c>
      <c r="AI197" s="5" t="str">
        <v>Reduce</v>
      </c>
    </row>
    <row r="198" spans="1:35">
      <c r="A198" s="24" t="str">
        <v>SKU-1047</v>
      </c>
      <c r="B198" s="24" t="str">
        <v>Hiking Socks</v>
      </c>
      <c r="C198" s="24" t="str">
        <v>RivalMart</v>
      </c>
      <c r="D198" s="23">
        <v>58.42</v>
      </c>
      <c r="E198" s="24">
        <v>4.7</v>
      </c>
      <c r="F198" s="24">
        <v>2459</v>
      </c>
      <c r="G198" s="40">
        <v>45353</v>
      </c>
      <c r="H198" s="28">
        <v>68.967500000000001</v>
      </c>
      <c r="I198" s="11">
        <f t="shared" si="2"/>
        <v>0.29561793906196498</v>
      </c>
      <c r="J198" s="24" t="str">
        <v>Sports &amp; Outdoors</v>
      </c>
      <c r="K198" s="23">
        <v>75.69</v>
      </c>
      <c r="L198" s="23">
        <v>35.630000000000003</v>
      </c>
      <c r="M198" s="9">
        <v>0.52926410358039366</v>
      </c>
      <c r="N198" s="24">
        <v>3.8</v>
      </c>
      <c r="O198" s="24">
        <v>1562</v>
      </c>
      <c r="P198" s="24">
        <v>98</v>
      </c>
      <c r="Q198" s="24">
        <v>25</v>
      </c>
      <c r="R198" s="23">
        <v>1892.25</v>
      </c>
      <c r="S198" s="23">
        <v>890.75</v>
      </c>
      <c r="T198" s="28">
        <v>1001.5</v>
      </c>
      <c r="U198" s="23">
        <v>192.99</v>
      </c>
      <c r="V198" s="23">
        <v>1699.2600000000002</v>
      </c>
      <c r="W198" s="23">
        <f>SUMIFS(Transactions_and_Customer_Information_Joined[Gross Profit ($)], Transactions_and_Customer_Information_Joined[SKU], 'Competitive Analysis (Step 1)'!$A198, Transactions_and_Customer_Information_Joined[Order Status], "Completed")</f>
        <v>808.51</v>
      </c>
      <c r="X198" s="9">
        <v>0.2788566787895907</v>
      </c>
      <c r="Y198" s="24">
        <v>13</v>
      </c>
      <c r="Z198" s="41">
        <v>8.8461538461538467</v>
      </c>
      <c r="AA198" s="21">
        <v>0.30769230769230771</v>
      </c>
      <c r="AB198" s="21">
        <v>0.15384615384615385</v>
      </c>
      <c r="AC198" s="21">
        <v>0.23076923076923078</v>
      </c>
      <c r="AD198" s="21">
        <v>0.23076923076923078</v>
      </c>
      <c r="AE198" s="21">
        <v>0.23076923076923078</v>
      </c>
      <c r="AF198" s="31">
        <v>124</v>
      </c>
      <c r="AG198" s="21">
        <v>0.23076923076923078</v>
      </c>
      <c r="AH198" s="21">
        <v>0.23076923076923078</v>
      </c>
      <c r="AI198" s="5" t="str">
        <v>Reduce</v>
      </c>
    </row>
    <row r="199" spans="1:35">
      <c r="A199" s="24" t="str">
        <v>SKU-1047</v>
      </c>
      <c r="B199" s="24" t="str">
        <v>Hiking Socks</v>
      </c>
      <c r="C199" s="24" t="str">
        <v>ShopNow</v>
      </c>
      <c r="D199" s="23">
        <v>69.84</v>
      </c>
      <c r="E199" s="24">
        <v>2.9</v>
      </c>
      <c r="F199" s="24">
        <v>217</v>
      </c>
      <c r="G199" s="40">
        <v>45346</v>
      </c>
      <c r="H199" s="28">
        <v>68.967500000000001</v>
      </c>
      <c r="I199" s="11">
        <f t="shared" si="2"/>
        <v>8.3762886597938055E-2</v>
      </c>
      <c r="J199" s="24" t="str">
        <v>Sports &amp; Outdoors</v>
      </c>
      <c r="K199" s="23">
        <v>75.69</v>
      </c>
      <c r="L199" s="23">
        <v>35.630000000000003</v>
      </c>
      <c r="M199" s="9">
        <v>0.52926410358039366</v>
      </c>
      <c r="N199" s="24">
        <v>3.8</v>
      </c>
      <c r="O199" s="24">
        <v>1562</v>
      </c>
      <c r="P199" s="24">
        <v>98</v>
      </c>
      <c r="Q199" s="24">
        <v>25</v>
      </c>
      <c r="R199" s="23">
        <v>1892.25</v>
      </c>
      <c r="S199" s="23">
        <v>890.75</v>
      </c>
      <c r="T199" s="28">
        <v>1001.5</v>
      </c>
      <c r="U199" s="23">
        <v>192.99</v>
      </c>
      <c r="V199" s="23">
        <v>1699.2600000000002</v>
      </c>
      <c r="W199" s="23">
        <f>SUMIFS(Transactions_and_Customer_Information_Joined[Gross Profit ($)], Transactions_and_Customer_Information_Joined[SKU], 'Competitive Analysis (Step 1)'!$A199, Transactions_and_Customer_Information_Joined[Order Status], "Completed")</f>
        <v>808.51</v>
      </c>
      <c r="X199" s="9">
        <v>0.2788566787895907</v>
      </c>
      <c r="Y199" s="24">
        <v>13</v>
      </c>
      <c r="Z199" s="41">
        <v>8.8461538461538467</v>
      </c>
      <c r="AA199" s="21">
        <v>0.30769230769230771</v>
      </c>
      <c r="AB199" s="21">
        <v>0.15384615384615385</v>
      </c>
      <c r="AC199" s="21">
        <v>0.23076923076923078</v>
      </c>
      <c r="AD199" s="21">
        <v>0.23076923076923078</v>
      </c>
      <c r="AE199" s="21">
        <v>0.23076923076923078</v>
      </c>
      <c r="AF199" s="31">
        <v>124</v>
      </c>
      <c r="AG199" s="21">
        <v>0.23076923076923078</v>
      </c>
      <c r="AH199" s="21">
        <v>0.23076923076923078</v>
      </c>
      <c r="AI199" s="5" t="str">
        <v>Hold</v>
      </c>
    </row>
    <row r="200" spans="1:35">
      <c r="A200" s="24" t="str">
        <v>SKU-1047</v>
      </c>
      <c r="B200" s="24" t="str">
        <v>Hiking Socks</v>
      </c>
      <c r="C200" s="24" t="str">
        <v>BestDeals</v>
      </c>
      <c r="D200" s="23">
        <v>65.709999999999994</v>
      </c>
      <c r="E200" s="24">
        <v>4.0999999999999996</v>
      </c>
      <c r="F200" s="24">
        <v>2479</v>
      </c>
      <c r="G200" s="40">
        <v>45363</v>
      </c>
      <c r="H200" s="28">
        <v>68.967500000000001</v>
      </c>
      <c r="I200" s="11">
        <f t="shared" si="2"/>
        <v>0.15187947040024358</v>
      </c>
      <c r="J200" s="24" t="str">
        <v>Sports &amp; Outdoors</v>
      </c>
      <c r="K200" s="23">
        <v>75.69</v>
      </c>
      <c r="L200" s="23">
        <v>35.630000000000003</v>
      </c>
      <c r="M200" s="9">
        <v>0.52926410358039366</v>
      </c>
      <c r="N200" s="24">
        <v>3.8</v>
      </c>
      <c r="O200" s="24">
        <v>1562</v>
      </c>
      <c r="P200" s="24">
        <v>98</v>
      </c>
      <c r="Q200" s="24">
        <v>25</v>
      </c>
      <c r="R200" s="23">
        <v>1892.25</v>
      </c>
      <c r="S200" s="23">
        <v>890.75</v>
      </c>
      <c r="T200" s="28">
        <v>1001.5</v>
      </c>
      <c r="U200" s="23">
        <v>192.99</v>
      </c>
      <c r="V200" s="23">
        <v>1699.2600000000002</v>
      </c>
      <c r="W200" s="23">
        <f>SUMIFS(Transactions_and_Customer_Information_Joined[Gross Profit ($)], Transactions_and_Customer_Information_Joined[SKU], 'Competitive Analysis (Step 1)'!$A200, Transactions_and_Customer_Information_Joined[Order Status], "Completed")</f>
        <v>808.51</v>
      </c>
      <c r="X200" s="9">
        <v>0.2788566787895907</v>
      </c>
      <c r="Y200" s="24">
        <v>13</v>
      </c>
      <c r="Z200" s="41">
        <v>8.8461538461538467</v>
      </c>
      <c r="AA200" s="21">
        <v>0.30769230769230771</v>
      </c>
      <c r="AB200" s="21">
        <v>0.15384615384615385</v>
      </c>
      <c r="AC200" s="21">
        <v>0.23076923076923078</v>
      </c>
      <c r="AD200" s="21">
        <v>0.23076923076923078</v>
      </c>
      <c r="AE200" s="21">
        <v>0.23076923076923078</v>
      </c>
      <c r="AF200" s="31">
        <v>124</v>
      </c>
      <c r="AG200" s="21">
        <v>0.23076923076923078</v>
      </c>
      <c r="AH200" s="21">
        <v>0.23076923076923078</v>
      </c>
      <c r="AI200" s="5" t="str">
        <v>Reduce</v>
      </c>
    </row>
    <row r="201" spans="1:35">
      <c r="A201" s="24" t="str">
        <v>SKU-1047</v>
      </c>
      <c r="B201" s="24" t="str">
        <v>Hiking Socks</v>
      </c>
      <c r="C201" s="24" t="str">
        <v>QuickCart</v>
      </c>
      <c r="D201" s="23">
        <v>81.900000000000006</v>
      </c>
      <c r="E201" s="24">
        <v>4.8</v>
      </c>
      <c r="F201" s="24">
        <v>864</v>
      </c>
      <c r="G201" s="40">
        <v>45320</v>
      </c>
      <c r="H201" s="28">
        <v>68.967500000000001</v>
      </c>
      <c r="I201" s="11">
        <f t="shared" si="2"/>
        <v>-7.5824175824175916E-2</v>
      </c>
      <c r="J201" s="24" t="str">
        <v>Sports &amp; Outdoors</v>
      </c>
      <c r="K201" s="23">
        <v>75.69</v>
      </c>
      <c r="L201" s="23">
        <v>35.630000000000003</v>
      </c>
      <c r="M201" s="9">
        <v>0.52926410358039366</v>
      </c>
      <c r="N201" s="24">
        <v>3.8</v>
      </c>
      <c r="O201" s="24">
        <v>1562</v>
      </c>
      <c r="P201" s="24">
        <v>98</v>
      </c>
      <c r="Q201" s="24">
        <v>25</v>
      </c>
      <c r="R201" s="23">
        <v>1892.25</v>
      </c>
      <c r="S201" s="23">
        <v>890.75</v>
      </c>
      <c r="T201" s="28">
        <v>1001.5</v>
      </c>
      <c r="U201" s="23">
        <v>192.99</v>
      </c>
      <c r="V201" s="23">
        <v>1699.2600000000002</v>
      </c>
      <c r="W201" s="23">
        <f>SUMIFS(Transactions_and_Customer_Information_Joined[Gross Profit ($)], Transactions_and_Customer_Information_Joined[SKU], 'Competitive Analysis (Step 1)'!$A201, Transactions_and_Customer_Information_Joined[Order Status], "Completed")</f>
        <v>808.51</v>
      </c>
      <c r="X201" s="9">
        <v>0.2788566787895907</v>
      </c>
      <c r="Y201" s="24">
        <v>13</v>
      </c>
      <c r="Z201" s="41">
        <v>8.8461538461538467</v>
      </c>
      <c r="AA201" s="21">
        <v>0.30769230769230771</v>
      </c>
      <c r="AB201" s="21">
        <v>0.15384615384615385</v>
      </c>
      <c r="AC201" s="21">
        <v>0.23076923076923078</v>
      </c>
      <c r="AD201" s="21">
        <v>0.23076923076923078</v>
      </c>
      <c r="AE201" s="21">
        <v>0.23076923076923078</v>
      </c>
      <c r="AF201" s="31">
        <v>124</v>
      </c>
      <c r="AG201" s="21">
        <v>0.23076923076923078</v>
      </c>
      <c r="AH201" s="21">
        <v>0.23076923076923078</v>
      </c>
      <c r="AI201" s="5" t="str">
        <v>Hold</v>
      </c>
    </row>
    <row r="202" spans="1:35">
      <c r="A202" s="24" t="str">
        <v>SKU-1048</v>
      </c>
      <c r="B202" s="24" t="str">
        <v>Gym Bag</v>
      </c>
      <c r="C202" s="24" t="str">
        <v>RivalMart</v>
      </c>
      <c r="D202" s="23">
        <v>124.77</v>
      </c>
      <c r="E202" s="24">
        <v>3</v>
      </c>
      <c r="F202" s="24">
        <v>7</v>
      </c>
      <c r="G202" s="40">
        <v>45359</v>
      </c>
      <c r="H202" s="28">
        <v>109.2375</v>
      </c>
      <c r="I202" s="11">
        <f t="shared" si="2"/>
        <v>-0.18570169111164544</v>
      </c>
      <c r="J202" s="24" t="str">
        <v>Sports &amp; Outdoors</v>
      </c>
      <c r="K202" s="23">
        <v>101.6</v>
      </c>
      <c r="L202" s="23">
        <v>47.68</v>
      </c>
      <c r="M202" s="9">
        <v>0.53070866141732276</v>
      </c>
      <c r="N202" s="24">
        <v>4.5999999999999996</v>
      </c>
      <c r="O202" s="24">
        <v>2494</v>
      </c>
      <c r="P202" s="24">
        <v>220</v>
      </c>
      <c r="Q202" s="24">
        <v>37</v>
      </c>
      <c r="R202" s="23">
        <v>2917.0799999999995</v>
      </c>
      <c r="S202" s="23">
        <v>1764.1599999999996</v>
      </c>
      <c r="T202" s="28">
        <v>1152.9199999999998</v>
      </c>
      <c r="U202" s="23">
        <v>299.60000000000002</v>
      </c>
      <c r="V202" s="23">
        <v>2617.48</v>
      </c>
      <c r="W202" s="23">
        <f>SUMIFS(Transactions_and_Customer_Information_Joined[Gross Profit ($)], Transactions_and_Customer_Information_Joined[SKU], 'Competitive Analysis (Step 1)'!$A202, Transactions_and_Customer_Information_Joined[Order Status], "Completed")</f>
        <v>853.31999999999994</v>
      </c>
      <c r="X202" s="9">
        <v>0.18103290187508592</v>
      </c>
      <c r="Y202" s="24">
        <v>14</v>
      </c>
      <c r="Z202" s="41">
        <v>9.2857142857142865</v>
      </c>
      <c r="AA202" s="21">
        <v>0.14285714285714285</v>
      </c>
      <c r="AB202" s="21">
        <v>0.21428571428571427</v>
      </c>
      <c r="AC202" s="21">
        <v>0.21428571428571427</v>
      </c>
      <c r="AD202" s="21">
        <v>0.14285714285714285</v>
      </c>
      <c r="AE202" s="21">
        <v>0.21428571428571427</v>
      </c>
      <c r="AF202" s="31">
        <v>225.42857142857142</v>
      </c>
      <c r="AG202" s="21">
        <v>0.33333333333333331</v>
      </c>
      <c r="AH202" s="21">
        <v>0.2857142857142857</v>
      </c>
      <c r="AI202" s="5" t="str">
        <v>Raise</v>
      </c>
    </row>
    <row r="203" spans="1:35">
      <c r="A203" s="24" t="str">
        <v>SKU-1048</v>
      </c>
      <c r="B203" s="24" t="str">
        <v>Gym Bag</v>
      </c>
      <c r="C203" s="24" t="str">
        <v>ShopNow</v>
      </c>
      <c r="D203" s="23">
        <v>93.55</v>
      </c>
      <c r="E203" s="24">
        <v>4.8</v>
      </c>
      <c r="F203" s="24">
        <v>1889</v>
      </c>
      <c r="G203" s="40">
        <v>45338</v>
      </c>
      <c r="H203" s="28">
        <v>109.2375</v>
      </c>
      <c r="I203" s="11">
        <f t="shared" ref="I203:I209" si="3">($K203 - $D203) / $D203</f>
        <v>8.6050240513094581E-2</v>
      </c>
      <c r="J203" s="24" t="str">
        <v>Sports &amp; Outdoors</v>
      </c>
      <c r="K203" s="23">
        <v>101.6</v>
      </c>
      <c r="L203" s="23">
        <v>47.68</v>
      </c>
      <c r="M203" s="9">
        <v>0.53070866141732276</v>
      </c>
      <c r="N203" s="24">
        <v>4.5999999999999996</v>
      </c>
      <c r="O203" s="24">
        <v>2494</v>
      </c>
      <c r="P203" s="24">
        <v>220</v>
      </c>
      <c r="Q203" s="24">
        <v>37</v>
      </c>
      <c r="R203" s="23">
        <v>2917.0799999999995</v>
      </c>
      <c r="S203" s="23">
        <v>1764.1599999999996</v>
      </c>
      <c r="T203" s="28">
        <v>1152.9199999999998</v>
      </c>
      <c r="U203" s="23">
        <v>299.60000000000002</v>
      </c>
      <c r="V203" s="23">
        <v>2617.48</v>
      </c>
      <c r="W203" s="23">
        <f>SUMIFS(Transactions_and_Customer_Information_Joined[Gross Profit ($)], Transactions_and_Customer_Information_Joined[SKU], 'Competitive Analysis (Step 1)'!$A203, Transactions_and_Customer_Information_Joined[Order Status], "Completed")</f>
        <v>853.31999999999994</v>
      </c>
      <c r="X203" s="9">
        <v>0.18103290187508592</v>
      </c>
      <c r="Y203" s="24">
        <v>14</v>
      </c>
      <c r="Z203" s="41">
        <v>9.2857142857142865</v>
      </c>
      <c r="AA203" s="21">
        <v>0.14285714285714285</v>
      </c>
      <c r="AB203" s="21">
        <v>0.21428571428571427</v>
      </c>
      <c r="AC203" s="21">
        <v>0.21428571428571427</v>
      </c>
      <c r="AD203" s="21">
        <v>0.14285714285714285</v>
      </c>
      <c r="AE203" s="21">
        <v>0.21428571428571427</v>
      </c>
      <c r="AF203" s="31">
        <v>225.42857142857142</v>
      </c>
      <c r="AG203" s="21">
        <v>0.33333333333333331</v>
      </c>
      <c r="AH203" s="21">
        <v>0.2857142857142857</v>
      </c>
      <c r="AI203" s="5" t="str">
        <v>Hold</v>
      </c>
    </row>
    <row r="204" spans="1:35">
      <c r="A204" s="24" t="str">
        <v>SKU-1048</v>
      </c>
      <c r="B204" s="24" t="str">
        <v>Gym Bag</v>
      </c>
      <c r="C204" s="24" t="str">
        <v>BestDeals</v>
      </c>
      <c r="D204" s="23">
        <v>94.3</v>
      </c>
      <c r="E204" s="24">
        <v>4.8</v>
      </c>
      <c r="F204" s="24">
        <v>932</v>
      </c>
      <c r="G204" s="40">
        <v>45312</v>
      </c>
      <c r="H204" s="28">
        <v>109.2375</v>
      </c>
      <c r="I204" s="11">
        <f t="shared" si="3"/>
        <v>7.7412513255567306E-2</v>
      </c>
      <c r="J204" s="24" t="str">
        <v>Sports &amp; Outdoors</v>
      </c>
      <c r="K204" s="23">
        <v>101.6</v>
      </c>
      <c r="L204" s="23">
        <v>47.68</v>
      </c>
      <c r="M204" s="9">
        <v>0.53070866141732276</v>
      </c>
      <c r="N204" s="24">
        <v>4.5999999999999996</v>
      </c>
      <c r="O204" s="24">
        <v>2494</v>
      </c>
      <c r="P204" s="24">
        <v>220</v>
      </c>
      <c r="Q204" s="24">
        <v>37</v>
      </c>
      <c r="R204" s="23">
        <v>2917.0799999999995</v>
      </c>
      <c r="S204" s="23">
        <v>1764.1599999999996</v>
      </c>
      <c r="T204" s="28">
        <v>1152.9199999999998</v>
      </c>
      <c r="U204" s="23">
        <v>299.60000000000002</v>
      </c>
      <c r="V204" s="23">
        <v>2617.48</v>
      </c>
      <c r="W204" s="23">
        <f>SUMIFS(Transactions_and_Customer_Information_Joined[Gross Profit ($)], Transactions_and_Customer_Information_Joined[SKU], 'Competitive Analysis (Step 1)'!$A204, Transactions_and_Customer_Information_Joined[Order Status], "Completed")</f>
        <v>853.31999999999994</v>
      </c>
      <c r="X204" s="9">
        <v>0.18103290187508592</v>
      </c>
      <c r="Y204" s="24">
        <v>14</v>
      </c>
      <c r="Z204" s="41">
        <v>9.2857142857142865</v>
      </c>
      <c r="AA204" s="21">
        <v>0.14285714285714285</v>
      </c>
      <c r="AB204" s="21">
        <v>0.21428571428571427</v>
      </c>
      <c r="AC204" s="21">
        <v>0.21428571428571427</v>
      </c>
      <c r="AD204" s="21">
        <v>0.14285714285714285</v>
      </c>
      <c r="AE204" s="21">
        <v>0.21428571428571427</v>
      </c>
      <c r="AF204" s="31">
        <v>225.42857142857142</v>
      </c>
      <c r="AG204" s="21">
        <v>0.33333333333333331</v>
      </c>
      <c r="AH204" s="21">
        <v>0.2857142857142857</v>
      </c>
      <c r="AI204" s="5" t="str">
        <v>Hold</v>
      </c>
    </row>
    <row r="205" spans="1:35">
      <c r="A205" s="24" t="str">
        <v>SKU-1048</v>
      </c>
      <c r="B205" s="24" t="str">
        <v>Gym Bag</v>
      </c>
      <c r="C205" s="24" t="str">
        <v>QuickCart</v>
      </c>
      <c r="D205" s="23">
        <v>124.33</v>
      </c>
      <c r="E205" s="24">
        <v>4.5</v>
      </c>
      <c r="F205" s="24">
        <v>1518</v>
      </c>
      <c r="G205" s="40">
        <v>45304</v>
      </c>
      <c r="H205" s="28">
        <v>109.2375</v>
      </c>
      <c r="I205" s="11">
        <f t="shared" si="3"/>
        <v>-0.18281991474302264</v>
      </c>
      <c r="J205" s="24" t="str">
        <v>Sports &amp; Outdoors</v>
      </c>
      <c r="K205" s="23">
        <v>101.6</v>
      </c>
      <c r="L205" s="23">
        <v>47.68</v>
      </c>
      <c r="M205" s="9">
        <v>0.53070866141732276</v>
      </c>
      <c r="N205" s="24">
        <v>4.5999999999999996</v>
      </c>
      <c r="O205" s="24">
        <v>2494</v>
      </c>
      <c r="P205" s="24">
        <v>220</v>
      </c>
      <c r="Q205" s="24">
        <v>37</v>
      </c>
      <c r="R205" s="23">
        <v>2917.0799999999995</v>
      </c>
      <c r="S205" s="23">
        <v>1764.1599999999996</v>
      </c>
      <c r="T205" s="28">
        <v>1152.9199999999998</v>
      </c>
      <c r="U205" s="23">
        <v>299.60000000000002</v>
      </c>
      <c r="V205" s="23">
        <v>2617.48</v>
      </c>
      <c r="W205" s="23">
        <f>SUMIFS(Transactions_and_Customer_Information_Joined[Gross Profit ($)], Transactions_and_Customer_Information_Joined[SKU], 'Competitive Analysis (Step 1)'!$A205, Transactions_and_Customer_Information_Joined[Order Status], "Completed")</f>
        <v>853.31999999999994</v>
      </c>
      <c r="X205" s="9">
        <v>0.18103290187508592</v>
      </c>
      <c r="Y205" s="24">
        <v>14</v>
      </c>
      <c r="Z205" s="41">
        <v>9.2857142857142865</v>
      </c>
      <c r="AA205" s="21">
        <v>0.14285714285714285</v>
      </c>
      <c r="AB205" s="21">
        <v>0.21428571428571427</v>
      </c>
      <c r="AC205" s="21">
        <v>0.21428571428571427</v>
      </c>
      <c r="AD205" s="21">
        <v>0.14285714285714285</v>
      </c>
      <c r="AE205" s="21">
        <v>0.21428571428571427</v>
      </c>
      <c r="AF205" s="31">
        <v>225.42857142857142</v>
      </c>
      <c r="AG205" s="21">
        <v>0.33333333333333331</v>
      </c>
      <c r="AH205" s="21">
        <v>0.2857142857142857</v>
      </c>
      <c r="AI205" s="5" t="str">
        <v>Raise</v>
      </c>
    </row>
    <row r="206" spans="1:35">
      <c r="A206" s="24" t="str">
        <v>SKU-1049</v>
      </c>
      <c r="B206" s="24" t="str">
        <v>Protein Shaker</v>
      </c>
      <c r="C206" s="24" t="str">
        <v>RivalMart</v>
      </c>
      <c r="D206" s="23">
        <v>111.08</v>
      </c>
      <c r="E206" s="24">
        <v>4.4000000000000004</v>
      </c>
      <c r="F206" s="24">
        <v>2314</v>
      </c>
      <c r="G206" s="40">
        <v>45382</v>
      </c>
      <c r="H206" s="28">
        <v>107.1925</v>
      </c>
      <c r="I206" s="11">
        <f t="shared" si="3"/>
        <v>-0.10199855959668706</v>
      </c>
      <c r="J206" s="24" t="str">
        <v>Sports &amp; Outdoors</v>
      </c>
      <c r="K206" s="23">
        <v>99.75</v>
      </c>
      <c r="L206" s="23">
        <v>38.130000000000003</v>
      </c>
      <c r="M206" s="9">
        <v>0.6177443609022556</v>
      </c>
      <c r="N206" s="24">
        <v>3.2</v>
      </c>
      <c r="O206" s="24">
        <v>2121</v>
      </c>
      <c r="P206" s="24">
        <v>337</v>
      </c>
      <c r="Q206" s="24">
        <v>34</v>
      </c>
      <c r="R206" s="23">
        <v>3047.0800000000004</v>
      </c>
      <c r="S206" s="23">
        <v>1296.42</v>
      </c>
      <c r="T206" s="28">
        <v>1750.6600000000003</v>
      </c>
      <c r="U206" s="23">
        <v>295.75</v>
      </c>
      <c r="V206" s="23">
        <v>2751.33</v>
      </c>
      <c r="W206" s="23">
        <f>SUMIFS(Transactions_and_Customer_Information_Joined[Gross Profit ($)], Transactions_and_Customer_Information_Joined[SKU], 'Competitive Analysis (Step 1)'!$A206, Transactions_and_Customer_Information_Joined[Order Status], "Completed")</f>
        <v>1454.91</v>
      </c>
      <c r="X206" s="9">
        <v>0.17222579625126755</v>
      </c>
      <c r="Y206" s="24">
        <v>13</v>
      </c>
      <c r="Z206" s="41">
        <v>9.615384615384615</v>
      </c>
      <c r="AA206" s="21">
        <v>0.23076923076923078</v>
      </c>
      <c r="AB206" s="21">
        <v>0.15384615384615385</v>
      </c>
      <c r="AC206" s="21">
        <v>0.15384615384615385</v>
      </c>
      <c r="AD206" s="21">
        <v>7.6923076923076927E-2</v>
      </c>
      <c r="AE206" s="21">
        <v>7.6923076923076927E-2</v>
      </c>
      <c r="AF206" s="31">
        <v>122.53846153846153</v>
      </c>
      <c r="AG206" s="21">
        <v>0.23076923076923078</v>
      </c>
      <c r="AH206" s="21">
        <v>0.33333333333333331</v>
      </c>
      <c r="AI206" s="5" t="str">
        <v>Raise</v>
      </c>
    </row>
    <row r="207" spans="1:35">
      <c r="A207" s="24" t="str">
        <v>SKU-1049</v>
      </c>
      <c r="B207" s="24" t="str">
        <v>Protein Shaker</v>
      </c>
      <c r="C207" s="24" t="str">
        <v>ShopNow</v>
      </c>
      <c r="D207" s="23">
        <v>109.18</v>
      </c>
      <c r="E207" s="24">
        <v>3.9</v>
      </c>
      <c r="F207" s="24">
        <v>413</v>
      </c>
      <c r="G207" s="40">
        <v>45369</v>
      </c>
      <c r="H207" s="28">
        <v>107.1925</v>
      </c>
      <c r="I207" s="11">
        <f t="shared" si="3"/>
        <v>-8.6371130243634422E-2</v>
      </c>
      <c r="J207" s="24" t="str">
        <v>Sports &amp; Outdoors</v>
      </c>
      <c r="K207" s="23">
        <v>99.75</v>
      </c>
      <c r="L207" s="23">
        <v>38.130000000000003</v>
      </c>
      <c r="M207" s="9">
        <v>0.6177443609022556</v>
      </c>
      <c r="N207" s="24">
        <v>3.2</v>
      </c>
      <c r="O207" s="24">
        <v>2121</v>
      </c>
      <c r="P207" s="24">
        <v>337</v>
      </c>
      <c r="Q207" s="24">
        <v>34</v>
      </c>
      <c r="R207" s="23">
        <v>3047.0800000000004</v>
      </c>
      <c r="S207" s="23">
        <v>1296.42</v>
      </c>
      <c r="T207" s="28">
        <v>1750.6600000000003</v>
      </c>
      <c r="U207" s="23">
        <v>295.75</v>
      </c>
      <c r="V207" s="23">
        <v>2751.33</v>
      </c>
      <c r="W207" s="23">
        <f>SUMIFS(Transactions_and_Customer_Information_Joined[Gross Profit ($)], Transactions_and_Customer_Information_Joined[SKU], 'Competitive Analysis (Step 1)'!$A207, Transactions_and_Customer_Information_Joined[Order Status], "Completed")</f>
        <v>1454.91</v>
      </c>
      <c r="X207" s="9">
        <v>0.17222579625126755</v>
      </c>
      <c r="Y207" s="24">
        <v>13</v>
      </c>
      <c r="Z207" s="41">
        <v>9.615384615384615</v>
      </c>
      <c r="AA207" s="21">
        <v>0.23076923076923078</v>
      </c>
      <c r="AB207" s="21">
        <v>0.15384615384615385</v>
      </c>
      <c r="AC207" s="21">
        <v>0.15384615384615385</v>
      </c>
      <c r="AD207" s="21">
        <v>7.6923076923076927E-2</v>
      </c>
      <c r="AE207" s="21">
        <v>7.6923076923076927E-2</v>
      </c>
      <c r="AF207" s="31">
        <v>122.53846153846153</v>
      </c>
      <c r="AG207" s="21">
        <v>0.23076923076923078</v>
      </c>
      <c r="AH207" s="21">
        <v>0.33333333333333331</v>
      </c>
      <c r="AI207" s="5" t="str">
        <v>Hold</v>
      </c>
    </row>
    <row r="208" spans="1:35">
      <c r="A208" s="24" t="str">
        <v>SKU-1049</v>
      </c>
      <c r="B208" s="24" t="str">
        <v>Protein Shaker</v>
      </c>
      <c r="C208" s="24" t="str">
        <v>BestDeals</v>
      </c>
      <c r="D208" s="23">
        <v>105.75</v>
      </c>
      <c r="E208" s="24">
        <v>4</v>
      </c>
      <c r="F208" s="24">
        <v>2040</v>
      </c>
      <c r="G208" s="40">
        <v>45382</v>
      </c>
      <c r="H208" s="28">
        <v>107.1925</v>
      </c>
      <c r="I208" s="11">
        <f t="shared" si="3"/>
        <v>-5.6737588652482268E-2</v>
      </c>
      <c r="J208" s="24" t="str">
        <v>Sports &amp; Outdoors</v>
      </c>
      <c r="K208" s="23">
        <v>99.75</v>
      </c>
      <c r="L208" s="23">
        <v>38.130000000000003</v>
      </c>
      <c r="M208" s="9">
        <v>0.6177443609022556</v>
      </c>
      <c r="N208" s="24">
        <v>3.2</v>
      </c>
      <c r="O208" s="24">
        <v>2121</v>
      </c>
      <c r="P208" s="24">
        <v>337</v>
      </c>
      <c r="Q208" s="24">
        <v>34</v>
      </c>
      <c r="R208" s="23">
        <v>3047.0800000000004</v>
      </c>
      <c r="S208" s="23">
        <v>1296.42</v>
      </c>
      <c r="T208" s="28">
        <v>1750.6600000000003</v>
      </c>
      <c r="U208" s="23">
        <v>295.75</v>
      </c>
      <c r="V208" s="23">
        <v>2751.33</v>
      </c>
      <c r="W208" s="23">
        <f>SUMIFS(Transactions_and_Customer_Information_Joined[Gross Profit ($)], Transactions_and_Customer_Information_Joined[SKU], 'Competitive Analysis (Step 1)'!$A208, Transactions_and_Customer_Information_Joined[Order Status], "Completed")</f>
        <v>1454.91</v>
      </c>
      <c r="X208" s="9">
        <v>0.17222579625126755</v>
      </c>
      <c r="Y208" s="24">
        <v>13</v>
      </c>
      <c r="Z208" s="41">
        <v>9.615384615384615</v>
      </c>
      <c r="AA208" s="21">
        <v>0.23076923076923078</v>
      </c>
      <c r="AB208" s="21">
        <v>0.15384615384615385</v>
      </c>
      <c r="AC208" s="21">
        <v>0.15384615384615385</v>
      </c>
      <c r="AD208" s="21">
        <v>7.6923076923076927E-2</v>
      </c>
      <c r="AE208" s="21">
        <v>7.6923076923076927E-2</v>
      </c>
      <c r="AF208" s="31">
        <v>122.53846153846153</v>
      </c>
      <c r="AG208" s="21">
        <v>0.23076923076923078</v>
      </c>
      <c r="AH208" s="21">
        <v>0.33333333333333331</v>
      </c>
      <c r="AI208" s="5" t="str">
        <v>Hold</v>
      </c>
    </row>
    <row r="209" spans="1:35">
      <c r="A209" s="24" t="str">
        <v>SKU-1049</v>
      </c>
      <c r="B209" s="24" t="str">
        <v>Protein Shaker</v>
      </c>
      <c r="C209" s="24" t="str">
        <v>QuickCart</v>
      </c>
      <c r="D209" s="23">
        <v>102.76</v>
      </c>
      <c r="E209" s="24">
        <v>3.1</v>
      </c>
      <c r="F209" s="24">
        <v>13</v>
      </c>
      <c r="G209" s="40">
        <v>45344</v>
      </c>
      <c r="H209" s="28">
        <v>107.1925</v>
      </c>
      <c r="I209" s="11">
        <f t="shared" si="3"/>
        <v>-2.9291553133515034E-2</v>
      </c>
      <c r="J209" s="24" t="str">
        <v>Sports &amp; Outdoors</v>
      </c>
      <c r="K209" s="23">
        <v>99.75</v>
      </c>
      <c r="L209" s="23">
        <v>38.130000000000003</v>
      </c>
      <c r="M209" s="9">
        <v>0.6177443609022556</v>
      </c>
      <c r="N209" s="24">
        <v>3.2</v>
      </c>
      <c r="O209" s="24">
        <v>2121</v>
      </c>
      <c r="P209" s="24">
        <v>337</v>
      </c>
      <c r="Q209" s="24">
        <v>34</v>
      </c>
      <c r="R209" s="23">
        <v>3047.0800000000004</v>
      </c>
      <c r="S209" s="23">
        <v>1296.42</v>
      </c>
      <c r="T209" s="28">
        <v>1750.6600000000003</v>
      </c>
      <c r="U209" s="23">
        <v>295.75</v>
      </c>
      <c r="V209" s="23">
        <v>2751.33</v>
      </c>
      <c r="W209" s="23">
        <f>SUMIFS(Transactions_and_Customer_Information_Joined[Gross Profit ($)], Transactions_and_Customer_Information_Joined[SKU], 'Competitive Analysis (Step 1)'!$A209, Transactions_and_Customer_Information_Joined[Order Status], "Completed")</f>
        <v>1454.91</v>
      </c>
      <c r="X209" s="9">
        <v>0.17222579625126755</v>
      </c>
      <c r="Y209" s="24">
        <v>13</v>
      </c>
      <c r="Z209" s="41">
        <v>9.615384615384615</v>
      </c>
      <c r="AA209" s="21">
        <v>0.23076923076923078</v>
      </c>
      <c r="AB209" s="21">
        <v>0.15384615384615385</v>
      </c>
      <c r="AC209" s="21">
        <v>0.15384615384615385</v>
      </c>
      <c r="AD209" s="21">
        <v>7.6923076923076927E-2</v>
      </c>
      <c r="AE209" s="21">
        <v>7.6923076923076927E-2</v>
      </c>
      <c r="AF209" s="31">
        <v>122.53846153846153</v>
      </c>
      <c r="AG209" s="21">
        <v>0.23076923076923078</v>
      </c>
      <c r="AH209" s="21">
        <v>0.33333333333333331</v>
      </c>
      <c r="AI209" s="5" t="str">
        <v>Hold</v>
      </c>
    </row>
  </sheetData>
  <conditionalFormatting sqref="AI10:AI209">
    <cfRule type="containsText" dxfId="12" priority="1" operator="containsText" text="Raise">
      <formula>NOT(ISERROR(SEARCH("Raise",AI10)))</formula>
    </cfRule>
    <cfRule type="containsText" dxfId="11" priority="3" operator="containsText" text="Reduce">
      <formula>NOT(ISERROR(SEARCH("Reduce",AI10)))</formula>
    </cfRule>
    <cfRule type="containsText" dxfId="10" priority="4" operator="containsText" text="Hold">
      <formula>NOT(ISERROR(SEARCH("Hold",AI10)))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A778C-A7F8-48BA-A5DD-39EB9FE10897}">
  <sheetPr codeName="Sheet3">
    <tabColor rgb="FFFFC000"/>
  </sheetPr>
  <dimension ref="A1:AL75"/>
  <sheetViews>
    <sheetView workbookViewId="0"/>
  </sheetViews>
  <sheetFormatPr defaultRowHeight="15"/>
  <cols>
    <col min="1" max="1" width="32.7109375" bestFit="1" customWidth="1"/>
    <col min="2" max="2" width="20.28515625" bestFit="1" customWidth="1"/>
    <col min="3" max="3" width="21.7109375" bestFit="1" customWidth="1"/>
    <col min="4" max="4" width="18.42578125" bestFit="1" customWidth="1"/>
    <col min="5" max="5" width="11.85546875" bestFit="1" customWidth="1"/>
    <col min="6" max="6" width="13" bestFit="1" customWidth="1"/>
    <col min="7" max="7" width="25.140625" bestFit="1" customWidth="1"/>
    <col min="8" max="8" width="13" bestFit="1" customWidth="1"/>
    <col min="9" max="9" width="17.140625" bestFit="1" customWidth="1"/>
    <col min="10" max="10" width="21.5703125" bestFit="1" customWidth="1"/>
    <col min="11" max="11" width="13.140625" bestFit="1" customWidth="1"/>
    <col min="12" max="12" width="13.7109375" bestFit="1" customWidth="1"/>
    <col min="13" max="13" width="12.5703125" bestFit="1" customWidth="1"/>
    <col min="14" max="14" width="22.7109375" bestFit="1" customWidth="1"/>
    <col min="15" max="15" width="13.85546875" bestFit="1" customWidth="1"/>
    <col min="16" max="16" width="24.85546875" bestFit="1" customWidth="1"/>
    <col min="17" max="17" width="19.140625" bestFit="1" customWidth="1"/>
    <col min="18" max="18" width="22.85546875" bestFit="1" customWidth="1"/>
    <col min="19" max="19" width="19" bestFit="1" customWidth="1"/>
    <col min="20" max="20" width="29.5703125" bestFit="1" customWidth="1"/>
    <col min="21" max="21" width="17.140625" bestFit="1" customWidth="1"/>
    <col min="22" max="22" width="25.42578125" bestFit="1" customWidth="1"/>
    <col min="23" max="23" width="26" bestFit="1" customWidth="1"/>
    <col min="24" max="24" width="32.42578125" bestFit="1" customWidth="1"/>
    <col min="25" max="25" width="37" bestFit="1" customWidth="1"/>
    <col min="26" max="26" width="19.140625" bestFit="1" customWidth="1"/>
    <col min="27" max="27" width="14.28515625" bestFit="1" customWidth="1"/>
    <col min="28" max="28" width="25.28515625" bestFit="1" customWidth="1"/>
    <col min="29" max="29" width="23" bestFit="1" customWidth="1"/>
    <col min="30" max="30" width="28.42578125" bestFit="1" customWidth="1"/>
    <col min="31" max="31" width="17" bestFit="1" customWidth="1"/>
    <col min="32" max="32" width="23.85546875" bestFit="1" customWidth="1"/>
    <col min="33" max="33" width="20.140625" bestFit="1" customWidth="1"/>
    <col min="34" max="34" width="22.5703125" bestFit="1" customWidth="1"/>
    <col min="35" max="35" width="29.42578125" bestFit="1" customWidth="1"/>
    <col min="36" max="36" width="31.42578125" bestFit="1" customWidth="1"/>
    <col min="37" max="37" width="32.5703125" bestFit="1" customWidth="1"/>
    <col min="38" max="38" width="31.28515625" bestFit="1" customWidth="1"/>
    <col min="39" max="39" width="12" bestFit="1" customWidth="1"/>
    <col min="40" max="40" width="20.28515625" bestFit="1" customWidth="1"/>
    <col min="41" max="41" width="14.140625" bestFit="1" customWidth="1"/>
    <col min="42" max="42" width="13.5703125" bestFit="1" customWidth="1"/>
    <col min="43" max="43" width="14.7109375" bestFit="1" customWidth="1"/>
    <col min="44" max="44" width="12.28515625" bestFit="1" customWidth="1"/>
    <col min="45" max="45" width="16.28515625" bestFit="1" customWidth="1"/>
    <col min="46" max="46" width="14.28515625" bestFit="1" customWidth="1"/>
    <col min="47" max="47" width="17" bestFit="1" customWidth="1"/>
    <col min="48" max="48" width="14.85546875" bestFit="1" customWidth="1"/>
    <col min="49" max="49" width="15.42578125" bestFit="1" customWidth="1"/>
    <col min="50" max="50" width="12.7109375" bestFit="1" customWidth="1"/>
    <col min="51" max="51" width="13.28515625" bestFit="1" customWidth="1"/>
    <col min="52" max="52" width="12.42578125" bestFit="1" customWidth="1"/>
    <col min="53" max="53" width="9.28515625" bestFit="1" customWidth="1"/>
    <col min="54" max="54" width="15" bestFit="1" customWidth="1"/>
    <col min="55" max="55" width="12.140625" bestFit="1" customWidth="1"/>
    <col min="56" max="56" width="12.28515625" bestFit="1" customWidth="1"/>
    <col min="57" max="57" width="10.85546875" bestFit="1" customWidth="1"/>
    <col min="58" max="58" width="16.140625" bestFit="1" customWidth="1"/>
    <col min="59" max="59" width="12.28515625" bestFit="1" customWidth="1"/>
    <col min="60" max="60" width="8.85546875" bestFit="1" customWidth="1"/>
    <col min="61" max="61" width="16.85546875" bestFit="1" customWidth="1"/>
    <col min="62" max="62" width="13.5703125" bestFit="1" customWidth="1"/>
    <col min="63" max="63" width="9" bestFit="1" customWidth="1"/>
    <col min="64" max="64" width="10.7109375" bestFit="1" customWidth="1"/>
    <col min="65" max="65" width="19.5703125" bestFit="1" customWidth="1"/>
    <col min="66" max="66" width="12.5703125" bestFit="1" customWidth="1"/>
    <col min="67" max="67" width="8" bestFit="1" customWidth="1"/>
    <col min="68" max="68" width="17.85546875" bestFit="1" customWidth="1"/>
    <col min="69" max="69" width="11.5703125" bestFit="1" customWidth="1"/>
    <col min="70" max="70" width="15.7109375" bestFit="1" customWidth="1"/>
    <col min="71" max="71" width="13.28515625" bestFit="1" customWidth="1"/>
    <col min="72" max="72" width="13.42578125" bestFit="1" customWidth="1"/>
    <col min="73" max="73" width="14.5703125" bestFit="1" customWidth="1"/>
    <col min="74" max="74" width="13.140625" bestFit="1" customWidth="1"/>
    <col min="75" max="75" width="9.85546875" bestFit="1" customWidth="1"/>
    <col min="76" max="76" width="13.42578125" bestFit="1" customWidth="1"/>
    <col min="77" max="77" width="18.85546875" bestFit="1" customWidth="1"/>
    <col min="78" max="78" width="13.140625" bestFit="1" customWidth="1"/>
    <col min="79" max="79" width="11.7109375" bestFit="1" customWidth="1"/>
    <col min="80" max="80" width="14.42578125" bestFit="1" customWidth="1"/>
    <col min="81" max="81" width="11.7109375" bestFit="1" customWidth="1"/>
    <col min="82" max="82" width="8.7109375" bestFit="1" customWidth="1"/>
    <col min="83" max="83" width="13.5703125" bestFit="1" customWidth="1"/>
    <col min="84" max="84" width="12.42578125" bestFit="1" customWidth="1"/>
    <col min="85" max="85" width="7.5703125" bestFit="1" customWidth="1"/>
    <col min="86" max="86" width="10.85546875" bestFit="1" customWidth="1"/>
    <col min="87" max="87" width="9.140625" bestFit="1" customWidth="1"/>
    <col min="88" max="88" width="15" bestFit="1" customWidth="1"/>
    <col min="89" max="89" width="12" bestFit="1" customWidth="1"/>
    <col min="90" max="90" width="20.28515625" bestFit="1" customWidth="1"/>
    <col min="91" max="91" width="14.140625" bestFit="1" customWidth="1"/>
    <col min="92" max="92" width="13.5703125" bestFit="1" customWidth="1"/>
    <col min="93" max="93" width="14.7109375" bestFit="1" customWidth="1"/>
    <col min="94" max="94" width="12.28515625" bestFit="1" customWidth="1"/>
    <col min="95" max="95" width="16.28515625" bestFit="1" customWidth="1"/>
    <col min="96" max="96" width="14.28515625" bestFit="1" customWidth="1"/>
    <col min="97" max="97" width="17" bestFit="1" customWidth="1"/>
    <col min="98" max="98" width="14.85546875" bestFit="1" customWidth="1"/>
    <col min="99" max="99" width="15.42578125" bestFit="1" customWidth="1"/>
    <col min="100" max="100" width="12.7109375" bestFit="1" customWidth="1"/>
    <col min="101" max="101" width="13.28515625" bestFit="1" customWidth="1"/>
    <col min="102" max="102" width="12.42578125" bestFit="1" customWidth="1"/>
    <col min="103" max="103" width="9.28515625" bestFit="1" customWidth="1"/>
    <col min="104" max="104" width="15" bestFit="1" customWidth="1"/>
    <col min="105" max="105" width="12.140625" bestFit="1" customWidth="1"/>
    <col min="106" max="106" width="12.28515625" bestFit="1" customWidth="1"/>
    <col min="107" max="107" width="10.85546875" bestFit="1" customWidth="1"/>
    <col min="108" max="108" width="16.140625" bestFit="1" customWidth="1"/>
    <col min="109" max="109" width="12.28515625" bestFit="1" customWidth="1"/>
    <col min="110" max="110" width="8.85546875" bestFit="1" customWidth="1"/>
    <col min="111" max="111" width="16.85546875" bestFit="1" customWidth="1"/>
    <col min="112" max="112" width="13.5703125" bestFit="1" customWidth="1"/>
    <col min="113" max="113" width="9" bestFit="1" customWidth="1"/>
    <col min="114" max="114" width="10.7109375" bestFit="1" customWidth="1"/>
    <col min="115" max="115" width="28.5703125" bestFit="1" customWidth="1"/>
    <col min="116" max="116" width="24.5703125" bestFit="1" customWidth="1"/>
    <col min="117" max="117" width="4" bestFit="1" customWidth="1"/>
    <col min="118" max="136" width="7" bestFit="1" customWidth="1"/>
    <col min="137" max="137" width="4" bestFit="1" customWidth="1"/>
    <col min="138" max="147" width="7" bestFit="1" customWidth="1"/>
    <col min="148" max="148" width="6" bestFit="1" customWidth="1"/>
    <col min="149" max="154" width="7" bestFit="1" customWidth="1"/>
    <col min="155" max="155" width="6" bestFit="1" customWidth="1"/>
    <col min="156" max="160" width="7" bestFit="1" customWidth="1"/>
    <col min="161" max="161" width="6" bestFit="1" customWidth="1"/>
    <col min="162" max="167" width="7" bestFit="1" customWidth="1"/>
    <col min="168" max="168" width="6" bestFit="1" customWidth="1"/>
    <col min="169" max="199" width="7" bestFit="1" customWidth="1"/>
    <col min="200" max="200" width="6" bestFit="1" customWidth="1"/>
    <col min="201" max="204" width="7" bestFit="1" customWidth="1"/>
    <col min="205" max="205" width="6" bestFit="1" customWidth="1"/>
    <col min="206" max="212" width="7" bestFit="1" customWidth="1"/>
    <col min="213" max="213" width="6" bestFit="1" customWidth="1"/>
    <col min="214" max="214" width="7" bestFit="1" customWidth="1"/>
    <col min="215" max="215" width="11.28515625" bestFit="1" customWidth="1"/>
  </cols>
  <sheetData>
    <row r="1" spans="1:2">
      <c r="A1" s="8" t="s">
        <v>5283</v>
      </c>
      <c r="B1" s="8" t="s">
        <v>5239</v>
      </c>
    </row>
    <row r="2" spans="1:2">
      <c r="A2" s="14" t="s">
        <v>5409</v>
      </c>
      <c r="B2" s="35">
        <v>45382</v>
      </c>
    </row>
    <row r="3" spans="1:2">
      <c r="A3" s="14" t="s">
        <v>5284</v>
      </c>
      <c r="B3" s="15">
        <v>0.08</v>
      </c>
    </row>
    <row r="4" spans="1:2">
      <c r="A4" s="14" t="s">
        <v>5297</v>
      </c>
      <c r="B4" s="14" t="s">
        <v>5293</v>
      </c>
    </row>
    <row r="5" spans="1:2">
      <c r="A5" s="14" t="s">
        <v>5296</v>
      </c>
      <c r="B5" s="15">
        <v>0.05</v>
      </c>
    </row>
    <row r="6" spans="1:2">
      <c r="A6" s="14" t="s">
        <v>5288</v>
      </c>
      <c r="B6" s="16">
        <v>0.03</v>
      </c>
    </row>
    <row r="7" spans="1:2">
      <c r="A7" s="14" t="s">
        <v>5298</v>
      </c>
      <c r="B7" s="15">
        <v>0.95</v>
      </c>
    </row>
    <row r="8" spans="1:2">
      <c r="A8" s="14" t="s">
        <v>5305</v>
      </c>
      <c r="B8" s="16">
        <v>-0.3</v>
      </c>
    </row>
    <row r="9" spans="1:2">
      <c r="A9" s="14" t="s">
        <v>5299</v>
      </c>
      <c r="B9" s="15">
        <v>0.98</v>
      </c>
    </row>
    <row r="10" spans="1:2">
      <c r="A10" s="14" t="s">
        <v>5300</v>
      </c>
      <c r="B10" s="15">
        <v>1.01</v>
      </c>
    </row>
    <row r="11" spans="1:2">
      <c r="A11" s="14" t="s">
        <v>5304</v>
      </c>
      <c r="B11" s="16">
        <v>0.3</v>
      </c>
    </row>
    <row r="12" spans="1:2">
      <c r="A12" s="14" t="s">
        <v>5286</v>
      </c>
      <c r="B12" s="16">
        <v>-0.4</v>
      </c>
    </row>
    <row r="13" spans="1:2">
      <c r="A13" s="14" t="s">
        <v>5287</v>
      </c>
      <c r="B13" s="16">
        <v>-0.8</v>
      </c>
    </row>
    <row r="14" spans="1:2">
      <c r="A14" s="14" t="s">
        <v>5301</v>
      </c>
      <c r="B14" s="15">
        <v>0.2</v>
      </c>
    </row>
    <row r="15" spans="1:2">
      <c r="A15" s="14" t="s">
        <v>5306</v>
      </c>
      <c r="B15" s="15">
        <v>0.08</v>
      </c>
    </row>
    <row r="16" spans="1:2">
      <c r="A16" s="14" t="s">
        <v>5407</v>
      </c>
      <c r="B16" s="16">
        <v>0.05</v>
      </c>
    </row>
    <row r="17" spans="1:38">
      <c r="A17" s="14" t="s">
        <v>5408</v>
      </c>
      <c r="B17" s="16">
        <v>0.02</v>
      </c>
    </row>
    <row r="18" spans="1:38">
      <c r="A18" s="14" t="s">
        <v>5411</v>
      </c>
      <c r="B18" s="16">
        <v>5</v>
      </c>
    </row>
    <row r="19" spans="1:38">
      <c r="A19" s="14" t="s">
        <v>5412</v>
      </c>
      <c r="B19" s="16">
        <v>-0.02</v>
      </c>
    </row>
    <row r="21" spans="1:38">
      <c r="A21" s="24" t="s">
        <v>0</v>
      </c>
      <c r="B21" s="24" t="s">
        <v>1</v>
      </c>
      <c r="C21" s="24" t="s">
        <v>2</v>
      </c>
      <c r="D21" s="24" t="s">
        <v>5291</v>
      </c>
      <c r="E21" s="24" t="s">
        <v>5290</v>
      </c>
      <c r="F21" s="24" t="s">
        <v>7</v>
      </c>
      <c r="G21" s="24" t="s">
        <v>5410</v>
      </c>
      <c r="H21" s="5" t="s">
        <v>5414</v>
      </c>
      <c r="I21" s="5" t="s">
        <v>5282</v>
      </c>
      <c r="J21" s="24" t="s">
        <v>5253</v>
      </c>
      <c r="K21" t="s">
        <v>5254</v>
      </c>
      <c r="L21" t="s">
        <v>5255</v>
      </c>
      <c r="M21" s="24" t="s">
        <v>5250</v>
      </c>
      <c r="N21" s="24" t="s">
        <v>5256</v>
      </c>
      <c r="O21" t="s">
        <v>5257</v>
      </c>
      <c r="P21" t="s">
        <v>5406</v>
      </c>
      <c r="Q21" t="s">
        <v>5413</v>
      </c>
      <c r="R21" s="24" t="s">
        <v>5405</v>
      </c>
      <c r="S21" s="5" t="s">
        <v>5258</v>
      </c>
      <c r="T21" s="5" t="s">
        <v>5419</v>
      </c>
      <c r="U21" s="5" t="s">
        <v>5295</v>
      </c>
      <c r="V21" s="5" t="s">
        <v>5415</v>
      </c>
      <c r="W21" s="5" t="s">
        <v>5416</v>
      </c>
      <c r="X21" s="5" t="s">
        <v>5418</v>
      </c>
      <c r="Y21" s="5" t="s">
        <v>5417</v>
      </c>
      <c r="Z21" s="5" t="s">
        <v>5302</v>
      </c>
      <c r="AA21" s="24" t="s">
        <v>5303</v>
      </c>
      <c r="AB21" s="5" t="s">
        <v>5317</v>
      </c>
      <c r="AC21" s="24" t="s">
        <v>5308</v>
      </c>
      <c r="AD21" s="24" t="s">
        <v>5313</v>
      </c>
      <c r="AE21" s="24" t="s">
        <v>5309</v>
      </c>
      <c r="AF21" s="24" t="s">
        <v>5316</v>
      </c>
      <c r="AG21" s="24" t="s">
        <v>5315</v>
      </c>
      <c r="AH21" s="5" t="s">
        <v>5310</v>
      </c>
      <c r="AI21" s="24" t="s">
        <v>5319</v>
      </c>
      <c r="AJ21" s="5" t="s">
        <v>5311</v>
      </c>
      <c r="AK21" s="24" t="s">
        <v>5312</v>
      </c>
      <c r="AL21" s="5" t="s">
        <v>5320</v>
      </c>
    </row>
    <row r="22" spans="1:38">
      <c r="A22" s="24" t="str" cm="1">
        <f t="array" ref="A22:A71">_xlfn.UNIQUE(_1_product_catalog_pricing[SKU])</f>
        <v>SKU-1000</v>
      </c>
      <c r="B22" s="24" t="str" cm="1">
        <f t="array" ref="B22:B71">_xlfn.XLOOKUP(_xlfn.ANCHORARRAY($A22), 'Competitive Analysis (Step 1)'!$A10:$A209, 'Competitive Analysis (Step 1)'!$B10:$B209, ,0)</f>
        <v>Wireless Earbuds</v>
      </c>
      <c r="C22" s="24" t="str" cm="1">
        <f t="array" ref="C22:C71">_xlfn.XLOOKUP(_xlfn.ANCHORARRAY($A22), 'Competitive Analysis (Step 1)'!$A10:$A209,_xlfn.ANCHORARRAY( 'Competitive Analysis (Step 1)'!J10),,0)</f>
        <v>Electronics</v>
      </c>
      <c r="D22" s="23" cm="1">
        <f t="array" ref="D22:D71">_xlfn.XLOOKUP(_xlfn.ANCHORARRAY($A22), 'Competitive Analysis (Step 1)'!$A10:$A209,_xlfn.ANCHORARRAY( 'Competitive Analysis (Step 1)'!$K10))</f>
        <v>76.53</v>
      </c>
      <c r="E22" s="23" cm="1">
        <f t="array" ref="E22:E71">_xlfn.XLOOKUP(_xlfn.ANCHORARRAY($A22), 'Competitive Analysis (Step 1)'!$A10:$A209,_xlfn.ANCHORARRAY( 'Competitive Analysis (Step 1)'!$L10),,0)</f>
        <v>52.96</v>
      </c>
      <c r="F22" s="24" cm="1">
        <f t="array" ref="F22">_xlfn.XLOOKUP($A22,'Competitive Analysis (Step 1)'!$A$10:$A$209,_xlfn.ANCHORARRAY( 'Competitive Analysis (Step 1)'!$P$10),,0)</f>
        <v>71</v>
      </c>
      <c r="G22" s="31" cm="1">
        <f t="array" ref="G22">SUMPRODUCT((Transactions_and_Customer_Information_Joined[SKU]='V1 Pricing Model (Step 2)'!$A22) * (Transactions_and_Customer_Information_Joined[Order Status]="Completed") * (Transactions_and_Customer_Information_Joined[Quantity])) / 12</f>
        <v>2</v>
      </c>
      <c r="H22" s="13">
        <f>IF($G22=0, 99, $F22/$G22)</f>
        <v>35.5</v>
      </c>
      <c r="I22" s="9">
        <f>($D22-$E22)/$D22</f>
        <v>0.30798379720371094</v>
      </c>
      <c r="J22" s="23" cm="1">
        <f t="array" ref="J22">(SMALL(IF('Competitive Analysis (Step 1)'!$A$10:$A$209=$A22,'Competitive Analysis (Step 1)'!$D$10:$D$209),2)+SMALL(IF('Competitive Analysis (Step 1)'!$A$10:$A$209=$A22,'Competitive Analysis (Step 1)'!$D$10:$D$209),3))/2</f>
        <v>73.825000000000003</v>
      </c>
      <c r="K22" s="22">
        <f>$J22-$D22</f>
        <v>-2.7049999999999983</v>
      </c>
      <c r="L22" s="12">
        <f>$K22/$D22</f>
        <v>-3.5345616098262096E-2</v>
      </c>
      <c r="M22" s="24" cm="1">
        <f t="array" ref="M22:M71">_xlfn.XLOOKUP(_xlfn.ANCHORARRAY($A22), 'Competitive Analysis (Step 1)'!$A10:$A209,_xlfn.ANCHORARRAY( 'Competitive Analysis (Step 1)'!$N10))</f>
        <v>4.5</v>
      </c>
      <c r="N22" s="24" cm="1">
        <f t="array" ref="N22:N71">AVERAGEIF('Competitive Analysis (Step 1)'!$A10:$A209,_xlfn.ANCHORARRAY( 'V1 Pricing Model (Step 2)'!$A22), 'Competitive Analysis (Step 1)'!$E10:$E209)</f>
        <v>3.8250000000000002</v>
      </c>
      <c r="O22" cm="1">
        <f t="array" ref="O22:O71">_xlfn.ANCHORARRAY($M22) -_xlfn.ANCHORARRAY($N22)</f>
        <v>0.67499999999999982</v>
      </c>
      <c r="P22" s="3" cm="1">
        <f t="array" ref="P22">MEDIAN(IF($C$22:$C$71=$C22, $I$22:$I$71))</f>
        <v>0.52615180188657695</v>
      </c>
      <c r="Q22" s="34" cm="1">
        <f t="array" ref="Q22">_xlfn.LET(
    _xlpm.stock, $F22,
    _xlpm.stock_ratio, $H22,
    _xlpm.cat_ratios, IF($C$22:$C$71=$C22, $H$22:$H$71),
    _xlpm.cat_median, MEDIAN(_xlpm.cat_ratios),
    _xlpm.cat_stdev, STDEV(IF($C$22:$C$71=$C22, $H$22:$H$71)),
    _xlpm.z_score, IF(_xlpm.cat_stdev = 0, 0, (_xlpm.stock_ratio - _xlpm.cat_median) / _xlpm.cat_stdev),
    _xlpm.capped_z, MIN(MAX(_xlpm.z_score, -2), 2),
    IF(_xlpm.stock &lt; $B$18, 0, 1 + $B$19 * _xlpm.capped_z)
)</f>
        <v>1.020188485461037</v>
      </c>
      <c r="R22" s="42" cm="1">
        <f t="array" ref="R22">_xlfn.LET(
    _xlpm.sku, $A22,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$D22,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3.5322190019906573E-2</v>
      </c>
      <c r="S22" s="4" t="str">
        <f>IF($R22 &lt; -$B$16, "Raise", IF($R22 &gt; $B$16, "Reduce", "Hold"))</f>
        <v>Hold</v>
      </c>
      <c r="T22" s="4" t="str" cm="1">
        <f t="array" ref="T22">IF($S22="Hold", IF(0.5 * ($P22-$I22) / $P22 + 0.5 * ($R22 / MAX(ABS($R22:$R71))) &gt; 0, "Raise", "Hold"), $S22)</f>
        <v>Raise</v>
      </c>
      <c r="U22" s="22">
        <f>IF($Q22=0, $D22,
  _xlfn.LET(
    _xlpm.raw_price, $Q22 * IF($T22="Raise",
      ($J22*(1+$B$5)) + ($J22 * MIN($B$6*ABS($O22), $B$5) * SIGN($O22)),
    IF($T22="Reduce",
      $J22 * ($B$7 + ($B$9-$B$7) / (1+EXP(-20*($O22-$B$8)))),
    IF($T22="Hold",
      IF($O22&gt;$B$11,
        MIN(MAX($D22, ($J22*$B$10)+($J22 * MIN($B$6*ABS($O22), $B$5) * SIGN($O22))), $D22*(1+$B$15)),
      $D22)))),
    IF(AND(OR($T22="Hold", $T22="Reduce"), _xlpm.raw_price &lt; $D22, _xlpm.raw_price &gt;= $D22 * 0.95), $D22, _xlpm.raw_price)
  ))</f>
        <v>80.606322838637126</v>
      </c>
      <c r="V22" s="22">
        <f t="shared" ref="V22:V53" si="0">$U22-$D22</f>
        <v>4.0763228386371253</v>
      </c>
      <c r="W22" s="3">
        <f t="shared" ref="W22:W53" si="1">$V22/$D22</f>
        <v>5.3264377873214752E-2</v>
      </c>
      <c r="X22" s="22">
        <f>$U22-$J22</f>
        <v>6.7813228386371236</v>
      </c>
      <c r="Y22" s="3">
        <f>$X22/$J22</f>
        <v>9.185672656467489E-2</v>
      </c>
      <c r="Z22" s="3">
        <f t="shared" ref="Z22:Z53" si="2">IF($V22 = 0, 0, IF($S22="Reduce", $W22*$B$13, $W22*$B$12))</f>
        <v>-2.1305751149285901E-2</v>
      </c>
      <c r="AA22" s="24" cm="1">
        <f t="array" ref="AA22">ROUND(_xlfn.XLOOKUP($A22, 'Competitive Analysis (Step 1)'!$A$10:$A$209,_xlfn.ANCHORARRAY( 'Competitive Analysis (Step 1)'!$Q$10), , 0) * (1+$Z22), 0)</f>
        <v>23</v>
      </c>
      <c r="AB22" s="22">
        <f>$AA22*$U22</f>
        <v>1853.945425288654</v>
      </c>
      <c r="AC22" s="23" cm="1">
        <f t="array" ref="AC22">$AB22 - _xlfn.XLOOKUP($A22, 'Competitive Analysis (Step 1)'!$A$10:$A$209,_xlfn.ANCHORARRAY( 'Competitive Analysis (Step 1)'!$R$10), ,0)</f>
        <v>17.225425288654151</v>
      </c>
      <c r="AD22" s="21" cm="1">
        <f t="array" ref="AD22">$AC22 / _xlfn.XLOOKUP($A22, 'Competitive Analysis (Step 1)'!$A$10:$A$209,_xlfn.ANCHORARRAY( 'Competitive Analysis (Step 1)'!$V$10), ,0)</f>
        <v>9.8719261894183313E-3</v>
      </c>
      <c r="AE22" s="23">
        <f>$AA22 * _xlfn.XLOOKUP($A22, _1_product_catalog_pricing[SKU], _1_product_catalog_pricing[Cost Price ($)], , 0)</f>
        <v>1218.08</v>
      </c>
      <c r="AF22" s="23" cm="1">
        <f t="array" ref="AF22">$AE22 - _xlfn.XLOOKUP($A22, 'Competitive Analysis (Step 1)'!$A$10:$A$209,_xlfn.ANCHORARRAY( 'Competitive Analysis (Step 1)'!$S$10),,0)</f>
        <v>-52.960000000000264</v>
      </c>
      <c r="AG22" s="21" cm="1">
        <f t="array" ref="AG22">$AF22 / _xlfn.XLOOKUP($A22, 'Competitive Analysis (Step 1)'!$A$10:$A$209,_xlfn.ANCHORARRAY( 'Competitive Analysis (Step 1)'!$S$10),,0)</f>
        <v>-4.1666666666666866E-2</v>
      </c>
      <c r="AH22" s="28">
        <f t="shared" ref="AH22:AH53" si="3">$AB22-$AE22</f>
        <v>635.86542528865402</v>
      </c>
      <c r="AI22" s="23" cm="1">
        <f t="array" ref="AI22">$AH22 - _xlfn.XLOOKUP($A22, 'Competitive Analysis (Step 1)'!$A$10:$A$209,_xlfn.ANCHORARRAY( 'Competitive Analysis (Step 1)'!$T$10),,0)</f>
        <v>70.185425288654415</v>
      </c>
      <c r="AJ22" s="9">
        <f>IFERROR($AH22 / $AB22, 0)</f>
        <v>0.34297958106811671</v>
      </c>
      <c r="AK22" s="21" cm="1">
        <f t="array" ref="AK22">$AI22 / _xlfn.XLOOKUP($A22, 'Competitive Analysis (Step 1)'!$A$10:$A$209,_xlfn.ANCHORARRAY( 'Competitive Analysis (Step 1)'!$T$10),,0)</f>
        <v>0.12407266526773876</v>
      </c>
      <c r="AL22" t="str">
        <f>IF($AK22 &gt; 0, "Full",
  IF($AK22 &gt;= $B$20, "Constrained",
  "Exclude"))</f>
        <v>Full</v>
      </c>
    </row>
    <row r="23" spans="1:38">
      <c r="A23" s="24" t="str">
        <v>SKU-1001</v>
      </c>
      <c r="B23" s="24" t="str">
        <v>Bluetooth Speaker</v>
      </c>
      <c r="C23" s="24" t="str">
        <v>Electronics</v>
      </c>
      <c r="D23" s="23">
        <v>53.26</v>
      </c>
      <c r="E23" s="23">
        <v>36.64</v>
      </c>
      <c r="F23" s="24" cm="1">
        <f t="array" ref="F23">_xlfn.XLOOKUP($A23,'Competitive Analysis (Step 1)'!$A$10:$A$209,_xlfn.ANCHORARRAY( 'Competitive Analysis (Step 1)'!$P$10),,0)</f>
        <v>287</v>
      </c>
      <c r="G23" s="31" cm="1">
        <f t="array" ref="G23">SUMPRODUCT((Transactions_and_Customer_Information_Joined[SKU]='V1 Pricing Model (Step 2)'!$A23) * (Transactions_and_Customer_Information_Joined[Order Status]="Completed") * (Transactions_and_Customer_Information_Joined[Quantity])) / 12</f>
        <v>1.75</v>
      </c>
      <c r="H23" s="13">
        <f t="shared" ref="H23:H71" si="4">IF($G23=0, 99, $F23/$G23)</f>
        <v>164</v>
      </c>
      <c r="I23" s="9">
        <f t="shared" ref="I23:I71" si="5">($D23-$E23)/$D23</f>
        <v>0.31205407435223431</v>
      </c>
      <c r="J23" s="23" cm="1">
        <f t="array" ref="J23">(SMALL(IF('Competitive Analysis (Step 1)'!$A$10:$A$209=$A23,'Competitive Analysis (Step 1)'!$D$10:$D$209),2)+SMALL(IF('Competitive Analysis (Step 1)'!$A$10:$A$209=$A23,'Competitive Analysis (Step 1)'!$D$10:$D$209),3))/2</f>
        <v>58.22</v>
      </c>
      <c r="K23" s="22">
        <f t="shared" ref="K23:K71" si="6">$J23-$D23</f>
        <v>4.9600000000000009</v>
      </c>
      <c r="L23" s="12">
        <f t="shared" ref="L23:L71" si="7">$K23/$D23</f>
        <v>9.3128051070221568E-2</v>
      </c>
      <c r="M23" s="24">
        <v>3.4</v>
      </c>
      <c r="N23" s="24">
        <v>4.2</v>
      </c>
      <c r="O23">
        <v>-0.80000000000000027</v>
      </c>
      <c r="P23" s="3" cm="1">
        <f t="array" ref="P23">MEDIAN(IF($C$22:$C$71=$C23, $I$22:$I$71))</f>
        <v>0.52615180188657695</v>
      </c>
      <c r="Q23" s="34" cm="1">
        <f t="array" ref="Q23">_xlfn.LET(
    _xlpm.stock, $F23,
    _xlpm.stock_ratio, $H23,
    _xlpm.cat_ratios, IF($C$22:$C$71=$C23, $H$22:$H$71),
    _xlpm.cat_median, MEDIAN(_xlpm.cat_ratios),
    _xlpm.cat_stdev, STDEV(IF($C$22:$C$71=$C23, $H$22:$H$71)),
    _xlpm.z_score, IF(_xlpm.cat_stdev = 0, 0, (_xlpm.stock_ratio - _xlpm.cat_median) / _xlpm.cat_stdev),
    _xlpm.capped_z, MIN(MAX(_xlpm.z_score, -2), 2),
    IF(_xlpm.stock &lt; $B$18, 0, 1 + $B$19 * _xlpm.capped_z)
)</f>
        <v>0.9636766602549488</v>
      </c>
      <c r="R23" s="42" cm="1">
        <f t="array" ref="R23">_xlfn.LET(
    _xlpm.sku, $A23,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$D23,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9.644341722445549E-4</v>
      </c>
      <c r="S23" s="4" t="str">
        <f t="shared" ref="S23:S71" si="8">IF($R23 &lt; -$B$16, "Raise", IF($R23 &gt; $B$16, "Reduce", "Hold"))</f>
        <v>Hold</v>
      </c>
      <c r="T23" s="4" t="str" cm="1">
        <f t="array" ref="T23">IF($S23="Hold", IF(0.5 * ($P23-$I23) / $P23 + 0.5 * ($R23 / MAX(ABS($R23:$R72))) &gt; 0, "Raise", "Hold"), $S23)</f>
        <v>Raise</v>
      </c>
      <c r="U23" s="22">
        <f t="shared" ref="U23:U71" si="9">IF($Q23=0, $D23,
  _xlfn.LET(
    _xlpm.raw_price, $Q23 * IF($T23="Raise",
      ($J23*(1+$B$5)) + ($J23 * MIN($B$6*ABS($O23), $B$5) * SIGN($O23)),
    IF($T23="Reduce",
      $J23 * ($B$7 + ($B$9-$B$7) / (1+EXP(-20*($O23-$B$8)))),
    IF($T23="Hold",
      IF($O23&gt;$B$11,
        MIN(MAX($D23, ($J23*$B$10)+($J23 * MIN($B$6*ABS($O23), $B$5) * SIGN($O23))), $D23*(1+$B$15)),
      $D23)))),
    IF(AND(OR($T23="Hold", $T23="Reduce"), _xlpm.raw_price &lt; $D23, _xlpm.raw_price &gt;= $D23 * 0.95), $D23, _xlpm.raw_price)
  ))</f>
        <v>57.563991794204242</v>
      </c>
      <c r="V23" s="22">
        <f t="shared" si="0"/>
        <v>4.3039917942042436</v>
      </c>
      <c r="W23" s="3">
        <f t="shared" si="1"/>
        <v>8.081096121299744E-2</v>
      </c>
      <c r="X23" s="22">
        <f t="shared" ref="X23:X71" si="10">$U23-$J23</f>
        <v>-0.65600820579575725</v>
      </c>
      <c r="Y23" s="3">
        <f t="shared" ref="Y23:Y71" si="11">$X23/$J23</f>
        <v>-1.1267746578422487E-2</v>
      </c>
      <c r="Z23" s="3">
        <f t="shared" si="2"/>
        <v>-3.2324384485198976E-2</v>
      </c>
      <c r="AA23" s="24" cm="1">
        <f t="array" ref="AA23">ROUND(_xlfn.XLOOKUP($A23, 'Competitive Analysis (Step 1)'!$A$10:$A$209,_xlfn.ANCHORARRAY( 'Competitive Analysis (Step 1)'!$Q$10), , 0) * (1+$Z23), 0)</f>
        <v>20</v>
      </c>
      <c r="AB23" s="22">
        <f t="shared" ref="AB23:AB71" si="12">$AA23*$U23</f>
        <v>1151.2798358840848</v>
      </c>
      <c r="AC23" s="23" cm="1">
        <f t="array" ref="AC23">$AB23 - _xlfn.XLOOKUP($A23, 'Competitive Analysis (Step 1)'!$A$10:$A$209,_xlfn.ANCHORARRAY( 'Competitive Analysis (Step 1)'!$R$10), ,0)</f>
        <v>32.819835884084796</v>
      </c>
      <c r="AD23" s="21" cm="1">
        <f t="array" ref="AD23">$AC23 / _xlfn.XLOOKUP($A23, 'Competitive Analysis (Step 1)'!$A$10:$A$209,_xlfn.ANCHORARRAY( 'Competitive Analysis (Step 1)'!$V$10), ,0)</f>
        <v>3.2262976902743441E-2</v>
      </c>
      <c r="AE23" s="23">
        <f>$AA23 * _xlfn.XLOOKUP($A23, _1_product_catalog_pricing[SKU], _1_product_catalog_pricing[Cost Price ($)], , 0)</f>
        <v>732.8</v>
      </c>
      <c r="AF23" s="23" cm="1">
        <f t="array" ref="AF23">$AE23 - _xlfn.XLOOKUP($A23, 'Competitive Analysis (Step 1)'!$A$10:$A$209,_xlfn.ANCHORARRAY( 'Competitive Analysis (Step 1)'!$S$10),,0)</f>
        <v>-36.639999999999986</v>
      </c>
      <c r="AG23" s="21" cm="1">
        <f t="array" ref="AG23">$AF23 / _xlfn.XLOOKUP($A23, 'Competitive Analysis (Step 1)'!$A$10:$A$209,_xlfn.ANCHORARRAY( 'Competitive Analysis (Step 1)'!$S$10),,0)</f>
        <v>-4.7619047619047603E-2</v>
      </c>
      <c r="AH23" s="28">
        <f t="shared" si="3"/>
        <v>418.47983588408488</v>
      </c>
      <c r="AI23" s="23" cm="1">
        <f t="array" ref="AI23">$AH23 - _xlfn.XLOOKUP($A23, 'Competitive Analysis (Step 1)'!$A$10:$A$209,_xlfn.ANCHORARRAY( 'Competitive Analysis (Step 1)'!$T$10),,0)</f>
        <v>69.459835884084782</v>
      </c>
      <c r="AJ23" s="9">
        <f t="shared" ref="AJ23:AJ71" si="13">IFERROR($AH23 / $AB23, 0)</f>
        <v>0.36349098007325736</v>
      </c>
      <c r="AK23" s="21" cm="1">
        <f t="array" ref="AK23">$AI23 / _xlfn.XLOOKUP($A23, 'Competitive Analysis (Step 1)'!$A$10:$A$209,_xlfn.ANCHORARRAY( 'Competitive Analysis (Step 1)'!$T$10),,0)</f>
        <v>0.1990139129106778</v>
      </c>
      <c r="AL23" t="str">
        <f t="shared" ref="AL23:AL71" si="14">IF($AK23 &gt; 0, "Full",
  IF($AK23 &gt;= $B$20, "Constrained",
  "Exclude"))</f>
        <v>Full</v>
      </c>
    </row>
    <row r="24" spans="1:38">
      <c r="A24" s="24" t="str">
        <v>SKU-1002</v>
      </c>
      <c r="B24" s="24" t="str">
        <v>Smart Watch</v>
      </c>
      <c r="C24" s="24" t="str">
        <v>Electronics</v>
      </c>
      <c r="D24" s="23">
        <v>73.540000000000006</v>
      </c>
      <c r="E24" s="23">
        <v>38.69</v>
      </c>
      <c r="F24" s="24" cm="1">
        <f t="array" ref="F24">_xlfn.XLOOKUP($A24,'Competitive Analysis (Step 1)'!$A$10:$A$209,_xlfn.ANCHORARRAY( 'Competitive Analysis (Step 1)'!$P$10),,0)</f>
        <v>357</v>
      </c>
      <c r="G24" s="31" cm="1">
        <f t="array" ref="G24">SUMPRODUCT((Transactions_and_Customer_Information_Joined[SKU]='V1 Pricing Model (Step 2)'!$A24) * (Transactions_and_Customer_Information_Joined[Order Status]="Completed") * (Transactions_and_Customer_Information_Joined[Quantity])) / 12</f>
        <v>2.9166666666666665</v>
      </c>
      <c r="H24" s="13">
        <f t="shared" si="4"/>
        <v>122.4</v>
      </c>
      <c r="I24" s="9">
        <f t="shared" si="5"/>
        <v>0.47389175958661961</v>
      </c>
      <c r="J24" s="23" cm="1">
        <f t="array" ref="J24">(SMALL(IF('Competitive Analysis (Step 1)'!$A$10:$A$209=$A24,'Competitive Analysis (Step 1)'!$D$10:$D$209),2)+SMALL(IF('Competitive Analysis (Step 1)'!$A$10:$A$209=$A24,'Competitive Analysis (Step 1)'!$D$10:$D$209),3))/2</f>
        <v>62.564999999999998</v>
      </c>
      <c r="K24" s="22">
        <f t="shared" si="6"/>
        <v>-10.975000000000009</v>
      </c>
      <c r="L24" s="12">
        <f t="shared" si="7"/>
        <v>-0.14923850965460983</v>
      </c>
      <c r="M24" s="24">
        <v>3.8</v>
      </c>
      <c r="N24" s="24">
        <v>3.8</v>
      </c>
      <c r="O24">
        <v>0</v>
      </c>
      <c r="P24" s="3" cm="1">
        <f t="array" ref="P24">MEDIAN(IF($C$22:$C$71=$C24, $I$22:$I$71))</f>
        <v>0.52615180188657695</v>
      </c>
      <c r="Q24" s="34" cm="1">
        <f t="array" ref="Q24">_xlfn.LET(
    _xlpm.stock, $F24,
    _xlpm.stock_ratio, $H24,
    _xlpm.cat_ratios, IF($C$22:$C$71=$C24, $H$22:$H$71),
    _xlpm.cat_median, MEDIAN(_xlpm.cat_ratios),
    _xlpm.cat_stdev, STDEV(IF($C$22:$C$71=$C24, $H$22:$H$71)),
    _xlpm.z_score, IF(_xlpm.cat_stdev = 0, 0, (_xlpm.stock_ratio - _xlpm.cat_median) / _xlpm.cat_stdev),
    _xlpm.capped_z, MIN(MAX(_xlpm.z_score, -2), 2),
    IF(_xlpm.stock &lt; $B$18, 0, 1 + $B$19 * _xlpm.capped_z)
)</f>
        <v>0.98197153907653068</v>
      </c>
      <c r="R24" s="42" cm="1">
        <f t="array" ref="R24">_xlfn.LET(
    _xlpm.sku, $A24,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$D24,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0.15186216958837995</v>
      </c>
      <c r="S24" s="4" t="str">
        <f t="shared" si="8"/>
        <v>Reduce</v>
      </c>
      <c r="T24" s="4" t="str" cm="1">
        <f t="array" ref="T24">IF($S24="Hold", IF(0.5 * ($P24-$I24) / $P24 + 0.5 * ($R24 / MAX(ABS($R24:$R73))) &gt; 0, "Raise", "Hold"), $S24)</f>
        <v>Reduce</v>
      </c>
      <c r="U24" s="22">
        <f t="shared" si="9"/>
        <v>60.203751035350301</v>
      </c>
      <c r="V24" s="22">
        <f t="shared" si="0"/>
        <v>-13.336248964649705</v>
      </c>
      <c r="W24" s="3">
        <f t="shared" si="1"/>
        <v>-0.18134687196967234</v>
      </c>
      <c r="X24" s="22">
        <f t="shared" si="10"/>
        <v>-2.3612489646496968</v>
      </c>
      <c r="Y24" s="3">
        <f t="shared" si="11"/>
        <v>-3.7740733072000272E-2</v>
      </c>
      <c r="Z24" s="3">
        <f t="shared" si="2"/>
        <v>0.14507749757573787</v>
      </c>
      <c r="AA24" s="24" cm="1">
        <f t="array" ref="AA24">ROUND(_xlfn.XLOOKUP($A24, 'Competitive Analysis (Step 1)'!$A$10:$A$209,_xlfn.ANCHORARRAY( 'Competitive Analysis (Step 1)'!$Q$10), , 0) * (1+$Z24), 0)</f>
        <v>40</v>
      </c>
      <c r="AB24" s="22">
        <f t="shared" si="12"/>
        <v>2408.1500414140119</v>
      </c>
      <c r="AC24" s="23" cm="1">
        <f t="array" ref="AC24">$AB24 - _xlfn.XLOOKUP($A24, 'Competitive Analysis (Step 1)'!$A$10:$A$209,_xlfn.ANCHORARRAY( 'Competitive Analysis (Step 1)'!$R$10), ,0)</f>
        <v>118.10004141401123</v>
      </c>
      <c r="AD24" s="21" cm="1">
        <f t="array" ref="AD24">$AC24 / _xlfn.XLOOKUP($A24, 'Competitive Analysis (Step 1)'!$A$10:$A$209,_xlfn.ANCHORARRAY( 'Competitive Analysis (Step 1)'!$V$10), ,0)</f>
        <v>5.4862885300845106E-2</v>
      </c>
      <c r="AE24" s="23">
        <f>$AA24 * _xlfn.XLOOKUP($A24, _1_product_catalog_pricing[SKU], _1_product_catalog_pricing[Cost Price ($)], , 0)</f>
        <v>1547.6</v>
      </c>
      <c r="AF24" s="23" cm="1">
        <f t="array" ref="AF24">$AE24 - _xlfn.XLOOKUP($A24, 'Competitive Analysis (Step 1)'!$A$10:$A$209,_xlfn.ANCHORARRAY( 'Competitive Analysis (Step 1)'!$S$10),,0)</f>
        <v>193.45000000000005</v>
      </c>
      <c r="AG24" s="21" cm="1">
        <f t="array" ref="AG24">$AF24 / _xlfn.XLOOKUP($A24, 'Competitive Analysis (Step 1)'!$A$10:$A$209,_xlfn.ANCHORARRAY( 'Competitive Analysis (Step 1)'!$S$10),,0)</f>
        <v>0.1428571428571429</v>
      </c>
      <c r="AH24" s="28">
        <f t="shared" si="3"/>
        <v>860.55004141401196</v>
      </c>
      <c r="AI24" s="23" cm="1">
        <f t="array" ref="AI24">$AH24 - _xlfn.XLOOKUP($A24, 'Competitive Analysis (Step 1)'!$A$10:$A$209,_xlfn.ANCHORARRAY( 'Competitive Analysis (Step 1)'!$T$10),,0)</f>
        <v>-75.349958585988816</v>
      </c>
      <c r="AJ24" s="9">
        <f t="shared" si="13"/>
        <v>0.35734901339815034</v>
      </c>
      <c r="AK24" s="21" cm="1">
        <f t="array" ref="AK24">$AI24 / _xlfn.XLOOKUP($A24, 'Competitive Analysis (Step 1)'!$A$10:$A$209,_xlfn.ANCHORARRAY( 'Competitive Analysis (Step 1)'!$T$10),,0)</f>
        <v>-8.0510694076278186E-2</v>
      </c>
      <c r="AL24" t="str">
        <f t="shared" si="14"/>
        <v>Exclude</v>
      </c>
    </row>
    <row r="25" spans="1:38">
      <c r="A25" s="24" t="str">
        <v>SKU-1003</v>
      </c>
      <c r="B25" s="24" t="str">
        <v>Portable Charger</v>
      </c>
      <c r="C25" s="24" t="str">
        <v>Electronics</v>
      </c>
      <c r="D25" s="23">
        <v>154.03</v>
      </c>
      <c r="E25" s="23">
        <v>76.790000000000006</v>
      </c>
      <c r="F25" s="24" cm="1">
        <f t="array" ref="F25">_xlfn.XLOOKUP($A25,'Competitive Analysis (Step 1)'!$A$10:$A$209,_xlfn.ANCHORARRAY( 'Competitive Analysis (Step 1)'!$P$10),,0)</f>
        <v>183</v>
      </c>
      <c r="G25" s="31" cm="1">
        <f t="array" ref="G25">SUMPRODUCT((Transactions_and_Customer_Information_Joined[SKU]='V1 Pricing Model (Step 2)'!$A25) * (Transactions_and_Customer_Information_Joined[Order Status]="Completed") * (Transactions_and_Customer_Information_Joined[Quantity])) / 12</f>
        <v>1.9166666666666667</v>
      </c>
      <c r="H25" s="13">
        <f t="shared" si="4"/>
        <v>95.478260869565219</v>
      </c>
      <c r="I25" s="9">
        <f t="shared" si="5"/>
        <v>0.5014607543984938</v>
      </c>
      <c r="J25" s="23" cm="1">
        <f t="array" ref="J25">(SMALL(IF('Competitive Analysis (Step 1)'!$A$10:$A$209=$A25,'Competitive Analysis (Step 1)'!$D$10:$D$209),2)+SMALL(IF('Competitive Analysis (Step 1)'!$A$10:$A$209=$A25,'Competitive Analysis (Step 1)'!$D$10:$D$209),3))/2</f>
        <v>133.345</v>
      </c>
      <c r="K25" s="22">
        <f t="shared" si="6"/>
        <v>-20.685000000000002</v>
      </c>
      <c r="L25" s="12">
        <f t="shared" si="7"/>
        <v>-0.13429202103486335</v>
      </c>
      <c r="M25" s="24">
        <v>4.7</v>
      </c>
      <c r="N25" s="24">
        <v>3.8999999999999995</v>
      </c>
      <c r="O25">
        <v>0.80000000000000071</v>
      </c>
      <c r="P25" s="3" cm="1">
        <f t="array" ref="P25">MEDIAN(IF($C$22:$C$71=$C25, $I$22:$I$71))</f>
        <v>0.52615180188657695</v>
      </c>
      <c r="Q25" s="34" cm="1">
        <f t="array" ref="Q25">_xlfn.LET(
    _xlpm.stock, $F25,
    _xlpm.stock_ratio, $H25,
    _xlpm.cat_ratios, IF($C$22:$C$71=$C25, $H$22:$H$71),
    _xlpm.cat_median, MEDIAN(_xlpm.cat_ratios),
    _xlpm.cat_stdev, STDEV(IF($C$22:$C$71=$C25, $H$22:$H$71)),
    _xlpm.z_score, IF(_xlpm.cat_stdev = 0, 0, (_xlpm.stock_ratio - _xlpm.cat_median) / _xlpm.cat_stdev),
    _xlpm.capped_z, MIN(MAX(_xlpm.z_score, -2), 2),
    IF(_xlpm.stock &lt; $B$18, 0, 1 + $B$19 * _xlpm.capped_z)
)</f>
        <v>0.99381120145772162</v>
      </c>
      <c r="R25" s="42" cm="1">
        <f t="array" ref="R25">_xlfn.LET(
    _xlpm.sku, $A25,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$D25,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0.1493568092544573</v>
      </c>
      <c r="S25" s="4" t="str">
        <f t="shared" si="8"/>
        <v>Reduce</v>
      </c>
      <c r="T25" s="4" t="str" cm="1">
        <f t="array" ref="T25">IF($S25="Hold", IF(0.5 * ($P25-$I25) / $P25 + 0.5 * ($R25 / MAX(ABS($R25:$R74))) &gt; 0, "Raise", "Hold"), $S25)</f>
        <v>Reduce</v>
      </c>
      <c r="U25" s="22">
        <f t="shared" si="9"/>
        <v>129.86935956410329</v>
      </c>
      <c r="V25" s="22">
        <f t="shared" si="0"/>
        <v>-24.16064043589671</v>
      </c>
      <c r="W25" s="3">
        <f t="shared" si="1"/>
        <v>-0.15685671905405901</v>
      </c>
      <c r="X25" s="22">
        <f t="shared" si="10"/>
        <v>-3.4756404358967075</v>
      </c>
      <c r="Y25" s="3">
        <f t="shared" si="11"/>
        <v>-2.6065022579749578E-2</v>
      </c>
      <c r="Z25" s="3">
        <f t="shared" si="2"/>
        <v>0.12548537524324721</v>
      </c>
      <c r="AA25" s="24" cm="1">
        <f t="array" ref="AA25">ROUND(_xlfn.XLOOKUP($A25, 'Competitive Analysis (Step 1)'!$A$10:$A$209,_xlfn.ANCHORARRAY( 'Competitive Analysis (Step 1)'!$Q$10), , 0) * (1+$Z25), 0)</f>
        <v>26</v>
      </c>
      <c r="AB25" s="22">
        <f t="shared" si="12"/>
        <v>3376.6033486666856</v>
      </c>
      <c r="AC25" s="23" cm="1">
        <f t="array" ref="AC25">$AB25 - _xlfn.XLOOKUP($A25, 'Competitive Analysis (Step 1)'!$A$10:$A$209,_xlfn.ANCHORARRAY( 'Competitive Analysis (Step 1)'!$R$10), ,0)</f>
        <v>-166.08665133331488</v>
      </c>
      <c r="AD25" s="21" cm="1">
        <f t="array" ref="AD25">$AC25 / _xlfn.XLOOKUP($A25, 'Competitive Analysis (Step 1)'!$A$10:$A$209,_xlfn.ANCHORARRAY( 'Competitive Analysis (Step 1)'!$V$10), ,0)</f>
        <v>-5.0742299850698371E-2</v>
      </c>
      <c r="AE25" s="23">
        <f>$AA25 * _xlfn.XLOOKUP($A25, _1_product_catalog_pricing[SKU], _1_product_catalog_pricing[Cost Price ($)], , 0)</f>
        <v>1996.5400000000002</v>
      </c>
      <c r="AF25" s="23" cm="1">
        <f t="array" ref="AF25">$AE25 - _xlfn.XLOOKUP($A25, 'Competitive Analysis (Step 1)'!$A$10:$A$209,_xlfn.ANCHORARRAY( 'Competitive Analysis (Step 1)'!$S$10),,0)</f>
        <v>230.36999999999989</v>
      </c>
      <c r="AG25" s="21" cm="1">
        <f t="array" ref="AG25">$AF25 / _xlfn.XLOOKUP($A25, 'Competitive Analysis (Step 1)'!$A$10:$A$209,_xlfn.ANCHORARRAY( 'Competitive Analysis (Step 1)'!$S$10),,0)</f>
        <v>0.13043478260869557</v>
      </c>
      <c r="AH25" s="28">
        <f t="shared" si="3"/>
        <v>1380.0633486666854</v>
      </c>
      <c r="AI25" s="23" cm="1">
        <f t="array" ref="AI25">$AH25 - _xlfn.XLOOKUP($A25, 'Competitive Analysis (Step 1)'!$A$10:$A$209,_xlfn.ANCHORARRAY( 'Competitive Analysis (Step 1)'!$T$10),,0)</f>
        <v>-396.45665133331477</v>
      </c>
      <c r="AJ25" s="9">
        <f t="shared" si="13"/>
        <v>0.40871349286898889</v>
      </c>
      <c r="AK25" s="21" cm="1">
        <f t="array" ref="AK25">$AI25 / _xlfn.XLOOKUP($A25, 'Competitive Analysis (Step 1)'!$A$10:$A$209,_xlfn.ANCHORARRAY( 'Competitive Analysis (Step 1)'!$T$10),,0)</f>
        <v>-0.22316475543946296</v>
      </c>
      <c r="AL25" t="str">
        <f t="shared" si="14"/>
        <v>Exclude</v>
      </c>
    </row>
    <row r="26" spans="1:38">
      <c r="A26" s="24" t="str">
        <v>SKU-1004</v>
      </c>
      <c r="B26" s="24" t="str">
        <v>USB-C Hub</v>
      </c>
      <c r="C26" s="24" t="str">
        <v>Electronics</v>
      </c>
      <c r="D26" s="23">
        <v>18.39</v>
      </c>
      <c r="E26" s="23">
        <v>8.26</v>
      </c>
      <c r="F26" s="24" cm="1">
        <f t="array" ref="F26">_xlfn.XLOOKUP($A26,'Competitive Analysis (Step 1)'!$A$10:$A$209,_xlfn.ANCHORARRAY( 'Competitive Analysis (Step 1)'!$P$10),,0)</f>
        <v>40</v>
      </c>
      <c r="G26" s="31" cm="1">
        <f t="array" ref="G26">SUMPRODUCT((Transactions_and_Customer_Information_Joined[SKU]='V1 Pricing Model (Step 2)'!$A26) * (Transactions_and_Customer_Information_Joined[Order Status]="Completed") * (Transactions_and_Customer_Information_Joined[Quantity])) / 12</f>
        <v>1.4166666666666667</v>
      </c>
      <c r="H26" s="13">
        <f t="shared" si="4"/>
        <v>28.235294117647058</v>
      </c>
      <c r="I26" s="9">
        <f t="shared" si="5"/>
        <v>0.55084284937466022</v>
      </c>
      <c r="J26" s="23" cm="1">
        <f t="array" ref="J26">(SMALL(IF('Competitive Analysis (Step 1)'!$A$10:$A$209=$A26,'Competitive Analysis (Step 1)'!$D$10:$D$209),2)+SMALL(IF('Competitive Analysis (Step 1)'!$A$10:$A$209=$A26,'Competitive Analysis (Step 1)'!$D$10:$D$209),3))/2</f>
        <v>21.759999999999998</v>
      </c>
      <c r="K26" s="22">
        <f t="shared" si="6"/>
        <v>3.3699999999999974</v>
      </c>
      <c r="L26" s="12">
        <f t="shared" si="7"/>
        <v>0.18325176726481768</v>
      </c>
      <c r="M26" s="24">
        <v>4.0999999999999996</v>
      </c>
      <c r="N26" s="24">
        <v>3.6500000000000004</v>
      </c>
      <c r="O26">
        <v>0.44999999999999929</v>
      </c>
      <c r="P26" s="3" cm="1">
        <f t="array" ref="P26">MEDIAN(IF($C$22:$C$71=$C26, $I$22:$I$71))</f>
        <v>0.52615180188657695</v>
      </c>
      <c r="Q26" s="34" cm="1">
        <f t="array" ref="Q26">_xlfn.LET(
    _xlpm.stock, $F26,
    _xlpm.stock_ratio, $H26,
    _xlpm.cat_ratios, IF($C$22:$C$71=$C26, $H$22:$H$71),
    _xlpm.cat_median, MEDIAN(_xlpm.cat_ratios),
    _xlpm.cat_stdev, STDEV(IF($C$22:$C$71=$C26, $H$22:$H$71)),
    _xlpm.z_score, IF(_xlpm.cat_stdev = 0, 0, (_xlpm.stock_ratio - _xlpm.cat_median) / _xlpm.cat_stdev),
    _xlpm.capped_z, MIN(MAX(_xlpm.z_score, -2), 2),
    IF(_xlpm.stock &lt; $B$18, 0, 1 + $B$19 * _xlpm.capped_z)
)</f>
        <v>1.0233833631964235</v>
      </c>
      <c r="R26" s="42" cm="1">
        <f t="array" ref="R26">_xlfn.LET(
    _xlpm.sku, $A26,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$D26,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-1.7545443318185854E-2</v>
      </c>
      <c r="S26" s="4" t="str">
        <f t="shared" si="8"/>
        <v>Hold</v>
      </c>
      <c r="T26" s="4" t="str" cm="1">
        <f t="array" ref="T26">IF($S26="Hold", IF(0.5 * ($P26-$I26) / $P26 + 0.5 * ($R26 / MAX(ABS($R26:$R75))) &gt; 0, "Raise", "Hold"), $S26)</f>
        <v>Hold</v>
      </c>
      <c r="U26" s="22">
        <f t="shared" si="9"/>
        <v>20.325621653116809</v>
      </c>
      <c r="V26" s="22">
        <f t="shared" si="0"/>
        <v>1.935621653116808</v>
      </c>
      <c r="W26" s="3">
        <f t="shared" si="1"/>
        <v>0.10525403225213746</v>
      </c>
      <c r="X26" s="22">
        <f t="shared" si="10"/>
        <v>-1.4343783468831894</v>
      </c>
      <c r="Y26" s="3">
        <f t="shared" si="11"/>
        <v>-6.5918122558970102E-2</v>
      </c>
      <c r="Z26" s="3">
        <f t="shared" si="2"/>
        <v>-4.2101612900854984E-2</v>
      </c>
      <c r="AA26" s="24" cm="1">
        <f t="array" ref="AA26">ROUND(_xlfn.XLOOKUP($A26, 'Competitive Analysis (Step 1)'!$A$10:$A$209,_xlfn.ANCHORARRAY( 'Competitive Analysis (Step 1)'!$Q$10), , 0) * (1+$Z26), 0)</f>
        <v>16</v>
      </c>
      <c r="AB26" s="22">
        <f t="shared" si="12"/>
        <v>325.20994644986894</v>
      </c>
      <c r="AC26" s="23" cm="1">
        <f t="array" ref="AC26">$AB26 - _xlfn.XLOOKUP($A26, 'Competitive Analysis (Step 1)'!$A$10:$A$209,_xlfn.ANCHORARRAY( 'Competitive Analysis (Step 1)'!$R$10), ,0)</f>
        <v>12.579946449868942</v>
      </c>
      <c r="AD26" s="21" cm="1">
        <f t="array" ref="AD26">$AC26 / _xlfn.XLOOKUP($A26, 'Competitive Analysis (Step 1)'!$A$10:$A$209,_xlfn.ANCHORARRAY( 'Competitive Analysis (Step 1)'!$V$10), ,0)</f>
        <v>4.4133968740769511E-2</v>
      </c>
      <c r="AE26" s="23">
        <f>$AA26 * _xlfn.XLOOKUP($A26, _1_product_catalog_pricing[SKU], _1_product_catalog_pricing[Cost Price ($)], , 0)</f>
        <v>132.16</v>
      </c>
      <c r="AF26" s="23" cm="1">
        <f t="array" ref="AF26">$AE26 - _xlfn.XLOOKUP($A26, 'Competitive Analysis (Step 1)'!$A$10:$A$209,_xlfn.ANCHORARRAY( 'Competitive Analysis (Step 1)'!$S$10),,0)</f>
        <v>-8.2600000000000193</v>
      </c>
      <c r="AG26" s="21" cm="1">
        <f t="array" ref="AG26">$AF26 / _xlfn.XLOOKUP($A26, 'Competitive Analysis (Step 1)'!$A$10:$A$209,_xlfn.ANCHORARRAY( 'Competitive Analysis (Step 1)'!$S$10),,0)</f>
        <v>-5.8823529411764837E-2</v>
      </c>
      <c r="AH26" s="28">
        <f t="shared" si="3"/>
        <v>193.04994644986894</v>
      </c>
      <c r="AI26" s="23" cm="1">
        <f t="array" ref="AI26">$AH26 - _xlfn.XLOOKUP($A26, 'Competitive Analysis (Step 1)'!$A$10:$A$209,_xlfn.ANCHORARRAY( 'Competitive Analysis (Step 1)'!$T$10),,0)</f>
        <v>20.839946449868961</v>
      </c>
      <c r="AJ26" s="9">
        <f t="shared" si="13"/>
        <v>0.59361636554258213</v>
      </c>
      <c r="AK26" s="21" cm="1">
        <f t="array" ref="AK26">$AI26 / _xlfn.XLOOKUP($A26, 'Competitive Analysis (Step 1)'!$A$10:$A$209,_xlfn.ANCHORARRAY( 'Competitive Analysis (Step 1)'!$T$10),,0)</f>
        <v>0.12101472881870369</v>
      </c>
      <c r="AL26" t="str">
        <f t="shared" si="14"/>
        <v>Full</v>
      </c>
    </row>
    <row r="27" spans="1:38">
      <c r="A27" s="24" t="str">
        <v>SKU-1005</v>
      </c>
      <c r="B27" s="24" t="str">
        <v>Webcam</v>
      </c>
      <c r="C27" s="24" t="str">
        <v>Electronics</v>
      </c>
      <c r="D27" s="23">
        <v>29.62</v>
      </c>
      <c r="E27" s="23">
        <v>19.420000000000002</v>
      </c>
      <c r="F27" s="24" cm="1">
        <f t="array" ref="F27">_xlfn.XLOOKUP($A27,'Competitive Analysis (Step 1)'!$A$10:$A$209,_xlfn.ANCHORARRAY( 'Competitive Analysis (Step 1)'!$P$10),,0)</f>
        <v>437</v>
      </c>
      <c r="G27" s="31" cm="1">
        <f t="array" ref="G27">SUMPRODUCT((Transactions_and_Customer_Information_Joined[SKU]='V1 Pricing Model (Step 2)'!$A27) * (Transactions_and_Customer_Information_Joined[Order Status]="Completed") * (Transactions_and_Customer_Information_Joined[Quantity])) / 12</f>
        <v>3.8333333333333335</v>
      </c>
      <c r="H27" s="13">
        <f t="shared" si="4"/>
        <v>114</v>
      </c>
      <c r="I27" s="9">
        <f t="shared" si="5"/>
        <v>0.34436191762322749</v>
      </c>
      <c r="J27" s="23" cm="1">
        <f t="array" ref="J27">(SMALL(IF('Competitive Analysis (Step 1)'!$A$10:$A$209=$A27,'Competitive Analysis (Step 1)'!$D$10:$D$209),2)+SMALL(IF('Competitive Analysis (Step 1)'!$A$10:$A$209=$A27,'Competitive Analysis (Step 1)'!$D$10:$D$209),3))/2</f>
        <v>27.265000000000001</v>
      </c>
      <c r="K27" s="22">
        <f t="shared" si="6"/>
        <v>-2.3550000000000004</v>
      </c>
      <c r="L27" s="12">
        <f t="shared" si="7"/>
        <v>-7.9507089804186373E-2</v>
      </c>
      <c r="M27" s="24">
        <v>3.5</v>
      </c>
      <c r="N27" s="24">
        <v>3.4499999999999997</v>
      </c>
      <c r="O27">
        <v>5.0000000000000266E-2</v>
      </c>
      <c r="P27" s="3" cm="1">
        <f t="array" ref="P27">MEDIAN(IF($C$22:$C$71=$C27, $I$22:$I$71))</f>
        <v>0.52615180188657695</v>
      </c>
      <c r="Q27" s="34" cm="1">
        <f t="array" ref="Q27">_xlfn.LET(
    _xlpm.stock, $F27,
    _xlpm.stock_ratio, $H27,
    _xlpm.cat_ratios, IF($C$22:$C$71=$C27, $H$22:$H$71),
    _xlpm.cat_median, MEDIAN(_xlpm.cat_ratios),
    _xlpm.cat_stdev, STDEV(IF($C$22:$C$71=$C27, $H$22:$H$71)),
    _xlpm.z_score, IF(_xlpm.cat_stdev = 0, 0, (_xlpm.stock_ratio - _xlpm.cat_median) / _xlpm.cat_stdev),
    _xlpm.capped_z, MIN(MAX(_xlpm.z_score, -2), 2),
    IF(_xlpm.stock &lt; $B$18, 0, 1 + $B$19 * _xlpm.capped_z)
)</f>
        <v>0.98566569730011933</v>
      </c>
      <c r="R27" s="42" cm="1">
        <f t="array" ref="R27">_xlfn.LET(
    _xlpm.sku, $A27,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$D27,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4.9960290789393215E-2</v>
      </c>
      <c r="S27" s="4" t="str">
        <f t="shared" si="8"/>
        <v>Hold</v>
      </c>
      <c r="T27" s="4" t="str" cm="1">
        <f t="array" ref="T27">IF($S27="Hold", IF(0.5 * ($P27-$I27) / $P27 + 0.5 * ($R27 / MAX(ABS($R27:$R76))) &gt; 0, "Raise", "Hold"), $S27)</f>
        <v>Raise</v>
      </c>
      <c r="U27" s="22">
        <f t="shared" si="9"/>
        <v>28.258195261587474</v>
      </c>
      <c r="V27" s="22">
        <f t="shared" si="0"/>
        <v>-1.3618047384125269</v>
      </c>
      <c r="W27" s="3">
        <f t="shared" si="1"/>
        <v>-4.5975852073346618E-2</v>
      </c>
      <c r="X27" s="22">
        <f t="shared" si="10"/>
        <v>0.99319526158747351</v>
      </c>
      <c r="Y27" s="3">
        <f t="shared" si="11"/>
        <v>3.6427480711075502E-2</v>
      </c>
      <c r="Z27" s="3">
        <f t="shared" si="2"/>
        <v>1.8390340829338648E-2</v>
      </c>
      <c r="AA27" s="24" cm="1">
        <f t="array" ref="AA27">ROUND(_xlfn.XLOOKUP($A27, 'Competitive Analysis (Step 1)'!$A$10:$A$209,_xlfn.ANCHORARRAY( 'Competitive Analysis (Step 1)'!$Q$10), , 0) * (1+$Z27), 0)</f>
        <v>47</v>
      </c>
      <c r="AB27" s="22">
        <f t="shared" si="12"/>
        <v>1328.1351772946114</v>
      </c>
      <c r="AC27" s="23" cm="1">
        <f t="array" ref="AC27">$AB27 - _xlfn.XLOOKUP($A27, 'Competitive Analysis (Step 1)'!$A$10:$A$209,_xlfn.ANCHORARRAY( 'Competitive Analysis (Step 1)'!$R$10), ,0)</f>
        <v>110.97517729461129</v>
      </c>
      <c r="AD27" s="21" cm="1">
        <f t="array" ref="AD27">$AC27 / _xlfn.XLOOKUP($A27, 'Competitive Analysis (Step 1)'!$A$10:$A$209,_xlfn.ANCHORARRAY( 'Competitive Analysis (Step 1)'!$V$10), ,0)</f>
        <v>9.9621333873094686E-2</v>
      </c>
      <c r="AE27" s="23">
        <f>$AA27 * _xlfn.XLOOKUP($A27, _1_product_catalog_pricing[SKU], _1_product_catalog_pricing[Cost Price ($)], , 0)</f>
        <v>912.74000000000012</v>
      </c>
      <c r="AF27" s="23" cm="1">
        <f t="array" ref="AF27">$AE27 - _xlfn.XLOOKUP($A27, 'Competitive Analysis (Step 1)'!$A$10:$A$209,_xlfn.ANCHORARRAY( 'Competitive Analysis (Step 1)'!$S$10),,0)</f>
        <v>19.420000000000073</v>
      </c>
      <c r="AG27" s="21" cm="1">
        <f t="array" ref="AG27">$AF27 / _xlfn.XLOOKUP($A27, 'Competitive Analysis (Step 1)'!$A$10:$A$209,_xlfn.ANCHORARRAY( 'Competitive Analysis (Step 1)'!$S$10),,0)</f>
        <v>2.1739130434782688E-2</v>
      </c>
      <c r="AH27" s="28">
        <f t="shared" si="3"/>
        <v>415.39517729461124</v>
      </c>
      <c r="AI27" s="23" cm="1">
        <f t="array" ref="AI27">$AH27 - _xlfn.XLOOKUP($A27, 'Competitive Analysis (Step 1)'!$A$10:$A$209,_xlfn.ANCHORARRAY( 'Competitive Analysis (Step 1)'!$T$10),,0)</f>
        <v>91.555177294611212</v>
      </c>
      <c r="AJ27" s="9">
        <f t="shared" si="13"/>
        <v>0.31276573679854192</v>
      </c>
      <c r="AK27" s="21" cm="1">
        <f t="array" ref="AK27">$AI27 / _xlfn.XLOOKUP($A27, 'Competitive Analysis (Step 1)'!$A$10:$A$209,_xlfn.ANCHORARRAY( 'Competitive Analysis (Step 1)'!$T$10),,0)</f>
        <v>0.28271732119136367</v>
      </c>
      <c r="AL27" t="str">
        <f t="shared" si="14"/>
        <v>Full</v>
      </c>
    </row>
    <row r="28" spans="1:38">
      <c r="A28" s="24" t="str">
        <v>SKU-1006</v>
      </c>
      <c r="B28" s="24" t="str">
        <v>Mechanical Keyboard</v>
      </c>
      <c r="C28" s="24" t="str">
        <v>Electronics</v>
      </c>
      <c r="D28" s="23">
        <v>113.18</v>
      </c>
      <c r="E28" s="23">
        <v>39.01</v>
      </c>
      <c r="F28" s="24" cm="1">
        <f t="array" ref="F28">_xlfn.XLOOKUP($A28,'Competitive Analysis (Step 1)'!$A$10:$A$209,_xlfn.ANCHORARRAY( 'Competitive Analysis (Step 1)'!$P$10),,0)</f>
        <v>107</v>
      </c>
      <c r="G28" s="31" cm="1">
        <f t="array" ref="G28">SUMPRODUCT((Transactions_and_Customer_Information_Joined[SKU]='V1 Pricing Model (Step 2)'!$A28) * (Transactions_and_Customer_Information_Joined[Order Status]="Completed") * (Transactions_and_Customer_Information_Joined[Quantity])) / 12</f>
        <v>2</v>
      </c>
      <c r="H28" s="13">
        <f t="shared" si="4"/>
        <v>53.5</v>
      </c>
      <c r="I28" s="9">
        <f t="shared" si="5"/>
        <v>0.65532779643046479</v>
      </c>
      <c r="J28" s="23" cm="1">
        <f t="array" ref="J28">(SMALL(IF('Competitive Analysis (Step 1)'!$A$10:$A$209=$A28,'Competitive Analysis (Step 1)'!$D$10:$D$209),2)+SMALL(IF('Competitive Analysis (Step 1)'!$A$10:$A$209=$A28,'Competitive Analysis (Step 1)'!$D$10:$D$209),3))/2</f>
        <v>115.705</v>
      </c>
      <c r="K28" s="22">
        <f t="shared" si="6"/>
        <v>2.5249999999999915</v>
      </c>
      <c r="L28" s="12">
        <f t="shared" si="7"/>
        <v>2.2309595334864742E-2</v>
      </c>
      <c r="M28" s="24">
        <v>4.3</v>
      </c>
      <c r="N28" s="24">
        <v>3.2249999999999996</v>
      </c>
      <c r="O28">
        <v>1.0750000000000002</v>
      </c>
      <c r="P28" s="3" cm="1">
        <f t="array" ref="P28">MEDIAN(IF($C$22:$C$71=$C28, $I$22:$I$71))</f>
        <v>0.52615180188657695</v>
      </c>
      <c r="Q28" s="34" cm="1">
        <f t="array" ref="Q28">_xlfn.LET(
    _xlpm.stock, $F28,
    _xlpm.stock_ratio, $H28,
    _xlpm.cat_ratios, IF($C$22:$C$71=$C28, $H$22:$H$71),
    _xlpm.cat_median, MEDIAN(_xlpm.cat_ratios),
    _xlpm.cat_stdev, STDEV(IF($C$22:$C$71=$C28, $H$22:$H$71)),
    _xlpm.z_score, IF(_xlpm.cat_stdev = 0, 0, (_xlpm.stock_ratio - _xlpm.cat_median) / _xlpm.cat_stdev),
    _xlpm.capped_z, MIN(MAX(_xlpm.z_score, -2), 2),
    IF(_xlpm.stock &lt; $B$18, 0, 1 + $B$19 * _xlpm.capped_z)
)</f>
        <v>1.0122724321247756</v>
      </c>
      <c r="R28" s="42" cm="1">
        <f t="array" ref="R28">_xlfn.LET(
    _xlpm.sku, $A28,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$D28,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-3.476665189126129E-2</v>
      </c>
      <c r="S28" s="4" t="str">
        <f t="shared" si="8"/>
        <v>Hold</v>
      </c>
      <c r="T28" s="4" t="str" cm="1">
        <f t="array" ref="T28">IF($S28="Hold", IF(0.5 * ($P28-$I28) / $P28 + 0.5 * ($R28 / MAX(ABS($R28:$R77))) &gt; 0, "Raise", "Hold"), $S28)</f>
        <v>Hold</v>
      </c>
      <c r="U28" s="22">
        <f t="shared" si="9"/>
        <v>122.07351223831479</v>
      </c>
      <c r="V28" s="22">
        <f t="shared" si="0"/>
        <v>8.8935122383147842</v>
      </c>
      <c r="W28" s="3">
        <f t="shared" si="1"/>
        <v>7.8578478868305213E-2</v>
      </c>
      <c r="X28" s="22">
        <f t="shared" si="10"/>
        <v>6.3685122383147927</v>
      </c>
      <c r="Y28" s="3">
        <f t="shared" si="11"/>
        <v>5.5040942382047389E-2</v>
      </c>
      <c r="Z28" s="3">
        <f t="shared" si="2"/>
        <v>-3.1431391547322086E-2</v>
      </c>
      <c r="AA28" s="24" cm="1">
        <f t="array" ref="AA28">ROUND(_xlfn.XLOOKUP($A28, 'Competitive Analysis (Step 1)'!$A$10:$A$209,_xlfn.ANCHORARRAY( 'Competitive Analysis (Step 1)'!$Q$10), , 0) * (1+$Z28), 0)</f>
        <v>23</v>
      </c>
      <c r="AB28" s="22">
        <f t="shared" si="12"/>
        <v>2807.6907814812403</v>
      </c>
      <c r="AC28" s="23" cm="1">
        <f t="array" ref="AC28">$AB28 - _xlfn.XLOOKUP($A28, 'Competitive Analysis (Step 1)'!$A$10:$A$209,_xlfn.ANCHORARRAY( 'Competitive Analysis (Step 1)'!$R$10), ,0)</f>
        <v>91.370781481239646</v>
      </c>
      <c r="AD28" s="21" cm="1">
        <f t="array" ref="AD28">$AC28 / _xlfn.XLOOKUP($A28, 'Competitive Analysis (Step 1)'!$A$10:$A$209,_xlfn.ANCHORARRAY( 'Competitive Analysis (Step 1)'!$V$10), ,0)</f>
        <v>3.7288869541591871E-2</v>
      </c>
      <c r="AE28" s="23">
        <f>$AA28 * _xlfn.XLOOKUP($A28, _1_product_catalog_pricing[SKU], _1_product_catalog_pricing[Cost Price ($)], , 0)</f>
        <v>897.2299999999999</v>
      </c>
      <c r="AF28" s="23" cm="1">
        <f t="array" ref="AF28">$AE28 - _xlfn.XLOOKUP($A28, 'Competitive Analysis (Step 1)'!$A$10:$A$209,_xlfn.ANCHORARRAY( 'Competitive Analysis (Step 1)'!$S$10),,0)</f>
        <v>-39.009999999999991</v>
      </c>
      <c r="AG28" s="21" cm="1">
        <f t="array" ref="AG28">$AF28 / _xlfn.XLOOKUP($A28, 'Competitive Analysis (Step 1)'!$A$10:$A$209,_xlfn.ANCHORARRAY( 'Competitive Analysis (Step 1)'!$S$10),,0)</f>
        <v>-4.1666666666666664E-2</v>
      </c>
      <c r="AH28" s="28">
        <f t="shared" si="3"/>
        <v>1910.4607814812402</v>
      </c>
      <c r="AI28" s="23" cm="1">
        <f t="array" ref="AI28">$AH28 - _xlfn.XLOOKUP($A28, 'Competitive Analysis (Step 1)'!$A$10:$A$209,_xlfn.ANCHORARRAY( 'Competitive Analysis (Step 1)'!$T$10),,0)</f>
        <v>130.38078148123941</v>
      </c>
      <c r="AJ28" s="9">
        <f t="shared" si="13"/>
        <v>0.68043845642907563</v>
      </c>
      <c r="AK28" s="21" cm="1">
        <f t="array" ref="AK28">$AI28 / _xlfn.XLOOKUP($A28, 'Competitive Analysis (Step 1)'!$A$10:$A$209,_xlfn.ANCHORARRAY( 'Competitive Analysis (Step 1)'!$T$10),,0)</f>
        <v>7.3244338165273107E-2</v>
      </c>
      <c r="AL28" t="str">
        <f t="shared" si="14"/>
        <v>Full</v>
      </c>
    </row>
    <row r="29" spans="1:38">
      <c r="A29" s="24" t="str">
        <v>SKU-1007</v>
      </c>
      <c r="B29" s="24" t="str">
        <v>Gaming Mouse</v>
      </c>
      <c r="C29" s="24" t="str">
        <v>Electronics</v>
      </c>
      <c r="D29" s="23">
        <v>124.26</v>
      </c>
      <c r="E29" s="23">
        <v>52.62</v>
      </c>
      <c r="F29" s="24" cm="1">
        <f t="array" ref="F29">_xlfn.XLOOKUP($A29,'Competitive Analysis (Step 1)'!$A$10:$A$209,_xlfn.ANCHORARRAY( 'Competitive Analysis (Step 1)'!$P$10),,0)</f>
        <v>194</v>
      </c>
      <c r="G29" s="31" cm="1">
        <f t="array" ref="G29">SUMPRODUCT((Transactions_and_Customer_Information_Joined[SKU]='V1 Pricing Model (Step 2)'!$A29) * (Transactions_and_Customer_Information_Joined[Order Status]="Completed") * (Transactions_and_Customer_Information_Joined[Quantity])) / 12</f>
        <v>3.6666666666666665</v>
      </c>
      <c r="H29" s="13">
        <f t="shared" si="4"/>
        <v>52.909090909090914</v>
      </c>
      <c r="I29" s="9">
        <f t="shared" si="5"/>
        <v>0.5765330758087881</v>
      </c>
      <c r="J29" s="23" cm="1">
        <f t="array" ref="J29">(SMALL(IF('Competitive Analysis (Step 1)'!$A$10:$A$209=$A29,'Competitive Analysis (Step 1)'!$D$10:$D$209),2)+SMALL(IF('Competitive Analysis (Step 1)'!$A$10:$A$209=$A29,'Competitive Analysis (Step 1)'!$D$10:$D$209),3))/2</f>
        <v>116.91499999999999</v>
      </c>
      <c r="K29" s="22">
        <f t="shared" si="6"/>
        <v>-7.3450000000000131</v>
      </c>
      <c r="L29" s="12">
        <f t="shared" si="7"/>
        <v>-5.9109930790278549E-2</v>
      </c>
      <c r="M29" s="24">
        <v>3.5</v>
      </c>
      <c r="N29" s="24">
        <v>3.6749999999999998</v>
      </c>
      <c r="O29">
        <v>-0.17499999999999982</v>
      </c>
      <c r="P29" s="3" cm="1">
        <f t="array" ref="P29">MEDIAN(IF($C$22:$C$71=$C29, $I$22:$I$71))</f>
        <v>0.52615180188657695</v>
      </c>
      <c r="Q29" s="34" cm="1">
        <f t="array" ref="Q29">_xlfn.LET(
    _xlpm.stock, $F29,
    _xlpm.stock_ratio, $H29,
    _xlpm.cat_ratios, IF($C$22:$C$71=$C29, $H$22:$H$71),
    _xlpm.cat_median, MEDIAN(_xlpm.cat_ratios),
    _xlpm.cat_stdev, STDEV(IF($C$22:$C$71=$C29, $H$22:$H$71)),
    _xlpm.z_score, IF(_xlpm.cat_stdev = 0, 0, (_xlpm.stock_ratio - _xlpm.cat_median) / _xlpm.cat_stdev),
    _xlpm.capped_z, MIN(MAX(_xlpm.z_score, -2), 2),
    IF(_xlpm.stock &lt; $B$18, 0, 1 + $B$19 * _xlpm.capped_z)
)</f>
        <v>1.0125323025625821</v>
      </c>
      <c r="R29" s="42" cm="1">
        <f t="array" ref="R29">_xlfn.LET(
    _xlpm.sku, $A29,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$D29,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9.969698723702855E-2</v>
      </c>
      <c r="S29" s="4" t="str">
        <f t="shared" si="8"/>
        <v>Reduce</v>
      </c>
      <c r="T29" s="4" t="str" cm="1">
        <f t="array" ref="T29">IF($S29="Hold", IF(0.5 * ($P29-$I29) / $P29 + 0.5 * ($R29 / MAX(ABS($R29:$R78))) &gt; 0, "Raise", "Hold"), $S29)</f>
        <v>Reduce</v>
      </c>
      <c r="U29" s="22">
        <f t="shared" si="9"/>
        <v>115.74320664313453</v>
      </c>
      <c r="V29" s="22">
        <f t="shared" si="0"/>
        <v>-8.5167933568654774</v>
      </c>
      <c r="W29" s="3">
        <f t="shared" si="1"/>
        <v>-6.8540104272215338E-2</v>
      </c>
      <c r="X29" s="22">
        <f t="shared" si="10"/>
        <v>-1.1717933568654644</v>
      </c>
      <c r="Y29" s="3">
        <f t="shared" si="11"/>
        <v>-1.0022609219223063E-2</v>
      </c>
      <c r="Z29" s="3">
        <f t="shared" si="2"/>
        <v>5.4832083417772272E-2</v>
      </c>
      <c r="AA29" s="24" cm="1">
        <f t="array" ref="AA29">ROUND(_xlfn.XLOOKUP($A29, 'Competitive Analysis (Step 1)'!$A$10:$A$209,_xlfn.ANCHORARRAY( 'Competitive Analysis (Step 1)'!$Q$10), , 0) * (1+$Z29), 0)</f>
        <v>46</v>
      </c>
      <c r="AB29" s="22">
        <f t="shared" si="12"/>
        <v>5324.1875055841883</v>
      </c>
      <c r="AC29" s="23" cm="1">
        <f t="array" ref="AC29">$AB29 - _xlfn.XLOOKUP($A29, 'Competitive Analysis (Step 1)'!$A$10:$A$209,_xlfn.ANCHORARRAY( 'Competitive Analysis (Step 1)'!$R$10), ,0)</f>
        <v>-143.25249441581309</v>
      </c>
      <c r="AD29" s="21" cm="1">
        <f t="array" ref="AD29">$AC29 / _xlfn.XLOOKUP($A29, 'Competitive Analysis (Step 1)'!$A$10:$A$209,_xlfn.ANCHORARRAY( 'Competitive Analysis (Step 1)'!$V$10), ,0)</f>
        <v>-2.7580061534871195E-2</v>
      </c>
      <c r="AE29" s="23">
        <f>$AA29 * _xlfn.XLOOKUP($A29, _1_product_catalog_pricing[SKU], _1_product_catalog_pricing[Cost Price ($)], , 0)</f>
        <v>2420.52</v>
      </c>
      <c r="AF29" s="23" cm="1">
        <f t="array" ref="AF29">$AE29 - _xlfn.XLOOKUP($A29, 'Competitive Analysis (Step 1)'!$A$10:$A$209,_xlfn.ANCHORARRAY( 'Competitive Analysis (Step 1)'!$S$10),,0)</f>
        <v>105.23999999999978</v>
      </c>
      <c r="AG29" s="21" cm="1">
        <f t="array" ref="AG29">$AF29 / _xlfn.XLOOKUP($A29, 'Competitive Analysis (Step 1)'!$A$10:$A$209,_xlfn.ANCHORARRAY( 'Competitive Analysis (Step 1)'!$S$10),,0)</f>
        <v>4.5454545454545359E-2</v>
      </c>
      <c r="AH29" s="28">
        <f t="shared" si="3"/>
        <v>2903.6675055841883</v>
      </c>
      <c r="AI29" s="23" cm="1">
        <f t="array" ref="AI29">$AH29 - _xlfn.XLOOKUP($A29, 'Competitive Analysis (Step 1)'!$A$10:$A$209,_xlfn.ANCHORARRAY( 'Competitive Analysis (Step 1)'!$T$10),,0)</f>
        <v>-248.49249441581287</v>
      </c>
      <c r="AJ29" s="9">
        <f t="shared" si="13"/>
        <v>0.54537288601100609</v>
      </c>
      <c r="AK29" s="21" cm="1">
        <f t="array" ref="AK29">$AI29 / _xlfn.XLOOKUP($A29, 'Competitive Analysis (Step 1)'!$A$10:$A$209,_xlfn.ANCHORARRAY( 'Competitive Analysis (Step 1)'!$T$10),,0)</f>
        <v>-7.8832449626863102E-2</v>
      </c>
      <c r="AL29" t="str">
        <f t="shared" si="14"/>
        <v>Exclude</v>
      </c>
    </row>
    <row r="30" spans="1:38">
      <c r="A30" s="24" t="str">
        <v>SKU-1008</v>
      </c>
      <c r="B30" s="24" t="str">
        <v>LED Desk Lamp</v>
      </c>
      <c r="C30" s="24" t="str">
        <v>Electronics</v>
      </c>
      <c r="D30" s="23">
        <v>81.599999999999994</v>
      </c>
      <c r="E30" s="23">
        <v>29.32</v>
      </c>
      <c r="F30" s="24" cm="1">
        <f t="array" ref="F30">_xlfn.XLOOKUP($A30,'Competitive Analysis (Step 1)'!$A$10:$A$209,_xlfn.ANCHORARRAY( 'Competitive Analysis (Step 1)'!$P$10),,0)</f>
        <v>412</v>
      </c>
      <c r="G30" s="31" cm="1">
        <f t="array" ref="G30">SUMPRODUCT((Transactions_and_Customer_Information_Joined[SKU]='V1 Pricing Model (Step 2)'!$A30) * (Transactions_and_Customer_Information_Joined[Order Status]="Completed") * (Transactions_and_Customer_Information_Joined[Quantity])) / 12</f>
        <v>3.1666666666666665</v>
      </c>
      <c r="H30" s="13">
        <f t="shared" si="4"/>
        <v>130.10526315789474</v>
      </c>
      <c r="I30" s="9">
        <f t="shared" si="5"/>
        <v>0.64068627450980387</v>
      </c>
      <c r="J30" s="23" cm="1">
        <f t="array" ref="J30">(SMALL(IF('Competitive Analysis (Step 1)'!$A$10:$A$209=$A30,'Competitive Analysis (Step 1)'!$D$10:$D$209),2)+SMALL(IF('Competitive Analysis (Step 1)'!$A$10:$A$209=$A30,'Competitive Analysis (Step 1)'!$D$10:$D$209),3))/2</f>
        <v>69.525000000000006</v>
      </c>
      <c r="K30" s="22">
        <f t="shared" si="6"/>
        <v>-12.074999999999989</v>
      </c>
      <c r="L30" s="12">
        <f t="shared" si="7"/>
        <v>-0.14797794117647045</v>
      </c>
      <c r="M30" s="24">
        <v>3.6</v>
      </c>
      <c r="N30" s="24">
        <v>4</v>
      </c>
      <c r="O30">
        <v>-0.39999999999999991</v>
      </c>
      <c r="P30" s="3" cm="1">
        <f t="array" ref="P30">MEDIAN(IF($C$22:$C$71=$C30, $I$22:$I$71))</f>
        <v>0.52615180188657695</v>
      </c>
      <c r="Q30" s="34" cm="1">
        <f t="array" ref="Q30">_xlfn.LET(
    _xlpm.stock, $F30,
    _xlpm.stock_ratio, $H30,
    _xlpm.cat_ratios, IF($C$22:$C$71=$C30, $H$22:$H$71),
    _xlpm.cat_median, MEDIAN(_xlpm.cat_ratios),
    _xlpm.cat_stdev, STDEV(IF($C$22:$C$71=$C30, $H$22:$H$71)),
    _xlpm.z_score, IF(_xlpm.cat_stdev = 0, 0, (_xlpm.stock_ratio - _xlpm.cat_median) / _xlpm.cat_stdev),
    _xlpm.capped_z, MIN(MAX(_xlpm.z_score, -2), 2),
    IF(_xlpm.stock &lt; $B$18, 0, 1 + $B$19 * _xlpm.capped_z)
)</f>
        <v>0.97858291273609588</v>
      </c>
      <c r="R30" s="42" cm="1">
        <f t="array" ref="R30">_xlfn.LET(
    _xlpm.sku, $A30,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$D30,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0.12190218673327119</v>
      </c>
      <c r="S30" s="4" t="str">
        <f t="shared" si="8"/>
        <v>Reduce</v>
      </c>
      <c r="T30" s="4" t="str" cm="1">
        <f t="array" ref="T30">IF($S30="Hold", IF(0.5 * ($P30-$I30) / $P30 + 0.5 * ($R30 / MAX(ABS($R30:$R79))) &gt; 0, "Raise", "Hold"), $S30)</f>
        <v>Reduce</v>
      </c>
      <c r="U30" s="22">
        <f t="shared" si="9"/>
        <v>64.877480775437633</v>
      </c>
      <c r="V30" s="22">
        <f t="shared" si="0"/>
        <v>-16.722519224562362</v>
      </c>
      <c r="W30" s="3">
        <f t="shared" si="1"/>
        <v>-0.20493283363434267</v>
      </c>
      <c r="X30" s="22">
        <f t="shared" si="10"/>
        <v>-4.6475192245623731</v>
      </c>
      <c r="Y30" s="3">
        <f t="shared" si="11"/>
        <v>-6.6846734621537188E-2</v>
      </c>
      <c r="Z30" s="3">
        <f t="shared" si="2"/>
        <v>0.16394626690747416</v>
      </c>
      <c r="AA30" s="24" cm="1">
        <f t="array" ref="AA30">ROUND(_xlfn.XLOOKUP($A30, 'Competitive Analysis (Step 1)'!$A$10:$A$209,_xlfn.ANCHORARRAY( 'Competitive Analysis (Step 1)'!$Q$10), , 0) * (1+$Z30), 0)</f>
        <v>44</v>
      </c>
      <c r="AB30" s="22">
        <f t="shared" si="12"/>
        <v>2854.6091541192559</v>
      </c>
      <c r="AC30" s="23" cm="1">
        <f t="array" ref="AC30">$AB30 - _xlfn.XLOOKUP($A30, 'Competitive Analysis (Step 1)'!$A$10:$A$209,_xlfn.ANCHORARRAY( 'Competitive Analysis (Step 1)'!$R$10), ,0)</f>
        <v>-246.19084588074384</v>
      </c>
      <c r="AD30" s="21" cm="1">
        <f t="array" ref="AD30">$AC30 / _xlfn.XLOOKUP($A30, 'Competitive Analysis (Step 1)'!$A$10:$A$209,_xlfn.ANCHORARRAY( 'Competitive Analysis (Step 1)'!$V$10), ,0)</f>
        <v>-8.5468687816177821E-2</v>
      </c>
      <c r="AE30" s="23">
        <f>$AA30 * _xlfn.XLOOKUP($A30, _1_product_catalog_pricing[SKU], _1_product_catalog_pricing[Cost Price ($)], , 0)</f>
        <v>1290.08</v>
      </c>
      <c r="AF30" s="23" cm="1">
        <f t="array" ref="AF30">$AE30 - _xlfn.XLOOKUP($A30, 'Competitive Analysis (Step 1)'!$A$10:$A$209,_xlfn.ANCHORARRAY( 'Competitive Analysis (Step 1)'!$S$10),,0)</f>
        <v>175.91999999999962</v>
      </c>
      <c r="AG30" s="21" cm="1">
        <f t="array" ref="AG30">$AF30 / _xlfn.XLOOKUP($A30, 'Competitive Analysis (Step 1)'!$A$10:$A$209,_xlfn.ANCHORARRAY( 'Competitive Analysis (Step 1)'!$S$10),,0)</f>
        <v>0.15789473684210487</v>
      </c>
      <c r="AH30" s="28">
        <f t="shared" si="3"/>
        <v>1564.529154119256</v>
      </c>
      <c r="AI30" s="23" cm="1">
        <f t="array" ref="AI30">$AH30 - _xlfn.XLOOKUP($A30, 'Competitive Analysis (Step 1)'!$A$10:$A$209,_xlfn.ANCHORARRAY( 'Competitive Analysis (Step 1)'!$T$10),,0)</f>
        <v>-422.11084588074345</v>
      </c>
      <c r="AJ30" s="9">
        <f t="shared" si="13"/>
        <v>0.5480712313493461</v>
      </c>
      <c r="AK30" s="21" cm="1">
        <f t="array" ref="AK30">$AI30 / _xlfn.XLOOKUP($A30, 'Competitive Analysis (Step 1)'!$A$10:$A$209,_xlfn.ANCHORARRAY( 'Competitive Analysis (Step 1)'!$T$10),,0)</f>
        <v>-0.21247475429908971</v>
      </c>
      <c r="AL30" t="str">
        <f t="shared" si="14"/>
        <v>Exclude</v>
      </c>
    </row>
    <row r="31" spans="1:38">
      <c r="A31" s="24" t="str">
        <v>SKU-1009</v>
      </c>
      <c r="B31" s="24" t="str">
        <v>Phone Stand</v>
      </c>
      <c r="C31" s="24" t="str">
        <v>Electronics</v>
      </c>
      <c r="D31" s="23">
        <v>177.91</v>
      </c>
      <c r="E31" s="23">
        <v>73.489999999999995</v>
      </c>
      <c r="F31" s="24" cm="1">
        <f t="array" ref="F31">_xlfn.XLOOKUP($A31,'Competitive Analysis (Step 1)'!$A$10:$A$209,_xlfn.ANCHORARRAY( 'Competitive Analysis (Step 1)'!$P$10),,0)</f>
        <v>202</v>
      </c>
      <c r="G31" s="31" cm="1">
        <f t="array" ref="G31">SUMPRODUCT((Transactions_and_Customer_Information_Joined[SKU]='V1 Pricing Model (Step 2)'!$A31) * (Transactions_and_Customer_Information_Joined[Order Status]="Completed") * (Transactions_and_Customer_Information_Joined[Quantity])) / 12</f>
        <v>3</v>
      </c>
      <c r="H31" s="13">
        <f t="shared" si="4"/>
        <v>67.333333333333329</v>
      </c>
      <c r="I31" s="9">
        <f t="shared" si="5"/>
        <v>0.58692597380698108</v>
      </c>
      <c r="J31" s="23" cm="1">
        <f t="array" ref="J31">(SMALL(IF('Competitive Analysis (Step 1)'!$A$10:$A$209=$A31,'Competitive Analysis (Step 1)'!$D$10:$D$209),2)+SMALL(IF('Competitive Analysis (Step 1)'!$A$10:$A$209=$A31,'Competitive Analysis (Step 1)'!$D$10:$D$209),3))/2</f>
        <v>191.85000000000002</v>
      </c>
      <c r="K31" s="22">
        <f t="shared" si="6"/>
        <v>13.940000000000026</v>
      </c>
      <c r="L31" s="12">
        <f t="shared" si="7"/>
        <v>7.8354224045866033E-2</v>
      </c>
      <c r="M31" s="24">
        <v>4.8</v>
      </c>
      <c r="N31" s="24">
        <v>3.4750000000000001</v>
      </c>
      <c r="O31">
        <v>1.3249999999999997</v>
      </c>
      <c r="P31" s="3" cm="1">
        <f t="array" ref="P31">MEDIAN(IF($C$22:$C$71=$C31, $I$22:$I$71))</f>
        <v>0.52615180188657695</v>
      </c>
      <c r="Q31" s="34" cm="1">
        <f t="array" ref="Q31">_xlfn.LET(
    _xlpm.stock, $F31,
    _xlpm.stock_ratio, $H31,
    _xlpm.cat_ratios, IF($C$22:$C$71=$C31, $H$22:$H$71),
    _xlpm.cat_median, MEDIAN(_xlpm.cat_ratios),
    _xlpm.cat_stdev, STDEV(IF($C$22:$C$71=$C31, $H$22:$H$71)),
    _xlpm.z_score, IF(_xlpm.cat_stdev = 0, 0, (_xlpm.stock_ratio - _xlpm.cat_median) / _xlpm.cat_stdev),
    _xlpm.capped_z, MIN(MAX(_xlpm.z_score, -2), 2),
    IF(_xlpm.stock &lt; $B$18, 0, 1 + $B$19 * _xlpm.capped_z)
)</f>
        <v>1.0061887985422784</v>
      </c>
      <c r="R31" s="42" cm="1">
        <f t="array" ref="R31">_xlfn.LET(
    _xlpm.sku, $A31,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$D31,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-6.1545503255110073E-2</v>
      </c>
      <c r="S31" s="4" t="str">
        <f t="shared" si="8"/>
        <v>Raise</v>
      </c>
      <c r="T31" s="4" t="str" cm="1">
        <f t="array" ref="T31">IF($S31="Hold", IF(0.5 * ($P31-$I31) / $P31 + 0.5 * ($R31 / MAX(ABS($R31:$R80))) &gt; 0, "Raise", "Hold"), $S31)</f>
        <v>Raise</v>
      </c>
      <c r="U31" s="22">
        <f t="shared" si="9"/>
        <v>210.36242056011631</v>
      </c>
      <c r="V31" s="22">
        <f t="shared" si="0"/>
        <v>32.452420560116309</v>
      </c>
      <c r="W31" s="3">
        <f t="shared" si="1"/>
        <v>0.18240919880904002</v>
      </c>
      <c r="X31" s="22">
        <f t="shared" si="10"/>
        <v>18.512420560116283</v>
      </c>
      <c r="Y31" s="3">
        <f t="shared" si="11"/>
        <v>9.6494243211447908E-2</v>
      </c>
      <c r="Z31" s="3">
        <f t="shared" si="2"/>
        <v>-7.2963679523616015E-2</v>
      </c>
      <c r="AA31" s="24" cm="1">
        <f t="array" ref="AA31">ROUND(_xlfn.XLOOKUP($A31, 'Competitive Analysis (Step 1)'!$A$10:$A$209,_xlfn.ANCHORARRAY( 'Competitive Analysis (Step 1)'!$Q$10), , 0) * (1+$Z31), 0)</f>
        <v>33</v>
      </c>
      <c r="AB31" s="22">
        <f t="shared" si="12"/>
        <v>6941.9598784838381</v>
      </c>
      <c r="AC31" s="23" cm="1">
        <f t="array" ref="AC31">$AB31 - _xlfn.XLOOKUP($A31, 'Competitive Analysis (Step 1)'!$A$10:$A$209,_xlfn.ANCHORARRAY( 'Competitive Analysis (Step 1)'!$R$10), ,0)</f>
        <v>2118.3198784838378</v>
      </c>
      <c r="AD31" s="21" cm="1">
        <f t="array" ref="AD31">$AC31 / _xlfn.XLOOKUP($A31, 'Competitive Analysis (Step 1)'!$A$10:$A$209,_xlfn.ANCHORARRAY( 'Competitive Analysis (Step 1)'!$V$10), ,0)</f>
        <v>0.46498638583297203</v>
      </c>
      <c r="AE31" s="23">
        <f>$AA31 * _xlfn.XLOOKUP($A31, _1_product_catalog_pricing[SKU], _1_product_catalog_pricing[Cost Price ($)], , 0)</f>
        <v>2425.1699999999996</v>
      </c>
      <c r="AF31" s="23" cm="1">
        <f t="array" ref="AF31">$AE31 - _xlfn.XLOOKUP($A31, 'Competitive Analysis (Step 1)'!$A$10:$A$209,_xlfn.ANCHORARRAY( 'Competitive Analysis (Step 1)'!$S$10),,0)</f>
        <v>-220.47000000000025</v>
      </c>
      <c r="AG31" s="21" cm="1">
        <f t="array" ref="AG31">$AF31 / _xlfn.XLOOKUP($A31, 'Competitive Analysis (Step 1)'!$A$10:$A$209,_xlfn.ANCHORARRAY( 'Competitive Analysis (Step 1)'!$S$10),,0)</f>
        <v>-8.333333333333344E-2</v>
      </c>
      <c r="AH31" s="28">
        <f t="shared" si="3"/>
        <v>4516.789878483838</v>
      </c>
      <c r="AI31" s="23" cm="1">
        <f t="array" ref="AI31">$AH31 - _xlfn.XLOOKUP($A31, 'Competitive Analysis (Step 1)'!$A$10:$A$209,_xlfn.ANCHORARRAY( 'Competitive Analysis (Step 1)'!$T$10),,0)</f>
        <v>2338.7898784838376</v>
      </c>
      <c r="AJ31" s="9">
        <f t="shared" si="13"/>
        <v>0.65065053062080358</v>
      </c>
      <c r="AK31" s="21" cm="1">
        <f t="array" ref="AK31">$AI31 / _xlfn.XLOOKUP($A31, 'Competitive Analysis (Step 1)'!$A$10:$A$209,_xlfn.ANCHORARRAY( 'Competitive Analysis (Step 1)'!$T$10),,0)</f>
        <v>1.0738245539411557</v>
      </c>
      <c r="AL31" t="str">
        <f t="shared" si="14"/>
        <v>Full</v>
      </c>
    </row>
    <row r="32" spans="1:38">
      <c r="A32" s="24" t="str">
        <v>SKU-1010</v>
      </c>
      <c r="B32" s="24" t="str">
        <v>Slim Fit Jeans</v>
      </c>
      <c r="C32" s="24" t="str">
        <v>Apparel</v>
      </c>
      <c r="D32" s="23">
        <v>45.86</v>
      </c>
      <c r="E32" s="23">
        <v>24.87</v>
      </c>
      <c r="F32" s="24" cm="1">
        <f t="array" ref="F32">_xlfn.XLOOKUP($A32,'Competitive Analysis (Step 1)'!$A$10:$A$209,_xlfn.ANCHORARRAY( 'Competitive Analysis (Step 1)'!$P$10),,0)</f>
        <v>459</v>
      </c>
      <c r="G32" s="31" cm="1">
        <f t="array" ref="G32">SUMPRODUCT((Transactions_and_Customer_Information_Joined[SKU]='V1 Pricing Model (Step 2)'!$A32) * (Transactions_and_Customer_Information_Joined[Order Status]="Completed") * (Transactions_and_Customer_Information_Joined[Quantity])) / 12</f>
        <v>3.5</v>
      </c>
      <c r="H32" s="13">
        <f t="shared" si="4"/>
        <v>131.14285714285714</v>
      </c>
      <c r="I32" s="9">
        <f t="shared" si="5"/>
        <v>0.45769733972961185</v>
      </c>
      <c r="J32" s="23" cm="1">
        <f t="array" ref="J32">(SMALL(IF('Competitive Analysis (Step 1)'!$A$10:$A$209=$A32,'Competitive Analysis (Step 1)'!$D$10:$D$209),2)+SMALL(IF('Competitive Analysis (Step 1)'!$A$10:$A$209=$A32,'Competitive Analysis (Step 1)'!$D$10:$D$209),3))/2</f>
        <v>54.614999999999995</v>
      </c>
      <c r="K32" s="22">
        <f t="shared" si="6"/>
        <v>8.7549999999999955</v>
      </c>
      <c r="L32" s="12">
        <f t="shared" si="7"/>
        <v>0.19090710859136492</v>
      </c>
      <c r="M32" s="24">
        <v>4.2</v>
      </c>
      <c r="N32" s="24">
        <v>3.85</v>
      </c>
      <c r="O32">
        <v>0.35000000000000009</v>
      </c>
      <c r="P32" s="3" cm="1">
        <f t="array" ref="P32">MEDIAN(IF($C$22:$C$71=$C32, $I$22:$I$71))</f>
        <v>0.48928067771949424</v>
      </c>
      <c r="Q32" s="34" cm="1">
        <f t="array" ref="Q32">_xlfn.LET(
    _xlpm.stock, $F32,
    _xlpm.stock_ratio, $H32,
    _xlpm.cat_ratios, IF($C$22:$C$71=$C32, $H$22:$H$71),
    _xlpm.cat_median, MEDIAN(_xlpm.cat_ratios),
    _xlpm.cat_stdev, STDEV(IF($C$22:$C$71=$C32, $H$22:$H$71)),
    _xlpm.z_score, IF(_xlpm.cat_stdev = 0, 0, (_xlpm.stock_ratio - _xlpm.cat_median) / _xlpm.cat_stdev),
    _xlpm.capped_z, MIN(MAX(_xlpm.z_score, -2), 2),
    IF(_xlpm.stock &lt; $B$18, 0, 1 + $B$19 * _xlpm.capped_z)
)</f>
        <v>0.99434546914287925</v>
      </c>
      <c r="R32" s="42" cm="1">
        <f t="array" ref="R32">_xlfn.LET(
    _xlpm.sku, $A32,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$D32,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-9.8110315755660038E-2</v>
      </c>
      <c r="S32" s="4" t="str">
        <f t="shared" si="8"/>
        <v>Raise</v>
      </c>
      <c r="T32" s="4" t="str" cm="1">
        <f t="array" ref="T32">IF($S32="Hold", IF(0.5 * ($P32-$I32) / $P32 + 0.5 * ($R32 / MAX(ABS($R32:$R81))) &gt; 0, "Raise", "Hold"), $S32)</f>
        <v>Raise</v>
      </c>
      <c r="U32" s="22">
        <f t="shared" si="9"/>
        <v>57.591701553971269</v>
      </c>
      <c r="V32" s="22">
        <f t="shared" si="0"/>
        <v>11.73170155397127</v>
      </c>
      <c r="W32" s="3">
        <f t="shared" si="1"/>
        <v>0.25581555939754186</v>
      </c>
      <c r="X32" s="22">
        <f t="shared" si="10"/>
        <v>2.9767015539712744</v>
      </c>
      <c r="Y32" s="3">
        <f t="shared" si="11"/>
        <v>5.4503370026023526E-2</v>
      </c>
      <c r="Z32" s="3">
        <f t="shared" si="2"/>
        <v>-0.10232622375901675</v>
      </c>
      <c r="AA32" s="24" cm="1">
        <f t="array" ref="AA32">ROUND(_xlfn.XLOOKUP($A32, 'Competitive Analysis (Step 1)'!$A$10:$A$209,_xlfn.ANCHORARRAY( 'Competitive Analysis (Step 1)'!$Q$10), , 0) * (1+$Z32), 0)</f>
        <v>38</v>
      </c>
      <c r="AB32" s="22">
        <f t="shared" si="12"/>
        <v>2188.4846590509082</v>
      </c>
      <c r="AC32" s="23" cm="1">
        <f t="array" ref="AC32">$AB32 - _xlfn.XLOOKUP($A32, 'Competitive Analysis (Step 1)'!$A$10:$A$209,_xlfn.ANCHORARRAY( 'Competitive Analysis (Step 1)'!$R$10), ,0)</f>
        <v>713.86465905090859</v>
      </c>
      <c r="AD32" s="21" cm="1">
        <f t="array" ref="AD32">$AC32 / _xlfn.XLOOKUP($A32, 'Competitive Analysis (Step 1)'!$A$10:$A$209,_xlfn.ANCHORARRAY( 'Competitive Analysis (Step 1)'!$V$10), ,0)</f>
        <v>0.52811577771351215</v>
      </c>
      <c r="AE32" s="23">
        <f>$AA32 * _xlfn.XLOOKUP($A32, _1_product_catalog_pricing[SKU], _1_product_catalog_pricing[Cost Price ($)], , 0)</f>
        <v>945.06000000000006</v>
      </c>
      <c r="AF32" s="23" cm="1">
        <f t="array" ref="AF32">$AE32 - _xlfn.XLOOKUP($A32, 'Competitive Analysis (Step 1)'!$A$10:$A$209,_xlfn.ANCHORARRAY( 'Competitive Analysis (Step 1)'!$S$10),,0)</f>
        <v>-99.479999999999905</v>
      </c>
      <c r="AG32" s="21" cm="1">
        <f t="array" ref="AG32">$AF32 / _xlfn.XLOOKUP($A32, 'Competitive Analysis (Step 1)'!$A$10:$A$209,_xlfn.ANCHORARRAY( 'Competitive Analysis (Step 1)'!$S$10),,0)</f>
        <v>-9.523809523809515E-2</v>
      </c>
      <c r="AH32" s="28">
        <f t="shared" si="3"/>
        <v>1243.4246590509083</v>
      </c>
      <c r="AI32" s="23" cm="1">
        <f t="array" ref="AI32">$AH32 - _xlfn.XLOOKUP($A32, 'Competitive Analysis (Step 1)'!$A$10:$A$209,_xlfn.ANCHORARRAY( 'Competitive Analysis (Step 1)'!$T$10),,0)</f>
        <v>813.3446590509086</v>
      </c>
      <c r="AJ32" s="9">
        <f t="shared" si="13"/>
        <v>0.56816695237432047</v>
      </c>
      <c r="AK32" s="21" cm="1">
        <f t="array" ref="AK32">$AI32 / _xlfn.XLOOKUP($A32, 'Competitive Analysis (Step 1)'!$A$10:$A$209,_xlfn.ANCHORARRAY( 'Competitive Analysis (Step 1)'!$T$10),,0)</f>
        <v>1.8911473657247702</v>
      </c>
      <c r="AL32" t="str">
        <f t="shared" si="14"/>
        <v>Full</v>
      </c>
    </row>
    <row r="33" spans="1:38">
      <c r="A33" s="24" t="str">
        <v>SKU-1011</v>
      </c>
      <c r="B33" s="24" t="str">
        <v>Graphic Tee</v>
      </c>
      <c r="C33" s="24" t="str">
        <v>Apparel</v>
      </c>
      <c r="D33" s="23">
        <v>67.56</v>
      </c>
      <c r="E33" s="23">
        <v>43.21</v>
      </c>
      <c r="F33" s="24" cm="1">
        <f t="array" ref="F33">_xlfn.XLOOKUP($A33,'Competitive Analysis (Step 1)'!$A$10:$A$209,_xlfn.ANCHORARRAY( 'Competitive Analysis (Step 1)'!$P$10),,0)</f>
        <v>78</v>
      </c>
      <c r="G33" s="31" cm="1">
        <f t="array" ref="G33">SUMPRODUCT((Transactions_and_Customer_Information_Joined[SKU]='V1 Pricing Model (Step 2)'!$A33) * (Transactions_and_Customer_Information_Joined[Order Status]="Completed") * (Transactions_and_Customer_Information_Joined[Quantity])) / 12</f>
        <v>1.8333333333333333</v>
      </c>
      <c r="H33" s="13">
        <f t="shared" si="4"/>
        <v>42.545454545454547</v>
      </c>
      <c r="I33" s="9">
        <f t="shared" si="5"/>
        <v>0.36042036708111308</v>
      </c>
      <c r="J33" s="23" cm="1">
        <f t="array" ref="J33">(SMALL(IF('Competitive Analysis (Step 1)'!$A$10:$A$209=$A33,'Competitive Analysis (Step 1)'!$D$10:$D$209),2)+SMALL(IF('Competitive Analysis (Step 1)'!$A$10:$A$209=$A33,'Competitive Analysis (Step 1)'!$D$10:$D$209),3))/2</f>
        <v>70.349999999999994</v>
      </c>
      <c r="K33" s="22">
        <f t="shared" si="6"/>
        <v>2.789999999999992</v>
      </c>
      <c r="L33" s="12">
        <f t="shared" si="7"/>
        <v>4.1296625222024749E-2</v>
      </c>
      <c r="M33" s="24">
        <v>4.3</v>
      </c>
      <c r="N33" s="24">
        <v>4.3499999999999996</v>
      </c>
      <c r="O33">
        <v>-4.9999999999999822E-2</v>
      </c>
      <c r="P33" s="3" cm="1">
        <f t="array" ref="P33">MEDIAN(IF($C$22:$C$71=$C33, $I$22:$I$71))</f>
        <v>0.48928067771949424</v>
      </c>
      <c r="Q33" s="34" cm="1">
        <f t="array" ref="Q33">_xlfn.LET(
    _xlpm.stock, $F33,
    _xlpm.stock_ratio, $H33,
    _xlpm.cat_ratios, IF($C$22:$C$71=$C33, $H$22:$H$71),
    _xlpm.cat_median, MEDIAN(_xlpm.cat_ratios),
    _xlpm.cat_stdev, STDEV(IF($C$22:$C$71=$C33, $H$22:$H$71)),
    _xlpm.z_score, IF(_xlpm.cat_stdev = 0, 0, (_xlpm.stock_ratio - _xlpm.cat_median) / _xlpm.cat_stdev),
    _xlpm.capped_z, MIN(MAX(_xlpm.z_score, -2), 2),
    IF(_xlpm.stock &lt; $B$18, 0, 1 + $B$19 * _xlpm.capped_z)
)</f>
        <v>1.0147300487134066</v>
      </c>
      <c r="R33" s="42" cm="1">
        <f t="array" ref="R33">_xlfn.LET(
    _xlpm.sku, $A33,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$D33,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1.7342589145366152E-2</v>
      </c>
      <c r="S33" s="4" t="str">
        <f t="shared" si="8"/>
        <v>Hold</v>
      </c>
      <c r="T33" s="4" t="str" cm="1">
        <f t="array" ref="T33">IF($S33="Hold", IF(0.5 * ($P33-$I33) / $P33 + 0.5 * ($R33 / MAX(ABS($R33:$R82))) &gt; 0, "Raise", "Hold"), $S33)</f>
        <v>Raise</v>
      </c>
      <c r="U33" s="22">
        <f t="shared" si="9"/>
        <v>74.848492484947073</v>
      </c>
      <c r="V33" s="22">
        <f t="shared" si="0"/>
        <v>7.2884924849470707</v>
      </c>
      <c r="W33" s="3">
        <f t="shared" si="1"/>
        <v>0.10788177153562864</v>
      </c>
      <c r="X33" s="22">
        <f t="shared" si="10"/>
        <v>4.4984924849470787</v>
      </c>
      <c r="Y33" s="3">
        <f t="shared" si="11"/>
        <v>6.3944456076006809E-2</v>
      </c>
      <c r="Z33" s="3">
        <f t="shared" si="2"/>
        <v>-4.315270861425146E-2</v>
      </c>
      <c r="AA33" s="24" cm="1">
        <f t="array" ref="AA33">ROUND(_xlfn.XLOOKUP($A33, 'Competitive Analysis (Step 1)'!$A$10:$A$209,_xlfn.ANCHORARRAY( 'Competitive Analysis (Step 1)'!$Q$10), , 0) * (1+$Z33), 0)</f>
        <v>21</v>
      </c>
      <c r="AB33" s="22">
        <f t="shared" si="12"/>
        <v>1571.8183421838885</v>
      </c>
      <c r="AC33" s="23" cm="1">
        <f t="array" ref="AC33">$AB33 - _xlfn.XLOOKUP($A33, 'Competitive Analysis (Step 1)'!$A$10:$A$209,_xlfn.ANCHORARRAY( 'Competitive Analysis (Step 1)'!$R$10), ,0)</f>
        <v>85.498342183888553</v>
      </c>
      <c r="AD33" s="21" cm="1">
        <f t="array" ref="AD33">$AC33 / _xlfn.XLOOKUP($A33, 'Competitive Analysis (Step 1)'!$A$10:$A$209,_xlfn.ANCHORARRAY( 'Competitive Analysis (Step 1)'!$V$10), ,0)</f>
        <v>6.3275860112410126E-2</v>
      </c>
      <c r="AE33" s="23">
        <f>$AA33 * _xlfn.XLOOKUP($A33, _1_product_catalog_pricing[SKU], _1_product_catalog_pricing[Cost Price ($)], , 0)</f>
        <v>907.41</v>
      </c>
      <c r="AF33" s="23" cm="1">
        <f t="array" ref="AF33">$AE33 - _xlfn.XLOOKUP($A33, 'Competitive Analysis (Step 1)'!$A$10:$A$209,_xlfn.ANCHORARRAY( 'Competitive Analysis (Step 1)'!$S$10),,0)</f>
        <v>-43.21000000000015</v>
      </c>
      <c r="AG33" s="21" cm="1">
        <f t="array" ref="AG33">$AF33 / _xlfn.XLOOKUP($A33, 'Competitive Analysis (Step 1)'!$A$10:$A$209,_xlfn.ANCHORARRAY( 'Competitive Analysis (Step 1)'!$S$10),,0)</f>
        <v>-4.5454545454545608E-2</v>
      </c>
      <c r="AH33" s="28">
        <f t="shared" si="3"/>
        <v>664.40834218388852</v>
      </c>
      <c r="AI33" s="23" cm="1">
        <f t="array" ref="AI33">$AH33 - _xlfn.XLOOKUP($A33, 'Competitive Analysis (Step 1)'!$A$10:$A$209,_xlfn.ANCHORARRAY( 'Competitive Analysis (Step 1)'!$T$10),,0)</f>
        <v>128.7083421838887</v>
      </c>
      <c r="AJ33" s="9">
        <f t="shared" si="13"/>
        <v>0.42270046375763615</v>
      </c>
      <c r="AK33" s="21" cm="1">
        <f t="array" ref="AK33">$AI33 / _xlfn.XLOOKUP($A33, 'Competitive Analysis (Step 1)'!$A$10:$A$209,_xlfn.ANCHORARRAY( 'Competitive Analysis (Step 1)'!$T$10),,0)</f>
        <v>0.24026197906270066</v>
      </c>
      <c r="AL33" t="str">
        <f t="shared" si="14"/>
        <v>Full</v>
      </c>
    </row>
    <row r="34" spans="1:38">
      <c r="A34" s="24" t="str">
        <v>SKU-1012</v>
      </c>
      <c r="B34" s="24" t="str">
        <v>Hoodie</v>
      </c>
      <c r="C34" s="24" t="str">
        <v>Apparel</v>
      </c>
      <c r="D34" s="23">
        <v>20.37</v>
      </c>
      <c r="E34" s="23">
        <v>9.76</v>
      </c>
      <c r="F34" s="24" cm="1">
        <f t="array" ref="F34">_xlfn.XLOOKUP($A34,'Competitive Analysis (Step 1)'!$A$10:$A$209,_xlfn.ANCHORARRAY( 'Competitive Analysis (Step 1)'!$P$10),,0)</f>
        <v>348</v>
      </c>
      <c r="G34" s="31" cm="1">
        <f t="array" ref="G34">SUMPRODUCT((Transactions_and_Customer_Information_Joined[SKU]='V1 Pricing Model (Step 2)'!$A34) * (Transactions_and_Customer_Information_Joined[Order Status]="Completed") * (Transactions_and_Customer_Information_Joined[Quantity])) / 12</f>
        <v>1.25</v>
      </c>
      <c r="H34" s="13">
        <f t="shared" si="4"/>
        <v>278.39999999999998</v>
      </c>
      <c r="I34" s="9">
        <f t="shared" si="5"/>
        <v>0.52086401570937657</v>
      </c>
      <c r="J34" s="23" cm="1">
        <f t="array" ref="J34">(SMALL(IF('Competitive Analysis (Step 1)'!$A$10:$A$209=$A34,'Competitive Analysis (Step 1)'!$D$10:$D$209),2)+SMALL(IF('Competitive Analysis (Step 1)'!$A$10:$A$209=$A34,'Competitive Analysis (Step 1)'!$D$10:$D$209),3))/2</f>
        <v>19.829999999999998</v>
      </c>
      <c r="K34" s="22">
        <f t="shared" si="6"/>
        <v>-0.5400000000000027</v>
      </c>
      <c r="L34" s="12">
        <f t="shared" si="7"/>
        <v>-2.650957290132561E-2</v>
      </c>
      <c r="M34" s="24">
        <v>4.4000000000000004</v>
      </c>
      <c r="N34" s="24">
        <v>4</v>
      </c>
      <c r="O34">
        <v>0.40000000000000036</v>
      </c>
      <c r="P34" s="3" cm="1">
        <f t="array" ref="P34">MEDIAN(IF($C$22:$C$71=$C34, $I$22:$I$71))</f>
        <v>0.48928067771949424</v>
      </c>
      <c r="Q34" s="34" cm="1">
        <f t="array" ref="Q34">_xlfn.LET(
    _xlpm.stock, $F34,
    _xlpm.stock_ratio, $H34,
    _xlpm.cat_ratios, IF($C$22:$C$71=$C34, $H$22:$H$71),
    _xlpm.cat_median, MEDIAN(_xlpm.cat_ratios),
    _xlpm.cat_stdev, STDEV(IF($C$22:$C$71=$C34, $H$22:$H$71)),
    _xlpm.z_score, IF(_xlpm.cat_stdev = 0, 0, (_xlpm.stock_ratio - _xlpm.cat_median) / _xlpm.cat_stdev),
    _xlpm.capped_z, MIN(MAX(_xlpm.z_score, -2), 2),
    IF(_xlpm.stock &lt; $B$18, 0, 1 + $B$19 * _xlpm.capped_z)
)</f>
        <v>0.96046439748730961</v>
      </c>
      <c r="R34" s="42" cm="1">
        <f t="array" ref="R34">_xlfn.LET(
    _xlpm.sku, $A34,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$D34,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4.5625519322854087E-2</v>
      </c>
      <c r="S34" s="4" t="str">
        <f t="shared" si="8"/>
        <v>Hold</v>
      </c>
      <c r="T34" s="4" t="str" cm="1">
        <f t="array" ref="T34">IF($S34="Hold", IF(0.5 * ($P34-$I34) / $P34 + 0.5 * ($R34 / MAX(ABS($R34:$R83))) &gt; 0, "Raise", "Hold"), $S34)</f>
        <v>Raise</v>
      </c>
      <c r="U34" s="22">
        <f t="shared" si="9"/>
        <v>20.226861560308098</v>
      </c>
      <c r="V34" s="22">
        <f t="shared" si="0"/>
        <v>-0.14313843969190287</v>
      </c>
      <c r="W34" s="3">
        <f t="shared" si="1"/>
        <v>-7.0269238925823692E-3</v>
      </c>
      <c r="X34" s="22">
        <f t="shared" si="10"/>
        <v>0.39686156030809983</v>
      </c>
      <c r="Y34" s="3">
        <f t="shared" si="11"/>
        <v>2.0013190131522939E-2</v>
      </c>
      <c r="Z34" s="3">
        <f t="shared" si="2"/>
        <v>2.8107695570329478E-3</v>
      </c>
      <c r="AA34" s="24" cm="1">
        <f t="array" ref="AA34">ROUND(_xlfn.XLOOKUP($A34, 'Competitive Analysis (Step 1)'!$A$10:$A$209,_xlfn.ANCHORARRAY( 'Competitive Analysis (Step 1)'!$Q$10), , 0) * (1+$Z34), 0)</f>
        <v>15</v>
      </c>
      <c r="AB34" s="22">
        <f t="shared" si="12"/>
        <v>303.40292340462145</v>
      </c>
      <c r="AC34" s="23" cm="1">
        <f t="array" ref="AC34">$AB34 - _xlfn.XLOOKUP($A34, 'Competitive Analysis (Step 1)'!$A$10:$A$209,_xlfn.ANCHORARRAY( 'Competitive Analysis (Step 1)'!$R$10), ,0)</f>
        <v>49.152923404621475</v>
      </c>
      <c r="AD34" s="21" cm="1">
        <f t="array" ref="AD34">$AC34 / _xlfn.XLOOKUP($A34, 'Competitive Analysis (Step 1)'!$A$10:$A$209,_xlfn.ANCHORARRAY( 'Competitive Analysis (Step 1)'!$V$10), ,0)</f>
        <v>0.21640876768644157</v>
      </c>
      <c r="AE34" s="23">
        <f>$AA34 * _xlfn.XLOOKUP($A34, _1_product_catalog_pricing[SKU], _1_product_catalog_pricing[Cost Price ($)], , 0)</f>
        <v>146.4</v>
      </c>
      <c r="AF34" s="23" cm="1">
        <f t="array" ref="AF34">$AE34 - _xlfn.XLOOKUP($A34, 'Competitive Analysis (Step 1)'!$A$10:$A$209,_xlfn.ANCHORARRAY( 'Competitive Analysis (Step 1)'!$S$10),,0)</f>
        <v>0</v>
      </c>
      <c r="AG34" s="21" cm="1">
        <f t="array" ref="AG34">$AF34 / _xlfn.XLOOKUP($A34, 'Competitive Analysis (Step 1)'!$A$10:$A$209,_xlfn.ANCHORARRAY( 'Competitive Analysis (Step 1)'!$S$10),,0)</f>
        <v>0</v>
      </c>
      <c r="AH34" s="28">
        <f t="shared" si="3"/>
        <v>157.00292340462144</v>
      </c>
      <c r="AI34" s="23" cm="1">
        <f t="array" ref="AI34">$AH34 - _xlfn.XLOOKUP($A34, 'Competitive Analysis (Step 1)'!$A$10:$A$209,_xlfn.ANCHORARRAY( 'Competitive Analysis (Step 1)'!$T$10),,0)</f>
        <v>49.152923404621447</v>
      </c>
      <c r="AJ34" s="9">
        <f t="shared" si="13"/>
        <v>0.51747333757638392</v>
      </c>
      <c r="AK34" s="21" cm="1">
        <f t="array" ref="AK34">$AI34 / _xlfn.XLOOKUP($A34, 'Competitive Analysis (Step 1)'!$A$10:$A$209,_xlfn.ANCHORARRAY( 'Competitive Analysis (Step 1)'!$T$10),,0)</f>
        <v>0.45575265094688411</v>
      </c>
      <c r="AL34" t="str">
        <f t="shared" si="14"/>
        <v>Full</v>
      </c>
    </row>
    <row r="35" spans="1:38">
      <c r="A35" s="24" t="str">
        <v>SKU-1013</v>
      </c>
      <c r="B35" s="24" t="str">
        <v>Running Shorts</v>
      </c>
      <c r="C35" s="24" t="str">
        <v>Apparel</v>
      </c>
      <c r="D35" s="23">
        <v>84.95</v>
      </c>
      <c r="E35" s="23">
        <v>53.07</v>
      </c>
      <c r="F35" s="24" cm="1">
        <f t="array" ref="F35">_xlfn.XLOOKUP($A35,'Competitive Analysis (Step 1)'!$A$10:$A$209,_xlfn.ANCHORARRAY( 'Competitive Analysis (Step 1)'!$P$10),,0)</f>
        <v>1</v>
      </c>
      <c r="G35" s="31" cm="1">
        <f t="array" ref="G35">SUMPRODUCT((Transactions_and_Customer_Information_Joined[SKU]='V1 Pricing Model (Step 2)'!$A35) * (Transactions_and_Customer_Information_Joined[Order Status]="Completed") * (Transactions_and_Customer_Information_Joined[Quantity])) / 12</f>
        <v>3</v>
      </c>
      <c r="H35" s="13">
        <f t="shared" si="4"/>
        <v>0.33333333333333331</v>
      </c>
      <c r="I35" s="9">
        <f t="shared" si="5"/>
        <v>0.37527957622130664</v>
      </c>
      <c r="J35" s="23" cm="1">
        <f t="array" ref="J35">(SMALL(IF('Competitive Analysis (Step 1)'!$A$10:$A$209=$A35,'Competitive Analysis (Step 1)'!$D$10:$D$209),2)+SMALL(IF('Competitive Analysis (Step 1)'!$A$10:$A$209=$A35,'Competitive Analysis (Step 1)'!$D$10:$D$209),3))/2</f>
        <v>75.314999999999998</v>
      </c>
      <c r="K35" s="22">
        <f t="shared" si="6"/>
        <v>-9.6350000000000051</v>
      </c>
      <c r="L35" s="12">
        <f t="shared" si="7"/>
        <v>-0.1134196586227193</v>
      </c>
      <c r="M35" s="24">
        <v>4.9000000000000004</v>
      </c>
      <c r="N35" s="24">
        <v>4.1749999999999998</v>
      </c>
      <c r="O35">
        <v>0.72500000000000053</v>
      </c>
      <c r="P35" s="3" cm="1">
        <f t="array" ref="P35">MEDIAN(IF($C$22:$C$71=$C35, $I$22:$I$71))</f>
        <v>0.48928067771949424</v>
      </c>
      <c r="Q35" s="34" cm="1">
        <f t="array" ref="Q35">_xlfn.LET(
    _xlpm.stock, $F35,
    _xlpm.stock_ratio, $H35,
    _xlpm.cat_ratios, IF($C$22:$C$71=$C35, $H$22:$H$71),
    _xlpm.cat_median, MEDIAN(_xlpm.cat_ratios),
    _xlpm.cat_stdev, STDEV(IF($C$22:$C$71=$C35, $H$22:$H$71)),
    _xlpm.z_score, IF(_xlpm.cat_stdev = 0, 0, (_xlpm.stock_ratio - _xlpm.cat_median) / _xlpm.cat_stdev),
    _xlpm.capped_z, MIN(MAX(_xlpm.z_score, -2), 2),
    IF(_xlpm.stock &lt; $B$18, 0, 1 + $B$19 * _xlpm.capped_z)
)</f>
        <v>0</v>
      </c>
      <c r="R35" s="42" cm="1">
        <f t="array" ref="R35">_xlfn.LET(
    _xlpm.sku, $A35,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$D35,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4.0716186781361671E-2</v>
      </c>
      <c r="S35" s="4" t="str">
        <f t="shared" si="8"/>
        <v>Hold</v>
      </c>
      <c r="T35" s="4" t="str" cm="1">
        <f t="array" ref="T35">IF($S35="Hold", IF(0.5 * ($P35-$I35) / $P35 + 0.5 * ($R35 / MAX(ABS($R35:$R84))) &gt; 0, "Raise", "Hold"), $S35)</f>
        <v>Raise</v>
      </c>
      <c r="U35" s="22">
        <f t="shared" si="9"/>
        <v>84.95</v>
      </c>
      <c r="V35" s="22">
        <f t="shared" si="0"/>
        <v>0</v>
      </c>
      <c r="W35" s="3">
        <f t="shared" si="1"/>
        <v>0</v>
      </c>
      <c r="X35" s="22">
        <f t="shared" si="10"/>
        <v>9.6350000000000051</v>
      </c>
      <c r="Y35" s="3">
        <f t="shared" si="11"/>
        <v>0.12792936334063607</v>
      </c>
      <c r="Z35" s="3">
        <f t="shared" si="2"/>
        <v>0</v>
      </c>
      <c r="AA35" s="24" cm="1">
        <f t="array" ref="AA35">ROUND(_xlfn.XLOOKUP($A35, 'Competitive Analysis (Step 1)'!$A$10:$A$209,_xlfn.ANCHORARRAY( 'Competitive Analysis (Step 1)'!$Q$10), , 0) * (1+$Z35), 0)</f>
        <v>36</v>
      </c>
      <c r="AB35" s="22">
        <f t="shared" si="12"/>
        <v>3058.2000000000003</v>
      </c>
      <c r="AC35" s="23" cm="1">
        <f t="array" ref="AC35">$AB35 - _xlfn.XLOOKUP($A35, 'Competitive Analysis (Step 1)'!$A$10:$A$209,_xlfn.ANCHORARRAY( 'Competitive Analysis (Step 1)'!$R$10), ,0)</f>
        <v>0</v>
      </c>
      <c r="AD35" s="21" cm="1">
        <f t="array" ref="AD35">$AC35 / _xlfn.XLOOKUP($A35, 'Competitive Analysis (Step 1)'!$A$10:$A$209,_xlfn.ANCHORARRAY( 'Competitive Analysis (Step 1)'!$V$10), ,0)</f>
        <v>0</v>
      </c>
      <c r="AE35" s="23">
        <f>$AA35 * _xlfn.XLOOKUP($A35, _1_product_catalog_pricing[SKU], _1_product_catalog_pricing[Cost Price ($)], , 0)</f>
        <v>1910.52</v>
      </c>
      <c r="AF35" s="23" cm="1">
        <f t="array" ref="AF35">$AE35 - _xlfn.XLOOKUP($A35, 'Competitive Analysis (Step 1)'!$A$10:$A$209,_xlfn.ANCHORARRAY( 'Competitive Analysis (Step 1)'!$S$10),,0)</f>
        <v>0</v>
      </c>
      <c r="AG35" s="21" cm="1">
        <f t="array" ref="AG35">$AF35 / _xlfn.XLOOKUP($A35, 'Competitive Analysis (Step 1)'!$A$10:$A$209,_xlfn.ANCHORARRAY( 'Competitive Analysis (Step 1)'!$S$10),,0)</f>
        <v>0</v>
      </c>
      <c r="AH35" s="28">
        <f t="shared" si="3"/>
        <v>1147.6800000000003</v>
      </c>
      <c r="AI35" s="23" cm="1">
        <f t="array" ref="AI35">$AH35 - _xlfn.XLOOKUP($A35, 'Competitive Analysis (Step 1)'!$A$10:$A$209,_xlfn.ANCHORARRAY( 'Competitive Analysis (Step 1)'!$T$10),,0)</f>
        <v>0</v>
      </c>
      <c r="AJ35" s="9">
        <f t="shared" si="13"/>
        <v>0.3752795762213067</v>
      </c>
      <c r="AK35" s="21" cm="1">
        <f t="array" ref="AK35">$AI35 / _xlfn.XLOOKUP($A35, 'Competitive Analysis (Step 1)'!$A$10:$A$209,_xlfn.ANCHORARRAY( 'Competitive Analysis (Step 1)'!$T$10),,0)</f>
        <v>0</v>
      </c>
      <c r="AL35" t="str">
        <f t="shared" si="14"/>
        <v>Constrained</v>
      </c>
    </row>
    <row r="36" spans="1:38">
      <c r="A36" s="24" t="str">
        <v>SKU-1014</v>
      </c>
      <c r="B36" s="24" t="str">
        <v>Wool Sweater</v>
      </c>
      <c r="C36" s="24" t="str">
        <v>Apparel</v>
      </c>
      <c r="D36" s="23">
        <v>143.80000000000001</v>
      </c>
      <c r="E36" s="23">
        <v>62.15</v>
      </c>
      <c r="F36" s="24" cm="1">
        <f t="array" ref="F36">_xlfn.XLOOKUP($A36,'Competitive Analysis (Step 1)'!$A$10:$A$209,_xlfn.ANCHORARRAY( 'Competitive Analysis (Step 1)'!$P$10),,0)</f>
        <v>430</v>
      </c>
      <c r="G36" s="31" cm="1">
        <f t="array" ref="G36">SUMPRODUCT((Transactions_and_Customer_Information_Joined[SKU]='V1 Pricing Model (Step 2)'!$A36) * (Transactions_and_Customer_Information_Joined[Order Status]="Completed") * (Transactions_and_Customer_Information_Joined[Quantity])) / 12</f>
        <v>2.4166666666666665</v>
      </c>
      <c r="H36" s="13">
        <f t="shared" si="4"/>
        <v>177.93103448275863</v>
      </c>
      <c r="I36" s="9">
        <f t="shared" si="5"/>
        <v>0.56780250347705141</v>
      </c>
      <c r="J36" s="23" cm="1">
        <f t="array" ref="J36">(SMALL(IF('Competitive Analysis (Step 1)'!$A$10:$A$209=$A36,'Competitive Analysis (Step 1)'!$D$10:$D$209),2)+SMALL(IF('Competitive Analysis (Step 1)'!$A$10:$A$209=$A36,'Competitive Analysis (Step 1)'!$D$10:$D$209),3))/2</f>
        <v>166.815</v>
      </c>
      <c r="K36" s="22">
        <f t="shared" si="6"/>
        <v>23.014999999999986</v>
      </c>
      <c r="L36" s="12">
        <f t="shared" si="7"/>
        <v>0.16004867872044495</v>
      </c>
      <c r="M36" s="24">
        <v>4.3</v>
      </c>
      <c r="N36" s="24">
        <v>3.5249999999999999</v>
      </c>
      <c r="O36">
        <v>0.77499999999999991</v>
      </c>
      <c r="P36" s="3" cm="1">
        <f t="array" ref="P36">MEDIAN(IF($C$22:$C$71=$C36, $I$22:$I$71))</f>
        <v>0.48928067771949424</v>
      </c>
      <c r="Q36" s="34" cm="1">
        <f t="array" ref="Q36">_xlfn.LET(
    _xlpm.stock, $F36,
    _xlpm.stock_ratio, $H36,
    _xlpm.cat_ratios, IF($C$22:$C$71=$C36, $H$22:$H$71),
    _xlpm.cat_median, MEDIAN(_xlpm.cat_ratios),
    _xlpm.cat_stdev, STDEV(IF($C$22:$C$71=$C36, $H$22:$H$71)),
    _xlpm.z_score, IF(_xlpm.cat_stdev = 0, 0, (_xlpm.stock_ratio - _xlpm.cat_median) / _xlpm.cat_stdev),
    _xlpm.capped_z, MIN(MAX(_xlpm.z_score, -2), 2),
    IF(_xlpm.stock &lt; $B$18, 0, 1 + $B$19 * _xlpm.capped_z)
)</f>
        <v>0.98358039820418419</v>
      </c>
      <c r="R36" s="42" cm="1">
        <f t="array" ref="R36">_xlfn.LET(
    _xlpm.sku, $A36,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$D36,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-7.5221131279810366E-2</v>
      </c>
      <c r="S36" s="4" t="str">
        <f t="shared" si="8"/>
        <v>Raise</v>
      </c>
      <c r="T36" s="4" t="str" cm="1">
        <f t="array" ref="T36">IF($S36="Hold", IF(0.5 * ($P36-$I36) / $P36 + 0.5 * ($R36 / MAX(ABS($R36:$R85))) &gt; 0, "Raise", "Hold"), $S36)</f>
        <v>Raise</v>
      </c>
      <c r="U36" s="22">
        <f t="shared" si="9"/>
        <v>176.09452849869206</v>
      </c>
      <c r="V36" s="22">
        <f t="shared" si="0"/>
        <v>32.294528498692046</v>
      </c>
      <c r="W36" s="3">
        <f t="shared" si="1"/>
        <v>0.22457947495613381</v>
      </c>
      <c r="X36" s="22">
        <f t="shared" si="10"/>
        <v>9.2795284986920592</v>
      </c>
      <c r="Y36" s="3">
        <f t="shared" si="11"/>
        <v>5.5627662372640704E-2</v>
      </c>
      <c r="Z36" s="3">
        <f t="shared" si="2"/>
        <v>-8.983178998245353E-2</v>
      </c>
      <c r="AA36" s="24" cm="1">
        <f t="array" ref="AA36">ROUND(_xlfn.XLOOKUP($A36, 'Competitive Analysis (Step 1)'!$A$10:$A$209,_xlfn.ANCHORARRAY( 'Competitive Analysis (Step 1)'!$Q$10), , 0) * (1+$Z36), 0)</f>
        <v>26</v>
      </c>
      <c r="AB36" s="22">
        <f t="shared" si="12"/>
        <v>4578.4577409659933</v>
      </c>
      <c r="AC36" s="23" cm="1">
        <f t="array" ref="AC36">$AB36 - _xlfn.XLOOKUP($A36, 'Competitive Analysis (Step 1)'!$A$10:$A$209,_xlfn.ANCHORARRAY( 'Competitive Analysis (Step 1)'!$R$10), ,0)</f>
        <v>408.25774096599343</v>
      </c>
      <c r="AD36" s="21" cm="1">
        <f t="array" ref="AD36">$AC36 / _xlfn.XLOOKUP($A36, 'Competitive Analysis (Step 1)'!$A$10:$A$209,_xlfn.ANCHORARRAY( 'Competitive Analysis (Step 1)'!$V$10), ,0)</f>
        <v>0.10856850282445438</v>
      </c>
      <c r="AE36" s="23">
        <f>$AA36 * _xlfn.XLOOKUP($A36, _1_product_catalog_pricing[SKU], _1_product_catalog_pricing[Cost Price ($)], , 0)</f>
        <v>1615.8999999999999</v>
      </c>
      <c r="AF36" s="23" cm="1">
        <f t="array" ref="AF36">$AE36 - _xlfn.XLOOKUP($A36, 'Competitive Analysis (Step 1)'!$A$10:$A$209,_xlfn.ANCHORARRAY( 'Competitive Analysis (Step 1)'!$S$10),,0)</f>
        <v>-186.44999999999982</v>
      </c>
      <c r="AG36" s="21" cm="1">
        <f t="array" ref="AG36">$AF36 / _xlfn.XLOOKUP($A36, 'Competitive Analysis (Step 1)'!$A$10:$A$209,_xlfn.ANCHORARRAY( 'Competitive Analysis (Step 1)'!$S$10),,0)</f>
        <v>-0.10344827586206888</v>
      </c>
      <c r="AH36" s="28">
        <f t="shared" si="3"/>
        <v>2962.5577409659936</v>
      </c>
      <c r="AI36" s="23" cm="1">
        <f t="array" ref="AI36">$AH36 - _xlfn.XLOOKUP($A36, 'Competitive Analysis (Step 1)'!$A$10:$A$209,_xlfn.ANCHORARRAY( 'Competitive Analysis (Step 1)'!$T$10),,0)</f>
        <v>594.70774096599325</v>
      </c>
      <c r="AJ36" s="9">
        <f t="shared" si="13"/>
        <v>0.64706455941666807</v>
      </c>
      <c r="AK36" s="21" cm="1">
        <f t="array" ref="AK36">$AI36 / _xlfn.XLOOKUP($A36, 'Competitive Analysis (Step 1)'!$A$10:$A$209,_xlfn.ANCHORARRAY( 'Competitive Analysis (Step 1)'!$T$10),,0)</f>
        <v>0.25115938128090598</v>
      </c>
      <c r="AL36" t="str">
        <f t="shared" si="14"/>
        <v>Full</v>
      </c>
    </row>
    <row r="37" spans="1:38">
      <c r="A37" s="24" t="str">
        <v>SKU-1015</v>
      </c>
      <c r="B37" s="24" t="str">
        <v>Denim Jacket</v>
      </c>
      <c r="C37" s="24" t="str">
        <v>Apparel</v>
      </c>
      <c r="D37" s="23">
        <v>55.86</v>
      </c>
      <c r="E37" s="23">
        <v>33.04</v>
      </c>
      <c r="F37" s="24" cm="1">
        <f t="array" ref="F37">_xlfn.XLOOKUP($A37,'Competitive Analysis (Step 1)'!$A$10:$A$209,_xlfn.ANCHORARRAY( 'Competitive Analysis (Step 1)'!$P$10),,0)</f>
        <v>306</v>
      </c>
      <c r="G37" s="31" cm="1">
        <f t="array" ref="G37">SUMPRODUCT((Transactions_and_Customer_Information_Joined[SKU]='V1 Pricing Model (Step 2)'!$A37) * (Transactions_and_Customer_Information_Joined[Order Status]="Completed") * (Transactions_and_Customer_Information_Joined[Quantity])) / 12</f>
        <v>2.75</v>
      </c>
      <c r="H37" s="13">
        <f t="shared" si="4"/>
        <v>111.27272727272727</v>
      </c>
      <c r="I37" s="9">
        <f t="shared" si="5"/>
        <v>0.4085213032581454</v>
      </c>
      <c r="J37" s="23" cm="1">
        <f t="array" ref="J37">(SMALL(IF('Competitive Analysis (Step 1)'!$A$10:$A$209=$A37,'Competitive Analysis (Step 1)'!$D$10:$D$209),2)+SMALL(IF('Competitive Analysis (Step 1)'!$A$10:$A$209=$A37,'Competitive Analysis (Step 1)'!$D$10:$D$209),3))/2</f>
        <v>51.975000000000001</v>
      </c>
      <c r="K37" s="22">
        <f t="shared" si="6"/>
        <v>-3.884999999999998</v>
      </c>
      <c r="L37" s="12">
        <f t="shared" si="7"/>
        <v>-6.9548872180451096E-2</v>
      </c>
      <c r="M37" s="24">
        <v>3.6</v>
      </c>
      <c r="N37" s="24">
        <v>4.05</v>
      </c>
      <c r="O37">
        <v>-0.44999999999999973</v>
      </c>
      <c r="P37" s="3" cm="1">
        <f t="array" ref="P37">MEDIAN(IF($C$22:$C$71=$C37, $I$22:$I$71))</f>
        <v>0.48928067771949424</v>
      </c>
      <c r="Q37" s="34" cm="1">
        <f t="array" ref="Q37">_xlfn.LET(
    _xlpm.stock, $F37,
    _xlpm.stock_ratio, $H37,
    _xlpm.cat_ratios, IF($C$22:$C$71=$C37, $H$22:$H$71),
    _xlpm.cat_median, MEDIAN(_xlpm.cat_ratios),
    _xlpm.cat_stdev, STDEV(IF($C$22:$C$71=$C37, $H$22:$H$71)),
    _xlpm.z_score, IF(_xlpm.cat_stdev = 0, 0, (_xlpm.stock_ratio - _xlpm.cat_median) / _xlpm.cat_stdev),
    _xlpm.capped_z, MIN(MAX(_xlpm.z_score, -2), 2),
    IF(_xlpm.stock &lt; $B$18, 0, 1 + $B$19 * _xlpm.capped_z)
)</f>
        <v>0.99891720862439592</v>
      </c>
      <c r="R37" s="42" cm="1">
        <f t="array" ref="R37">_xlfn.LET(
    _xlpm.sku, $A37,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$D37,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0.16214570103614576</v>
      </c>
      <c r="S37" s="4" t="str">
        <f t="shared" si="8"/>
        <v>Reduce</v>
      </c>
      <c r="T37" s="4" t="str" cm="1">
        <f t="array" ref="T37">IF($S37="Hold", IF(0.5 * ($P37-$I37) / $P37 + 0.5 * ($R37 / MAX(ABS($R37:$R86))) &gt; 0, "Raise", "Hold"), $S37)</f>
        <v>Reduce</v>
      </c>
      <c r="U37" s="22">
        <f t="shared" si="9"/>
        <v>49.396654543977426</v>
      </c>
      <c r="V37" s="22">
        <f t="shared" si="0"/>
        <v>-6.4633454560225729</v>
      </c>
      <c r="W37" s="3">
        <f t="shared" si="1"/>
        <v>-0.11570614851454659</v>
      </c>
      <c r="X37" s="22">
        <f t="shared" si="10"/>
        <v>-2.5783454560225749</v>
      </c>
      <c r="Y37" s="3">
        <f t="shared" si="11"/>
        <v>-4.9607416181290519E-2</v>
      </c>
      <c r="Z37" s="3">
        <f t="shared" si="2"/>
        <v>9.2564918811637281E-2</v>
      </c>
      <c r="AA37" s="24" cm="1">
        <f t="array" ref="AA37">ROUND(_xlfn.XLOOKUP($A37, 'Competitive Analysis (Step 1)'!$A$10:$A$209,_xlfn.ANCHORARRAY( 'Competitive Analysis (Step 1)'!$Q$10), , 0) * (1+$Z37), 0)</f>
        <v>36</v>
      </c>
      <c r="AB37" s="22">
        <f t="shared" si="12"/>
        <v>1778.2795635831874</v>
      </c>
      <c r="AC37" s="23" cm="1">
        <f t="array" ref="AC37">$AB37 - _xlfn.XLOOKUP($A37, 'Competitive Analysis (Step 1)'!$A$10:$A$209,_xlfn.ANCHORARRAY( 'Competitive Analysis (Step 1)'!$R$10), ,0)</f>
        <v>62.939563583187237</v>
      </c>
      <c r="AD37" s="21" cm="1">
        <f t="array" ref="AD37">$AC37 / _xlfn.XLOOKUP($A37, 'Competitive Analysis (Step 1)'!$A$10:$A$209,_xlfn.ANCHORARRAY( 'Competitive Analysis (Step 1)'!$V$10), ,0)</f>
        <v>3.9764697740199161E-2</v>
      </c>
      <c r="AE37" s="23">
        <f>$AA37 * _xlfn.XLOOKUP($A37, _1_product_catalog_pricing[SKU], _1_product_catalog_pricing[Cost Price ($)], , 0)</f>
        <v>1189.44</v>
      </c>
      <c r="AF37" s="23" cm="1">
        <f t="array" ref="AF37">$AE37 - _xlfn.XLOOKUP($A37, 'Competitive Analysis (Step 1)'!$A$10:$A$209,_xlfn.ANCHORARRAY( 'Competitive Analysis (Step 1)'!$S$10),,0)</f>
        <v>99.120000000000118</v>
      </c>
      <c r="AG37" s="21" cm="1">
        <f t="array" ref="AG37">$AF37 / _xlfn.XLOOKUP($A37, 'Competitive Analysis (Step 1)'!$A$10:$A$209,_xlfn.ANCHORARRAY( 'Competitive Analysis (Step 1)'!$S$10),,0)</f>
        <v>9.0909090909091023E-2</v>
      </c>
      <c r="AH37" s="28">
        <f t="shared" si="3"/>
        <v>588.83956358318733</v>
      </c>
      <c r="AI37" s="23" cm="1">
        <f t="array" ref="AI37">$AH37 - _xlfn.XLOOKUP($A37, 'Competitive Analysis (Step 1)'!$A$10:$A$209,_xlfn.ANCHORARRAY( 'Competitive Analysis (Step 1)'!$T$10),,0)</f>
        <v>-36.180436416812881</v>
      </c>
      <c r="AJ37" s="9">
        <f t="shared" si="13"/>
        <v>0.33112879191879752</v>
      </c>
      <c r="AK37" s="21" cm="1">
        <f t="array" ref="AK37">$AI37 / _xlfn.XLOOKUP($A37, 'Competitive Analysis (Step 1)'!$A$10:$A$209,_xlfn.ANCHORARRAY( 'Competitive Analysis (Step 1)'!$T$10),,0)</f>
        <v>-5.7886845887832182E-2</v>
      </c>
      <c r="AL37" t="str">
        <f t="shared" si="14"/>
        <v>Exclude</v>
      </c>
    </row>
    <row r="38" spans="1:38">
      <c r="A38" s="24" t="str">
        <v>SKU-1016</v>
      </c>
      <c r="B38" s="24" t="str">
        <v>Yoga Pants</v>
      </c>
      <c r="C38" s="24" t="str">
        <v>Apparel</v>
      </c>
      <c r="D38" s="23">
        <v>205.4</v>
      </c>
      <c r="E38" s="23">
        <v>70.900000000000006</v>
      </c>
      <c r="F38" s="24" cm="1">
        <f t="array" ref="F38">_xlfn.XLOOKUP($A38,'Competitive Analysis (Step 1)'!$A$10:$A$209,_xlfn.ANCHORARRAY( 'Competitive Analysis (Step 1)'!$P$10),,0)</f>
        <v>123</v>
      </c>
      <c r="G38" s="31" cm="1">
        <f t="array" ref="G38">SUMPRODUCT((Transactions_and_Customer_Information_Joined[SKU]='V1 Pricing Model (Step 2)'!$A38) * (Transactions_and_Customer_Information_Joined[Order Status]="Completed") * (Transactions_and_Customer_Information_Joined[Quantity])) / 12</f>
        <v>3.0833333333333335</v>
      </c>
      <c r="H38" s="13">
        <f t="shared" si="4"/>
        <v>39.891891891891888</v>
      </c>
      <c r="I38" s="9">
        <f t="shared" si="5"/>
        <v>0.65481986368062317</v>
      </c>
      <c r="J38" s="23" cm="1">
        <f t="array" ref="J38">(SMALL(IF('Competitive Analysis (Step 1)'!$A$10:$A$209=$A38,'Competitive Analysis (Step 1)'!$D$10:$D$209),2)+SMALL(IF('Competitive Analysis (Step 1)'!$A$10:$A$209=$A38,'Competitive Analysis (Step 1)'!$D$10:$D$209),3))/2</f>
        <v>194.66499999999999</v>
      </c>
      <c r="K38" s="22">
        <f t="shared" si="6"/>
        <v>-10.735000000000014</v>
      </c>
      <c r="L38" s="12">
        <f t="shared" si="7"/>
        <v>-5.2263875365141252E-2</v>
      </c>
      <c r="M38" s="24">
        <v>4.8</v>
      </c>
      <c r="N38" s="24">
        <v>4</v>
      </c>
      <c r="O38">
        <v>0.79999999999999982</v>
      </c>
      <c r="P38" s="3" cm="1">
        <f t="array" ref="P38">MEDIAN(IF($C$22:$C$71=$C38, $I$22:$I$71))</f>
        <v>0.48928067771949424</v>
      </c>
      <c r="Q38" s="34" cm="1">
        <f t="array" ref="Q38">_xlfn.LET(
    _xlpm.stock, $F38,
    _xlpm.stock_ratio, $H38,
    _xlpm.cat_ratios, IF($C$22:$C$71=$C38, $H$22:$H$71),
    _xlpm.cat_median, MEDIAN(_xlpm.cat_ratios),
    _xlpm.cat_stdev, STDEV(IF($C$22:$C$71=$C38, $H$22:$H$71)),
    _xlpm.z_score, IF(_xlpm.cat_stdev = 0, 0, (_xlpm.stock_ratio - _xlpm.cat_median) / _xlpm.cat_stdev),
    _xlpm.capped_z, MIN(MAX(_xlpm.z_score, -2), 2),
    IF(_xlpm.stock &lt; $B$18, 0, 1 + $B$19 * _xlpm.capped_z)
)</f>
        <v>1.0153405830797777</v>
      </c>
      <c r="R38" s="42" cm="1">
        <f t="array" ref="R38">_xlfn.LET(
    _xlpm.sku, $A38,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$D38,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6.3024484191392047E-2</v>
      </c>
      <c r="S38" s="4" t="str">
        <f t="shared" si="8"/>
        <v>Reduce</v>
      </c>
      <c r="T38" s="4" t="str" cm="1">
        <f t="array" ref="T38">IF($S38="Hold", IF(0.5 * ($P38-$I38) / $P38 + 0.5 * ($R38 / MAX(ABS($R38:$R87))) &gt; 0, "Raise", "Hold"), $S38)</f>
        <v>Reduce</v>
      </c>
      <c r="U38" s="22">
        <f t="shared" si="9"/>
        <v>193.6982491114664</v>
      </c>
      <c r="V38" s="22">
        <f t="shared" si="0"/>
        <v>-11.70175088853361</v>
      </c>
      <c r="W38" s="3">
        <f t="shared" si="1"/>
        <v>-5.6970549603376872E-2</v>
      </c>
      <c r="X38" s="22">
        <f t="shared" si="10"/>
        <v>-0.96675088853359625</v>
      </c>
      <c r="Y38" s="3">
        <f t="shared" si="11"/>
        <v>-4.9662285903146241E-3</v>
      </c>
      <c r="Z38" s="3">
        <f t="shared" si="2"/>
        <v>4.5576439682701503E-2</v>
      </c>
      <c r="AA38" s="24" cm="1">
        <f t="array" ref="AA38">ROUND(_xlfn.XLOOKUP($A38, 'Competitive Analysis (Step 1)'!$A$10:$A$209,_xlfn.ANCHORARRAY( 'Competitive Analysis (Step 1)'!$Q$10), , 0) * (1+$Z38), 0)</f>
        <v>39</v>
      </c>
      <c r="AB38" s="22">
        <f t="shared" si="12"/>
        <v>7554.2317153471895</v>
      </c>
      <c r="AC38" s="23" cm="1">
        <f t="array" ref="AC38">$AB38 - _xlfn.XLOOKUP($A38, 'Competitive Analysis (Step 1)'!$A$10:$A$209,_xlfn.ANCHORARRAY( 'Competitive Analysis (Step 1)'!$R$10), ,0)</f>
        <v>-45.568284652810689</v>
      </c>
      <c r="AD38" s="21" cm="1">
        <f t="array" ref="AD38">$AC38 / _xlfn.XLOOKUP($A38, 'Competitive Analysis (Step 1)'!$A$10:$A$209,_xlfn.ANCHORARRAY( 'Competitive Analysis (Step 1)'!$V$10), ,0)</f>
        <v>-6.6822721244487225E-3</v>
      </c>
      <c r="AE38" s="23">
        <f>$AA38 * _xlfn.XLOOKUP($A38, _1_product_catalog_pricing[SKU], _1_product_catalog_pricing[Cost Price ($)], , 0)</f>
        <v>2765.1000000000004</v>
      </c>
      <c r="AF38" s="23" cm="1">
        <f t="array" ref="AF38">$AE38 - _xlfn.XLOOKUP($A38, 'Competitive Analysis (Step 1)'!$A$10:$A$209,_xlfn.ANCHORARRAY( 'Competitive Analysis (Step 1)'!$S$10),,0)</f>
        <v>141.80000000000018</v>
      </c>
      <c r="AG38" s="21" cm="1">
        <f t="array" ref="AG38">$AF38 / _xlfn.XLOOKUP($A38, 'Competitive Analysis (Step 1)'!$A$10:$A$209,_xlfn.ANCHORARRAY( 'Competitive Analysis (Step 1)'!$S$10),,0)</f>
        <v>5.405405405405412E-2</v>
      </c>
      <c r="AH38" s="28">
        <f t="shared" si="3"/>
        <v>4789.1317153471891</v>
      </c>
      <c r="AI38" s="23" cm="1">
        <f t="array" ref="AI38">$AH38 - _xlfn.XLOOKUP($A38, 'Competitive Analysis (Step 1)'!$A$10:$A$209,_xlfn.ANCHORARRAY( 'Competitive Analysis (Step 1)'!$T$10),,0)</f>
        <v>-187.36828465281087</v>
      </c>
      <c r="AJ38" s="9">
        <f t="shared" si="13"/>
        <v>0.63396674814959431</v>
      </c>
      <c r="AK38" s="21" cm="1">
        <f t="array" ref="AK38">$AI38 / _xlfn.XLOOKUP($A38, 'Competitive Analysis (Step 1)'!$A$10:$A$209,_xlfn.ANCHORARRAY( 'Competitive Analysis (Step 1)'!$T$10),,0)</f>
        <v>-3.7650614820217192E-2</v>
      </c>
      <c r="AL38" t="str">
        <f t="shared" si="14"/>
        <v>Exclude</v>
      </c>
    </row>
    <row r="39" spans="1:38">
      <c r="A39" s="24" t="str">
        <v>SKU-1017</v>
      </c>
      <c r="B39" s="24" t="str">
        <v>Baseball Cap</v>
      </c>
      <c r="C39" s="24" t="str">
        <v>Apparel</v>
      </c>
      <c r="D39" s="23">
        <v>63.19</v>
      </c>
      <c r="E39" s="23">
        <v>41.45</v>
      </c>
      <c r="F39" s="24" cm="1">
        <f t="array" ref="F39">_xlfn.XLOOKUP($A39,'Competitive Analysis (Step 1)'!$A$10:$A$209,_xlfn.ANCHORARRAY( 'Competitive Analysis (Step 1)'!$P$10),,0)</f>
        <v>337</v>
      </c>
      <c r="G39" s="31" cm="1">
        <f t="array" ref="G39">SUMPRODUCT((Transactions_and_Customer_Information_Joined[SKU]='V1 Pricing Model (Step 2)'!$A39) * (Transactions_and_Customer_Information_Joined[Order Status]="Completed") * (Transactions_and_Customer_Information_Joined[Quantity])) / 12</f>
        <v>1.5833333333333333</v>
      </c>
      <c r="H39" s="13">
        <f t="shared" si="4"/>
        <v>212.84210526315792</v>
      </c>
      <c r="I39" s="9">
        <f t="shared" si="5"/>
        <v>0.34404177876246234</v>
      </c>
      <c r="J39" s="23" cm="1">
        <f t="array" ref="J39">(SMALL(IF('Competitive Analysis (Step 1)'!$A$10:$A$209=$A39,'Competitive Analysis (Step 1)'!$D$10:$D$209),2)+SMALL(IF('Competitive Analysis (Step 1)'!$A$10:$A$209=$A39,'Competitive Analysis (Step 1)'!$D$10:$D$209),3))/2</f>
        <v>61.31</v>
      </c>
      <c r="K39" s="22">
        <f t="shared" si="6"/>
        <v>-1.8799999999999955</v>
      </c>
      <c r="L39" s="12">
        <f t="shared" si="7"/>
        <v>-2.9751542965659052E-2</v>
      </c>
      <c r="M39" s="24">
        <v>4</v>
      </c>
      <c r="N39" s="24">
        <v>3.25</v>
      </c>
      <c r="O39">
        <v>0.75</v>
      </c>
      <c r="P39" s="3" cm="1">
        <f t="array" ref="P39">MEDIAN(IF($C$22:$C$71=$C39, $I$22:$I$71))</f>
        <v>0.48928067771949424</v>
      </c>
      <c r="Q39" s="34" cm="1">
        <f t="array" ref="Q39">_xlfn.LET(
    _xlpm.stock, $F39,
    _xlpm.stock_ratio, $H39,
    _xlpm.cat_ratios, IF($C$22:$C$71=$C39, $H$22:$H$71),
    _xlpm.cat_median, MEDIAN(_xlpm.cat_ratios),
    _xlpm.cat_stdev, STDEV(IF($C$22:$C$71=$C39, $H$22:$H$71)),
    _xlpm.z_score, IF(_xlpm.cat_stdev = 0, 0, (_xlpm.stock_ratio - _xlpm.cat_median) / _xlpm.cat_stdev),
    _xlpm.capped_z, MIN(MAX(_xlpm.z_score, -2), 2),
    IF(_xlpm.stock &lt; $B$18, 0, 1 + $B$19 * _xlpm.capped_z)
)</f>
        <v>0.97554802389803008</v>
      </c>
      <c r="R39" s="42" cm="1">
        <f t="array" ref="R39">_xlfn.LET(
    _xlpm.sku, $A39,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$D39,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5.5759894499723007E-3</v>
      </c>
      <c r="S39" s="4" t="str">
        <f t="shared" si="8"/>
        <v>Hold</v>
      </c>
      <c r="T39" s="4" t="str" cm="1">
        <f t="array" ref="T39">IF($S39="Hold", IF(0.5 * ($P39-$I39) / $P39 + 0.5 * ($R39 / MAX(ABS($R39:$R88))) &gt; 0, "Raise", "Hold"), $S39)</f>
        <v>Raise</v>
      </c>
      <c r="U39" s="22">
        <f t="shared" si="9"/>
        <v>64.147135922714369</v>
      </c>
      <c r="V39" s="22">
        <f t="shared" si="0"/>
        <v>0.95713592271437165</v>
      </c>
      <c r="W39" s="3">
        <f t="shared" si="1"/>
        <v>1.5146952408836394E-2</v>
      </c>
      <c r="X39" s="22">
        <f t="shared" si="10"/>
        <v>2.8371359227143671</v>
      </c>
      <c r="Y39" s="3">
        <f t="shared" si="11"/>
        <v>4.6275255630637203E-2</v>
      </c>
      <c r="Z39" s="3">
        <f t="shared" si="2"/>
        <v>-6.0587809635345574E-3</v>
      </c>
      <c r="AA39" s="24" cm="1">
        <f t="array" ref="AA39">ROUND(_xlfn.XLOOKUP($A39, 'Competitive Analysis (Step 1)'!$A$10:$A$209,_xlfn.ANCHORARRAY( 'Competitive Analysis (Step 1)'!$Q$10), , 0) * (1+$Z39), 0)</f>
        <v>19</v>
      </c>
      <c r="AB39" s="22">
        <f t="shared" si="12"/>
        <v>1218.795582531573</v>
      </c>
      <c r="AC39" s="23" cm="1">
        <f t="array" ref="AC39">$AB39 - _xlfn.XLOOKUP($A39, 'Competitive Analysis (Step 1)'!$A$10:$A$209,_xlfn.ANCHORARRAY( 'Competitive Analysis (Step 1)'!$R$10), ,0)</f>
        <v>148.52558253157304</v>
      </c>
      <c r="AD39" s="21" cm="1">
        <f t="array" ref="AD39">$AC39 / _xlfn.XLOOKUP($A39, 'Competitive Analysis (Step 1)'!$A$10:$A$209,_xlfn.ANCHORARRAY( 'Competitive Analysis (Step 1)'!$V$10), ,0)</f>
        <v>0.14487332598352828</v>
      </c>
      <c r="AE39" s="23">
        <f>$AA39 * _xlfn.XLOOKUP($A39, _1_product_catalog_pricing[SKU], _1_product_catalog_pricing[Cost Price ($)], , 0)</f>
        <v>787.55000000000007</v>
      </c>
      <c r="AF39" s="23" cm="1">
        <f t="array" ref="AF39">$AE39 - _xlfn.XLOOKUP($A39, 'Competitive Analysis (Step 1)'!$A$10:$A$209,_xlfn.ANCHORARRAY( 'Competitive Analysis (Step 1)'!$S$10),,0)</f>
        <v>0</v>
      </c>
      <c r="AG39" s="21" cm="1">
        <f t="array" ref="AG39">$AF39 / _xlfn.XLOOKUP($A39, 'Competitive Analysis (Step 1)'!$A$10:$A$209,_xlfn.ANCHORARRAY( 'Competitive Analysis (Step 1)'!$S$10),,0)</f>
        <v>0</v>
      </c>
      <c r="AH39" s="28">
        <f t="shared" si="3"/>
        <v>431.24558253157295</v>
      </c>
      <c r="AI39" s="23" cm="1">
        <f t="array" ref="AI39">$AH39 - _xlfn.XLOOKUP($A39, 'Competitive Analysis (Step 1)'!$A$10:$A$209,_xlfn.ANCHORARRAY( 'Competitive Analysis (Step 1)'!$T$10),,0)</f>
        <v>148.52558253157304</v>
      </c>
      <c r="AJ39" s="9">
        <f t="shared" si="13"/>
        <v>0.35382929566894905</v>
      </c>
      <c r="AK39" s="21" cm="1">
        <f t="array" ref="AK39">$AI39 / _xlfn.XLOOKUP($A39, 'Competitive Analysis (Step 1)'!$A$10:$A$209,_xlfn.ANCHORARRAY( 'Competitive Analysis (Step 1)'!$T$10),,0)</f>
        <v>0.52534515609639598</v>
      </c>
      <c r="AL39" t="str">
        <f t="shared" si="14"/>
        <v>Full</v>
      </c>
    </row>
    <row r="40" spans="1:38">
      <c r="A40" s="24" t="str">
        <v>SKU-1018</v>
      </c>
      <c r="B40" s="24" t="str">
        <v>Sneakers</v>
      </c>
      <c r="C40" s="24" t="str">
        <v>Apparel</v>
      </c>
      <c r="D40" s="23">
        <v>111.09</v>
      </c>
      <c r="E40" s="23">
        <v>44.58</v>
      </c>
      <c r="F40" s="24" cm="1">
        <f t="array" ref="F40">_xlfn.XLOOKUP($A40,'Competitive Analysis (Step 1)'!$A$10:$A$209,_xlfn.ANCHORARRAY( 'Competitive Analysis (Step 1)'!$P$10),,0)</f>
        <v>365</v>
      </c>
      <c r="G40" s="31" cm="1">
        <f t="array" ref="G40">SUMPRODUCT((Transactions_and_Customer_Information_Joined[SKU]='V1 Pricing Model (Step 2)'!$A40) * (Transactions_and_Customer_Information_Joined[Order Status]="Completed") * (Transactions_and_Customer_Information_Joined[Quantity])) / 12</f>
        <v>3.5833333333333335</v>
      </c>
      <c r="H40" s="13">
        <f t="shared" si="4"/>
        <v>101.86046511627906</v>
      </c>
      <c r="I40" s="9">
        <f t="shared" si="5"/>
        <v>0.5987037537132055</v>
      </c>
      <c r="J40" s="23" cm="1">
        <f t="array" ref="J40">(SMALL(IF('Competitive Analysis (Step 1)'!$A$10:$A$209=$A40,'Competitive Analysis (Step 1)'!$D$10:$D$209),2)+SMALL(IF('Competitive Analysis (Step 1)'!$A$10:$A$209=$A40,'Competitive Analysis (Step 1)'!$D$10:$D$209),3))/2</f>
        <v>114.795</v>
      </c>
      <c r="K40" s="22">
        <f t="shared" si="6"/>
        <v>3.7049999999999983</v>
      </c>
      <c r="L40" s="12">
        <f t="shared" si="7"/>
        <v>3.3351336753983239E-2</v>
      </c>
      <c r="M40" s="24">
        <v>3.6</v>
      </c>
      <c r="N40" s="24">
        <v>3.7749999999999999</v>
      </c>
      <c r="O40">
        <v>-0.17499999999999982</v>
      </c>
      <c r="P40" s="3" cm="1">
        <f t="array" ref="P40">MEDIAN(IF($C$22:$C$71=$C40, $I$22:$I$71))</f>
        <v>0.48928067771949424</v>
      </c>
      <c r="Q40" s="34" cm="1">
        <f t="array" ref="Q40">_xlfn.LET(
    _xlpm.stock, $F40,
    _xlpm.stock_ratio, $H40,
    _xlpm.cat_ratios, IF($C$22:$C$71=$C40, $H$22:$H$71),
    _xlpm.cat_median, MEDIAN(_xlpm.cat_ratios),
    _xlpm.cat_stdev, STDEV(IF($C$22:$C$71=$C40, $H$22:$H$71)),
    _xlpm.z_score, IF(_xlpm.cat_stdev = 0, 0, (_xlpm.stock_ratio - _xlpm.cat_median) / _xlpm.cat_stdev),
    _xlpm.capped_z, MIN(MAX(_xlpm.z_score, -2), 2),
    IF(_xlpm.stock &lt; $B$18, 0, 1 + $B$19 * _xlpm.capped_z)
)</f>
        <v>1.0010827913756042</v>
      </c>
      <c r="R40" s="42" cm="1">
        <f t="array" ref="R40">_xlfn.LET(
    _xlpm.sku, $A40,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$D40,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-3.8369917919005653E-2</v>
      </c>
      <c r="S40" s="4" t="str">
        <f t="shared" si="8"/>
        <v>Hold</v>
      </c>
      <c r="T40" s="4" t="str" cm="1">
        <f t="array" ref="T40">IF($S40="Hold", IF(0.5 * ($P40-$I40) / $P40 + 0.5 * ($R40 / MAX(ABS($R40:$R89))) &gt; 0, "Raise", "Hold"), $S40)</f>
        <v>Hold</v>
      </c>
      <c r="U40" s="22">
        <f t="shared" si="9"/>
        <v>111.21028729391587</v>
      </c>
      <c r="V40" s="22">
        <f t="shared" si="0"/>
        <v>0.12028729391586523</v>
      </c>
      <c r="W40" s="3">
        <f t="shared" si="1"/>
        <v>1.0827913756041518E-3</v>
      </c>
      <c r="X40" s="22">
        <f t="shared" si="10"/>
        <v>-3.5847127060841331</v>
      </c>
      <c r="Y40" s="3">
        <f t="shared" si="11"/>
        <v>-3.1227080500754675E-2</v>
      </c>
      <c r="Z40" s="3">
        <f t="shared" si="2"/>
        <v>-4.3311655024166071E-4</v>
      </c>
      <c r="AA40" s="24" cm="1">
        <f t="array" ref="AA40">ROUND(_xlfn.XLOOKUP($A40, 'Competitive Analysis (Step 1)'!$A$10:$A$209,_xlfn.ANCHORARRAY( 'Competitive Analysis (Step 1)'!$Q$10), , 0) * (1+$Z40), 0)</f>
        <v>43</v>
      </c>
      <c r="AB40" s="22">
        <f t="shared" si="12"/>
        <v>4782.0423536383823</v>
      </c>
      <c r="AC40" s="23" cm="1">
        <f t="array" ref="AC40">$AB40 - _xlfn.XLOOKUP($A40, 'Competitive Analysis (Step 1)'!$A$10:$A$209,_xlfn.ANCHORARRAY( 'Competitive Analysis (Step 1)'!$R$10), ,0)</f>
        <v>328.96235363838241</v>
      </c>
      <c r="AD40" s="21" cm="1">
        <f t="array" ref="AD40">$AC40 / _xlfn.XLOOKUP($A40, 'Competitive Analysis (Step 1)'!$A$10:$A$209,_xlfn.ANCHORARRAY( 'Competitive Analysis (Step 1)'!$V$10), ,0)</f>
        <v>8.072517506076736E-2</v>
      </c>
      <c r="AE40" s="23">
        <f>$AA40 * _xlfn.XLOOKUP($A40, _1_product_catalog_pricing[SKU], _1_product_catalog_pricing[Cost Price ($)], , 0)</f>
        <v>1916.9399999999998</v>
      </c>
      <c r="AF40" s="23" cm="1">
        <f t="array" ref="AF40">$AE40 - _xlfn.XLOOKUP($A40, 'Competitive Analysis (Step 1)'!$A$10:$A$209,_xlfn.ANCHORARRAY( 'Competitive Analysis (Step 1)'!$S$10),,0)</f>
        <v>0</v>
      </c>
      <c r="AG40" s="21" cm="1">
        <f t="array" ref="AG40">$AF40 / _xlfn.XLOOKUP($A40, 'Competitive Analysis (Step 1)'!$A$10:$A$209,_xlfn.ANCHORARRAY( 'Competitive Analysis (Step 1)'!$S$10),,0)</f>
        <v>0</v>
      </c>
      <c r="AH40" s="28">
        <f t="shared" si="3"/>
        <v>2865.1023536383827</v>
      </c>
      <c r="AI40" s="23" cm="1">
        <f t="array" ref="AI40">$AH40 - _xlfn.XLOOKUP($A40, 'Competitive Analysis (Step 1)'!$A$10:$A$209,_xlfn.ANCHORARRAY( 'Competitive Analysis (Step 1)'!$T$10),,0)</f>
        <v>328.96235363838287</v>
      </c>
      <c r="AJ40" s="9">
        <f t="shared" si="13"/>
        <v>0.59913780384201121</v>
      </c>
      <c r="AK40" s="21" cm="1">
        <f t="array" ref="AK40">$AI40 / _xlfn.XLOOKUP($A40, 'Competitive Analysis (Step 1)'!$A$10:$A$209,_xlfn.ANCHORARRAY( 'Competitive Analysis (Step 1)'!$T$10),,0)</f>
        <v>0.12970985578019467</v>
      </c>
      <c r="AL40" t="str">
        <f t="shared" si="14"/>
        <v>Full</v>
      </c>
    </row>
    <row r="41" spans="1:38">
      <c r="A41" s="24" t="str">
        <v>SKU-1019</v>
      </c>
      <c r="B41" s="24" t="str">
        <v>Canvas Tote Bag</v>
      </c>
      <c r="C41" s="24" t="str">
        <v>Apparel</v>
      </c>
      <c r="D41" s="23">
        <v>160.35</v>
      </c>
      <c r="E41" s="23">
        <v>72.47</v>
      </c>
      <c r="F41" s="24" cm="1">
        <f t="array" ref="F41">_xlfn.XLOOKUP($A41,'Competitive Analysis (Step 1)'!$A$10:$A$209,_xlfn.ANCHORARRAY( 'Competitive Analysis (Step 1)'!$P$10),,0)</f>
        <v>173</v>
      </c>
      <c r="G41" s="31" cm="1">
        <f t="array" ref="G41">SUMPRODUCT((Transactions_and_Customer_Information_Joined[SKU]='V1 Pricing Model (Step 2)'!$A41) * (Transactions_and_Customer_Information_Joined[Order Status]="Completed") * (Transactions_and_Customer_Information_Joined[Quantity])) / 12</f>
        <v>3</v>
      </c>
      <c r="H41" s="13">
        <f t="shared" si="4"/>
        <v>57.666666666666664</v>
      </c>
      <c r="I41" s="9">
        <f t="shared" si="5"/>
        <v>0.54805113813532891</v>
      </c>
      <c r="J41" s="23" cm="1">
        <f t="array" ref="J41">(SMALL(IF('Competitive Analysis (Step 1)'!$A$10:$A$209=$A41,'Competitive Analysis (Step 1)'!$D$10:$D$209),2)+SMALL(IF('Competitive Analysis (Step 1)'!$A$10:$A$209=$A41,'Competitive Analysis (Step 1)'!$D$10:$D$209),3))/2</f>
        <v>176.98500000000001</v>
      </c>
      <c r="K41" s="22">
        <f t="shared" si="6"/>
        <v>16.635000000000019</v>
      </c>
      <c r="L41" s="12">
        <f t="shared" si="7"/>
        <v>0.1037418147801685</v>
      </c>
      <c r="M41" s="24">
        <v>3</v>
      </c>
      <c r="N41" s="24">
        <v>4.05</v>
      </c>
      <c r="O41">
        <v>-1.0499999999999998</v>
      </c>
      <c r="P41" s="3" cm="1">
        <f t="array" ref="P41">MEDIAN(IF($C$22:$C$71=$C41, $I$22:$I$71))</f>
        <v>0.48928067771949424</v>
      </c>
      <c r="Q41" s="34" cm="1">
        <f t="array" ref="Q41">_xlfn.LET(
    _xlpm.stock, $F41,
    _xlpm.stock_ratio, $H41,
    _xlpm.cat_ratios, IF($C$22:$C$71=$C41, $H$22:$H$71),
    _xlpm.cat_median, MEDIAN(_xlpm.cat_ratios),
    _xlpm.cat_stdev, STDEV(IF($C$22:$C$71=$C41, $H$22:$H$71)),
    _xlpm.z_score, IF(_xlpm.cat_stdev = 0, 0, (_xlpm.stock_ratio - _xlpm.cat_median) / _xlpm.cat_stdev),
    _xlpm.capped_z, MIN(MAX(_xlpm.z_score, -2), 2),
    IF(_xlpm.stock &lt; $B$18, 0, 1 + $B$19 * _xlpm.capped_z)
)</f>
        <v>1.0112509450077556</v>
      </c>
      <c r="R41" s="42" cm="1">
        <f t="array" ref="R41">_xlfn.LET(
    _xlpm.sku, $A41,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$D41,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-7.5585814482687891E-2</v>
      </c>
      <c r="S41" s="4" t="str">
        <f t="shared" si="8"/>
        <v>Raise</v>
      </c>
      <c r="T41" s="4" t="str" cm="1">
        <f t="array" ref="T41">IF($S41="Hold", IF(0.5 * ($P41-$I41) / $P41 + 0.5 * ($R41 / MAX(ABS($R41:$R90))) &gt; 0, "Raise", "Hold"), $S41)</f>
        <v>Raise</v>
      </c>
      <c r="U41" s="22">
        <f t="shared" si="9"/>
        <v>182.28730909948831</v>
      </c>
      <c r="V41" s="22">
        <f t="shared" si="0"/>
        <v>21.937309099488317</v>
      </c>
      <c r="W41" s="3">
        <f t="shared" si="1"/>
        <v>0.13680891237597953</v>
      </c>
      <c r="X41" s="22">
        <f t="shared" si="10"/>
        <v>5.3023090994882978</v>
      </c>
      <c r="Y41" s="3">
        <f t="shared" si="11"/>
        <v>2.9959087490399171E-2</v>
      </c>
      <c r="Z41" s="3">
        <f t="shared" si="2"/>
        <v>-5.4723564950391816E-2</v>
      </c>
      <c r="AA41" s="24" cm="1">
        <f t="array" ref="AA41">ROUND(_xlfn.XLOOKUP($A41, 'Competitive Analysis (Step 1)'!$A$10:$A$209,_xlfn.ANCHORARRAY( 'Competitive Analysis (Step 1)'!$Q$10), , 0) * (1+$Z41), 0)</f>
        <v>34</v>
      </c>
      <c r="AB41" s="22">
        <f t="shared" si="12"/>
        <v>6197.7685093826021</v>
      </c>
      <c r="AC41" s="23" cm="1">
        <f t="array" ref="AC41">$AB41 - _xlfn.XLOOKUP($A41, 'Competitive Analysis (Step 1)'!$A$10:$A$209,_xlfn.ANCHORARRAY( 'Competitive Analysis (Step 1)'!$R$10), ,0)</f>
        <v>425.16850938260268</v>
      </c>
      <c r="AD41" s="21" cm="1">
        <f t="array" ref="AD41">$AC41 / _xlfn.XLOOKUP($A41, 'Competitive Analysis (Step 1)'!$A$10:$A$209,_xlfn.ANCHORARRAY( 'Competitive Analysis (Step 1)'!$V$10), ,0)</f>
        <v>8.0470539465585064E-2</v>
      </c>
      <c r="AE41" s="23">
        <f>$AA41 * _xlfn.XLOOKUP($A41, _1_product_catalog_pricing[SKU], _1_product_catalog_pricing[Cost Price ($)], , 0)</f>
        <v>2463.98</v>
      </c>
      <c r="AF41" s="23" cm="1">
        <f t="array" ref="AF41">$AE41 - _xlfn.XLOOKUP($A41, 'Competitive Analysis (Step 1)'!$A$10:$A$209,_xlfn.ANCHORARRAY( 'Competitive Analysis (Step 1)'!$S$10),,0)</f>
        <v>-144.94000000000005</v>
      </c>
      <c r="AG41" s="21" cm="1">
        <f t="array" ref="AG41">$AF41 / _xlfn.XLOOKUP($A41, 'Competitive Analysis (Step 1)'!$A$10:$A$209,_xlfn.ANCHORARRAY( 'Competitive Analysis (Step 1)'!$S$10),,0)</f>
        <v>-5.5555555555555573E-2</v>
      </c>
      <c r="AH41" s="28">
        <f t="shared" si="3"/>
        <v>3733.7885093826021</v>
      </c>
      <c r="AI41" s="23" cm="1">
        <f t="array" ref="AI41">$AH41 - _xlfn.XLOOKUP($A41, 'Competitive Analysis (Step 1)'!$A$10:$A$209,_xlfn.ANCHORARRAY( 'Competitive Analysis (Step 1)'!$T$10),,0)</f>
        <v>570.10850938260273</v>
      </c>
      <c r="AJ41" s="9">
        <f t="shared" si="13"/>
        <v>0.60244078231223708</v>
      </c>
      <c r="AK41" s="21" cm="1">
        <f t="array" ref="AK41">$AI41 / _xlfn.XLOOKUP($A41, 'Competitive Analysis (Step 1)'!$A$10:$A$209,_xlfn.ANCHORARRAY( 'Competitive Analysis (Step 1)'!$T$10),,0)</f>
        <v>0.18020422716033316</v>
      </c>
      <c r="AL41" t="str">
        <f t="shared" si="14"/>
        <v>Full</v>
      </c>
    </row>
    <row r="42" spans="1:38">
      <c r="A42" s="24" t="str">
        <v>SKU-1020</v>
      </c>
      <c r="B42" s="24" t="str">
        <v>Coffee Maker</v>
      </c>
      <c r="C42" s="24" t="str">
        <v>Home &amp; Kitchen</v>
      </c>
      <c r="D42" s="23">
        <v>32.880000000000003</v>
      </c>
      <c r="E42" s="23">
        <v>21.52</v>
      </c>
      <c r="F42" s="24" cm="1">
        <f t="array" ref="F42">_xlfn.XLOOKUP($A42,'Competitive Analysis (Step 1)'!$A$10:$A$209,_xlfn.ANCHORARRAY( 'Competitive Analysis (Step 1)'!$P$10),,0)</f>
        <v>440</v>
      </c>
      <c r="G42" s="31" cm="1">
        <f t="array" ref="G42">SUMPRODUCT((Transactions_and_Customer_Information_Joined[SKU]='V1 Pricing Model (Step 2)'!$A42) * (Transactions_and_Customer_Information_Joined[Order Status]="Completed") * (Transactions_and_Customer_Information_Joined[Quantity])) / 12</f>
        <v>2.6666666666666665</v>
      </c>
      <c r="H42" s="13">
        <f t="shared" si="4"/>
        <v>165</v>
      </c>
      <c r="I42" s="9">
        <f t="shared" si="5"/>
        <v>0.34549878345498791</v>
      </c>
      <c r="J42" s="23" cm="1">
        <f t="array" ref="J42">(SMALL(IF('Competitive Analysis (Step 1)'!$A$10:$A$209=$A42,'Competitive Analysis (Step 1)'!$D$10:$D$209),2)+SMALL(IF('Competitive Analysis (Step 1)'!$A$10:$A$209=$A42,'Competitive Analysis (Step 1)'!$D$10:$D$209),3))/2</f>
        <v>30.065000000000001</v>
      </c>
      <c r="K42" s="22">
        <f t="shared" si="6"/>
        <v>-2.8150000000000013</v>
      </c>
      <c r="L42" s="12">
        <f t="shared" si="7"/>
        <v>-8.561435523114358E-2</v>
      </c>
      <c r="M42" s="24">
        <v>3.7</v>
      </c>
      <c r="N42" s="24">
        <v>4.1500000000000004</v>
      </c>
      <c r="O42">
        <v>-0.45000000000000018</v>
      </c>
      <c r="P42" s="3" cm="1">
        <f t="array" ref="P42">MEDIAN(IF($C$22:$C$71=$C42, $I$22:$I$71))</f>
        <v>0.53512918200032011</v>
      </c>
      <c r="Q42" s="34" cm="1">
        <f t="array" ref="Q42">_xlfn.LET(
    _xlpm.stock, $F42,
    _xlpm.stock_ratio, $H42,
    _xlpm.cat_ratios, IF($C$22:$C$71=$C42, $H$22:$H$71),
    _xlpm.cat_median, MEDIAN(_xlpm.cat_ratios),
    _xlpm.cat_stdev, STDEV(IF($C$22:$C$71=$C42, $H$22:$H$71)),
    _xlpm.z_score, IF(_xlpm.cat_stdev = 0, 0, (_xlpm.stock_ratio - _xlpm.cat_median) / _xlpm.cat_stdev),
    _xlpm.capped_z, MIN(MAX(_xlpm.z_score, -2), 2),
    IF(_xlpm.stock &lt; $B$18, 0, 1 + $B$19 * _xlpm.capped_z)
)</f>
        <v>0.99687711145282643</v>
      </c>
      <c r="R42" s="42" cm="1">
        <f t="array" ref="R42">_xlfn.LET(
    _xlpm.sku, $A42,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$D42,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0.11943629012273289</v>
      </c>
      <c r="S42" s="4" t="str">
        <f t="shared" si="8"/>
        <v>Reduce</v>
      </c>
      <c r="T42" s="4" t="str" cm="1">
        <f t="array" ref="T42">IF($S42="Hold", IF(0.5 * ($P42-$I42) / $P42 + 0.5 * ($R42 / MAX(ABS($R42:$R91))) &gt; 0, "Raise", "Hold"), $S42)</f>
        <v>Reduce</v>
      </c>
      <c r="U42" s="22">
        <f t="shared" si="9"/>
        <v>28.515197020399562</v>
      </c>
      <c r="V42" s="22">
        <f t="shared" si="0"/>
        <v>-4.3648029796004408</v>
      </c>
      <c r="W42" s="3">
        <f t="shared" si="1"/>
        <v>-0.13274948234794526</v>
      </c>
      <c r="X42" s="22">
        <f t="shared" si="10"/>
        <v>-1.5498029796004396</v>
      </c>
      <c r="Y42" s="3">
        <f t="shared" si="11"/>
        <v>-5.1548411095973377E-2</v>
      </c>
      <c r="Z42" s="3">
        <f t="shared" si="2"/>
        <v>0.10619958587835621</v>
      </c>
      <c r="AA42" s="24" cm="1">
        <f t="array" ref="AA42">ROUND(_xlfn.XLOOKUP($A42, 'Competitive Analysis (Step 1)'!$A$10:$A$209,_xlfn.ANCHORARRAY( 'Competitive Analysis (Step 1)'!$Q$10), , 0) * (1+$Z42), 0)</f>
        <v>35</v>
      </c>
      <c r="AB42" s="22">
        <f t="shared" si="12"/>
        <v>998.03189571398468</v>
      </c>
      <c r="AC42" s="23" cm="1">
        <f t="array" ref="AC42">$AB42 - _xlfn.XLOOKUP($A42, 'Competitive Analysis (Step 1)'!$A$10:$A$209,_xlfn.ANCHORARRAY( 'Competitive Analysis (Step 1)'!$R$10), ,0)</f>
        <v>201.23189571398484</v>
      </c>
      <c r="AD42" s="21" cm="1">
        <f t="array" ref="AD42">$AC42 / _xlfn.XLOOKUP($A42, 'Competitive Analysis (Step 1)'!$A$10:$A$209,_xlfn.ANCHORARRAY( 'Competitive Analysis (Step 1)'!$V$10), ,0)</f>
        <v>0.27867208003487676</v>
      </c>
      <c r="AE42" s="23">
        <f>$AA42 * _xlfn.XLOOKUP($A42, _1_product_catalog_pricing[SKU], _1_product_catalog_pricing[Cost Price ($)], , 0)</f>
        <v>753.19999999999993</v>
      </c>
      <c r="AF42" s="23" cm="1">
        <f t="array" ref="AF42">$AE42 - _xlfn.XLOOKUP($A42, 'Competitive Analysis (Step 1)'!$A$10:$A$209,_xlfn.ANCHORARRAY( 'Competitive Analysis (Step 1)'!$S$10),,0)</f>
        <v>64.560000000000059</v>
      </c>
      <c r="AG42" s="21" cm="1">
        <f t="array" ref="AG42">$AF42 / _xlfn.XLOOKUP($A42, 'Competitive Analysis (Step 1)'!$A$10:$A$209,_xlfn.ANCHORARRAY( 'Competitive Analysis (Step 1)'!$S$10),,0)</f>
        <v>9.3750000000000097E-2</v>
      </c>
      <c r="AH42" s="28">
        <f t="shared" si="3"/>
        <v>244.83189571398475</v>
      </c>
      <c r="AI42" s="23" cm="1">
        <f t="array" ref="AI42">$AH42 - _xlfn.XLOOKUP($A42, 'Competitive Analysis (Step 1)'!$A$10:$A$209,_xlfn.ANCHORARRAY( 'Competitive Analysis (Step 1)'!$T$10),,0)</f>
        <v>136.67189571398478</v>
      </c>
      <c r="AJ42" s="9">
        <f t="shared" si="13"/>
        <v>0.24531470062771271</v>
      </c>
      <c r="AK42" s="21" cm="1">
        <f t="array" ref="AK42">$AI42 / _xlfn.XLOOKUP($A42, 'Competitive Analysis (Step 1)'!$A$10:$A$209,_xlfn.ANCHORARRAY( 'Competitive Analysis (Step 1)'!$T$10),,0)</f>
        <v>1.2636085032727886</v>
      </c>
      <c r="AL42" t="str">
        <f t="shared" si="14"/>
        <v>Full</v>
      </c>
    </row>
    <row r="43" spans="1:38">
      <c r="A43" s="24" t="str">
        <v>SKU-1021</v>
      </c>
      <c r="B43" s="24" t="str">
        <v>Air Fryer</v>
      </c>
      <c r="C43" s="24" t="str">
        <v>Home &amp; Kitchen</v>
      </c>
      <c r="D43" s="23">
        <v>98.51</v>
      </c>
      <c r="E43" s="23">
        <v>55.17</v>
      </c>
      <c r="F43" s="24" cm="1">
        <f t="array" ref="F43">_xlfn.XLOOKUP($A43,'Competitive Analysis (Step 1)'!$A$10:$A$209,_xlfn.ANCHORARRAY( 'Competitive Analysis (Step 1)'!$P$10),,0)</f>
        <v>124</v>
      </c>
      <c r="G43" s="31" cm="1">
        <f t="array" ref="G43">SUMPRODUCT((Transactions_and_Customer_Information_Joined[SKU]='V1 Pricing Model (Step 2)'!$A43) * (Transactions_and_Customer_Information_Joined[Order Status]="Completed") * (Transactions_and_Customer_Information_Joined[Quantity])) / 12</f>
        <v>2.8333333333333335</v>
      </c>
      <c r="H43" s="13">
        <f t="shared" si="4"/>
        <v>43.764705882352942</v>
      </c>
      <c r="I43" s="9">
        <f t="shared" si="5"/>
        <v>0.43995533448380875</v>
      </c>
      <c r="J43" s="23" cm="1">
        <f t="array" ref="J43">(SMALL(IF('Competitive Analysis (Step 1)'!$A$10:$A$209=$A43,'Competitive Analysis (Step 1)'!$D$10:$D$209),2)+SMALL(IF('Competitive Analysis (Step 1)'!$A$10:$A$209=$A43,'Competitive Analysis (Step 1)'!$D$10:$D$209),3))/2</f>
        <v>105.07</v>
      </c>
      <c r="K43" s="22">
        <f t="shared" si="6"/>
        <v>6.5599999999999881</v>
      </c>
      <c r="L43" s="12">
        <f t="shared" si="7"/>
        <v>6.6592224139681119E-2</v>
      </c>
      <c r="M43" s="24">
        <v>4.5999999999999996</v>
      </c>
      <c r="N43" s="24">
        <v>3.9249999999999998</v>
      </c>
      <c r="O43">
        <v>0.67499999999999982</v>
      </c>
      <c r="P43" s="3" cm="1">
        <f t="array" ref="P43">MEDIAN(IF($C$22:$C$71=$C43, $I$22:$I$71))</f>
        <v>0.53512918200032011</v>
      </c>
      <c r="Q43" s="34" cm="1">
        <f t="array" ref="Q43">_xlfn.LET(
    _xlpm.stock, $F43,
    _xlpm.stock_ratio, $H43,
    _xlpm.cat_ratios, IF($C$22:$C$71=$C43, $H$22:$H$71),
    _xlpm.cat_median, MEDIAN(_xlpm.cat_ratios),
    _xlpm.cat_stdev, STDEV(IF($C$22:$C$71=$C43, $H$22:$H$71)),
    _xlpm.z_score, IF(_xlpm.cat_stdev = 0, 0, (_xlpm.stock_ratio - _xlpm.cat_median) / _xlpm.cat_stdev),
    _xlpm.capped_z, MIN(MAX(_xlpm.z_score, -2), 2),
    IF(_xlpm.stock &lt; $B$18, 0, 1 + $B$19 * _xlpm.capped_z)
)</f>
        <v>1.0282820773847992</v>
      </c>
      <c r="R43" s="42" cm="1">
        <f t="array" ref="R43">_xlfn.LET(
    _xlpm.sku, $A43,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$D43,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-6.7833585993029896E-2</v>
      </c>
      <c r="S43" s="4" t="str">
        <f t="shared" si="8"/>
        <v>Raise</v>
      </c>
      <c r="T43" s="4" t="str" cm="1">
        <f t="array" ref="T43">IF($S43="Hold", IF(0.5 * ($P43-$I43) / $P43 + 0.5 * ($R43 / MAX(ABS($R43:$R92))) &gt; 0, "Raise", "Hold"), $S43)</f>
        <v>Raise</v>
      </c>
      <c r="U43" s="22">
        <f t="shared" si="9"/>
        <v>115.63152012124601</v>
      </c>
      <c r="V43" s="22">
        <f t="shared" si="0"/>
        <v>17.121520121246007</v>
      </c>
      <c r="W43" s="3">
        <f t="shared" si="1"/>
        <v>0.17380489413507264</v>
      </c>
      <c r="X43" s="22">
        <f t="shared" si="10"/>
        <v>10.561520121246019</v>
      </c>
      <c r="Y43" s="3">
        <f t="shared" si="11"/>
        <v>0.10051889332108137</v>
      </c>
      <c r="Z43" s="3">
        <f t="shared" si="2"/>
        <v>-6.9521957654029062E-2</v>
      </c>
      <c r="AA43" s="24" cm="1">
        <f t="array" ref="AA43">ROUND(_xlfn.XLOOKUP($A43, 'Competitive Analysis (Step 1)'!$A$10:$A$209,_xlfn.ANCHORARRAY( 'Competitive Analysis (Step 1)'!$Q$10), , 0) * (1+$Z43), 0)</f>
        <v>32</v>
      </c>
      <c r="AB43" s="22">
        <f t="shared" si="12"/>
        <v>3700.2086438798724</v>
      </c>
      <c r="AC43" s="23" cm="1">
        <f t="array" ref="AC43">$AB43 - _xlfn.XLOOKUP($A43, 'Competitive Analysis (Step 1)'!$A$10:$A$209,_xlfn.ANCHORARRAY( 'Competitive Analysis (Step 1)'!$R$10), ,0)</f>
        <v>350.86864387987225</v>
      </c>
      <c r="AD43" s="21" cm="1">
        <f t="array" ref="AD43">$AC43 / _xlfn.XLOOKUP($A43, 'Competitive Analysis (Step 1)'!$A$10:$A$209,_xlfn.ANCHORARRAY( 'Competitive Analysis (Step 1)'!$V$10), ,0)</f>
        <v>0.11397611903427458</v>
      </c>
      <c r="AE43" s="23">
        <f>$AA43 * _xlfn.XLOOKUP($A43, _1_product_catalog_pricing[SKU], _1_product_catalog_pricing[Cost Price ($)], , 0)</f>
        <v>1765.44</v>
      </c>
      <c r="AF43" s="23" cm="1">
        <f t="array" ref="AF43">$AE43 - _xlfn.XLOOKUP($A43, 'Competitive Analysis (Step 1)'!$A$10:$A$209,_xlfn.ANCHORARRAY( 'Competitive Analysis (Step 1)'!$S$10),,0)</f>
        <v>-110.33999999999992</v>
      </c>
      <c r="AG43" s="21" cm="1">
        <f t="array" ref="AG43">$AF43 / _xlfn.XLOOKUP($A43, 'Competitive Analysis (Step 1)'!$A$10:$A$209,_xlfn.ANCHORARRAY( 'Competitive Analysis (Step 1)'!$S$10),,0)</f>
        <v>-5.8823529411764663E-2</v>
      </c>
      <c r="AH43" s="28">
        <f t="shared" si="3"/>
        <v>1934.7686438798723</v>
      </c>
      <c r="AI43" s="23" cm="1">
        <f t="array" ref="AI43">$AH43 - _xlfn.XLOOKUP($A43, 'Competitive Analysis (Step 1)'!$A$10:$A$209,_xlfn.ANCHORARRAY( 'Competitive Analysis (Step 1)'!$T$10),,0)</f>
        <v>461.20864387987217</v>
      </c>
      <c r="AJ43" s="9">
        <f t="shared" si="13"/>
        <v>0.52288095891024156</v>
      </c>
      <c r="AK43" s="21" cm="1">
        <f t="array" ref="AK43">$AI43 / _xlfn.XLOOKUP($A43, 'Competitive Analysis (Step 1)'!$A$10:$A$209,_xlfn.ANCHORARRAY( 'Competitive Analysis (Step 1)'!$T$10),,0)</f>
        <v>0.31298938888126177</v>
      </c>
      <c r="AL43" t="str">
        <f t="shared" si="14"/>
        <v>Full</v>
      </c>
    </row>
    <row r="44" spans="1:38">
      <c r="A44" s="24" t="str">
        <v>SKU-1022</v>
      </c>
      <c r="B44" s="24" t="str">
        <v>Blender</v>
      </c>
      <c r="C44" s="24" t="str">
        <v>Home &amp; Kitchen</v>
      </c>
      <c r="D44" s="23">
        <v>26.7</v>
      </c>
      <c r="E44" s="23">
        <v>12.27</v>
      </c>
      <c r="F44" s="24" cm="1">
        <f t="array" ref="F44">_xlfn.XLOOKUP($A44,'Competitive Analysis (Step 1)'!$A$10:$A$209,_xlfn.ANCHORARRAY( 'Competitive Analysis (Step 1)'!$P$10),,0)</f>
        <v>442</v>
      </c>
      <c r="G44" s="31" cm="1">
        <f t="array" ref="G44">SUMPRODUCT((Transactions_and_Customer_Information_Joined[SKU]='V1 Pricing Model (Step 2)'!$A44) * (Transactions_and_Customer_Information_Joined[Order Status]="Completed") * (Transactions_and_Customer_Information_Joined[Quantity])) / 12</f>
        <v>2.4166666666666665</v>
      </c>
      <c r="H44" s="13">
        <f t="shared" si="4"/>
        <v>182.89655172413794</v>
      </c>
      <c r="I44" s="9">
        <f t="shared" si="5"/>
        <v>0.54044943820224722</v>
      </c>
      <c r="J44" s="23" cm="1">
        <f t="array" ref="J44">(SMALL(IF('Competitive Analysis (Step 1)'!$A$10:$A$209=$A44,'Competitive Analysis (Step 1)'!$D$10:$D$209),2)+SMALL(IF('Competitive Analysis (Step 1)'!$A$10:$A$209=$A44,'Competitive Analysis (Step 1)'!$D$10:$D$209),3))/2</f>
        <v>25.28</v>
      </c>
      <c r="K44" s="22">
        <f t="shared" si="6"/>
        <v>-1.4199999999999982</v>
      </c>
      <c r="L44" s="12">
        <f t="shared" si="7"/>
        <v>-5.3183520599250869E-2</v>
      </c>
      <c r="M44" s="24">
        <v>4.5</v>
      </c>
      <c r="N44" s="24">
        <v>3.7499999999999996</v>
      </c>
      <c r="O44">
        <v>0.75000000000000044</v>
      </c>
      <c r="P44" s="3" cm="1">
        <f t="array" ref="P44">MEDIAN(IF($C$22:$C$71=$C44, $I$22:$I$71))</f>
        <v>0.53512918200032011</v>
      </c>
      <c r="Q44" s="34" cm="1">
        <f t="array" ref="Q44">_xlfn.LET(
    _xlpm.stock, $F44,
    _xlpm.stock_ratio, $H44,
    _xlpm.cat_ratios, IF($C$22:$C$71=$C44, $H$22:$H$71),
    _xlpm.cat_median, MEDIAN(_xlpm.cat_ratios),
    _xlpm.cat_stdev, STDEV(IF($C$22:$C$71=$C44, $H$22:$H$71)),
    _xlpm.z_score, IF(_xlpm.cat_stdev = 0, 0, (_xlpm.stock_ratio - _xlpm.cat_median) / _xlpm.cat_stdev),
    _xlpm.capped_z, MIN(MAX(_xlpm.z_score, -2), 2),
    IF(_xlpm.stock &lt; $B$18, 0, 1 + $B$19 * _xlpm.capped_z)
)</f>
        <v>0.99224116281025587</v>
      </c>
      <c r="R44" s="42" cm="1">
        <f t="array" ref="R44">_xlfn.LET(
    _xlpm.sku, $A44,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$D44,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4.5523889750427059E-2</v>
      </c>
      <c r="S44" s="4" t="str">
        <f t="shared" si="8"/>
        <v>Hold</v>
      </c>
      <c r="T44" s="4" t="str" cm="1">
        <f t="array" ref="T44">IF($S44="Hold", IF(0.5 * ($P44-$I44) / $P44 + 0.5 * ($R44 / MAX(ABS($R44:$R93))) &gt; 0, "Raise", "Hold"), $S44)</f>
        <v>Raise</v>
      </c>
      <c r="U44" s="22">
        <f t="shared" si="9"/>
        <v>26.902436199041908</v>
      </c>
      <c r="V44" s="22">
        <f t="shared" si="0"/>
        <v>0.20243619904190879</v>
      </c>
      <c r="W44" s="3">
        <f t="shared" si="1"/>
        <v>7.5818801139291682E-3</v>
      </c>
      <c r="X44" s="22">
        <f t="shared" si="10"/>
        <v>1.6224361990419069</v>
      </c>
      <c r="Y44" s="3">
        <f t="shared" si="11"/>
        <v>6.4178647113999482E-2</v>
      </c>
      <c r="Z44" s="3">
        <f t="shared" si="2"/>
        <v>-3.0327520455716676E-3</v>
      </c>
      <c r="AA44" s="24" cm="1">
        <f t="array" ref="AA44">ROUND(_xlfn.XLOOKUP($A44, 'Competitive Analysis (Step 1)'!$A$10:$A$209,_xlfn.ANCHORARRAY( 'Competitive Analysis (Step 1)'!$Q$10), , 0) * (1+$Z44), 0)</f>
        <v>29</v>
      </c>
      <c r="AB44" s="22">
        <f t="shared" si="12"/>
        <v>780.17064977221537</v>
      </c>
      <c r="AC44" s="23" cm="1">
        <f t="array" ref="AC44">$AB44 - _xlfn.XLOOKUP($A44, 'Competitive Analysis (Step 1)'!$A$10:$A$209,_xlfn.ANCHORARRAY( 'Competitive Analysis (Step 1)'!$R$10), ,0)</f>
        <v>5.8706497722155291</v>
      </c>
      <c r="AD44" s="21" cm="1">
        <f t="array" ref="AD44">$AC44 / _xlfn.XLOOKUP($A44, 'Competitive Analysis (Step 1)'!$A$10:$A$209,_xlfn.ANCHORARRAY( 'Competitive Analysis (Step 1)'!$V$10), ,0)</f>
        <v>8.0246176388303787E-3</v>
      </c>
      <c r="AE44" s="23">
        <f>$AA44 * _xlfn.XLOOKUP($A44, _1_product_catalog_pricing[SKU], _1_product_catalog_pricing[Cost Price ($)], , 0)</f>
        <v>355.83</v>
      </c>
      <c r="AF44" s="23" cm="1">
        <f t="array" ref="AF44">$AE44 - _xlfn.XLOOKUP($A44, 'Competitive Analysis (Step 1)'!$A$10:$A$209,_xlfn.ANCHORARRAY( 'Competitive Analysis (Step 1)'!$S$10),,0)</f>
        <v>0</v>
      </c>
      <c r="AG44" s="21" cm="1">
        <f t="array" ref="AG44">$AF44 / _xlfn.XLOOKUP($A44, 'Competitive Analysis (Step 1)'!$A$10:$A$209,_xlfn.ANCHORARRAY( 'Competitive Analysis (Step 1)'!$S$10),,0)</f>
        <v>0</v>
      </c>
      <c r="AH44" s="28">
        <f t="shared" si="3"/>
        <v>424.34064977221539</v>
      </c>
      <c r="AI44" s="23" cm="1">
        <f t="array" ref="AI44">$AH44 - _xlfn.XLOOKUP($A44, 'Competitive Analysis (Step 1)'!$A$10:$A$209,_xlfn.ANCHORARRAY( 'Competitive Analysis (Step 1)'!$T$10),,0)</f>
        <v>5.8706497722155291</v>
      </c>
      <c r="AJ44" s="9">
        <f t="shared" si="13"/>
        <v>0.54390747703224818</v>
      </c>
      <c r="AK44" s="21" cm="1">
        <f t="array" ref="AK44">$AI44 / _xlfn.XLOOKUP($A44, 'Competitive Analysis (Step 1)'!$A$10:$A$209,_xlfn.ANCHORARRAY( 'Competitive Analysis (Step 1)'!$T$10),,0)</f>
        <v>1.4028842622447323E-2</v>
      </c>
      <c r="AL44" t="str">
        <f t="shared" si="14"/>
        <v>Full</v>
      </c>
    </row>
    <row r="45" spans="1:38">
      <c r="A45" s="24" t="str">
        <v>SKU-1023</v>
      </c>
      <c r="B45" s="24" t="str">
        <v>Non-stick Pan</v>
      </c>
      <c r="C45" s="24" t="str">
        <v>Home &amp; Kitchen</v>
      </c>
      <c r="D45" s="23">
        <v>70.78</v>
      </c>
      <c r="E45" s="23">
        <v>35.200000000000003</v>
      </c>
      <c r="F45" s="24" cm="1">
        <f t="array" ref="F45">_xlfn.XLOOKUP($A45,'Competitive Analysis (Step 1)'!$A$10:$A$209,_xlfn.ANCHORARRAY( 'Competitive Analysis (Step 1)'!$P$10),,0)</f>
        <v>274</v>
      </c>
      <c r="G45" s="31" cm="1">
        <f t="array" ref="G45">SUMPRODUCT((Transactions_and_Customer_Information_Joined[SKU]='V1 Pricing Model (Step 2)'!$A45) * (Transactions_and_Customer_Information_Joined[Order Status]="Completed") * (Transactions_and_Customer_Information_Joined[Quantity])) / 12</f>
        <v>2.1666666666666665</v>
      </c>
      <c r="H45" s="13">
        <f t="shared" si="4"/>
        <v>126.46153846153847</v>
      </c>
      <c r="I45" s="9">
        <f t="shared" si="5"/>
        <v>0.50268437411698219</v>
      </c>
      <c r="J45" s="23" cm="1">
        <f t="array" ref="J45">(SMALL(IF('Competitive Analysis (Step 1)'!$A$10:$A$209=$A45,'Competitive Analysis (Step 1)'!$D$10:$D$209),2)+SMALL(IF('Competitive Analysis (Step 1)'!$A$10:$A$209=$A45,'Competitive Analysis (Step 1)'!$D$10:$D$209),3))/2</f>
        <v>65.495000000000005</v>
      </c>
      <c r="K45" s="22">
        <f t="shared" si="6"/>
        <v>-5.2849999999999966</v>
      </c>
      <c r="L45" s="12">
        <f t="shared" si="7"/>
        <v>-7.4667985306583737E-2</v>
      </c>
      <c r="M45" s="24">
        <v>3.9</v>
      </c>
      <c r="N45" s="24">
        <v>3.35</v>
      </c>
      <c r="O45">
        <v>0.54999999999999982</v>
      </c>
      <c r="P45" s="3" cm="1">
        <f t="array" ref="P45">MEDIAN(IF($C$22:$C$71=$C45, $I$22:$I$71))</f>
        <v>0.53512918200032011</v>
      </c>
      <c r="Q45" s="34" cm="1">
        <f t="array" ref="Q45">_xlfn.LET(
    _xlpm.stock, $F45,
    _xlpm.stock_ratio, $H45,
    _xlpm.cat_ratios, IF($C$22:$C$71=$C45, $H$22:$H$71),
    _xlpm.cat_median, MEDIAN(_xlpm.cat_ratios),
    _xlpm.cat_stdev, STDEV(IF($C$22:$C$71=$C45, $H$22:$H$71)),
    _xlpm.z_score, IF(_xlpm.cat_stdev = 0, 0, (_xlpm.stock_ratio - _xlpm.cat_median) / _xlpm.cat_stdev),
    _xlpm.capped_z, MIN(MAX(_xlpm.z_score, -2), 2),
    IF(_xlpm.stock &lt; $B$18, 0, 1 + $B$19 * _xlpm.capped_z)
)</f>
        <v>1.006860170268286</v>
      </c>
      <c r="R45" s="42" cm="1">
        <f t="array" ref="R45">_xlfn.LET(
    _xlpm.sku, $A45,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$D45,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1.6542021106326184E-2</v>
      </c>
      <c r="S45" s="4" t="str">
        <f t="shared" si="8"/>
        <v>Hold</v>
      </c>
      <c r="T45" s="4" t="str" cm="1">
        <f t="array" ref="T45">IF($S45="Hold", IF(0.5 * ($P45-$I45) / $P45 + 0.5 * ($R45 / MAX(ABS($R45:$R94))) &gt; 0, "Raise", "Hold"), $S45)</f>
        <v>Raise</v>
      </c>
      <c r="U45" s="22">
        <f t="shared" si="9"/>
        <v>70.329603257360873</v>
      </c>
      <c r="V45" s="22">
        <f t="shared" si="0"/>
        <v>-0.45039674263912843</v>
      </c>
      <c r="W45" s="3">
        <f t="shared" si="1"/>
        <v>-6.3633334648082567E-3</v>
      </c>
      <c r="X45" s="22">
        <f t="shared" si="10"/>
        <v>4.8346032573608682</v>
      </c>
      <c r="Y45" s="3">
        <f t="shared" si="11"/>
        <v>7.381637159112707E-2</v>
      </c>
      <c r="Z45" s="3">
        <f t="shared" si="2"/>
        <v>2.5453333859233027E-3</v>
      </c>
      <c r="AA45" s="24" cm="1">
        <f t="array" ref="AA45">ROUND(_xlfn.XLOOKUP($A45, 'Competitive Analysis (Step 1)'!$A$10:$A$209,_xlfn.ANCHORARRAY( 'Competitive Analysis (Step 1)'!$Q$10), , 0) * (1+$Z45), 0)</f>
        <v>26</v>
      </c>
      <c r="AB45" s="22">
        <f t="shared" si="12"/>
        <v>1828.5696846913827</v>
      </c>
      <c r="AC45" s="23" cm="1">
        <f t="array" ref="AC45">$AB45 - _xlfn.XLOOKUP($A45, 'Competitive Analysis (Step 1)'!$A$10:$A$209,_xlfn.ANCHORARRAY( 'Competitive Analysis (Step 1)'!$R$10), ,0)</f>
        <v>425.86968469138264</v>
      </c>
      <c r="AD45" s="21" cm="1">
        <f t="array" ref="AD45">$AC45 / _xlfn.XLOOKUP($A45, 'Competitive Analysis (Step 1)'!$A$10:$A$209,_xlfn.ANCHORARRAY( 'Competitive Analysis (Step 1)'!$V$10), ,0)</f>
        <v>0.32754167412042973</v>
      </c>
      <c r="AE45" s="23">
        <f>$AA45 * _xlfn.XLOOKUP($A45, _1_product_catalog_pricing[SKU], _1_product_catalog_pricing[Cost Price ($)], , 0)</f>
        <v>915.2</v>
      </c>
      <c r="AF45" s="23" cm="1">
        <f t="array" ref="AF45">$AE45 - _xlfn.XLOOKUP($A45, 'Competitive Analysis (Step 1)'!$A$10:$A$209,_xlfn.ANCHORARRAY( 'Competitive Analysis (Step 1)'!$S$10),,0)</f>
        <v>0</v>
      </c>
      <c r="AG45" s="21" cm="1">
        <f t="array" ref="AG45">$AF45 / _xlfn.XLOOKUP($A45, 'Competitive Analysis (Step 1)'!$A$10:$A$209,_xlfn.ANCHORARRAY( 'Competitive Analysis (Step 1)'!$S$10),,0)</f>
        <v>0</v>
      </c>
      <c r="AH45" s="28">
        <f t="shared" si="3"/>
        <v>913.36968469138264</v>
      </c>
      <c r="AI45" s="23" cm="1">
        <f t="array" ref="AI45">$AH45 - _xlfn.XLOOKUP($A45, 'Competitive Analysis (Step 1)'!$A$10:$A$209,_xlfn.ANCHORARRAY( 'Competitive Analysis (Step 1)'!$T$10),,0)</f>
        <v>425.86968469138264</v>
      </c>
      <c r="AJ45" s="9">
        <f t="shared" si="13"/>
        <v>0.49949952268050252</v>
      </c>
      <c r="AK45" s="21" cm="1">
        <f t="array" ref="AK45">$AI45 / _xlfn.XLOOKUP($A45, 'Competitive Analysis (Step 1)'!$A$10:$A$209,_xlfn.ANCHORARRAY( 'Competitive Analysis (Step 1)'!$T$10),,0)</f>
        <v>0.87357884039257983</v>
      </c>
      <c r="AL45" t="str">
        <f t="shared" si="14"/>
        <v>Full</v>
      </c>
    </row>
    <row r="46" spans="1:38">
      <c r="A46" s="24" t="str">
        <v>SKU-1024</v>
      </c>
      <c r="B46" s="24" t="str">
        <v>Cutting Board</v>
      </c>
      <c r="C46" s="24" t="str">
        <v>Home &amp; Kitchen</v>
      </c>
      <c r="D46" s="23">
        <v>118.07</v>
      </c>
      <c r="E46" s="23">
        <v>39.700000000000003</v>
      </c>
      <c r="F46" s="24" cm="1">
        <f t="array" ref="F46">_xlfn.XLOOKUP($A46,'Competitive Analysis (Step 1)'!$A$10:$A$209,_xlfn.ANCHORARRAY( 'Competitive Analysis (Step 1)'!$P$10),,0)</f>
        <v>25</v>
      </c>
      <c r="G46" s="31" cm="1">
        <f t="array" ref="G46">SUMPRODUCT((Transactions_and_Customer_Information_Joined[SKU]='V1 Pricing Model (Step 2)'!$A46) * (Transactions_and_Customer_Information_Joined[Order Status]="Completed") * (Transactions_and_Customer_Information_Joined[Quantity])) / 12</f>
        <v>2.75</v>
      </c>
      <c r="H46" s="13">
        <f t="shared" si="4"/>
        <v>9.0909090909090917</v>
      </c>
      <c r="I46" s="9">
        <f t="shared" si="5"/>
        <v>0.66375878716015924</v>
      </c>
      <c r="J46" s="23" cm="1">
        <f t="array" ref="J46">(SMALL(IF('Competitive Analysis (Step 1)'!$A$10:$A$209=$A46,'Competitive Analysis (Step 1)'!$D$10:$D$209),2)+SMALL(IF('Competitive Analysis (Step 1)'!$A$10:$A$209=$A46,'Competitive Analysis (Step 1)'!$D$10:$D$209),3))/2</f>
        <v>113.53</v>
      </c>
      <c r="K46" s="22">
        <f t="shared" si="6"/>
        <v>-4.539999999999992</v>
      </c>
      <c r="L46" s="12">
        <f t="shared" si="7"/>
        <v>-3.8451765901583744E-2</v>
      </c>
      <c r="M46" s="24">
        <v>4.3</v>
      </c>
      <c r="N46" s="24">
        <v>3.4749999999999996</v>
      </c>
      <c r="O46">
        <v>0.82500000000000018</v>
      </c>
      <c r="P46" s="3" cm="1">
        <f t="array" ref="P46">MEDIAN(IF($C$22:$C$71=$C46, $I$22:$I$71))</f>
        <v>0.53512918200032011</v>
      </c>
      <c r="Q46" s="34" cm="1">
        <f t="array" ref="Q46">_xlfn.LET(
    _xlpm.stock, $F46,
    _xlpm.stock_ratio, $H46,
    _xlpm.cat_ratios, IF($C$22:$C$71=$C46, $H$22:$H$71),
    _xlpm.cat_median, MEDIAN(_xlpm.cat_ratios),
    _xlpm.cat_stdev, STDEV(IF($C$22:$C$71=$C46, $H$22:$H$71)),
    _xlpm.z_score, IF(_xlpm.cat_stdev = 0, 0, (_xlpm.stock_ratio - _xlpm.cat_median) / _xlpm.cat_stdev),
    _xlpm.capped_z, MIN(MAX(_xlpm.z_score, -2), 2),
    IF(_xlpm.stock &lt; $B$18, 0, 1 + $B$19 * _xlpm.capped_z)
)</f>
        <v>1.0372640278546905</v>
      </c>
      <c r="R46" s="42" cm="1">
        <f t="array" ref="R46">_xlfn.LET(
    _xlpm.sku, $A46,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$D46,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4.2828646831216399E-2</v>
      </c>
      <c r="S46" s="4" t="str">
        <f t="shared" si="8"/>
        <v>Hold</v>
      </c>
      <c r="T46" s="4" t="str" cm="1">
        <f t="array" ref="T46">IF($S46="Hold", IF(0.5 * ($P46-$I46) / $P46 + 0.5 * ($R46 / MAX(ABS($R46:$R95))) &gt; 0, "Raise", "Hold"), $S46)</f>
        <v>Hold</v>
      </c>
      <c r="U46" s="22">
        <f t="shared" si="9"/>
        <v>122.4697637688033</v>
      </c>
      <c r="V46" s="22">
        <f t="shared" si="0"/>
        <v>4.3997637688033109</v>
      </c>
      <c r="W46" s="3">
        <f t="shared" si="1"/>
        <v>3.7264027854690532E-2</v>
      </c>
      <c r="X46" s="22">
        <f t="shared" si="10"/>
        <v>8.9397637688033029</v>
      </c>
      <c r="Y46" s="3">
        <f t="shared" si="11"/>
        <v>7.8743625198655007E-2</v>
      </c>
      <c r="Z46" s="3">
        <f t="shared" si="2"/>
        <v>-1.4905611141876213E-2</v>
      </c>
      <c r="AA46" s="24" cm="1">
        <f t="array" ref="AA46">ROUND(_xlfn.XLOOKUP($A46, 'Competitive Analysis (Step 1)'!$A$10:$A$209,_xlfn.ANCHORARRAY( 'Competitive Analysis (Step 1)'!$Q$10), , 0) * (1+$Z46), 0)</f>
        <v>33</v>
      </c>
      <c r="AB46" s="22">
        <f t="shared" si="12"/>
        <v>4041.5022043705089</v>
      </c>
      <c r="AC46" s="23" cm="1">
        <f t="array" ref="AC46">$AB46 - _xlfn.XLOOKUP($A46, 'Competitive Analysis (Step 1)'!$A$10:$A$209,_xlfn.ANCHORARRAY( 'Competitive Analysis (Step 1)'!$R$10), ,0)</f>
        <v>145.19220437050944</v>
      </c>
      <c r="AD46" s="21" cm="1">
        <f t="array" ref="AD46">$AC46 / _xlfn.XLOOKUP($A46, 'Competitive Analysis (Step 1)'!$A$10:$A$209,_xlfn.ANCHORARRAY( 'Competitive Analysis (Step 1)'!$V$10), ,0)</f>
        <v>4.0854215320733911E-2</v>
      </c>
      <c r="AE46" s="23">
        <f>$AA46 * _xlfn.XLOOKUP($A46, _1_product_catalog_pricing[SKU], _1_product_catalog_pricing[Cost Price ($)], , 0)</f>
        <v>1310.1000000000001</v>
      </c>
      <c r="AF46" s="23" cm="1">
        <f t="array" ref="AF46">$AE46 - _xlfn.XLOOKUP($A46, 'Competitive Analysis (Step 1)'!$A$10:$A$209,_xlfn.ANCHORARRAY( 'Competitive Analysis (Step 1)'!$S$10),,0)</f>
        <v>0</v>
      </c>
      <c r="AG46" s="21" cm="1">
        <f t="array" ref="AG46">$AF46 / _xlfn.XLOOKUP($A46, 'Competitive Analysis (Step 1)'!$A$10:$A$209,_xlfn.ANCHORARRAY( 'Competitive Analysis (Step 1)'!$S$10),,0)</f>
        <v>0</v>
      </c>
      <c r="AH46" s="28">
        <f t="shared" si="3"/>
        <v>2731.402204370509</v>
      </c>
      <c r="AI46" s="23" cm="1">
        <f t="array" ref="AI46">$AH46 - _xlfn.XLOOKUP($A46, 'Competitive Analysis (Step 1)'!$A$10:$A$209,_xlfn.ANCHORARRAY( 'Competitive Analysis (Step 1)'!$T$10),,0)</f>
        <v>145.1922043705099</v>
      </c>
      <c r="AJ46" s="9">
        <f t="shared" si="13"/>
        <v>0.67583835570267692</v>
      </c>
      <c r="AK46" s="21" cm="1">
        <f t="array" ref="AK46">$AI46 / _xlfn.XLOOKUP($A46, 'Competitive Analysis (Step 1)'!$A$10:$A$209,_xlfn.ANCHORARRAY( 'Competitive Analysis (Step 1)'!$T$10),,0)</f>
        <v>5.6140918320828528E-2</v>
      </c>
      <c r="AL46" t="str">
        <f t="shared" si="14"/>
        <v>Full</v>
      </c>
    </row>
    <row r="47" spans="1:38">
      <c r="A47" s="24" t="str">
        <v>SKU-1025</v>
      </c>
      <c r="B47" s="24" t="str">
        <v>Knife Set</v>
      </c>
      <c r="C47" s="24" t="str">
        <v>Home &amp; Kitchen</v>
      </c>
      <c r="D47" s="23">
        <v>218.05</v>
      </c>
      <c r="E47" s="23">
        <v>74.48</v>
      </c>
      <c r="F47" s="24" cm="1">
        <f t="array" ref="F47">_xlfn.XLOOKUP($A47,'Competitive Analysis (Step 1)'!$A$10:$A$209,_xlfn.ANCHORARRAY( 'Competitive Analysis (Step 1)'!$P$10),,0)</f>
        <v>246</v>
      </c>
      <c r="G47" s="31" cm="1">
        <f t="array" ref="G47">SUMPRODUCT((Transactions_and_Customer_Information_Joined[SKU]='V1 Pricing Model (Step 2)'!$A47) * (Transactions_and_Customer_Information_Joined[Order Status]="Completed") * (Transactions_and_Customer_Information_Joined[Quantity])) / 12</f>
        <v>1.3333333333333333</v>
      </c>
      <c r="H47" s="13">
        <f t="shared" si="4"/>
        <v>184.5</v>
      </c>
      <c r="I47" s="9">
        <f t="shared" si="5"/>
        <v>0.65842696629213482</v>
      </c>
      <c r="J47" s="23" cm="1">
        <f t="array" ref="J47">(SMALL(IF('Competitive Analysis (Step 1)'!$A$10:$A$209=$A47,'Competitive Analysis (Step 1)'!$D$10:$D$209),2)+SMALL(IF('Competitive Analysis (Step 1)'!$A$10:$A$209=$A47,'Competitive Analysis (Step 1)'!$D$10:$D$209),3))/2</f>
        <v>190.76499999999999</v>
      </c>
      <c r="K47" s="22">
        <f t="shared" si="6"/>
        <v>-27.285000000000025</v>
      </c>
      <c r="L47" s="12">
        <f t="shared" si="7"/>
        <v>-0.12513185049300629</v>
      </c>
      <c r="M47" s="24">
        <v>3.4</v>
      </c>
      <c r="N47" s="24">
        <v>3.6500000000000004</v>
      </c>
      <c r="O47">
        <v>-0.25000000000000044</v>
      </c>
      <c r="P47" s="3" cm="1">
        <f t="array" ref="P47">MEDIAN(IF($C$22:$C$71=$C47, $I$22:$I$71))</f>
        <v>0.53512918200032011</v>
      </c>
      <c r="Q47" s="34" cm="1">
        <f t="array" ref="Q47">_xlfn.LET(
    _xlpm.stock, $F47,
    _xlpm.stock_ratio, $H47,
    _xlpm.cat_ratios, IF($C$22:$C$71=$C47, $H$22:$H$71),
    _xlpm.cat_median, MEDIAN(_xlpm.cat_ratios),
    _xlpm.cat_stdev, STDEV(IF($C$22:$C$71=$C47, $H$22:$H$71)),
    _xlpm.z_score, IF(_xlpm.cat_stdev = 0, 0, (_xlpm.stock_ratio - _xlpm.cat_median) / _xlpm.cat_stdev),
    _xlpm.capped_z, MIN(MAX(_xlpm.z_score, -2), 2),
    IF(_xlpm.stock &lt; $B$18, 0, 1 + $B$19 * _xlpm.capped_z)
)</f>
        <v>0.99182580324979441</v>
      </c>
      <c r="R47" s="42" cm="1">
        <f t="array" ref="R47">_xlfn.LET(
    _xlpm.sku, $A47,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$D47,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0.1490611041021403</v>
      </c>
      <c r="S47" s="4" t="str">
        <f t="shared" si="8"/>
        <v>Reduce</v>
      </c>
      <c r="T47" s="4" t="str" cm="1">
        <f t="array" ref="T47">IF($S47="Hold", IF(0.5 * ($P47-$I47) / $P47 + 0.5 * ($R47 / MAX(ABS($R47:$R96))) &gt; 0, "Raise", "Hold"), $S47)</f>
        <v>Reduce</v>
      </c>
      <c r="U47" s="22">
        <f t="shared" si="9"/>
        <v>183.89497928172935</v>
      </c>
      <c r="V47" s="22">
        <f t="shared" si="0"/>
        <v>-34.155020718270663</v>
      </c>
      <c r="W47" s="3">
        <f t="shared" si="1"/>
        <v>-0.1566384807075013</v>
      </c>
      <c r="X47" s="22">
        <f t="shared" si="10"/>
        <v>-6.8700207182706379</v>
      </c>
      <c r="Y47" s="3">
        <f t="shared" si="11"/>
        <v>-3.6013004053524693E-2</v>
      </c>
      <c r="Z47" s="3">
        <f t="shared" si="2"/>
        <v>0.12531078456600106</v>
      </c>
      <c r="AA47" s="24" cm="1">
        <f t="array" ref="AA47">ROUND(_xlfn.XLOOKUP($A47, 'Competitive Analysis (Step 1)'!$A$10:$A$209,_xlfn.ANCHORARRAY( 'Competitive Analysis (Step 1)'!$Q$10), , 0) * (1+$Z47), 0)</f>
        <v>18</v>
      </c>
      <c r="AB47" s="22">
        <f t="shared" si="12"/>
        <v>3310.1096270711282</v>
      </c>
      <c r="AC47" s="23" cm="1">
        <f t="array" ref="AC47">$AB47 - _xlfn.XLOOKUP($A47, 'Competitive Analysis (Step 1)'!$A$10:$A$209,_xlfn.ANCHORARRAY( 'Competitive Analysis (Step 1)'!$R$10), ,0)</f>
        <v>-178.69037292887197</v>
      </c>
      <c r="AD47" s="21" cm="1">
        <f t="array" ref="AD47">$AC47 / _xlfn.XLOOKUP($A47, 'Competitive Analysis (Step 1)'!$A$10:$A$209,_xlfn.ANCHORARRAY( 'Competitive Analysis (Step 1)'!$V$10), ,0)</f>
        <v>-5.338710362462451E-2</v>
      </c>
      <c r="AE47" s="23">
        <f>$AA47 * _xlfn.XLOOKUP($A47, _1_product_catalog_pricing[SKU], _1_product_catalog_pricing[Cost Price ($)], , 0)</f>
        <v>1340.64</v>
      </c>
      <c r="AF47" s="23" cm="1">
        <f t="array" ref="AF47">$AE47 - _xlfn.XLOOKUP($A47, 'Competitive Analysis (Step 1)'!$A$10:$A$209,_xlfn.ANCHORARRAY( 'Competitive Analysis (Step 1)'!$S$10),,0)</f>
        <v>148.96000000000004</v>
      </c>
      <c r="AG47" s="21" cm="1">
        <f t="array" ref="AG47">$AF47 / _xlfn.XLOOKUP($A47, 'Competitive Analysis (Step 1)'!$A$10:$A$209,_xlfn.ANCHORARRAY( 'Competitive Analysis (Step 1)'!$S$10),,0)</f>
        <v>0.12500000000000003</v>
      </c>
      <c r="AH47" s="28">
        <f t="shared" si="3"/>
        <v>1969.4696270711281</v>
      </c>
      <c r="AI47" s="23" cm="1">
        <f t="array" ref="AI47">$AH47 - _xlfn.XLOOKUP($A47, 'Competitive Analysis (Step 1)'!$A$10:$A$209,_xlfn.ANCHORARRAY( 'Competitive Analysis (Step 1)'!$T$10),,0)</f>
        <v>-327.65037292887178</v>
      </c>
      <c r="AJ47" s="9">
        <f t="shared" si="13"/>
        <v>0.59498622370817567</v>
      </c>
      <c r="AK47" s="21" cm="1">
        <f t="array" ref="AK47">$AI47 / _xlfn.XLOOKUP($A47, 'Competitive Analysis (Step 1)'!$A$10:$A$209,_xlfn.ANCHORARRAY( 'Competitive Analysis (Step 1)'!$T$10),,0)</f>
        <v>-0.14263528806891751</v>
      </c>
      <c r="AL47" t="str">
        <f t="shared" si="14"/>
        <v>Exclude</v>
      </c>
    </row>
    <row r="48" spans="1:38">
      <c r="A48" s="24" t="str">
        <v>SKU-1026</v>
      </c>
      <c r="B48" s="24" t="str">
        <v>Dish Rack</v>
      </c>
      <c r="C48" s="24" t="str">
        <v>Home &amp; Kitchen</v>
      </c>
      <c r="D48" s="23">
        <v>106.06</v>
      </c>
      <c r="E48" s="23">
        <v>33.42</v>
      </c>
      <c r="F48" s="24" cm="1">
        <f t="array" ref="F48">_xlfn.XLOOKUP($A48,'Competitive Analysis (Step 1)'!$A$10:$A$209,_xlfn.ANCHORARRAY( 'Competitive Analysis (Step 1)'!$P$10),,0)</f>
        <v>146</v>
      </c>
      <c r="G48" s="31" cm="1">
        <f t="array" ref="G48">SUMPRODUCT((Transactions_and_Customer_Information_Joined[SKU]='V1 Pricing Model (Step 2)'!$A48) * (Transactions_and_Customer_Information_Joined[Order Status]="Completed") * (Transactions_and_Customer_Information_Joined[Quantity])) / 12</f>
        <v>3.25</v>
      </c>
      <c r="H48" s="13">
        <f t="shared" si="4"/>
        <v>44.92307692307692</v>
      </c>
      <c r="I48" s="9">
        <f t="shared" si="5"/>
        <v>0.68489534225909865</v>
      </c>
      <c r="J48" s="23" cm="1">
        <f t="array" ref="J48">(SMALL(IF('Competitive Analysis (Step 1)'!$A$10:$A$209=$A48,'Competitive Analysis (Step 1)'!$D$10:$D$209),2)+SMALL(IF('Competitive Analysis (Step 1)'!$A$10:$A$209=$A48,'Competitive Analysis (Step 1)'!$D$10:$D$209),3))/2</f>
        <v>115.215</v>
      </c>
      <c r="K48" s="22">
        <f t="shared" si="6"/>
        <v>9.1550000000000011</v>
      </c>
      <c r="L48" s="12">
        <f t="shared" si="7"/>
        <v>8.6319064680369609E-2</v>
      </c>
      <c r="M48" s="24">
        <v>3.8</v>
      </c>
      <c r="N48" s="24">
        <v>3.3499999999999996</v>
      </c>
      <c r="O48">
        <v>0.45000000000000018</v>
      </c>
      <c r="P48" s="3" cm="1">
        <f t="array" ref="P48">MEDIAN(IF($C$22:$C$71=$C48, $I$22:$I$71))</f>
        <v>0.53512918200032011</v>
      </c>
      <c r="Q48" s="34" cm="1">
        <f t="array" ref="Q48">_xlfn.LET(
    _xlpm.stock, $F48,
    _xlpm.stock_ratio, $H48,
    _xlpm.cat_ratios, IF($C$22:$C$71=$C48, $H$22:$H$71),
    _xlpm.cat_median, MEDIAN(_xlpm.cat_ratios),
    _xlpm.cat_stdev, STDEV(IF($C$22:$C$71=$C48, $H$22:$H$71)),
    _xlpm.z_score, IF(_xlpm.cat_stdev = 0, 0, (_xlpm.stock_ratio - _xlpm.cat_median) / _xlpm.cat_stdev),
    _xlpm.capped_z, MIN(MAX(_xlpm.z_score, -2), 2),
    IF(_xlpm.stock &lt; $B$18, 0, 1 + $B$19 * _xlpm.capped_z)
)</f>
        <v>1.0279820112750471</v>
      </c>
      <c r="R48" s="42" cm="1">
        <f t="array" ref="R48">_xlfn.LET(
    _xlpm.sku, $A48,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$D48,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-8.3258767981159165E-2</v>
      </c>
      <c r="S48" s="4" t="str">
        <f t="shared" si="8"/>
        <v>Raise</v>
      </c>
      <c r="T48" s="4" t="str" cm="1">
        <f t="array" ref="T48">IF($S48="Hold", IF(0.5 * ($P48-$I48) / $P48 + 0.5 * ($R48 / MAX(ABS($R48:$R97))) &gt; 0, "Raise", "Hold"), $S48)</f>
        <v>Raise</v>
      </c>
      <c r="U48" s="22">
        <f t="shared" si="9"/>
        <v>125.95982059079952</v>
      </c>
      <c r="V48" s="22">
        <f t="shared" si="0"/>
        <v>19.899820590799521</v>
      </c>
      <c r="W48" s="3">
        <f t="shared" si="1"/>
        <v>0.18762795201583557</v>
      </c>
      <c r="X48" s="22">
        <f t="shared" si="10"/>
        <v>10.74482059079952</v>
      </c>
      <c r="Y48" s="3">
        <f t="shared" si="11"/>
        <v>9.3258868991012628E-2</v>
      </c>
      <c r="Z48" s="3">
        <f t="shared" si="2"/>
        <v>-7.5051180806334231E-2</v>
      </c>
      <c r="AA48" s="24" cm="1">
        <f t="array" ref="AA48">ROUND(_xlfn.XLOOKUP($A48, 'Competitive Analysis (Step 1)'!$A$10:$A$209,_xlfn.ANCHORARRAY( 'Competitive Analysis (Step 1)'!$Q$10), , 0) * (1+$Z48), 0)</f>
        <v>36</v>
      </c>
      <c r="AB48" s="22">
        <f t="shared" si="12"/>
        <v>4534.5535412687832</v>
      </c>
      <c r="AC48" s="23" cm="1">
        <f t="array" ref="AC48">$AB48 - _xlfn.XLOOKUP($A48, 'Competitive Analysis (Step 1)'!$A$10:$A$209,_xlfn.ANCHORARRAY( 'Competitive Analysis (Step 1)'!$R$10), ,0)</f>
        <v>398.21354126878305</v>
      </c>
      <c r="AD48" s="21" cm="1">
        <f t="array" ref="AD48">$AC48 / _xlfn.XLOOKUP($A48, 'Competitive Analysis (Step 1)'!$A$10:$A$209,_xlfn.ANCHORARRAY( 'Competitive Analysis (Step 1)'!$V$10), ,0)</f>
        <v>0.10147610379382935</v>
      </c>
      <c r="AE48" s="23">
        <f>$AA48 * _xlfn.XLOOKUP($A48, _1_product_catalog_pricing[SKU], _1_product_catalog_pricing[Cost Price ($)], , 0)</f>
        <v>1203.1200000000001</v>
      </c>
      <c r="AF48" s="23" cm="1">
        <f t="array" ref="AF48">$AE48 - _xlfn.XLOOKUP($A48, 'Competitive Analysis (Step 1)'!$A$10:$A$209,_xlfn.ANCHORARRAY( 'Competitive Analysis (Step 1)'!$S$10),,0)</f>
        <v>-100.25999999999999</v>
      </c>
      <c r="AG48" s="21" cm="1">
        <f t="array" ref="AG48">$AF48 / _xlfn.XLOOKUP($A48, 'Competitive Analysis (Step 1)'!$A$10:$A$209,_xlfn.ANCHORARRAY( 'Competitive Analysis (Step 1)'!$S$10),,0)</f>
        <v>-7.6923076923076913E-2</v>
      </c>
      <c r="AH48" s="28">
        <f t="shared" si="3"/>
        <v>3331.4335412687833</v>
      </c>
      <c r="AI48" s="23" cm="1">
        <f t="array" ref="AI48">$AH48 - _xlfn.XLOOKUP($A48, 'Competitive Analysis (Step 1)'!$A$10:$A$209,_xlfn.ANCHORARRAY( 'Competitive Analysis (Step 1)'!$T$10),,0)</f>
        <v>498.47354126878326</v>
      </c>
      <c r="AJ48" s="9">
        <f t="shared" si="13"/>
        <v>0.73467729754418931</v>
      </c>
      <c r="AK48" s="21" cm="1">
        <f t="array" ref="AK48">$AI48 / _xlfn.XLOOKUP($A48, 'Competitive Analysis (Step 1)'!$A$10:$A$209,_xlfn.ANCHORARRAY( 'Competitive Analysis (Step 1)'!$T$10),,0)</f>
        <v>0.17595502275668673</v>
      </c>
      <c r="AL48" t="str">
        <f t="shared" si="14"/>
        <v>Full</v>
      </c>
    </row>
    <row r="49" spans="1:38">
      <c r="A49" s="24" t="str">
        <v>SKU-1027</v>
      </c>
      <c r="B49" s="24" t="str">
        <v>Storage Bins</v>
      </c>
      <c r="C49" s="24" t="str">
        <v>Home &amp; Kitchen</v>
      </c>
      <c r="D49" s="23">
        <v>34.479999999999997</v>
      </c>
      <c r="E49" s="23">
        <v>19.239999999999998</v>
      </c>
      <c r="F49" s="24" cm="1">
        <f t="array" ref="F49">_xlfn.XLOOKUP($A49,'Competitive Analysis (Step 1)'!$A$10:$A$209,_xlfn.ANCHORARRAY( 'Competitive Analysis (Step 1)'!$P$10),,0)</f>
        <v>382</v>
      </c>
      <c r="G49" s="31" cm="1">
        <f t="array" ref="G49">SUMPRODUCT((Transactions_and_Customer_Information_Joined[SKU]='V1 Pricing Model (Step 2)'!$A49) * (Transactions_and_Customer_Information_Joined[Order Status]="Completed") * (Transactions_and_Customer_Information_Joined[Quantity])) / 12</f>
        <v>1.5833333333333333</v>
      </c>
      <c r="H49" s="13">
        <f t="shared" si="4"/>
        <v>241.26315789473685</v>
      </c>
      <c r="I49" s="9">
        <f t="shared" si="5"/>
        <v>0.44199535962877029</v>
      </c>
      <c r="J49" s="23" cm="1">
        <f t="array" ref="J49">(SMALL(IF('Competitive Analysis (Step 1)'!$A$10:$A$209=$A49,'Competitive Analysis (Step 1)'!$D$10:$D$209),2)+SMALL(IF('Competitive Analysis (Step 1)'!$A$10:$A$209=$A49,'Competitive Analysis (Step 1)'!$D$10:$D$209),3))/2</f>
        <v>36.495000000000005</v>
      </c>
      <c r="K49" s="22">
        <f t="shared" si="6"/>
        <v>2.0150000000000077</v>
      </c>
      <c r="L49" s="12">
        <f t="shared" si="7"/>
        <v>5.8439675174014147E-2</v>
      </c>
      <c r="M49" s="24">
        <v>3.6</v>
      </c>
      <c r="N49" s="24">
        <v>4.0999999999999996</v>
      </c>
      <c r="O49">
        <v>-0.49999999999999956</v>
      </c>
      <c r="P49" s="3" cm="1">
        <f t="array" ref="P49">MEDIAN(IF($C$22:$C$71=$C49, $I$22:$I$71))</f>
        <v>0.53512918200032011</v>
      </c>
      <c r="Q49" s="34" cm="1">
        <f t="array" ref="Q49">_xlfn.LET(
    _xlpm.stock, $F49,
    _xlpm.stock_ratio, $H49,
    _xlpm.cat_ratios, IF($C$22:$C$71=$C49, $H$22:$H$71),
    _xlpm.cat_median, MEDIAN(_xlpm.cat_ratios),
    _xlpm.cat_stdev, STDEV(IF($C$22:$C$71=$C49, $H$22:$H$71)),
    _xlpm.z_score, IF(_xlpm.cat_stdev = 0, 0, (_xlpm.stock_ratio - _xlpm.cat_median) / _xlpm.cat_stdev),
    _xlpm.capped_z, MIN(MAX(_xlpm.z_score, -2), 2),
    IF(_xlpm.stock &lt; $B$18, 0, 1 + $B$19 * _xlpm.capped_z)
)</f>
        <v>0.97712179273165667</v>
      </c>
      <c r="R49" s="42" cm="1">
        <f t="array" ref="R49">_xlfn.LET(
    _xlpm.sku, $A49,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$D49,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-2.4876010668853154E-2</v>
      </c>
      <c r="S49" s="4" t="str">
        <f t="shared" si="8"/>
        <v>Hold</v>
      </c>
      <c r="T49" s="4" t="str" cm="1">
        <f t="array" ref="T49">IF($S49="Hold", IF(0.5 * ($P49-$I49) / $P49 + 0.5 * ($R49 / MAX(ABS($R49:$R98))) &gt; 0, "Raise", "Hold"), $S49)</f>
        <v>Raise</v>
      </c>
      <c r="U49" s="22">
        <f t="shared" si="9"/>
        <v>36.908161919642779</v>
      </c>
      <c r="V49" s="22">
        <f t="shared" si="0"/>
        <v>2.4281619196427826</v>
      </c>
      <c r="W49" s="3">
        <f t="shared" si="1"/>
        <v>7.0422329455997176E-2</v>
      </c>
      <c r="X49" s="22">
        <f t="shared" si="10"/>
        <v>0.41316191964277493</v>
      </c>
      <c r="Y49" s="3">
        <f t="shared" si="11"/>
        <v>1.1321055477264691E-2</v>
      </c>
      <c r="Z49" s="3">
        <f t="shared" si="2"/>
        <v>-2.8168931782398873E-2</v>
      </c>
      <c r="AA49" s="24" cm="1">
        <f t="array" ref="AA49">ROUND(_xlfn.XLOOKUP($A49, 'Competitive Analysis (Step 1)'!$A$10:$A$209,_xlfn.ANCHORARRAY( 'Competitive Analysis (Step 1)'!$Q$10), , 0) * (1+$Z49), 0)</f>
        <v>18</v>
      </c>
      <c r="AB49" s="22">
        <f t="shared" si="12"/>
        <v>664.34691455357006</v>
      </c>
      <c r="AC49" s="23" cm="1">
        <f t="array" ref="AC49">$AB49 - _xlfn.XLOOKUP($A49, 'Competitive Analysis (Step 1)'!$A$10:$A$209,_xlfn.ANCHORARRAY( 'Competitive Analysis (Step 1)'!$R$10), ,0)</f>
        <v>9.2269145535701682</v>
      </c>
      <c r="AD49" s="21" cm="1">
        <f t="array" ref="AD49">$AC49 / _xlfn.XLOOKUP($A49, 'Competitive Analysis (Step 1)'!$A$10:$A$209,_xlfn.ANCHORARRAY( 'Competitive Analysis (Step 1)'!$V$10), ,0)</f>
        <v>1.5695234662805618E-2</v>
      </c>
      <c r="AE49" s="23">
        <f>$AA49 * _xlfn.XLOOKUP($A49, _1_product_catalog_pricing[SKU], _1_product_catalog_pricing[Cost Price ($)], , 0)</f>
        <v>346.32</v>
      </c>
      <c r="AF49" s="23" cm="1">
        <f t="array" ref="AF49">$AE49 - _xlfn.XLOOKUP($A49, 'Competitive Analysis (Step 1)'!$A$10:$A$209,_xlfn.ANCHORARRAY( 'Competitive Analysis (Step 1)'!$S$10),,0)</f>
        <v>-19.239999999999952</v>
      </c>
      <c r="AG49" s="21" cm="1">
        <f t="array" ref="AG49">$AF49 / _xlfn.XLOOKUP($A49, 'Competitive Analysis (Step 1)'!$A$10:$A$209,_xlfn.ANCHORARRAY( 'Competitive Analysis (Step 1)'!$S$10),,0)</f>
        <v>-5.26315789473683E-2</v>
      </c>
      <c r="AH49" s="28">
        <f t="shared" si="3"/>
        <v>318.02691455357007</v>
      </c>
      <c r="AI49" s="23" cm="1">
        <f t="array" ref="AI49">$AH49 - _xlfn.XLOOKUP($A49, 'Competitive Analysis (Step 1)'!$A$10:$A$209,_xlfn.ANCHORARRAY( 'Competitive Analysis (Step 1)'!$T$10),,0)</f>
        <v>28.46691455357012</v>
      </c>
      <c r="AJ49" s="9">
        <f t="shared" si="13"/>
        <v>0.47870609102968259</v>
      </c>
      <c r="AK49" s="21" cm="1">
        <f t="array" ref="AK49">$AI49 / _xlfn.XLOOKUP($A49, 'Competitive Analysis (Step 1)'!$A$10:$A$209,_xlfn.ANCHORARRAY( 'Competitive Analysis (Step 1)'!$T$10),,0)</f>
        <v>9.8310935742402697E-2</v>
      </c>
      <c r="AL49" t="str">
        <f t="shared" si="14"/>
        <v>Full</v>
      </c>
    </row>
    <row r="50" spans="1:38">
      <c r="A50" s="24" t="str">
        <v>SKU-1028</v>
      </c>
      <c r="B50" s="24" t="str">
        <v>Throw Pillow</v>
      </c>
      <c r="C50" s="24" t="str">
        <v>Home &amp; Kitchen</v>
      </c>
      <c r="D50" s="23">
        <v>174.23</v>
      </c>
      <c r="E50" s="23">
        <v>73.95</v>
      </c>
      <c r="F50" s="24" cm="1">
        <f t="array" ref="F50">_xlfn.XLOOKUP($A50,'Competitive Analysis (Step 1)'!$A$10:$A$209,_xlfn.ANCHORARRAY( 'Competitive Analysis (Step 1)'!$P$10),,0)</f>
        <v>435</v>
      </c>
      <c r="G50" s="31" cm="1">
        <f t="array" ref="G50">SUMPRODUCT((Transactions_and_Customer_Information_Joined[SKU]='V1 Pricing Model (Step 2)'!$A50) * (Transactions_and_Customer_Information_Joined[Order Status]="Completed") * (Transactions_and_Customer_Information_Joined[Quantity])) / 12</f>
        <v>2.1666666666666665</v>
      </c>
      <c r="H50" s="13">
        <f t="shared" si="4"/>
        <v>200.76923076923077</v>
      </c>
      <c r="I50" s="9">
        <f t="shared" si="5"/>
        <v>0.57556104000459163</v>
      </c>
      <c r="J50" s="23" cm="1">
        <f t="array" ref="J50">(SMALL(IF('Competitive Analysis (Step 1)'!$A$10:$A$209=$A50,'Competitive Analysis (Step 1)'!$D$10:$D$209),2)+SMALL(IF('Competitive Analysis (Step 1)'!$A$10:$A$209=$A50,'Competitive Analysis (Step 1)'!$D$10:$D$209),3))/2</f>
        <v>178.2</v>
      </c>
      <c r="K50" s="22">
        <f t="shared" si="6"/>
        <v>3.9699999999999989</v>
      </c>
      <c r="L50" s="12">
        <f t="shared" si="7"/>
        <v>2.2785972565000281E-2</v>
      </c>
      <c r="M50" s="24">
        <v>3.4</v>
      </c>
      <c r="N50" s="24">
        <v>3.4749999999999996</v>
      </c>
      <c r="O50">
        <v>-7.4999999999999734E-2</v>
      </c>
      <c r="P50" s="3" cm="1">
        <f t="array" ref="P50">MEDIAN(IF($C$22:$C$71=$C50, $I$22:$I$71))</f>
        <v>0.53512918200032011</v>
      </c>
      <c r="Q50" s="34" cm="1">
        <f t="array" ref="Q50">_xlfn.LET(
    _xlpm.stock, $F50,
    _xlpm.stock_ratio, $H50,
    _xlpm.cat_ratios, IF($C$22:$C$71=$C50, $H$22:$H$71),
    _xlpm.cat_median, MEDIAN(_xlpm.cat_ratios),
    _xlpm.cat_stdev, STDEV(IF($C$22:$C$71=$C50, $H$22:$H$71)),
    _xlpm.z_score, IF(_xlpm.cat_stdev = 0, 0, (_xlpm.stock_ratio - _xlpm.cat_median) / _xlpm.cat_stdev),
    _xlpm.capped_z, MIN(MAX(_xlpm.z_score, -2), 2),
    IF(_xlpm.stock &lt; $B$18, 0, 1 + $B$19 * _xlpm.capped_z)
)</f>
        <v>0.98761139818099253</v>
      </c>
      <c r="R50" s="42" cm="1">
        <f t="array" ref="R50">_xlfn.LET(
    _xlpm.sku, $A50,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$D50,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-5.5340682385881246E-2</v>
      </c>
      <c r="S50" s="4" t="str">
        <f t="shared" si="8"/>
        <v>Raise</v>
      </c>
      <c r="T50" s="4" t="str" cm="1">
        <f t="array" ref="T50">IF($S50="Hold", IF(0.5 * ($P50-$I50) / $P50 + 0.5 * ($R50 / MAX(ABS($R50:$R99))) &gt; 0, "Raise", "Hold"), $S50)</f>
        <v>Raise</v>
      </c>
      <c r="U50" s="22">
        <f t="shared" si="9"/>
        <v>184.39598592354483</v>
      </c>
      <c r="V50" s="22">
        <f t="shared" si="0"/>
        <v>10.165985923544838</v>
      </c>
      <c r="W50" s="3">
        <f t="shared" si="1"/>
        <v>5.8348079685156623E-2</v>
      </c>
      <c r="X50" s="22">
        <f t="shared" si="10"/>
        <v>6.1959859235448391</v>
      </c>
      <c r="Y50" s="3">
        <f t="shared" si="11"/>
        <v>3.4769842444134905E-2</v>
      </c>
      <c r="Z50" s="3">
        <f t="shared" si="2"/>
        <v>-2.3339231874062651E-2</v>
      </c>
      <c r="AA50" s="24" cm="1">
        <f t="array" ref="AA50">ROUND(_xlfn.XLOOKUP($A50, 'Competitive Analysis (Step 1)'!$A$10:$A$209,_xlfn.ANCHORARRAY( 'Competitive Analysis (Step 1)'!$Q$10), , 0) * (1+$Z50), 0)</f>
        <v>25</v>
      </c>
      <c r="AB50" s="22">
        <f t="shared" si="12"/>
        <v>4609.8996480886208</v>
      </c>
      <c r="AC50" s="23" cm="1">
        <f t="array" ref="AC50">$AB50 - _xlfn.XLOOKUP($A50, 'Competitive Analysis (Step 1)'!$A$10:$A$209,_xlfn.ANCHORARRAY( 'Competitive Analysis (Step 1)'!$R$10), ,0)</f>
        <v>79.919648088621216</v>
      </c>
      <c r="AD50" s="21" cm="1">
        <f t="array" ref="AD50">$AC50 / _xlfn.XLOOKUP($A50, 'Competitive Analysis (Step 1)'!$A$10:$A$209,_xlfn.ANCHORARRAY( 'Competitive Analysis (Step 1)'!$V$10), ,0)</f>
        <v>1.8348079685156681E-2</v>
      </c>
      <c r="AE50" s="23">
        <f>$AA50 * _xlfn.XLOOKUP($A50, _1_product_catalog_pricing[SKU], _1_product_catalog_pricing[Cost Price ($)], , 0)</f>
        <v>1848.75</v>
      </c>
      <c r="AF50" s="23" cm="1">
        <f t="array" ref="AF50">$AE50 - _xlfn.XLOOKUP($A50, 'Competitive Analysis (Step 1)'!$A$10:$A$209,_xlfn.ANCHORARRAY( 'Competitive Analysis (Step 1)'!$S$10),,0)</f>
        <v>-73.950000000000273</v>
      </c>
      <c r="AG50" s="21" cm="1">
        <f t="array" ref="AG50">$AF50 / _xlfn.XLOOKUP($A50, 'Competitive Analysis (Step 1)'!$A$10:$A$209,_xlfn.ANCHORARRAY( 'Competitive Analysis (Step 1)'!$S$10),,0)</f>
        <v>-3.8461538461538596E-2</v>
      </c>
      <c r="AH50" s="28">
        <f t="shared" si="3"/>
        <v>2761.1496480886208</v>
      </c>
      <c r="AI50" s="23" cm="1">
        <f t="array" ref="AI50">$AH50 - _xlfn.XLOOKUP($A50, 'Competitive Analysis (Step 1)'!$A$10:$A$209,_xlfn.ANCHORARRAY( 'Competitive Analysis (Step 1)'!$T$10),,0)</f>
        <v>153.86964808862149</v>
      </c>
      <c r="AJ50" s="9">
        <f t="shared" si="13"/>
        <v>0.59896090129282142</v>
      </c>
      <c r="AK50" s="21" cm="1">
        <f t="array" ref="AK50">$AI50 / _xlfn.XLOOKUP($A50, 'Competitive Analysis (Step 1)'!$A$10:$A$209,_xlfn.ANCHORARRAY( 'Competitive Analysis (Step 1)'!$T$10),,0)</f>
        <v>5.9015390786038145E-2</v>
      </c>
      <c r="AL50" t="str">
        <f t="shared" si="14"/>
        <v>Full</v>
      </c>
    </row>
    <row r="51" spans="1:38">
      <c r="A51" s="24" t="str">
        <v>SKU-1029</v>
      </c>
      <c r="B51" s="24" t="str">
        <v>Scented Candle</v>
      </c>
      <c r="C51" s="24" t="str">
        <v>Home &amp; Kitchen</v>
      </c>
      <c r="D51" s="23">
        <v>148.11000000000001</v>
      </c>
      <c r="E51" s="23">
        <v>69.64</v>
      </c>
      <c r="F51" s="24" cm="1">
        <f t="array" ref="F51">_xlfn.XLOOKUP($A51,'Competitive Analysis (Step 1)'!$A$10:$A$209,_xlfn.ANCHORARRAY( 'Competitive Analysis (Step 1)'!$P$10),,0)</f>
        <v>317</v>
      </c>
      <c r="G51" s="31" cm="1">
        <f t="array" ref="G51">SUMPRODUCT((Transactions_and_Customer_Information_Joined[SKU]='V1 Pricing Model (Step 2)'!$A51) * (Transactions_and_Customer_Information_Joined[Order Status]="Completed") * (Transactions_and_Customer_Information_Joined[Quantity])) / 12</f>
        <v>2.25</v>
      </c>
      <c r="H51" s="13">
        <f t="shared" si="4"/>
        <v>140.88888888888889</v>
      </c>
      <c r="I51" s="9">
        <f t="shared" si="5"/>
        <v>0.52980892579839312</v>
      </c>
      <c r="J51" s="23" cm="1">
        <f t="array" ref="J51">(SMALL(IF('Competitive Analysis (Step 1)'!$A$10:$A$209=$A51,'Competitive Analysis (Step 1)'!$D$10:$D$209),2)+SMALL(IF('Competitive Analysis (Step 1)'!$A$10:$A$209=$A51,'Competitive Analysis (Step 1)'!$D$10:$D$209),3))/2</f>
        <v>157.42000000000002</v>
      </c>
      <c r="K51" s="22">
        <f t="shared" si="6"/>
        <v>9.3100000000000023</v>
      </c>
      <c r="L51" s="12">
        <f t="shared" si="7"/>
        <v>6.2858686111673764E-2</v>
      </c>
      <c r="M51" s="24">
        <v>3.2</v>
      </c>
      <c r="N51" s="24">
        <v>3.4000000000000004</v>
      </c>
      <c r="O51">
        <v>-0.20000000000000018</v>
      </c>
      <c r="P51" s="3" cm="1">
        <f t="array" ref="P51">MEDIAN(IF($C$22:$C$71=$C51, $I$22:$I$71))</f>
        <v>0.53512918200032011</v>
      </c>
      <c r="Q51" s="34" cm="1">
        <f t="array" ref="Q51">_xlfn.LET(
    _xlpm.stock, $F51,
    _xlpm.stock_ratio, $H51,
    _xlpm.cat_ratios, IF($C$22:$C$71=$C51, $H$22:$H$71),
    _xlpm.cat_median, MEDIAN(_xlpm.cat_ratios),
    _xlpm.cat_stdev, STDEV(IF($C$22:$C$71=$C51, $H$22:$H$71)),
    _xlpm.z_score, IF(_xlpm.cat_stdev = 0, 0, (_xlpm.stock_ratio - _xlpm.cat_median) / _xlpm.cat_stdev),
    _xlpm.capped_z, MIN(MAX(_xlpm.z_score, -2), 2),
    IF(_xlpm.stock &lt; $B$18, 0, 1 + $B$19 * _xlpm.capped_z)
)</f>
        <v>1.0031228885471737</v>
      </c>
      <c r="R51" s="42" cm="1">
        <f t="array" ref="R51">_xlfn.LET(
    _xlpm.sku, $A51,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$D51,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4.7604378186456721E-2</v>
      </c>
      <c r="S51" s="4" t="str">
        <f t="shared" si="8"/>
        <v>Hold</v>
      </c>
      <c r="T51" s="4" t="str" cm="1">
        <f t="array" ref="T51">IF($S51="Hold", IF(0.5 * ($P51-$I51) / $P51 + 0.5 * ($R51 / MAX(ABS($R51:$R100))) &gt; 0, "Raise", "Hold"), $S51)</f>
        <v>Raise</v>
      </c>
      <c r="U51" s="22">
        <f t="shared" si="9"/>
        <v>164.85971574016031</v>
      </c>
      <c r="V51" s="22">
        <f t="shared" si="0"/>
        <v>16.749715740160298</v>
      </c>
      <c r="W51" s="3">
        <f t="shared" si="1"/>
        <v>0.1130897018443069</v>
      </c>
      <c r="X51" s="22">
        <f t="shared" si="10"/>
        <v>7.4397157401602954</v>
      </c>
      <c r="Y51" s="3">
        <f t="shared" si="11"/>
        <v>4.7260295643249232E-2</v>
      </c>
      <c r="Z51" s="3">
        <f t="shared" si="2"/>
        <v>-4.5235880737722764E-2</v>
      </c>
      <c r="AA51" s="24" cm="1">
        <f t="array" ref="AA51">ROUND(_xlfn.XLOOKUP($A51, 'Competitive Analysis (Step 1)'!$A$10:$A$209,_xlfn.ANCHORARRAY( 'Competitive Analysis (Step 1)'!$Q$10), , 0) * (1+$Z51), 0)</f>
        <v>26</v>
      </c>
      <c r="AB51" s="22">
        <f t="shared" si="12"/>
        <v>4286.352609244168</v>
      </c>
      <c r="AC51" s="23" cm="1">
        <f t="array" ref="AC51">$AB51 - _xlfn.XLOOKUP($A51, 'Competitive Analysis (Step 1)'!$A$10:$A$209,_xlfn.ANCHORARRAY( 'Competitive Analysis (Step 1)'!$R$10), ,0)</f>
        <v>917.56260924416802</v>
      </c>
      <c r="AD51" s="21" cm="1">
        <f t="array" ref="AD51">$AC51 / _xlfn.XLOOKUP($A51, 'Competitive Analysis (Step 1)'!$A$10:$A$209,_xlfn.ANCHORARRAY( 'Competitive Analysis (Step 1)'!$V$10), ,0)</f>
        <v>0.29713237736448384</v>
      </c>
      <c r="AE51" s="23">
        <f>$AA51 * _xlfn.XLOOKUP($A51, _1_product_catalog_pricing[SKU], _1_product_catalog_pricing[Cost Price ($)], , 0)</f>
        <v>1810.64</v>
      </c>
      <c r="AF51" s="23" cm="1">
        <f t="array" ref="AF51">$AE51 - _xlfn.XLOOKUP($A51, 'Competitive Analysis (Step 1)'!$A$10:$A$209,_xlfn.ANCHORARRAY( 'Competitive Analysis (Step 1)'!$S$10),,0)</f>
        <v>-69.6400000000001</v>
      </c>
      <c r="AG51" s="21" cm="1">
        <f t="array" ref="AG51">$AF51 / _xlfn.XLOOKUP($A51, 'Competitive Analysis (Step 1)'!$A$10:$A$209,_xlfn.ANCHORARRAY( 'Competitive Analysis (Step 1)'!$S$10),,0)</f>
        <v>-3.7037037037037084E-2</v>
      </c>
      <c r="AH51" s="28">
        <f t="shared" si="3"/>
        <v>2475.7126092441677</v>
      </c>
      <c r="AI51" s="23" cm="1">
        <f t="array" ref="AI51">$AH51 - _xlfn.XLOOKUP($A51, 'Competitive Analysis (Step 1)'!$A$10:$A$209,_xlfn.ANCHORARRAY( 'Competitive Analysis (Step 1)'!$T$10),,0)</f>
        <v>987.20260924416789</v>
      </c>
      <c r="AJ51" s="9">
        <f t="shared" si="13"/>
        <v>0.57758024944212916</v>
      </c>
      <c r="AK51" s="21" cm="1">
        <f t="array" ref="AK51">$AI51 / _xlfn.XLOOKUP($A51, 'Competitive Analysis (Step 1)'!$A$10:$A$209,_xlfn.ANCHORARRAY( 'Competitive Analysis (Step 1)'!$T$10),,0)</f>
        <v>0.66321530204309542</v>
      </c>
      <c r="AL51" t="str">
        <f t="shared" si="14"/>
        <v>Full</v>
      </c>
    </row>
    <row r="52" spans="1:38">
      <c r="A52" s="24" t="str">
        <v>SKU-1030</v>
      </c>
      <c r="B52" s="24" t="str">
        <v>Vitamin C Serum</v>
      </c>
      <c r="C52" s="24" t="str">
        <v>Beauty &amp; Personal Care</v>
      </c>
      <c r="D52" s="23">
        <v>54.64</v>
      </c>
      <c r="E52" s="23">
        <v>20.32</v>
      </c>
      <c r="F52" s="24" cm="1">
        <f t="array" ref="F52">_xlfn.XLOOKUP($A52,'Competitive Analysis (Step 1)'!$A$10:$A$209,_xlfn.ANCHORARRAY( 'Competitive Analysis (Step 1)'!$P$10),,0)</f>
        <v>67</v>
      </c>
      <c r="G52" s="31" cm="1">
        <f t="array" ref="G52">SUMPRODUCT((Transactions_and_Customer_Information_Joined[SKU]='V1 Pricing Model (Step 2)'!$A52) * (Transactions_and_Customer_Information_Joined[Order Status]="Completed") * (Transactions_and_Customer_Information_Joined[Quantity])) / 12</f>
        <v>4.583333333333333</v>
      </c>
      <c r="H52" s="13">
        <f t="shared" si="4"/>
        <v>14.618181818181819</v>
      </c>
      <c r="I52" s="9">
        <f t="shared" si="5"/>
        <v>0.62811127379209375</v>
      </c>
      <c r="J52" s="23" cm="1">
        <f t="array" ref="J52">(SMALL(IF('Competitive Analysis (Step 1)'!$A$10:$A$209=$A52,'Competitive Analysis (Step 1)'!$D$10:$D$209),2)+SMALL(IF('Competitive Analysis (Step 1)'!$A$10:$A$209=$A52,'Competitive Analysis (Step 1)'!$D$10:$D$209),3))/2</f>
        <v>63.775000000000006</v>
      </c>
      <c r="K52" s="22">
        <f t="shared" si="6"/>
        <v>9.1350000000000051</v>
      </c>
      <c r="L52" s="12">
        <f t="shared" si="7"/>
        <v>0.16718521229868238</v>
      </c>
      <c r="M52" s="24">
        <v>4.3</v>
      </c>
      <c r="N52" s="24">
        <v>4.1500000000000004</v>
      </c>
      <c r="O52">
        <v>0.14999999999999947</v>
      </c>
      <c r="P52" s="3" cm="1">
        <f t="array" ref="P52">MEDIAN(IF($C$22:$C$71=$C52, $I$22:$I$71))</f>
        <v>0.65726131531364473</v>
      </c>
      <c r="Q52" s="34" cm="1">
        <f t="array" ref="Q52">_xlfn.LET(
    _xlpm.stock, $F52,
    _xlpm.stock_ratio, $H52,
    _xlpm.cat_ratios, IF($C$22:$C$71=$C52, $H$22:$H$71),
    _xlpm.cat_median, MEDIAN(_xlpm.cat_ratios),
    _xlpm.cat_stdev, STDEV(IF($C$22:$C$71=$C52, $H$22:$H$71)),
    _xlpm.z_score, IF(_xlpm.cat_stdev = 0, 0, (_xlpm.stock_ratio - _xlpm.cat_median) / _xlpm.cat_stdev),
    _xlpm.capped_z, MIN(MAX(_xlpm.z_score, -2), 2),
    IF(_xlpm.stock &lt; $B$18, 0, 1 + $B$19 * _xlpm.capped_z)
)</f>
        <v>1.0142505139530318</v>
      </c>
      <c r="R52" s="42" cm="1">
        <f t="array" ref="R52">_xlfn.LET(
    _xlpm.sku, $A52,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$D52,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-0.13537646371460405</v>
      </c>
      <c r="S52" s="4" t="str">
        <f t="shared" si="8"/>
        <v>Raise</v>
      </c>
      <c r="T52" s="4" t="str" cm="1">
        <f t="array" ref="T52">IF($S52="Hold", IF(0.5 * ($P52-$I52) / $P52 + 0.5 * ($R52 / MAX(ABS($R52:$R101))) &gt; 0, "Raise", "Hold"), $S52)</f>
        <v>Raise</v>
      </c>
      <c r="U52" s="22">
        <f t="shared" si="9"/>
        <v>68.209095073095426</v>
      </c>
      <c r="V52" s="22">
        <f t="shared" si="0"/>
        <v>13.569095073095426</v>
      </c>
      <c r="W52" s="3">
        <f t="shared" si="1"/>
        <v>0.24833629343146826</v>
      </c>
      <c r="X52" s="22">
        <f t="shared" si="10"/>
        <v>4.4340950730954205</v>
      </c>
      <c r="Y52" s="3">
        <f t="shared" si="11"/>
        <v>6.9527166963471901E-2</v>
      </c>
      <c r="Z52" s="3">
        <f t="shared" si="2"/>
        <v>-9.9334517372587305E-2</v>
      </c>
      <c r="AA52" s="24" cm="1">
        <f t="array" ref="AA52">ROUND(_xlfn.XLOOKUP($A52, 'Competitive Analysis (Step 1)'!$A$10:$A$209,_xlfn.ANCHORARRAY( 'Competitive Analysis (Step 1)'!$Q$10), , 0) * (1+$Z52), 0)</f>
        <v>50</v>
      </c>
      <c r="AB52" s="22">
        <f t="shared" si="12"/>
        <v>3410.4547536547711</v>
      </c>
      <c r="AC52" s="23" cm="1">
        <f t="array" ref="AC52">$AB52 - _xlfn.XLOOKUP($A52, 'Competitive Analysis (Step 1)'!$A$10:$A$209,_xlfn.ANCHORARRAY( 'Competitive Analysis (Step 1)'!$R$10), ,0)</f>
        <v>405.25475365476996</v>
      </c>
      <c r="AD52" s="21" cm="1">
        <f t="array" ref="AD52">$AC52 / _xlfn.XLOOKUP($A52, 'Competitive Analysis (Step 1)'!$A$10:$A$209,_xlfn.ANCHORARRAY( 'Competitive Analysis (Step 1)'!$V$10), ,0)</f>
        <v>0.14415669894983651</v>
      </c>
      <c r="AE52" s="23">
        <f>$AA52 * _xlfn.XLOOKUP($A52, _1_product_catalog_pricing[SKU], _1_product_catalog_pricing[Cost Price ($)], , 0)</f>
        <v>1016</v>
      </c>
      <c r="AF52" s="23" cm="1">
        <f t="array" ref="AF52">$AE52 - _xlfn.XLOOKUP($A52, 'Competitive Analysis (Step 1)'!$A$10:$A$209,_xlfn.ANCHORARRAY( 'Competitive Analysis (Step 1)'!$S$10),,0)</f>
        <v>-101.60000000000036</v>
      </c>
      <c r="AG52" s="21" cm="1">
        <f t="array" ref="AG52">$AF52 / _xlfn.XLOOKUP($A52, 'Competitive Analysis (Step 1)'!$A$10:$A$209,_xlfn.ANCHORARRAY( 'Competitive Analysis (Step 1)'!$S$10),,0)</f>
        <v>-9.0909090909091203E-2</v>
      </c>
      <c r="AH52" s="28">
        <f t="shared" si="3"/>
        <v>2394.4547536547711</v>
      </c>
      <c r="AI52" s="23" cm="1">
        <f t="array" ref="AI52">$AH52 - _xlfn.XLOOKUP($A52, 'Competitive Analysis (Step 1)'!$A$10:$A$209,_xlfn.ANCHORARRAY( 'Competitive Analysis (Step 1)'!$T$10),,0)</f>
        <v>506.85475365477032</v>
      </c>
      <c r="AJ52" s="9">
        <f t="shared" si="13"/>
        <v>0.70209251452135046</v>
      </c>
      <c r="AK52" s="21" cm="1">
        <f t="array" ref="AK52">$AI52 / _xlfn.XLOOKUP($A52, 'Competitive Analysis (Step 1)'!$A$10:$A$209,_xlfn.ANCHORARRAY( 'Competitive Analysis (Step 1)'!$T$10),,0)</f>
        <v>0.26851809369292756</v>
      </c>
      <c r="AL52" t="str">
        <f t="shared" si="14"/>
        <v>Full</v>
      </c>
    </row>
    <row r="53" spans="1:38">
      <c r="A53" s="24" t="str">
        <v>SKU-1031</v>
      </c>
      <c r="B53" s="24" t="str">
        <v>SPF Moisturizer</v>
      </c>
      <c r="C53" s="24" t="str">
        <v>Beauty &amp; Personal Care</v>
      </c>
      <c r="D53" s="23">
        <v>230.34</v>
      </c>
      <c r="E53" s="23">
        <v>74.680000000000007</v>
      </c>
      <c r="F53" s="24" cm="1">
        <f t="array" ref="F53">_xlfn.XLOOKUP($A53,'Competitive Analysis (Step 1)'!$A$10:$A$209,_xlfn.ANCHORARRAY( 'Competitive Analysis (Step 1)'!$P$10),,0)</f>
        <v>37</v>
      </c>
      <c r="G53" s="31" cm="1">
        <f t="array" ref="G53">SUMPRODUCT((Transactions_and_Customer_Information_Joined[SKU]='V1 Pricing Model (Step 2)'!$A53) * (Transactions_and_Customer_Information_Joined[Order Status]="Completed") * (Transactions_and_Customer_Information_Joined[Quantity])) / 12</f>
        <v>1.75</v>
      </c>
      <c r="H53" s="13">
        <f t="shared" si="4"/>
        <v>21.142857142857142</v>
      </c>
      <c r="I53" s="9">
        <f t="shared" si="5"/>
        <v>0.675783624207693</v>
      </c>
      <c r="J53" s="23" cm="1">
        <f t="array" ref="J53">(SMALL(IF('Competitive Analysis (Step 1)'!$A$10:$A$209=$A53,'Competitive Analysis (Step 1)'!$D$10:$D$209),2)+SMALL(IF('Competitive Analysis (Step 1)'!$A$10:$A$209=$A53,'Competitive Analysis (Step 1)'!$D$10:$D$209),3))/2</f>
        <v>273.96499999999997</v>
      </c>
      <c r="K53" s="22">
        <f t="shared" si="6"/>
        <v>43.624999999999972</v>
      </c>
      <c r="L53" s="12">
        <f t="shared" si="7"/>
        <v>0.18939393939393928</v>
      </c>
      <c r="M53" s="24">
        <v>4.0999999999999996</v>
      </c>
      <c r="N53" s="24">
        <v>4.0249999999999995</v>
      </c>
      <c r="O53">
        <v>7.5000000000000178E-2</v>
      </c>
      <c r="P53" s="3" cm="1">
        <f t="array" ref="P53">MEDIAN(IF($C$22:$C$71=$C53, $I$22:$I$71))</f>
        <v>0.65726131531364473</v>
      </c>
      <c r="Q53" s="34" cm="1">
        <f t="array" ref="Q53">_xlfn.LET(
    _xlpm.stock, $F53,
    _xlpm.stock_ratio, $H53,
    _xlpm.cat_ratios, IF($C$22:$C$71=$C53, $H$22:$H$71),
    _xlpm.cat_median, MEDIAN(_xlpm.cat_ratios),
    _xlpm.cat_stdev, STDEV(IF($C$22:$C$71=$C53, $H$22:$H$71)),
    _xlpm.z_score, IF(_xlpm.cat_stdev = 0, 0, (_xlpm.stock_ratio - _xlpm.cat_median) / _xlpm.cat_stdev),
    _xlpm.capped_z, MIN(MAX(_xlpm.z_score, -2), 2),
    IF(_xlpm.stock &lt; $B$18, 0, 1 + $B$19 * _xlpm.capped_z)
)</f>
        <v>1.0130868244920421</v>
      </c>
      <c r="R53" s="42" cm="1">
        <f t="array" ref="R53">_xlfn.LET(
    _xlpm.sku, $A53,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$D53,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-0.12321217523659317</v>
      </c>
      <c r="S53" s="4" t="str">
        <f t="shared" si="8"/>
        <v>Raise</v>
      </c>
      <c r="T53" s="4" t="str" cm="1">
        <f t="array" ref="T53">IF($S53="Hold", IF(0.5 * ($P53-$I53) / $P53 + 0.5 * ($R53 / MAX(ABS($R53:$R102))) &gt; 0, "Raise", "Hold"), $S53)</f>
        <v>Raise</v>
      </c>
      <c r="U53" s="22">
        <f t="shared" si="9"/>
        <v>292.05233671227234</v>
      </c>
      <c r="V53" s="22">
        <f t="shared" si="0"/>
        <v>61.712336712272332</v>
      </c>
      <c r="W53" s="3">
        <f t="shared" si="1"/>
        <v>0.26791845407776477</v>
      </c>
      <c r="X53" s="22">
        <f t="shared" si="10"/>
        <v>18.087336712272361</v>
      </c>
      <c r="Y53" s="3">
        <f t="shared" si="11"/>
        <v>6.6020611071751362E-2</v>
      </c>
      <c r="Z53" s="3">
        <f t="shared" si="2"/>
        <v>-0.10716738163110591</v>
      </c>
      <c r="AA53" s="24" cm="1">
        <f t="array" ref="AA53">ROUND(_xlfn.XLOOKUP($A53, 'Competitive Analysis (Step 1)'!$A$10:$A$209,_xlfn.ANCHORARRAY( 'Competitive Analysis (Step 1)'!$Q$10), , 0) * (1+$Z53), 0)</f>
        <v>19</v>
      </c>
      <c r="AB53" s="22">
        <f t="shared" si="12"/>
        <v>5548.9943975331744</v>
      </c>
      <c r="AC53" s="23" cm="1">
        <f t="array" ref="AC53">$AB53 - _xlfn.XLOOKUP($A53, 'Competitive Analysis (Step 1)'!$A$10:$A$209,_xlfn.ANCHORARRAY( 'Competitive Analysis (Step 1)'!$R$10), ,0)</f>
        <v>711.85439753317496</v>
      </c>
      <c r="AD53" s="21" cm="1">
        <f t="array" ref="AD53">$AC53 / _xlfn.XLOOKUP($A53, 'Competitive Analysis (Step 1)'!$A$10:$A$209,_xlfn.ANCHORARRAY( 'Competitive Analysis (Step 1)'!$V$10), ,0)</f>
        <v>0.17121556589255346</v>
      </c>
      <c r="AE53" s="23">
        <f>$AA53 * _xlfn.XLOOKUP($A53, _1_product_catalog_pricing[SKU], _1_product_catalog_pricing[Cost Price ($)], , 0)</f>
        <v>1418.92</v>
      </c>
      <c r="AF53" s="23" cm="1">
        <f t="array" ref="AF53">$AE53 - _xlfn.XLOOKUP($A53, 'Competitive Analysis (Step 1)'!$A$10:$A$209,_xlfn.ANCHORARRAY( 'Competitive Analysis (Step 1)'!$S$10),,0)</f>
        <v>-149.35999999999967</v>
      </c>
      <c r="AG53" s="21" cm="1">
        <f t="array" ref="AG53">$AF53 / _xlfn.XLOOKUP($A53, 'Competitive Analysis (Step 1)'!$A$10:$A$209,_xlfn.ANCHORARRAY( 'Competitive Analysis (Step 1)'!$S$10),,0)</f>
        <v>-9.5238095238095039E-2</v>
      </c>
      <c r="AH53" s="28">
        <f t="shared" si="3"/>
        <v>4130.0743975331743</v>
      </c>
      <c r="AI53" s="23" cm="1">
        <f t="array" ref="AI53">$AH53 - _xlfn.XLOOKUP($A53, 'Competitive Analysis (Step 1)'!$A$10:$A$209,_xlfn.ANCHORARRAY( 'Competitive Analysis (Step 1)'!$T$10),,0)</f>
        <v>861.21439753317463</v>
      </c>
      <c r="AJ53" s="9">
        <f t="shared" si="13"/>
        <v>0.74429240717366985</v>
      </c>
      <c r="AK53" s="21" cm="1">
        <f t="array" ref="AK53">$AI53 / _xlfn.XLOOKUP($A53, 'Competitive Analysis (Step 1)'!$A$10:$A$209,_xlfn.ANCHORARRAY( 'Competitive Analysis (Step 1)'!$T$10),,0)</f>
        <v>0.26346016578659676</v>
      </c>
      <c r="AL53" t="str">
        <f t="shared" si="14"/>
        <v>Full</v>
      </c>
    </row>
    <row r="54" spans="1:38">
      <c r="A54" s="24" t="str">
        <v>SKU-1032</v>
      </c>
      <c r="B54" s="24" t="str">
        <v>Shampoo Bar</v>
      </c>
      <c r="C54" s="24" t="str">
        <v>Beauty &amp; Personal Care</v>
      </c>
      <c r="D54" s="23">
        <v>223.89</v>
      </c>
      <c r="E54" s="23">
        <v>74.989999999999995</v>
      </c>
      <c r="F54" s="24" cm="1">
        <f t="array" ref="F54">_xlfn.XLOOKUP($A54,'Competitive Analysis (Step 1)'!$A$10:$A$209,_xlfn.ANCHORARRAY( 'Competitive Analysis (Step 1)'!$P$10),,0)</f>
        <v>224</v>
      </c>
      <c r="G54" s="31" cm="1">
        <f t="array" ref="G54">SUMPRODUCT((Transactions_and_Customer_Information_Joined[SKU]='V1 Pricing Model (Step 2)'!$A54) * (Transactions_and_Customer_Information_Joined[Order Status]="Completed") * (Transactions_and_Customer_Information_Joined[Quantity])) / 12</f>
        <v>1.5</v>
      </c>
      <c r="H54" s="13">
        <f t="shared" si="4"/>
        <v>149.33333333333334</v>
      </c>
      <c r="I54" s="9">
        <f t="shared" si="5"/>
        <v>0.66505873419983019</v>
      </c>
      <c r="J54" s="23" cm="1">
        <f t="array" ref="J54">(SMALL(IF('Competitive Analysis (Step 1)'!$A$10:$A$209=$A54,'Competitive Analysis (Step 1)'!$D$10:$D$209),2)+SMALL(IF('Competitive Analysis (Step 1)'!$A$10:$A$209=$A54,'Competitive Analysis (Step 1)'!$D$10:$D$209),3))/2</f>
        <v>252.53</v>
      </c>
      <c r="K54" s="22">
        <f t="shared" si="6"/>
        <v>28.640000000000015</v>
      </c>
      <c r="L54" s="12">
        <f t="shared" si="7"/>
        <v>0.12791996069498421</v>
      </c>
      <c r="M54" s="24">
        <v>4.7</v>
      </c>
      <c r="N54" s="24">
        <v>3.9749999999999996</v>
      </c>
      <c r="O54">
        <v>0.72500000000000053</v>
      </c>
      <c r="P54" s="3" cm="1">
        <f t="array" ref="P54">MEDIAN(IF($C$22:$C$71=$C54, $I$22:$I$71))</f>
        <v>0.65726131531364473</v>
      </c>
      <c r="Q54" s="34" cm="1">
        <f t="array" ref="Q54">_xlfn.LET(
    _xlpm.stock, $F54,
    _xlpm.stock_ratio, $H54,
    _xlpm.cat_ratios, IF($C$22:$C$71=$C54, $H$22:$H$71),
    _xlpm.cat_median, MEDIAN(_xlpm.cat_ratios),
    _xlpm.cat_stdev, STDEV(IF($C$22:$C$71=$C54, $H$22:$H$71)),
    _xlpm.z_score, IF(_xlpm.cat_stdev = 0, 0, (_xlpm.stock_ratio - _xlpm.cat_median) / _xlpm.cat_stdev),
    _xlpm.capped_z, MIN(MAX(_xlpm.z_score, -2), 2),
    IF(_xlpm.stock &lt; $B$18, 0, 1 + $B$19 * _xlpm.capped_z)
)</f>
        <v>0.99022378553316182</v>
      </c>
      <c r="R54" s="42" cm="1">
        <f t="array" ref="R54">_xlfn.LET(
    _xlpm.sku, $A54,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$D54,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5.954494427822029E-2</v>
      </c>
      <c r="S54" s="4" t="str">
        <f t="shared" si="8"/>
        <v>Reduce</v>
      </c>
      <c r="T54" s="4" t="str" cm="1">
        <f t="array" ref="T54">IF($S54="Hold", IF(0.5 * ($P54-$I54) / $P54 + 0.5 * ($R54 / MAX(ABS($R54:$R103))) &gt; 0, "Raise", "Hold"), $S54)</f>
        <v>Reduce</v>
      </c>
      <c r="U54" s="22">
        <f t="shared" si="9"/>
        <v>245.05998830009713</v>
      </c>
      <c r="V54" s="22">
        <f t="shared" ref="V54:V71" si="15">$U54-$D54</f>
        <v>21.169988300097145</v>
      </c>
      <c r="W54" s="3">
        <f t="shared" ref="W54:W71" si="16">$V54/$D54</f>
        <v>9.4555309750757724E-2</v>
      </c>
      <c r="X54" s="22">
        <f t="shared" si="10"/>
        <v>-7.4700116999028694</v>
      </c>
      <c r="Y54" s="3">
        <f t="shared" si="11"/>
        <v>-2.9580690214639327E-2</v>
      </c>
      <c r="Z54" s="3">
        <f t="shared" ref="Z54:Z71" si="17">IF($V54 = 0, 0, IF($S54="Reduce", $W54*$B$13, $W54*$B$12))</f>
        <v>-7.564424780060619E-2</v>
      </c>
      <c r="AA54" s="24" cm="1">
        <f t="array" ref="AA54">ROUND(_xlfn.XLOOKUP($A54, 'Competitive Analysis (Step 1)'!$A$10:$A$209,_xlfn.ANCHORARRAY( 'Competitive Analysis (Step 1)'!$Q$10), , 0) * (1+$Z54), 0)</f>
        <v>17</v>
      </c>
      <c r="AB54" s="22">
        <f t="shared" si="12"/>
        <v>4166.019801101651</v>
      </c>
      <c r="AC54" s="23" cm="1">
        <f t="array" ref="AC54">$AB54 - _xlfn.XLOOKUP($A54, 'Competitive Analysis (Step 1)'!$A$10:$A$209,_xlfn.ANCHORARRAY( 'Competitive Analysis (Step 1)'!$R$10), ,0)</f>
        <v>972.6398011016513</v>
      </c>
      <c r="AD54" s="21" cm="1">
        <f t="array" ref="AD54">$AC54 / _xlfn.XLOOKUP($A54, 'Competitive Analysis (Step 1)'!$A$10:$A$209,_xlfn.ANCHORARRAY( 'Competitive Analysis (Step 1)'!$V$10), ,0)</f>
        <v>0.33842132221139209</v>
      </c>
      <c r="AE54" s="23">
        <f>$AA54 * _xlfn.XLOOKUP($A54, _1_product_catalog_pricing[SKU], _1_product_catalog_pricing[Cost Price ($)], , 0)</f>
        <v>1274.83</v>
      </c>
      <c r="AF54" s="23" cm="1">
        <f t="array" ref="AF54">$AE54 - _xlfn.XLOOKUP($A54, 'Competitive Analysis (Step 1)'!$A$10:$A$209,_xlfn.ANCHORARRAY( 'Competitive Analysis (Step 1)'!$S$10),,0)</f>
        <v>-74.990000000000009</v>
      </c>
      <c r="AG54" s="21" cm="1">
        <f t="array" ref="AG54">$AF54 / _xlfn.XLOOKUP($A54, 'Competitive Analysis (Step 1)'!$A$10:$A$209,_xlfn.ANCHORARRAY( 'Competitive Analysis (Step 1)'!$S$10),,0)</f>
        <v>-5.5555555555555566E-2</v>
      </c>
      <c r="AH54" s="28">
        <f t="shared" ref="AH54:AH71" si="18">$AB54-$AE54</f>
        <v>2891.189801101651</v>
      </c>
      <c r="AI54" s="23" cm="1">
        <f t="array" ref="AI54">$AH54 - _xlfn.XLOOKUP($A54, 'Competitive Analysis (Step 1)'!$A$10:$A$209,_xlfn.ANCHORARRAY( 'Competitive Analysis (Step 1)'!$T$10),,0)</f>
        <v>1047.6298011016513</v>
      </c>
      <c r="AJ54" s="9">
        <f t="shared" si="13"/>
        <v>0.69399329315168223</v>
      </c>
      <c r="AK54" s="21" cm="1">
        <f t="array" ref="AK54">$AI54 / _xlfn.XLOOKUP($A54, 'Competitive Analysis (Step 1)'!$A$10:$A$209,_xlfn.ANCHORARRAY( 'Competitive Analysis (Step 1)'!$T$10),,0)</f>
        <v>0.56826455396171072</v>
      </c>
      <c r="AL54" t="str">
        <f t="shared" si="14"/>
        <v>Full</v>
      </c>
    </row>
    <row r="55" spans="1:38">
      <c r="A55" s="24" t="str">
        <v>SKU-1033</v>
      </c>
      <c r="B55" s="24" t="str">
        <v>Electric Toothbrush</v>
      </c>
      <c r="C55" s="24" t="str">
        <v>Beauty &amp; Personal Care</v>
      </c>
      <c r="D55" s="23">
        <v>224.77</v>
      </c>
      <c r="E55" s="23">
        <v>78.790000000000006</v>
      </c>
      <c r="F55" s="24" cm="1">
        <f t="array" ref="F55">_xlfn.XLOOKUP($A55,'Competitive Analysis (Step 1)'!$A$10:$A$209,_xlfn.ANCHORARRAY( 'Competitive Analysis (Step 1)'!$P$10),,0)</f>
        <v>477</v>
      </c>
      <c r="G55" s="31" cm="1">
        <f t="array" ref="G55">SUMPRODUCT((Transactions_and_Customer_Information_Joined[SKU]='V1 Pricing Model (Step 2)'!$A55) * (Transactions_and_Customer_Information_Joined[Order Status]="Completed") * (Transactions_and_Customer_Information_Joined[Quantity])) / 12</f>
        <v>1.25</v>
      </c>
      <c r="H55" s="13">
        <f t="shared" si="4"/>
        <v>381.6</v>
      </c>
      <c r="I55" s="9">
        <f t="shared" si="5"/>
        <v>0.64946389642745928</v>
      </c>
      <c r="J55" s="23" cm="1">
        <f t="array" ref="J55">(SMALL(IF('Competitive Analysis (Step 1)'!$A$10:$A$209=$A55,'Competitive Analysis (Step 1)'!$D$10:$D$209),2)+SMALL(IF('Competitive Analysis (Step 1)'!$A$10:$A$209=$A55,'Competitive Analysis (Step 1)'!$D$10:$D$209),3))/2</f>
        <v>251.82999999999998</v>
      </c>
      <c r="K55" s="22">
        <f t="shared" si="6"/>
        <v>27.059999999999974</v>
      </c>
      <c r="L55" s="12">
        <f t="shared" si="7"/>
        <v>0.12038973172576399</v>
      </c>
      <c r="M55" s="24">
        <v>4.3</v>
      </c>
      <c r="N55" s="24">
        <v>3.7249999999999996</v>
      </c>
      <c r="O55">
        <v>0.57500000000000018</v>
      </c>
      <c r="P55" s="3" cm="1">
        <f t="array" ref="P55">MEDIAN(IF($C$22:$C$71=$C55, $I$22:$I$71))</f>
        <v>0.65726131531364473</v>
      </c>
      <c r="Q55" s="34" cm="1">
        <f t="array" ref="Q55">_xlfn.LET(
    _xlpm.stock, $F55,
    _xlpm.stock_ratio, $H55,
    _xlpm.cat_ratios, IF($C$22:$C$71=$C55, $H$22:$H$71),
    _xlpm.cat_median, MEDIAN(_xlpm.cat_ratios),
    _xlpm.cat_stdev, STDEV(IF($C$22:$C$71=$C55, $H$22:$H$71)),
    _xlpm.z_score, IF(_xlpm.cat_stdev = 0, 0, (_xlpm.stock_ratio - _xlpm.cat_median) / _xlpm.cat_stdev),
    _xlpm.capped_z, MIN(MAX(_xlpm.z_score, -2), 2),
    IF(_xlpm.stock &lt; $B$18, 0, 1 + $B$19 * _xlpm.capped_z)
)</f>
        <v>0.96</v>
      </c>
      <c r="R55" s="42" cm="1">
        <f t="array" ref="R55">_xlfn.LET(
    _xlpm.sku, $A55,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$D55,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3.9810540166540079E-2</v>
      </c>
      <c r="S55" s="4" t="str">
        <f t="shared" si="8"/>
        <v>Hold</v>
      </c>
      <c r="T55" s="4" t="str" cm="1">
        <f t="array" ref="T55">IF($S55="Hold", IF(0.5 * ($P55-$I55) / $P55 + 0.5 * ($R55 / MAX(ABS($R55:$R104))) &gt; 0, "Raise", "Hold"), $S55)</f>
        <v>Raise</v>
      </c>
      <c r="U55" s="22">
        <f t="shared" si="9"/>
        <v>258.01494479999997</v>
      </c>
      <c r="V55" s="22">
        <f t="shared" si="15"/>
        <v>33.244944799999956</v>
      </c>
      <c r="W55" s="3">
        <f t="shared" si="16"/>
        <v>0.14790650353694867</v>
      </c>
      <c r="X55" s="22">
        <f t="shared" si="10"/>
        <v>6.1849447999999825</v>
      </c>
      <c r="Y55" s="3">
        <f t="shared" si="11"/>
        <v>2.4559999999999933E-2</v>
      </c>
      <c r="Z55" s="3">
        <f t="shared" si="17"/>
        <v>-5.916260141477947E-2</v>
      </c>
      <c r="AA55" s="24" cm="1">
        <f t="array" ref="AA55">ROUND(_xlfn.XLOOKUP($A55, 'Competitive Analysis (Step 1)'!$A$10:$A$209,_xlfn.ANCHORARRAY( 'Competitive Analysis (Step 1)'!$Q$10), , 0) * (1+$Z55), 0)</f>
        <v>14</v>
      </c>
      <c r="AB55" s="22">
        <f t="shared" si="12"/>
        <v>3612.2092271999995</v>
      </c>
      <c r="AC55" s="23" cm="1">
        <f t="array" ref="AC55">$AB55 - _xlfn.XLOOKUP($A55, 'Competitive Analysis (Step 1)'!$A$10:$A$209,_xlfn.ANCHORARRAY( 'Competitive Analysis (Step 1)'!$R$10), ,0)</f>
        <v>689.15922719999935</v>
      </c>
      <c r="AD55" s="21" cm="1">
        <f t="array" ref="AD55">$AC55 / _xlfn.XLOOKUP($A55, 'Competitive Analysis (Step 1)'!$A$10:$A$209,_xlfn.ANCHORARRAY( 'Competitive Analysis (Step 1)'!$V$10), ,0)</f>
        <v>0.2544243464392511</v>
      </c>
      <c r="AE55" s="23">
        <f>$AA55 * _xlfn.XLOOKUP($A55, _1_product_catalog_pricing[SKU], _1_product_catalog_pricing[Cost Price ($)], , 0)</f>
        <v>1103.0600000000002</v>
      </c>
      <c r="AF55" s="23" cm="1">
        <f t="array" ref="AF55">$AE55 - _xlfn.XLOOKUP($A55, 'Competitive Analysis (Step 1)'!$A$10:$A$209,_xlfn.ANCHORARRAY( 'Competitive Analysis (Step 1)'!$S$10),,0)</f>
        <v>-78.789999999999964</v>
      </c>
      <c r="AG55" s="21" cm="1">
        <f t="array" ref="AG55">$AF55 / _xlfn.XLOOKUP($A55, 'Competitive Analysis (Step 1)'!$A$10:$A$209,_xlfn.ANCHORARRAY( 'Competitive Analysis (Step 1)'!$S$10),,0)</f>
        <v>-6.6666666666666624E-2</v>
      </c>
      <c r="AH55" s="28">
        <f t="shared" si="18"/>
        <v>2509.1492271999996</v>
      </c>
      <c r="AI55" s="23" cm="1">
        <f t="array" ref="AI55">$AH55 - _xlfn.XLOOKUP($A55, 'Competitive Analysis (Step 1)'!$A$10:$A$209,_xlfn.ANCHORARRAY( 'Competitive Analysis (Step 1)'!$T$10),,0)</f>
        <v>767.94922719999954</v>
      </c>
      <c r="AJ55" s="9">
        <f t="shared" si="13"/>
        <v>0.6946300918302466</v>
      </c>
      <c r="AK55" s="21" cm="1">
        <f t="array" ref="AK55">$AI55 / _xlfn.XLOOKUP($A55, 'Competitive Analysis (Step 1)'!$A$10:$A$209,_xlfn.ANCHORARRAY( 'Competitive Analysis (Step 1)'!$T$10),,0)</f>
        <v>0.44104596094647341</v>
      </c>
      <c r="AL55" t="str">
        <f t="shared" si="14"/>
        <v>Full</v>
      </c>
    </row>
    <row r="56" spans="1:38">
      <c r="A56" s="24" t="str">
        <v>SKU-1034</v>
      </c>
      <c r="B56" s="24" t="str">
        <v>Face Mask Kit</v>
      </c>
      <c r="C56" s="24" t="str">
        <v>Beauty &amp; Personal Care</v>
      </c>
      <c r="D56" s="23">
        <v>196.28</v>
      </c>
      <c r="E56" s="23">
        <v>71.73</v>
      </c>
      <c r="F56" s="24" cm="1">
        <f t="array" ref="F56">_xlfn.XLOOKUP($A56,'Competitive Analysis (Step 1)'!$A$10:$A$209,_xlfn.ANCHORARRAY( 'Competitive Analysis (Step 1)'!$P$10),,0)</f>
        <v>309</v>
      </c>
      <c r="G56" s="31" cm="1">
        <f t="array" ref="G56">SUMPRODUCT((Transactions_and_Customer_Information_Joined[SKU]='V1 Pricing Model (Step 2)'!$A56) * (Transactions_and_Customer_Information_Joined[Order Status]="Completed") * (Transactions_and_Customer_Information_Joined[Quantity])) / 12</f>
        <v>3.1666666666666665</v>
      </c>
      <c r="H56" s="13">
        <f t="shared" si="4"/>
        <v>97.578947368421055</v>
      </c>
      <c r="I56" s="9">
        <f t="shared" si="5"/>
        <v>0.63455267984511921</v>
      </c>
      <c r="J56" s="23" cm="1">
        <f t="array" ref="J56">(SMALL(IF('Competitive Analysis (Step 1)'!$A$10:$A$209=$A56,'Competitive Analysis (Step 1)'!$D$10:$D$209),2)+SMALL(IF('Competitive Analysis (Step 1)'!$A$10:$A$209=$A56,'Competitive Analysis (Step 1)'!$D$10:$D$209),3))/2</f>
        <v>221.595</v>
      </c>
      <c r="K56" s="22">
        <f t="shared" si="6"/>
        <v>25.314999999999998</v>
      </c>
      <c r="L56" s="12">
        <f t="shared" si="7"/>
        <v>0.12897391481556958</v>
      </c>
      <c r="M56" s="24">
        <v>3.4</v>
      </c>
      <c r="N56" s="24">
        <v>3.9499999999999997</v>
      </c>
      <c r="O56">
        <v>-0.54999999999999982</v>
      </c>
      <c r="P56" s="3" cm="1">
        <f t="array" ref="P56">MEDIAN(IF($C$22:$C$71=$C56, $I$22:$I$71))</f>
        <v>0.65726131531364473</v>
      </c>
      <c r="Q56" s="34" cm="1">
        <f t="array" ref="Q56">_xlfn.LET(
    _xlpm.stock, $F56,
    _xlpm.stock_ratio, $H56,
    _xlpm.cat_ratios, IF($C$22:$C$71=$C56, $H$22:$H$71),
    _xlpm.cat_median, MEDIAN(_xlpm.cat_ratios),
    _xlpm.cat_stdev, STDEV(IF($C$22:$C$71=$C56, $H$22:$H$71)),
    _xlpm.z_score, IF(_xlpm.cat_stdev = 0, 0, (_xlpm.stock_ratio - _xlpm.cat_median) / _xlpm.cat_stdev),
    _xlpm.capped_z, MIN(MAX(_xlpm.z_score, -2), 2),
    IF(_xlpm.stock &lt; $B$18, 0, 1 + $B$19 * _xlpm.capped_z)
)</f>
        <v>0.9994542882801094</v>
      </c>
      <c r="R56" s="42" cm="1">
        <f t="array" ref="R56">_xlfn.LET(
    _xlpm.sku, $A56,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$D56,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-0.11214233506263691</v>
      </c>
      <c r="S56" s="4" t="str">
        <f t="shared" si="8"/>
        <v>Raise</v>
      </c>
      <c r="T56" s="4" t="str" cm="1">
        <f t="array" ref="T56">IF($S56="Hold", IF(0.5 * ($P56-$I56) / $P56 + 0.5 * ($R56 / MAX(ABS($R56:$R105))) &gt; 0, "Raise", "Hold"), $S56)</f>
        <v>Raise</v>
      </c>
      <c r="U56" s="22">
        <f t="shared" si="9"/>
        <v>228.89345445731379</v>
      </c>
      <c r="V56" s="22">
        <f t="shared" si="15"/>
        <v>32.613454457313793</v>
      </c>
      <c r="W56" s="3">
        <f t="shared" si="16"/>
        <v>0.16615780750618397</v>
      </c>
      <c r="X56" s="22">
        <f t="shared" si="10"/>
        <v>7.2984544573137953</v>
      </c>
      <c r="Y56" s="3">
        <f t="shared" si="11"/>
        <v>3.2936006937493156E-2</v>
      </c>
      <c r="Z56" s="3">
        <f t="shared" si="17"/>
        <v>-6.646312300247359E-2</v>
      </c>
      <c r="AA56" s="24" cm="1">
        <f t="array" ref="AA56">ROUND(_xlfn.XLOOKUP($A56, 'Competitive Analysis (Step 1)'!$A$10:$A$209,_xlfn.ANCHORARRAY( 'Competitive Analysis (Step 1)'!$Q$10), , 0) * (1+$Z56), 0)</f>
        <v>35</v>
      </c>
      <c r="AB56" s="22">
        <f t="shared" si="12"/>
        <v>8011.2709060059824</v>
      </c>
      <c r="AC56" s="23" cm="1">
        <f t="array" ref="AC56">$AB56 - _xlfn.XLOOKUP($A56, 'Competitive Analysis (Step 1)'!$A$10:$A$209,_xlfn.ANCHORARRAY( 'Competitive Analysis (Step 1)'!$R$10), ,0)</f>
        <v>552.63090600598207</v>
      </c>
      <c r="AD56" s="21" cm="1">
        <f t="array" ref="AD56">$AC56 / _xlfn.XLOOKUP($A56, 'Competitive Analysis (Step 1)'!$A$10:$A$209,_xlfn.ANCHORARRAY( 'Competitive Analysis (Step 1)'!$V$10), ,0)</f>
        <v>7.8976832186615858E-2</v>
      </c>
      <c r="AE56" s="23">
        <f>$AA56 * _xlfn.XLOOKUP($A56, _1_product_catalog_pricing[SKU], _1_product_catalog_pricing[Cost Price ($)], , 0)</f>
        <v>2510.5500000000002</v>
      </c>
      <c r="AF56" s="23" cm="1">
        <f t="array" ref="AF56">$AE56 - _xlfn.XLOOKUP($A56, 'Competitive Analysis (Step 1)'!$A$10:$A$209,_xlfn.ANCHORARRAY( 'Competitive Analysis (Step 1)'!$S$10),,0)</f>
        <v>-215.19000000000005</v>
      </c>
      <c r="AG56" s="21" cm="1">
        <f t="array" ref="AG56">$AF56 / _xlfn.XLOOKUP($A56, 'Competitive Analysis (Step 1)'!$A$10:$A$209,_xlfn.ANCHORARRAY( 'Competitive Analysis (Step 1)'!$S$10),,0)</f>
        <v>-7.8947368421052641E-2</v>
      </c>
      <c r="AH56" s="28">
        <f t="shared" si="18"/>
        <v>5500.7209060059822</v>
      </c>
      <c r="AI56" s="23" cm="1">
        <f t="array" ref="AI56">$AH56 - _xlfn.XLOOKUP($A56, 'Competitive Analysis (Step 1)'!$A$10:$A$209,_xlfn.ANCHORARRAY( 'Competitive Analysis (Step 1)'!$T$10),,0)</f>
        <v>767.82090600598258</v>
      </c>
      <c r="AJ56" s="9">
        <f t="shared" si="13"/>
        <v>0.68662275568313857</v>
      </c>
      <c r="AK56" s="21" cm="1">
        <f t="array" ref="AK56">$AI56 / _xlfn.XLOOKUP($A56, 'Competitive Analysis (Step 1)'!$A$10:$A$209,_xlfn.ANCHORARRAY( 'Competitive Analysis (Step 1)'!$T$10),,0)</f>
        <v>0.16223053645882707</v>
      </c>
      <c r="AL56" t="str">
        <f t="shared" si="14"/>
        <v>Full</v>
      </c>
    </row>
    <row r="57" spans="1:38">
      <c r="A57" s="24" t="str">
        <v>SKU-1035</v>
      </c>
      <c r="B57" s="24" t="str">
        <v>Lip Balm Set</v>
      </c>
      <c r="C57" s="24" t="str">
        <v>Beauty &amp; Personal Care</v>
      </c>
      <c r="D57" s="23">
        <v>98.58</v>
      </c>
      <c r="E57" s="23">
        <v>52.57</v>
      </c>
      <c r="F57" s="24" cm="1">
        <f t="array" ref="F57">_xlfn.XLOOKUP($A57,'Competitive Analysis (Step 1)'!$A$10:$A$209,_xlfn.ANCHORARRAY( 'Competitive Analysis (Step 1)'!$P$10),,0)</f>
        <v>47</v>
      </c>
      <c r="G57" s="31" cm="1">
        <f t="array" ref="G57">SUMPRODUCT((Transactions_and_Customer_Information_Joined[SKU]='V1 Pricing Model (Step 2)'!$A57) * (Transactions_and_Customer_Information_Joined[Order Status]="Completed") * (Transactions_and_Customer_Information_Joined[Quantity])) / 12</f>
        <v>2.1666666666666665</v>
      </c>
      <c r="H57" s="13">
        <f t="shared" si="4"/>
        <v>21.692307692307693</v>
      </c>
      <c r="I57" s="9">
        <f t="shared" si="5"/>
        <v>0.46672753093933861</v>
      </c>
      <c r="J57" s="23" cm="1">
        <f t="array" ref="J57">(SMALL(IF('Competitive Analysis (Step 1)'!$A$10:$A$209=$A57,'Competitive Analysis (Step 1)'!$D$10:$D$209),2)+SMALL(IF('Competitive Analysis (Step 1)'!$A$10:$A$209=$A57,'Competitive Analysis (Step 1)'!$D$10:$D$209),3))/2</f>
        <v>94.424999999999997</v>
      </c>
      <c r="K57" s="22">
        <f t="shared" si="6"/>
        <v>-4.1550000000000011</v>
      </c>
      <c r="L57" s="12">
        <f t="shared" si="7"/>
        <v>-4.214850882531955E-2</v>
      </c>
      <c r="M57" s="24">
        <v>4.3</v>
      </c>
      <c r="N57" s="24">
        <v>3.7749999999999999</v>
      </c>
      <c r="O57">
        <v>0.52499999999999991</v>
      </c>
      <c r="P57" s="3" cm="1">
        <f t="array" ref="P57">MEDIAN(IF($C$22:$C$71=$C57, $I$22:$I$71))</f>
        <v>0.65726131531364473</v>
      </c>
      <c r="Q57" s="34" cm="1">
        <f t="array" ref="Q57">_xlfn.LET(
    _xlpm.stock, $F57,
    _xlpm.stock_ratio, $H57,
    _xlpm.cat_ratios, IF($C$22:$C$71=$C57, $H$22:$H$71),
    _xlpm.cat_median, MEDIAN(_xlpm.cat_ratios),
    _xlpm.cat_stdev, STDEV(IF($C$22:$C$71=$C57, $H$22:$H$71)),
    _xlpm.z_score, IF(_xlpm.cat_stdev = 0, 0, (_xlpm.stock_ratio - _xlpm.cat_median) / _xlpm.cat_stdev),
    _xlpm.capped_z, MIN(MAX(_xlpm.z_score, -2), 2),
    IF(_xlpm.stock &lt; $B$18, 0, 1 + $B$19 * _xlpm.capped_z)
)</f>
        <v>1.0129888288398581</v>
      </c>
      <c r="R57" s="42" cm="1">
        <f t="array" ref="R57">_xlfn.LET(
    _xlpm.sku, $A57,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$D57,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7.0912675327777702E-2</v>
      </c>
      <c r="S57" s="4" t="str">
        <f t="shared" si="8"/>
        <v>Reduce</v>
      </c>
      <c r="T57" s="4" t="str" cm="1">
        <f t="array" ref="T57">IF($S57="Hold", IF(0.5 * ($P57-$I57) / $P57 + 0.5 * ($R57 / MAX(ABS($R57:$R106))) &gt; 0, "Raise", "Hold"), $S57)</f>
        <v>Reduce</v>
      </c>
      <c r="U57" s="22">
        <f t="shared" si="9"/>
        <v>98.58</v>
      </c>
      <c r="V57" s="22">
        <f t="shared" si="15"/>
        <v>0</v>
      </c>
      <c r="W57" s="3">
        <f t="shared" si="16"/>
        <v>0</v>
      </c>
      <c r="X57" s="22">
        <f t="shared" si="10"/>
        <v>4.1550000000000011</v>
      </c>
      <c r="Y57" s="3">
        <f t="shared" si="11"/>
        <v>4.4003177124702156E-2</v>
      </c>
      <c r="Z57" s="3">
        <f t="shared" si="17"/>
        <v>0</v>
      </c>
      <c r="AA57" s="24" cm="1">
        <f t="array" ref="AA57">ROUND(_xlfn.XLOOKUP($A57, 'Competitive Analysis (Step 1)'!$A$10:$A$209,_xlfn.ANCHORARRAY( 'Competitive Analysis (Step 1)'!$Q$10), , 0) * (1+$Z57), 0)</f>
        <v>26</v>
      </c>
      <c r="AB57" s="22">
        <f t="shared" si="12"/>
        <v>2563.08</v>
      </c>
      <c r="AC57" s="23" cm="1">
        <f t="array" ref="AC57">$AB57 - _xlfn.XLOOKUP($A57, 'Competitive Analysis (Step 1)'!$A$10:$A$209,_xlfn.ANCHORARRAY( 'Competitive Analysis (Step 1)'!$R$10), ,0)</f>
        <v>0</v>
      </c>
      <c r="AD57" s="21" cm="1">
        <f t="array" ref="AD57">$AC57 / _xlfn.XLOOKUP($A57, 'Competitive Analysis (Step 1)'!$A$10:$A$209,_xlfn.ANCHORARRAY( 'Competitive Analysis (Step 1)'!$V$10), ,0)</f>
        <v>0</v>
      </c>
      <c r="AE57" s="23">
        <f>$AA57 * _xlfn.XLOOKUP($A57, _1_product_catalog_pricing[SKU], _1_product_catalog_pricing[Cost Price ($)], , 0)</f>
        <v>1366.82</v>
      </c>
      <c r="AF57" s="23" cm="1">
        <f t="array" ref="AF57">$AE57 - _xlfn.XLOOKUP($A57, 'Competitive Analysis (Step 1)'!$A$10:$A$209,_xlfn.ANCHORARRAY( 'Competitive Analysis (Step 1)'!$S$10),,0)</f>
        <v>0</v>
      </c>
      <c r="AG57" s="21" cm="1">
        <f t="array" ref="AG57">$AF57 / _xlfn.XLOOKUP($A57, 'Competitive Analysis (Step 1)'!$A$10:$A$209,_xlfn.ANCHORARRAY( 'Competitive Analysis (Step 1)'!$S$10),,0)</f>
        <v>0</v>
      </c>
      <c r="AH57" s="28">
        <f t="shared" si="18"/>
        <v>1196.26</v>
      </c>
      <c r="AI57" s="23" cm="1">
        <f t="array" ref="AI57">$AH57 - _xlfn.XLOOKUP($A57, 'Competitive Analysis (Step 1)'!$A$10:$A$209,_xlfn.ANCHORARRAY( 'Competitive Analysis (Step 1)'!$T$10),,0)</f>
        <v>0</v>
      </c>
      <c r="AJ57" s="9">
        <f t="shared" si="13"/>
        <v>0.46672753093933861</v>
      </c>
      <c r="AK57" s="21" cm="1">
        <f t="array" ref="AK57">$AI57 / _xlfn.XLOOKUP($A57, 'Competitive Analysis (Step 1)'!$A$10:$A$209,_xlfn.ANCHORARRAY( 'Competitive Analysis (Step 1)'!$T$10),,0)</f>
        <v>0</v>
      </c>
      <c r="AL57" t="str">
        <f t="shared" si="14"/>
        <v>Constrained</v>
      </c>
    </row>
    <row r="58" spans="1:38">
      <c r="A58" s="24" t="str">
        <v>SKU-1036</v>
      </c>
      <c r="B58" s="24" t="str">
        <v>Body Lotion</v>
      </c>
      <c r="C58" s="24" t="str">
        <v>Beauty &amp; Personal Care</v>
      </c>
      <c r="D58" s="23">
        <v>49.1</v>
      </c>
      <c r="E58" s="23">
        <v>30.02</v>
      </c>
      <c r="F58" s="24" cm="1">
        <f t="array" ref="F58">_xlfn.XLOOKUP($A58,'Competitive Analysis (Step 1)'!$A$10:$A$209,_xlfn.ANCHORARRAY( 'Competitive Analysis (Step 1)'!$P$10),,0)</f>
        <v>282</v>
      </c>
      <c r="G58" s="31" cm="1">
        <f t="array" ref="G58">SUMPRODUCT((Transactions_and_Customer_Information_Joined[SKU]='V1 Pricing Model (Step 2)'!$A58) * (Transactions_and_Customer_Information_Joined[Order Status]="Completed") * (Transactions_and_Customer_Information_Joined[Quantity])) / 12</f>
        <v>3.0833333333333335</v>
      </c>
      <c r="H58" s="13">
        <f t="shared" si="4"/>
        <v>91.459459459459453</v>
      </c>
      <c r="I58" s="9">
        <f t="shared" si="5"/>
        <v>0.38859470468431773</v>
      </c>
      <c r="J58" s="23" cm="1">
        <f t="array" ref="J58">(SMALL(IF('Competitive Analysis (Step 1)'!$A$10:$A$209=$A58,'Competitive Analysis (Step 1)'!$D$10:$D$209),2)+SMALL(IF('Competitive Analysis (Step 1)'!$A$10:$A$209=$A58,'Competitive Analysis (Step 1)'!$D$10:$D$209),3))/2</f>
        <v>49.185000000000002</v>
      </c>
      <c r="K58" s="22">
        <f t="shared" si="6"/>
        <v>8.5000000000000853E-2</v>
      </c>
      <c r="L58" s="12">
        <f t="shared" si="7"/>
        <v>1.7311608961303635E-3</v>
      </c>
      <c r="M58" s="24">
        <v>4.4000000000000004</v>
      </c>
      <c r="N58" s="24">
        <v>4</v>
      </c>
      <c r="O58">
        <v>0.40000000000000036</v>
      </c>
      <c r="P58" s="3" cm="1">
        <f t="array" ref="P58">MEDIAN(IF($C$22:$C$71=$C58, $I$22:$I$71))</f>
        <v>0.65726131531364473</v>
      </c>
      <c r="Q58" s="34" cm="1">
        <f t="array" ref="Q58">_xlfn.LET(
    _xlpm.stock, $F58,
    _xlpm.stock_ratio, $H58,
    _xlpm.cat_ratios, IF($C$22:$C$71=$C58, $H$22:$H$71),
    _xlpm.cat_median, MEDIAN(_xlpm.cat_ratios),
    _xlpm.cat_stdev, STDEV(IF($C$22:$C$71=$C58, $H$22:$H$71)),
    _xlpm.z_score, IF(_xlpm.cat_stdev = 0, 0, (_xlpm.stock_ratio - _xlpm.cat_median) / _xlpm.cat_stdev),
    _xlpm.capped_z, MIN(MAX(_xlpm.z_score, -2), 2),
    IF(_xlpm.stock &lt; $B$18, 0, 1 + $B$19 * _xlpm.capped_z)
)</f>
        <v>1.0005457117198906</v>
      </c>
      <c r="R58" s="42" cm="1">
        <f t="array" ref="R58">_xlfn.LET(
    _xlpm.sku, $A58,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$D58,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4.1722339772852751E-2</v>
      </c>
      <c r="S58" s="4" t="str">
        <f t="shared" si="8"/>
        <v>Hold</v>
      </c>
      <c r="T58" s="4" t="str" cm="1">
        <f t="array" ref="T58">IF($S58="Hold", IF(0.5 * ($P58-$I58) / $P58 + 0.5 * ($R58 / MAX(ABS($R58:$R107))) &gt; 0, "Raise", "Hold"), $S58)</f>
        <v>Raise</v>
      </c>
      <c r="U58" s="22">
        <f t="shared" si="9"/>
        <v>52.262974962461286</v>
      </c>
      <c r="V58" s="22">
        <f t="shared" si="15"/>
        <v>3.1629749624612842</v>
      </c>
      <c r="W58" s="3">
        <f t="shared" si="16"/>
        <v>6.4419042005321461E-2</v>
      </c>
      <c r="X58" s="22">
        <f t="shared" si="10"/>
        <v>3.0779749624612833</v>
      </c>
      <c r="Y58" s="3">
        <f t="shared" si="11"/>
        <v>6.2579545846524004E-2</v>
      </c>
      <c r="Z58" s="3">
        <f t="shared" si="17"/>
        <v>-2.5767616802128586E-2</v>
      </c>
      <c r="AA58" s="24" cm="1">
        <f t="array" ref="AA58">ROUND(_xlfn.XLOOKUP($A58, 'Competitive Analysis (Step 1)'!$A$10:$A$209,_xlfn.ANCHORARRAY( 'Competitive Analysis (Step 1)'!$Q$10), , 0) * (1+$Z58), 0)</f>
        <v>36</v>
      </c>
      <c r="AB58" s="22">
        <f t="shared" si="12"/>
        <v>1881.4670986486062</v>
      </c>
      <c r="AC58" s="23" cm="1">
        <f t="array" ref="AC58">$AB58 - _xlfn.XLOOKUP($A58, 'Competitive Analysis (Step 1)'!$A$10:$A$209,_xlfn.ANCHORARRAY( 'Competitive Analysis (Step 1)'!$R$10), ,0)</f>
        <v>536.51709864860595</v>
      </c>
      <c r="AD58" s="21" cm="1">
        <f t="array" ref="AD58">$AC58 / _xlfn.XLOOKUP($A58, 'Competitive Analysis (Step 1)'!$A$10:$A$209,_xlfn.ANCHORARRAY( 'Competitive Analysis (Step 1)'!$V$10), ,0)</f>
        <v>0.43927482961641928</v>
      </c>
      <c r="AE58" s="23">
        <f>$AA58 * _xlfn.XLOOKUP($A58, _1_product_catalog_pricing[SKU], _1_product_catalog_pricing[Cost Price ($)], , 0)</f>
        <v>1080.72</v>
      </c>
      <c r="AF58" s="23" cm="1">
        <f t="array" ref="AF58">$AE58 - _xlfn.XLOOKUP($A58, 'Competitive Analysis (Step 1)'!$A$10:$A$209,_xlfn.ANCHORARRAY( 'Competitive Analysis (Step 1)'!$S$10),,0)</f>
        <v>-30.019999999999982</v>
      </c>
      <c r="AG58" s="21" cm="1">
        <f t="array" ref="AG58">$AF58 / _xlfn.XLOOKUP($A58, 'Competitive Analysis (Step 1)'!$A$10:$A$209,_xlfn.ANCHORARRAY( 'Competitive Analysis (Step 1)'!$S$10),,0)</f>
        <v>-2.7027027027027011E-2</v>
      </c>
      <c r="AH58" s="28">
        <f t="shared" si="18"/>
        <v>800.7470986486062</v>
      </c>
      <c r="AI58" s="23" cm="1">
        <f t="array" ref="AI58">$AH58 - _xlfn.XLOOKUP($A58, 'Competitive Analysis (Step 1)'!$A$10:$A$209,_xlfn.ANCHORARRAY( 'Competitive Analysis (Step 1)'!$T$10),,0)</f>
        <v>566.53709864860593</v>
      </c>
      <c r="AJ58" s="9">
        <f t="shared" si="13"/>
        <v>0.42559718382732048</v>
      </c>
      <c r="AK58" s="21" cm="1">
        <f t="array" ref="AK58">$AI58 / _xlfn.XLOOKUP($A58, 'Competitive Analysis (Step 1)'!$A$10:$A$209,_xlfn.ANCHORARRAY( 'Competitive Analysis (Step 1)'!$T$10),,0)</f>
        <v>2.4189278794611901</v>
      </c>
      <c r="AL58" t="str">
        <f t="shared" si="14"/>
        <v>Full</v>
      </c>
    </row>
    <row r="59" spans="1:38">
      <c r="A59" s="24" t="str">
        <v>SKU-1037</v>
      </c>
      <c r="B59" s="24" t="str">
        <v>Perfume Roller</v>
      </c>
      <c r="C59" s="24" t="str">
        <v>Beauty &amp; Personal Care</v>
      </c>
      <c r="D59" s="23">
        <v>31.81</v>
      </c>
      <c r="E59" s="23">
        <v>10.64</v>
      </c>
      <c r="F59" s="24" cm="1">
        <f t="array" ref="F59">_xlfn.XLOOKUP($A59,'Competitive Analysis (Step 1)'!$A$10:$A$209,_xlfn.ANCHORARRAY( 'Competitive Analysis (Step 1)'!$P$10),,0)</f>
        <v>298</v>
      </c>
      <c r="G59" s="31" cm="1">
        <f t="array" ref="G59">SUMPRODUCT((Transactions_and_Customer_Information_Joined[SKU]='V1 Pricing Model (Step 2)'!$A59) * (Transactions_and_Customer_Information_Joined[Order Status]="Completed") * (Transactions_and_Customer_Information_Joined[Quantity])) / 12</f>
        <v>2.0833333333333335</v>
      </c>
      <c r="H59" s="13">
        <f t="shared" si="4"/>
        <v>143.04</v>
      </c>
      <c r="I59" s="9">
        <f t="shared" si="5"/>
        <v>0.66551398931153727</v>
      </c>
      <c r="J59" s="23" cm="1">
        <f t="array" ref="J59">(SMALL(IF('Competitive Analysis (Step 1)'!$A$10:$A$209=$A59,'Competitive Analysis (Step 1)'!$D$10:$D$209),2)+SMALL(IF('Competitive Analysis (Step 1)'!$A$10:$A$209=$A59,'Competitive Analysis (Step 1)'!$D$10:$D$209),3))/2</f>
        <v>33.545000000000002</v>
      </c>
      <c r="K59" s="22">
        <f t="shared" si="6"/>
        <v>1.735000000000003</v>
      </c>
      <c r="L59" s="12">
        <f t="shared" si="7"/>
        <v>5.4542596667714653E-2</v>
      </c>
      <c r="M59" s="24">
        <v>4.0999999999999996</v>
      </c>
      <c r="N59" s="24">
        <v>3.8</v>
      </c>
      <c r="O59">
        <v>0.29999999999999982</v>
      </c>
      <c r="P59" s="3" cm="1">
        <f t="array" ref="P59">MEDIAN(IF($C$22:$C$71=$C59, $I$22:$I$71))</f>
        <v>0.65726131531364473</v>
      </c>
      <c r="Q59" s="34" cm="1">
        <f t="array" ref="Q59">_xlfn.LET(
    _xlpm.stock, $F59,
    _xlpm.stock_ratio, $H59,
    _xlpm.cat_ratios, IF($C$22:$C$71=$C59, $H$22:$H$71),
    _xlpm.cat_median, MEDIAN(_xlpm.cat_ratios),
    _xlpm.cat_stdev, STDEV(IF($C$22:$C$71=$C59, $H$22:$H$71)),
    _xlpm.z_score, IF(_xlpm.cat_stdev = 0, 0, (_xlpm.stock_ratio - _xlpm.cat_median) / _xlpm.cat_stdev),
    _xlpm.capped_z, MIN(MAX(_xlpm.z_score, -2), 2),
    IF(_xlpm.stock &lt; $B$18, 0, 1 + $B$19 * _xlpm.capped_z)
)</f>
        <v>0.99134621466719064</v>
      </c>
      <c r="R59" s="42" cm="1">
        <f t="array" ref="R59">_xlfn.LET(
    _xlpm.sku, $A59,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$D59,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-7.6195578896643607E-2</v>
      </c>
      <c r="S59" s="4" t="str">
        <f t="shared" si="8"/>
        <v>Raise</v>
      </c>
      <c r="T59" s="4" t="str" cm="1">
        <f t="array" ref="T59">IF($S59="Hold", IF(0.5 * ($P59-$I59) / $P59 + 0.5 * ($R59 / MAX(ABS($R59:$R108))) &gt; 0, "Raise", "Hold"), $S59)</f>
        <v>Raise</v>
      </c>
      <c r="U59" s="22">
        <f t="shared" si="9"/>
        <v>35.216736588500552</v>
      </c>
      <c r="V59" s="22">
        <f t="shared" si="15"/>
        <v>3.4067365885005536</v>
      </c>
      <c r="W59" s="3">
        <f t="shared" si="16"/>
        <v>0.10709640328514787</v>
      </c>
      <c r="X59" s="22">
        <f t="shared" si="10"/>
        <v>1.6717365885005506</v>
      </c>
      <c r="Y59" s="3">
        <f t="shared" si="11"/>
        <v>4.9835641332554796E-2</v>
      </c>
      <c r="Z59" s="3">
        <f t="shared" si="17"/>
        <v>-4.2838561314059151E-2</v>
      </c>
      <c r="AA59" s="24" cm="1">
        <f t="array" ref="AA59">ROUND(_xlfn.XLOOKUP($A59, 'Competitive Analysis (Step 1)'!$A$10:$A$209,_xlfn.ANCHORARRAY( 'Competitive Analysis (Step 1)'!$Q$10), , 0) * (1+$Z59), 0)</f>
        <v>24</v>
      </c>
      <c r="AB59" s="22">
        <f t="shared" si="12"/>
        <v>845.20167812401326</v>
      </c>
      <c r="AC59" s="23" cm="1">
        <f t="array" ref="AC59">$AB59 - _xlfn.XLOOKUP($A59, 'Competitive Analysis (Step 1)'!$A$10:$A$209,_xlfn.ANCHORARRAY( 'Competitive Analysis (Step 1)'!$R$10), ,0)</f>
        <v>179.95167812401314</v>
      </c>
      <c r="AD59" s="21" cm="1">
        <f t="array" ref="AD59">$AC59 / _xlfn.XLOOKUP($A59, 'Competitive Analysis (Step 1)'!$A$10:$A$209,_xlfn.ANCHORARRAY( 'Competitive Analysis (Step 1)'!$V$10), ,0)</f>
        <v>0.28776614021814234</v>
      </c>
      <c r="AE59" s="23">
        <f>$AA59 * _xlfn.XLOOKUP($A59, _1_product_catalog_pricing[SKU], _1_product_catalog_pricing[Cost Price ($)], , 0)</f>
        <v>255.36</v>
      </c>
      <c r="AF59" s="23" cm="1">
        <f t="array" ref="AF59">$AE59 - _xlfn.XLOOKUP($A59, 'Competitive Analysis (Step 1)'!$A$10:$A$209,_xlfn.ANCHORARRAY( 'Competitive Analysis (Step 1)'!$S$10),,0)</f>
        <v>-10.639999999999986</v>
      </c>
      <c r="AG59" s="21" cm="1">
        <f t="array" ref="AG59">$AF59 / _xlfn.XLOOKUP($A59, 'Competitive Analysis (Step 1)'!$A$10:$A$209,_xlfn.ANCHORARRAY( 'Competitive Analysis (Step 1)'!$S$10),,0)</f>
        <v>-3.9999999999999945E-2</v>
      </c>
      <c r="AH59" s="28">
        <f t="shared" si="18"/>
        <v>589.84167812401324</v>
      </c>
      <c r="AI59" s="23" cm="1">
        <f t="array" ref="AI59">$AH59 - _xlfn.XLOOKUP($A59, 'Competitive Analysis (Step 1)'!$A$10:$A$209,_xlfn.ANCHORARRAY( 'Competitive Analysis (Step 1)'!$T$10),,0)</f>
        <v>190.59167812401313</v>
      </c>
      <c r="AJ59" s="9">
        <f t="shared" si="13"/>
        <v>0.69787092641984561</v>
      </c>
      <c r="AK59" s="21" cm="1">
        <f t="array" ref="AK59">$AI59 / _xlfn.XLOOKUP($A59, 'Competitive Analysis (Step 1)'!$A$10:$A$209,_xlfn.ANCHORARRAY( 'Competitive Analysis (Step 1)'!$T$10),,0)</f>
        <v>0.47737427207016425</v>
      </c>
      <c r="AL59" t="str">
        <f t="shared" si="14"/>
        <v>Full</v>
      </c>
    </row>
    <row r="60" spans="1:38">
      <c r="A60" s="24" t="str">
        <v>SKU-1038</v>
      </c>
      <c r="B60" s="24" t="str">
        <v>Hair Ties Pack</v>
      </c>
      <c r="C60" s="24" t="str">
        <v>Beauty &amp; Personal Care</v>
      </c>
      <c r="D60" s="23">
        <v>84.87</v>
      </c>
      <c r="E60" s="23">
        <v>28.12</v>
      </c>
      <c r="F60" s="24" cm="1">
        <f t="array" ref="F60">_xlfn.XLOOKUP($A60,'Competitive Analysis (Step 1)'!$A$10:$A$209,_xlfn.ANCHORARRAY( 'Competitive Analysis (Step 1)'!$P$10),,0)</f>
        <v>107</v>
      </c>
      <c r="G60" s="31" cm="1">
        <f t="array" ref="G60">SUMPRODUCT((Transactions_and_Customer_Information_Joined[SKU]='V1 Pricing Model (Step 2)'!$A60) * (Transactions_and_Customer_Information_Joined[Order Status]="Completed") * (Transactions_and_Customer_Information_Joined[Quantity])) / 12</f>
        <v>2.0833333333333335</v>
      </c>
      <c r="H60" s="13">
        <f t="shared" si="4"/>
        <v>51.36</v>
      </c>
      <c r="I60" s="9">
        <f t="shared" si="5"/>
        <v>0.66866973017556264</v>
      </c>
      <c r="J60" s="23" cm="1">
        <f t="array" ref="J60">(SMALL(IF('Competitive Analysis (Step 1)'!$A$10:$A$209=$A60,'Competitive Analysis (Step 1)'!$D$10:$D$209),2)+SMALL(IF('Competitive Analysis (Step 1)'!$A$10:$A$209=$A60,'Competitive Analysis (Step 1)'!$D$10:$D$209),3))/2</f>
        <v>75.37</v>
      </c>
      <c r="K60" s="22">
        <f t="shared" si="6"/>
        <v>-9.5</v>
      </c>
      <c r="L60" s="12">
        <f t="shared" si="7"/>
        <v>-0.11193590196771533</v>
      </c>
      <c r="M60" s="24">
        <v>4.4000000000000004</v>
      </c>
      <c r="N60" s="24">
        <v>4</v>
      </c>
      <c r="O60">
        <v>0.40000000000000036</v>
      </c>
      <c r="P60" s="3" cm="1">
        <f t="array" ref="P60">MEDIAN(IF($C$22:$C$71=$C60, $I$22:$I$71))</f>
        <v>0.65726131531364473</v>
      </c>
      <c r="Q60" s="34" cm="1">
        <f t="array" ref="Q60">_xlfn.LET(
    _xlpm.stock, $F60,
    _xlpm.stock_ratio, $H60,
    _xlpm.cat_ratios, IF($C$22:$C$71=$C60, $H$22:$H$71),
    _xlpm.cat_median, MEDIAN(_xlpm.cat_ratios),
    _xlpm.cat_stdev, STDEV(IF($C$22:$C$71=$C60, $H$22:$H$71)),
    _xlpm.z_score, IF(_xlpm.cat_stdev = 0, 0, (_xlpm.stock_ratio - _xlpm.cat_median) / _xlpm.cat_stdev),
    _xlpm.capped_z, MIN(MAX(_xlpm.z_score, -2), 2),
    IF(_xlpm.stock &lt; $B$18, 0, 1 + $B$19 * _xlpm.capped_z)
)</f>
        <v>1.0076975340010514</v>
      </c>
      <c r="R60" s="42" cm="1">
        <f t="array" ref="R60">_xlfn.LET(
    _xlpm.sku, $A60,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$D60,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0.15946729330200748</v>
      </c>
      <c r="S60" s="4" t="str">
        <f t="shared" si="8"/>
        <v>Reduce</v>
      </c>
      <c r="T60" s="4" t="str" cm="1">
        <f t="array" ref="T60">IF($S60="Hold", IF(0.5 * ($P60-$I60) / $P60 + 0.5 * ($R60 / MAX(ABS($R60:$R109))) &gt; 0, "Raise", "Hold"), $S60)</f>
        <v>Reduce</v>
      </c>
      <c r="U60" s="22">
        <f t="shared" si="9"/>
        <v>74.431157980265382</v>
      </c>
      <c r="V60" s="22">
        <f t="shared" si="15"/>
        <v>-10.438842019734622</v>
      </c>
      <c r="W60" s="3">
        <f t="shared" si="16"/>
        <v>-0.1229980207344718</v>
      </c>
      <c r="X60" s="22">
        <f t="shared" si="10"/>
        <v>-0.93884201973462211</v>
      </c>
      <c r="Y60" s="3">
        <f t="shared" si="11"/>
        <v>-1.2456441816831924E-2</v>
      </c>
      <c r="Z60" s="3">
        <f t="shared" si="17"/>
        <v>9.8398416587577447E-2</v>
      </c>
      <c r="AA60" s="24" cm="1">
        <f t="array" ref="AA60">ROUND(_xlfn.XLOOKUP($A60, 'Competitive Analysis (Step 1)'!$A$10:$A$209,_xlfn.ANCHORARRAY( 'Competitive Analysis (Step 1)'!$Q$10), , 0) * (1+$Z60), 0)</f>
        <v>27</v>
      </c>
      <c r="AB60" s="22">
        <f t="shared" si="12"/>
        <v>2009.6412654671653</v>
      </c>
      <c r="AC60" s="23" cm="1">
        <f t="array" ref="AC60">$AB60 - _xlfn.XLOOKUP($A60, 'Competitive Analysis (Step 1)'!$A$10:$A$209,_xlfn.ANCHORARRAY( 'Competitive Analysis (Step 1)'!$R$10), ,0)</f>
        <v>67.891265467164885</v>
      </c>
      <c r="AD60" s="21" cm="1">
        <f t="array" ref="AD60">$AC60 / _xlfn.XLOOKUP($A60, 'Competitive Analysis (Step 1)'!$A$10:$A$209,_xlfn.ANCHORARRAY( 'Competitive Analysis (Step 1)'!$V$10), ,0)</f>
        <v>3.7839718125920963E-2</v>
      </c>
      <c r="AE60" s="23">
        <f>$AA60 * _xlfn.XLOOKUP($A60, _1_product_catalog_pricing[SKU], _1_product_catalog_pricing[Cost Price ($)], , 0)</f>
        <v>759.24</v>
      </c>
      <c r="AF60" s="23" cm="1">
        <f t="array" ref="AF60">$AE60 - _xlfn.XLOOKUP($A60, 'Competitive Analysis (Step 1)'!$A$10:$A$209,_xlfn.ANCHORARRAY( 'Competitive Analysis (Step 1)'!$S$10),,0)</f>
        <v>56.240000000000009</v>
      </c>
      <c r="AG60" s="21" cm="1">
        <f t="array" ref="AG60">$AF60 / _xlfn.XLOOKUP($A60, 'Competitive Analysis (Step 1)'!$A$10:$A$209,_xlfn.ANCHORARRAY( 'Competitive Analysis (Step 1)'!$S$10),,0)</f>
        <v>8.0000000000000016E-2</v>
      </c>
      <c r="AH60" s="28">
        <f t="shared" si="18"/>
        <v>1250.4012654671653</v>
      </c>
      <c r="AI60" s="23" cm="1">
        <f t="array" ref="AI60">$AH60 - _xlfn.XLOOKUP($A60, 'Competitive Analysis (Step 1)'!$A$10:$A$209,_xlfn.ANCHORARRAY( 'Competitive Analysis (Step 1)'!$T$10),,0)</f>
        <v>11.651265467164876</v>
      </c>
      <c r="AJ60" s="9">
        <f t="shared" si="13"/>
        <v>0.62220122912160369</v>
      </c>
      <c r="AK60" s="21" cm="1">
        <f t="array" ref="AK60">$AI60 / _xlfn.XLOOKUP($A60, 'Competitive Analysis (Step 1)'!$A$10:$A$209,_xlfn.ANCHORARRAY( 'Competitive Analysis (Step 1)'!$T$10),,0)</f>
        <v>9.4056633438263353E-3</v>
      </c>
      <c r="AL60" t="str">
        <f t="shared" si="14"/>
        <v>Full</v>
      </c>
    </row>
    <row r="61" spans="1:38">
      <c r="A61" s="24" t="str">
        <v>SKU-1039</v>
      </c>
      <c r="B61" s="24" t="str">
        <v>Nail Polish Set</v>
      </c>
      <c r="C61" s="24" t="str">
        <v>Beauty &amp; Personal Care</v>
      </c>
      <c r="D61" s="23">
        <v>189.99</v>
      </c>
      <c r="E61" s="23">
        <v>63.51</v>
      </c>
      <c r="F61" s="24" cm="1">
        <f t="array" ref="F61">_xlfn.XLOOKUP($A61,'Competitive Analysis (Step 1)'!$A$10:$A$209,_xlfn.ANCHORARRAY( 'Competitive Analysis (Step 1)'!$P$10),,0)</f>
        <v>473</v>
      </c>
      <c r="G61" s="31" cm="1">
        <f t="array" ref="G61">SUMPRODUCT((Transactions_and_Customer_Information_Joined[SKU]='V1 Pricing Model (Step 2)'!$A61) * (Transactions_and_Customer_Information_Joined[Order Status]="Completed") * (Transactions_and_Customer_Information_Joined[Quantity])) / 12</f>
        <v>2.3333333333333335</v>
      </c>
      <c r="H61" s="13">
        <f t="shared" si="4"/>
        <v>202.71428571428569</v>
      </c>
      <c r="I61" s="9">
        <f t="shared" si="5"/>
        <v>0.66571924838149388</v>
      </c>
      <c r="J61" s="23" cm="1">
        <f t="array" ref="J61">(SMALL(IF('Competitive Analysis (Step 1)'!$A$10:$A$209=$A61,'Competitive Analysis (Step 1)'!$D$10:$D$209),2)+SMALL(IF('Competitive Analysis (Step 1)'!$A$10:$A$209=$A61,'Competitive Analysis (Step 1)'!$D$10:$D$209),3))/2</f>
        <v>216.91499999999999</v>
      </c>
      <c r="K61" s="22">
        <f t="shared" si="6"/>
        <v>26.924999999999983</v>
      </c>
      <c r="L61" s="12">
        <f t="shared" si="7"/>
        <v>0.14171798515711342</v>
      </c>
      <c r="M61" s="24">
        <v>4.9000000000000004</v>
      </c>
      <c r="N61" s="24">
        <v>3.5249999999999999</v>
      </c>
      <c r="O61">
        <v>1.3750000000000004</v>
      </c>
      <c r="P61" s="3" cm="1">
        <f t="array" ref="P61">MEDIAN(IF($C$22:$C$71=$C61, $I$22:$I$71))</f>
        <v>0.65726131531364473</v>
      </c>
      <c r="Q61" s="34" cm="1">
        <f t="array" ref="Q61">_xlfn.LET(
    _xlpm.stock, $F61,
    _xlpm.stock_ratio, $H61,
    _xlpm.cat_ratios, IF($C$22:$C$71=$C61, $H$22:$H$71),
    _xlpm.cat_median, MEDIAN(_xlpm.cat_ratios),
    _xlpm.cat_stdev, STDEV(IF($C$22:$C$71=$C61, $H$22:$H$71)),
    _xlpm.z_score, IF(_xlpm.cat_stdev = 0, 0, (_xlpm.stock_ratio - _xlpm.cat_median) / _xlpm.cat_stdev),
    _xlpm.capped_z, MIN(MAX(_xlpm.z_score, -2), 2),
    IF(_xlpm.stock &lt; $B$18, 0, 1 + $B$19 * _xlpm.capped_z)
)</f>
        <v>0.98070318127131006</v>
      </c>
      <c r="R61" s="42" cm="1">
        <f t="array" ref="R61">_xlfn.LET(
    _xlpm.sku, $A61,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$D61,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-0.12188303012813084</v>
      </c>
      <c r="S61" s="4" t="str">
        <f t="shared" si="8"/>
        <v>Raise</v>
      </c>
      <c r="T61" s="4" t="str" cm="1">
        <f t="array" ref="T61">IF($S61="Hold", IF(0.5 * ($P61-$I61) / $P61 + 0.5 * ($R61 / MAX(ABS($R61:$R110))) &gt; 0, "Raise", "Hold"), $S61)</f>
        <v>Raise</v>
      </c>
      <c r="U61" s="22">
        <f t="shared" si="9"/>
        <v>232.14077285456503</v>
      </c>
      <c r="V61" s="22">
        <f t="shared" si="15"/>
        <v>42.15077285456502</v>
      </c>
      <c r="W61" s="3">
        <f t="shared" si="16"/>
        <v>0.22185784964769206</v>
      </c>
      <c r="X61" s="22">
        <f t="shared" si="10"/>
        <v>15.225772854565037</v>
      </c>
      <c r="Y61" s="3">
        <f t="shared" si="11"/>
        <v>7.0192346562317209E-2</v>
      </c>
      <c r="Z61" s="3">
        <f t="shared" si="17"/>
        <v>-8.8743139859076836E-2</v>
      </c>
      <c r="AA61" s="24" cm="1">
        <f t="array" ref="AA61">ROUND(_xlfn.XLOOKUP($A61, 'Competitive Analysis (Step 1)'!$A$10:$A$209,_xlfn.ANCHORARRAY( 'Competitive Analysis (Step 1)'!$Q$10), , 0) * (1+$Z61), 0)</f>
        <v>26</v>
      </c>
      <c r="AB61" s="22">
        <f t="shared" si="12"/>
        <v>6035.6600942186906</v>
      </c>
      <c r="AC61" s="23" cm="1">
        <f t="array" ref="AC61">$AB61 - _xlfn.XLOOKUP($A61, 'Competitive Analysis (Step 1)'!$A$10:$A$209,_xlfn.ANCHORARRAY( 'Competitive Analysis (Step 1)'!$R$10), ,0)</f>
        <v>715.94009421869032</v>
      </c>
      <c r="AD61" s="21" cm="1">
        <f t="array" ref="AD61">$AC61 / _xlfn.XLOOKUP($A61, 'Competitive Analysis (Step 1)'!$A$10:$A$209,_xlfn.ANCHORARRAY( 'Competitive Analysis (Step 1)'!$V$10), ,0)</f>
        <v>0.1519478100957585</v>
      </c>
      <c r="AE61" s="23">
        <f>$AA61 * _xlfn.XLOOKUP($A61, _1_product_catalog_pricing[SKU], _1_product_catalog_pricing[Cost Price ($)], , 0)</f>
        <v>1651.26</v>
      </c>
      <c r="AF61" s="23" cm="1">
        <f t="array" ref="AF61">$AE61 - _xlfn.XLOOKUP($A61, 'Competitive Analysis (Step 1)'!$A$10:$A$209,_xlfn.ANCHORARRAY( 'Competitive Analysis (Step 1)'!$S$10),,0)</f>
        <v>-127.01999999999998</v>
      </c>
      <c r="AG61" s="21" cm="1">
        <f t="array" ref="AG61">$AF61 / _xlfn.XLOOKUP($A61, 'Competitive Analysis (Step 1)'!$A$10:$A$209,_xlfn.ANCHORARRAY( 'Competitive Analysis (Step 1)'!$S$10),,0)</f>
        <v>-7.1428571428571425E-2</v>
      </c>
      <c r="AH61" s="28">
        <f t="shared" si="18"/>
        <v>4384.4000942186904</v>
      </c>
      <c r="AI61" s="23" cm="1">
        <f t="array" ref="AI61">$AH61 - _xlfn.XLOOKUP($A61, 'Competitive Analysis (Step 1)'!$A$10:$A$209,_xlfn.ANCHORARRAY( 'Competitive Analysis (Step 1)'!$T$10),,0)</f>
        <v>842.96009421868985</v>
      </c>
      <c r="AJ61" s="9">
        <f t="shared" si="13"/>
        <v>0.72641600517204841</v>
      </c>
      <c r="AK61" s="21" cm="1">
        <f t="array" ref="AK61">$AI61 / _xlfn.XLOOKUP($A61, 'Competitive Analysis (Step 1)'!$A$10:$A$209,_xlfn.ANCHORARRAY( 'Competitive Analysis (Step 1)'!$T$10),,0)</f>
        <v>0.23802749565676384</v>
      </c>
      <c r="AL61" t="str">
        <f t="shared" si="14"/>
        <v>Full</v>
      </c>
    </row>
    <row r="62" spans="1:38">
      <c r="A62" s="24" t="str">
        <v>SKU-1040</v>
      </c>
      <c r="B62" s="24" t="str">
        <v>Resistance Bands</v>
      </c>
      <c r="C62" s="24" t="str">
        <v>Sports &amp; Outdoors</v>
      </c>
      <c r="D62" s="23">
        <v>18.7</v>
      </c>
      <c r="E62" s="23">
        <v>6.86</v>
      </c>
      <c r="F62" s="24" cm="1">
        <f t="array" ref="F62">_xlfn.XLOOKUP($A62,'Competitive Analysis (Step 1)'!$A$10:$A$209,_xlfn.ANCHORARRAY( 'Competitive Analysis (Step 1)'!$P$10),,0)</f>
        <v>410</v>
      </c>
      <c r="G62" s="31" cm="1">
        <f t="array" ref="G62">SUMPRODUCT((Transactions_and_Customer_Information_Joined[SKU]='V1 Pricing Model (Step 2)'!$A62) * (Transactions_and_Customer_Information_Joined[Order Status]="Completed") * (Transactions_and_Customer_Information_Joined[Quantity])) / 12</f>
        <v>2.1666666666666665</v>
      </c>
      <c r="H62" s="13">
        <f t="shared" si="4"/>
        <v>189.23076923076925</v>
      </c>
      <c r="I62" s="9">
        <f t="shared" si="5"/>
        <v>0.63315508021390376</v>
      </c>
      <c r="J62" s="23" cm="1">
        <f t="array" ref="J62">(SMALL(IF('Competitive Analysis (Step 1)'!$A$10:$A$209=$A62,'Competitive Analysis (Step 1)'!$D$10:$D$209),2)+SMALL(IF('Competitive Analysis (Step 1)'!$A$10:$A$209=$A62,'Competitive Analysis (Step 1)'!$D$10:$D$209),3))/2</f>
        <v>21.35</v>
      </c>
      <c r="K62" s="22">
        <f t="shared" si="6"/>
        <v>2.6500000000000021</v>
      </c>
      <c r="L62" s="12">
        <f t="shared" si="7"/>
        <v>0.14171122994652419</v>
      </c>
      <c r="M62" s="24">
        <v>4.3</v>
      </c>
      <c r="N62" s="24">
        <v>4.05</v>
      </c>
      <c r="O62">
        <v>0.25</v>
      </c>
      <c r="P62" s="3" cm="1">
        <f t="array" ref="P62">MEDIAN(IF($C$22:$C$71=$C62, $I$22:$I$71))</f>
        <v>0.52998638249885821</v>
      </c>
      <c r="Q62" s="34" cm="1">
        <f t="array" ref="Q62">_xlfn.LET(
    _xlpm.stock, $F62,
    _xlpm.stock_ratio, $H62,
    _xlpm.cat_ratios, IF($C$22:$C$71=$C62, $H$22:$H$71),
    _xlpm.cat_median, MEDIAN(_xlpm.cat_ratios),
    _xlpm.cat_stdev, STDEV(IF($C$22:$C$71=$C62, $H$22:$H$71)),
    _xlpm.z_score, IF(_xlpm.cat_stdev = 0, 0, (_xlpm.stock_ratio - _xlpm.cat_median) / _xlpm.cat_stdev),
    _xlpm.capped_z, MIN(MAX(_xlpm.z_score, -2), 2),
    IF(_xlpm.stock &lt; $B$18, 0, 1 + $B$19 * _xlpm.capped_z)
)</f>
        <v>0.97790645137878585</v>
      </c>
      <c r="R62" s="42" cm="1">
        <f t="array" ref="R62">_xlfn.LET(
    _xlpm.sku, $A62,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$D62,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-2.6564769544625472E-2</v>
      </c>
      <c r="S62" s="4" t="str">
        <f t="shared" si="8"/>
        <v>Hold</v>
      </c>
      <c r="T62" s="4" t="str" cm="1">
        <f t="array" ref="T62">IF($S62="Hold", IF(0.5 * ($P62-$I62) / $P62 + 0.5 * ($R62 / MAX(ABS($R62:$R111))) &gt; 0, "Raise", "Hold"), $S62)</f>
        <v>Hold</v>
      </c>
      <c r="U62" s="22">
        <f t="shared" si="9"/>
        <v>18.7</v>
      </c>
      <c r="V62" s="22">
        <f t="shared" si="15"/>
        <v>0</v>
      </c>
      <c r="W62" s="3">
        <f t="shared" si="16"/>
        <v>0</v>
      </c>
      <c r="X62" s="22">
        <f t="shared" si="10"/>
        <v>-2.6500000000000021</v>
      </c>
      <c r="Y62" s="3">
        <f t="shared" si="11"/>
        <v>-0.12412177985948487</v>
      </c>
      <c r="Z62" s="3">
        <f t="shared" si="17"/>
        <v>0</v>
      </c>
      <c r="AA62" s="24" cm="1">
        <f t="array" ref="AA62">ROUND(_xlfn.XLOOKUP($A62, 'Competitive Analysis (Step 1)'!$A$10:$A$209,_xlfn.ANCHORARRAY( 'Competitive Analysis (Step 1)'!$Q$10), , 0) * (1+$Z62), 0)</f>
        <v>26</v>
      </c>
      <c r="AB62" s="22">
        <f t="shared" si="12"/>
        <v>486.2</v>
      </c>
      <c r="AC62" s="23" cm="1">
        <f t="array" ref="AC62">$AB62 - _xlfn.XLOOKUP($A62, 'Competitive Analysis (Step 1)'!$A$10:$A$209,_xlfn.ANCHORARRAY( 'Competitive Analysis (Step 1)'!$R$10), ,0)</f>
        <v>0</v>
      </c>
      <c r="AD62" s="21" cm="1">
        <f t="array" ref="AD62">$AC62 / _xlfn.XLOOKUP($A62, 'Competitive Analysis (Step 1)'!$A$10:$A$209,_xlfn.ANCHORARRAY( 'Competitive Analysis (Step 1)'!$V$10), ,0)</f>
        <v>0</v>
      </c>
      <c r="AE62" s="23">
        <f>$AA62 * _xlfn.XLOOKUP($A62, _1_product_catalog_pricing[SKU], _1_product_catalog_pricing[Cost Price ($)], , 0)</f>
        <v>178.36</v>
      </c>
      <c r="AF62" s="23" cm="1">
        <f t="array" ref="AF62">$AE62 - _xlfn.XLOOKUP($A62, 'Competitive Analysis (Step 1)'!$A$10:$A$209,_xlfn.ANCHORARRAY( 'Competitive Analysis (Step 1)'!$S$10),,0)</f>
        <v>0</v>
      </c>
      <c r="AG62" s="21" cm="1">
        <f t="array" ref="AG62">$AF62 / _xlfn.XLOOKUP($A62, 'Competitive Analysis (Step 1)'!$A$10:$A$209,_xlfn.ANCHORARRAY( 'Competitive Analysis (Step 1)'!$S$10),,0)</f>
        <v>0</v>
      </c>
      <c r="AH62" s="28">
        <f t="shared" si="18"/>
        <v>307.83999999999997</v>
      </c>
      <c r="AI62" s="23" cm="1">
        <f t="array" ref="AI62">$AH62 - _xlfn.XLOOKUP($A62, 'Competitive Analysis (Step 1)'!$A$10:$A$209,_xlfn.ANCHORARRAY( 'Competitive Analysis (Step 1)'!$T$10),,0)</f>
        <v>0</v>
      </c>
      <c r="AJ62" s="9">
        <f t="shared" si="13"/>
        <v>0.63315508021390365</v>
      </c>
      <c r="AK62" s="21" cm="1">
        <f t="array" ref="AK62">$AI62 / _xlfn.XLOOKUP($A62, 'Competitive Analysis (Step 1)'!$A$10:$A$209,_xlfn.ANCHORARRAY( 'Competitive Analysis (Step 1)'!$T$10),,0)</f>
        <v>0</v>
      </c>
      <c r="AL62" t="str">
        <f t="shared" si="14"/>
        <v>Constrained</v>
      </c>
    </row>
    <row r="63" spans="1:38">
      <c r="A63" s="24" t="str">
        <v>SKU-1041</v>
      </c>
      <c r="B63" s="24" t="str">
        <v>Yoga Mat</v>
      </c>
      <c r="C63" s="24" t="str">
        <v>Sports &amp; Outdoors</v>
      </c>
      <c r="D63" s="23">
        <v>102.13</v>
      </c>
      <c r="E63" s="23">
        <v>64.05</v>
      </c>
      <c r="F63" s="24" cm="1">
        <f t="array" ref="F63">_xlfn.XLOOKUP($A63,'Competitive Analysis (Step 1)'!$A$10:$A$209,_xlfn.ANCHORARRAY( 'Competitive Analysis (Step 1)'!$P$10),,0)</f>
        <v>102</v>
      </c>
      <c r="G63" s="31" cm="1">
        <f t="array" ref="G63">SUMPRODUCT((Transactions_and_Customer_Information_Joined[SKU]='V1 Pricing Model (Step 2)'!$A63) * (Transactions_and_Customer_Information_Joined[Order Status]="Completed") * (Transactions_and_Customer_Information_Joined[Quantity])) / 12</f>
        <v>3.25</v>
      </c>
      <c r="H63" s="13">
        <f t="shared" si="4"/>
        <v>31.384615384615383</v>
      </c>
      <c r="I63" s="9">
        <f t="shared" si="5"/>
        <v>0.37285812200137081</v>
      </c>
      <c r="J63" s="23" cm="1">
        <f t="array" ref="J63">(SMALL(IF('Competitive Analysis (Step 1)'!$A$10:$A$209=$A63,'Competitive Analysis (Step 1)'!$D$10:$D$209),2)+SMALL(IF('Competitive Analysis (Step 1)'!$A$10:$A$209=$A63,'Competitive Analysis (Step 1)'!$D$10:$D$209),3))/2</f>
        <v>95.724999999999994</v>
      </c>
      <c r="K63" s="22">
        <f t="shared" si="6"/>
        <v>-6.4050000000000011</v>
      </c>
      <c r="L63" s="12">
        <f t="shared" si="7"/>
        <v>-6.271418779986293E-2</v>
      </c>
      <c r="M63" s="24">
        <v>4.5999999999999996</v>
      </c>
      <c r="N63" s="24">
        <v>3.625</v>
      </c>
      <c r="O63">
        <v>0.97499999999999964</v>
      </c>
      <c r="P63" s="3" cm="1">
        <f t="array" ref="P63">MEDIAN(IF($C$22:$C$71=$C63, $I$22:$I$71))</f>
        <v>0.52998638249885821</v>
      </c>
      <c r="Q63" s="34" cm="1">
        <f t="array" ref="Q63">_xlfn.LET(
    _xlpm.stock, $F63,
    _xlpm.stock_ratio, $H63,
    _xlpm.cat_ratios, IF($C$22:$C$71=$C63, $H$22:$H$71),
    _xlpm.cat_median, MEDIAN(_xlpm.cat_ratios),
    _xlpm.cat_stdev, STDEV(IF($C$22:$C$71=$C63, $H$22:$H$71)),
    _xlpm.z_score, IF(_xlpm.cat_stdev = 0, 0, (_xlpm.stock_ratio - _xlpm.cat_median) / _xlpm.cat_stdev),
    _xlpm.capped_z, MIN(MAX(_xlpm.z_score, -2), 2),
    IF(_xlpm.stock &lt; $B$18, 0, 1 + $B$19 * _xlpm.capped_z)
)</f>
        <v>1.021263278181419</v>
      </c>
      <c r="R63" s="42" cm="1">
        <f t="array" ref="R63">_xlfn.LET(
    _xlpm.sku, $A63,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$D63,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0.18563561604892162</v>
      </c>
      <c r="S63" s="4" t="str">
        <f t="shared" si="8"/>
        <v>Reduce</v>
      </c>
      <c r="T63" s="4" t="str" cm="1">
        <f t="array" ref="T63">IF($S63="Hold", IF(0.5 * ($P63-$I63) / $P63 + 0.5 * ($R63 / MAX(ABS($R63:$R112))) &gt; 0, "Raise", "Hold"), $S63)</f>
        <v>Reduce</v>
      </c>
      <c r="U63" s="22">
        <f t="shared" si="9"/>
        <v>95.805218757813307</v>
      </c>
      <c r="V63" s="22">
        <f t="shared" si="15"/>
        <v>-6.3247812421866882</v>
      </c>
      <c r="W63" s="3">
        <f t="shared" si="16"/>
        <v>-6.1928730463004879E-2</v>
      </c>
      <c r="X63" s="22">
        <f t="shared" si="10"/>
        <v>8.0218757813312891E-2</v>
      </c>
      <c r="Y63" s="3">
        <f t="shared" si="11"/>
        <v>8.3801261753264976E-4</v>
      </c>
      <c r="Z63" s="3">
        <f t="shared" si="17"/>
        <v>4.9542984370403907E-2</v>
      </c>
      <c r="AA63" s="24" cm="1">
        <f t="array" ref="AA63">ROUND(_xlfn.XLOOKUP($A63, 'Competitive Analysis (Step 1)'!$A$10:$A$209,_xlfn.ANCHORARRAY( 'Competitive Analysis (Step 1)'!$Q$10), , 0) * (1+$Z63), 0)</f>
        <v>41</v>
      </c>
      <c r="AB63" s="22">
        <f t="shared" si="12"/>
        <v>3928.0139690703454</v>
      </c>
      <c r="AC63" s="23" cm="1">
        <f t="array" ref="AC63">$AB63 - _xlfn.XLOOKUP($A63, 'Competitive Analysis (Step 1)'!$A$10:$A$209,_xlfn.ANCHORARRAY( 'Competitive Analysis (Step 1)'!$R$10), ,0)</f>
        <v>285.02396907034563</v>
      </c>
      <c r="AD63" s="21" cm="1">
        <f t="array" ref="AD63">$AC63 / _xlfn.XLOOKUP($A63, 'Competitive Analysis (Step 1)'!$A$10:$A$209,_xlfn.ANCHORARRAY( 'Competitive Analysis (Step 1)'!$V$10), ,0)</f>
        <v>8.1694976344943243E-2</v>
      </c>
      <c r="AE63" s="23">
        <f>$AA63 * _xlfn.XLOOKUP($A63, _1_product_catalog_pricing[SKU], _1_product_catalog_pricing[Cost Price ($)], , 0)</f>
        <v>2626.0499999999997</v>
      </c>
      <c r="AF63" s="23" cm="1">
        <f t="array" ref="AF63">$AE63 - _xlfn.XLOOKUP($A63, 'Competitive Analysis (Step 1)'!$A$10:$A$209,_xlfn.ANCHORARRAY( 'Competitive Analysis (Step 1)'!$S$10),,0)</f>
        <v>128.09999999999945</v>
      </c>
      <c r="AG63" s="21" cm="1">
        <f t="array" ref="AG63">$AF63 / _xlfn.XLOOKUP($A63, 'Competitive Analysis (Step 1)'!$A$10:$A$209,_xlfn.ANCHORARRAY( 'Competitive Analysis (Step 1)'!$S$10),,0)</f>
        <v>5.1282051282051058E-2</v>
      </c>
      <c r="AH63" s="28">
        <f t="shared" si="18"/>
        <v>1301.9639690703457</v>
      </c>
      <c r="AI63" s="23" cm="1">
        <f t="array" ref="AI63">$AH63 - _xlfn.XLOOKUP($A63, 'Competitive Analysis (Step 1)'!$A$10:$A$209,_xlfn.ANCHORARRAY( 'Competitive Analysis (Step 1)'!$T$10),,0)</f>
        <v>156.92396907034617</v>
      </c>
      <c r="AJ63" s="9">
        <f t="shared" si="13"/>
        <v>0.33145604351770808</v>
      </c>
      <c r="AK63" s="21" cm="1">
        <f t="array" ref="AK63">$AI63 / _xlfn.XLOOKUP($A63, 'Competitive Analysis (Step 1)'!$A$10:$A$209,_xlfn.ANCHORARRAY( 'Competitive Analysis (Step 1)'!$T$10),,0)</f>
        <v>0.13704671371336044</v>
      </c>
      <c r="AL63" t="str">
        <f t="shared" si="14"/>
        <v>Full</v>
      </c>
    </row>
    <row r="64" spans="1:38">
      <c r="A64" s="24" t="str">
        <v>SKU-1042</v>
      </c>
      <c r="B64" s="24" t="str">
        <v>Water Bottle</v>
      </c>
      <c r="C64" s="24" t="str">
        <v>Sports &amp; Outdoors</v>
      </c>
      <c r="D64" s="23">
        <v>197.52</v>
      </c>
      <c r="E64" s="23">
        <v>66.540000000000006</v>
      </c>
      <c r="F64" s="24" cm="1">
        <f t="array" ref="F64">_xlfn.XLOOKUP($A64,'Competitive Analysis (Step 1)'!$A$10:$A$209,_xlfn.ANCHORARRAY( 'Competitive Analysis (Step 1)'!$P$10),,0)</f>
        <v>204</v>
      </c>
      <c r="G64" s="31" cm="1">
        <f t="array" ref="G64">SUMPRODUCT((Transactions_and_Customer_Information_Joined[SKU]='V1 Pricing Model (Step 2)'!$A64) * (Transactions_and_Customer_Information_Joined[Order Status]="Completed") * (Transactions_and_Customer_Information_Joined[Quantity])) / 12</f>
        <v>1.9166666666666667</v>
      </c>
      <c r="H64" s="13">
        <f t="shared" si="4"/>
        <v>106.43478260869564</v>
      </c>
      <c r="I64" s="9">
        <f t="shared" si="5"/>
        <v>0.66312272174969633</v>
      </c>
      <c r="J64" s="23" cm="1">
        <f t="array" ref="J64">(SMALL(IF('Competitive Analysis (Step 1)'!$A$10:$A$209=$A64,'Competitive Analysis (Step 1)'!$D$10:$D$209),2)+SMALL(IF('Competitive Analysis (Step 1)'!$A$10:$A$209=$A64,'Competitive Analysis (Step 1)'!$D$10:$D$209),3))/2</f>
        <v>198.54</v>
      </c>
      <c r="K64" s="22">
        <f t="shared" si="6"/>
        <v>1.0199999999999818</v>
      </c>
      <c r="L64" s="12">
        <f t="shared" si="7"/>
        <v>5.1640340218711105E-3</v>
      </c>
      <c r="M64" s="24">
        <v>3.7</v>
      </c>
      <c r="N64" s="24">
        <v>3.75</v>
      </c>
      <c r="O64">
        <v>-4.9999999999999822E-2</v>
      </c>
      <c r="P64" s="3" cm="1">
        <f t="array" ref="P64">MEDIAN(IF($C$22:$C$71=$C64, $I$22:$I$71))</f>
        <v>0.52998638249885821</v>
      </c>
      <c r="Q64" s="34" cm="1">
        <f t="array" ref="Q64">_xlfn.LET(
    _xlpm.stock, $F64,
    _xlpm.stock_ratio, $H64,
    _xlpm.cat_ratios, IF($C$22:$C$71=$C64, $H$22:$H$71),
    _xlpm.cat_median, MEDIAN(_xlpm.cat_ratios),
    _xlpm.cat_stdev, STDEV(IF($C$22:$C$71=$C64, $H$22:$H$71)),
    _xlpm.z_score, IF(_xlpm.cat_stdev = 0, 0, (_xlpm.stock_ratio - _xlpm.cat_median) / _xlpm.cat_stdev),
    _xlpm.capped_z, MIN(MAX(_xlpm.z_score, -2), 2),
    IF(_xlpm.stock &lt; $B$18, 0, 1 + $B$19 * _xlpm.capped_z)
)</f>
        <v>1.0006486669124326</v>
      </c>
      <c r="R64" s="42" cm="1">
        <f t="array" ref="R64">_xlfn.LET(
    _xlpm.sku, $A64,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$D64,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4.1553110245171242E-2</v>
      </c>
      <c r="S64" s="4" t="str">
        <f t="shared" si="8"/>
        <v>Hold</v>
      </c>
      <c r="T64" s="4" t="str" cm="1">
        <f t="array" ref="T64">IF($S64="Hold", IF(0.5 * ($P64-$I64) / $P64 + 0.5 * ($R64 / MAX(ABS($R64:$R113))) &gt; 0, "Raise", "Hold"), $S64)</f>
        <v>Raise</v>
      </c>
      <c r="U64" s="22">
        <f t="shared" si="9"/>
        <v>208.30422246574091</v>
      </c>
      <c r="V64" s="22">
        <f t="shared" si="15"/>
        <v>10.784222465740896</v>
      </c>
      <c r="W64" s="3">
        <f t="shared" si="16"/>
        <v>5.4598129129915428E-2</v>
      </c>
      <c r="X64" s="22">
        <f t="shared" si="10"/>
        <v>9.7642224657409145</v>
      </c>
      <c r="Y64" s="3">
        <f t="shared" si="11"/>
        <v>4.9180127257685682E-2</v>
      </c>
      <c r="Z64" s="3">
        <f t="shared" si="17"/>
        <v>-2.1839251651966173E-2</v>
      </c>
      <c r="AA64" s="24" cm="1">
        <f t="array" ref="AA64">ROUND(_xlfn.XLOOKUP($A64, 'Competitive Analysis (Step 1)'!$A$10:$A$209,_xlfn.ANCHORARRAY( 'Competitive Analysis (Step 1)'!$Q$10), , 0) * (1+$Z64), 0)</f>
        <v>22</v>
      </c>
      <c r="AB64" s="22">
        <f t="shared" si="12"/>
        <v>4582.6928942463001</v>
      </c>
      <c r="AC64" s="23" cm="1">
        <f t="array" ref="AC64">$AB64 - _xlfn.XLOOKUP($A64, 'Competitive Analysis (Step 1)'!$A$10:$A$209,_xlfn.ANCHORARRAY( 'Competitive Analysis (Step 1)'!$R$10), ,0)</f>
        <v>39.73289424630002</v>
      </c>
      <c r="AD64" s="21" cm="1">
        <f t="array" ref="AD64">$AC64 / _xlfn.XLOOKUP($A64, 'Competitive Analysis (Step 1)'!$A$10:$A$209,_xlfn.ANCHORARRAY( 'Competitive Analysis (Step 1)'!$V$10), ,0)</f>
        <v>9.1644203393102686E-3</v>
      </c>
      <c r="AE64" s="23">
        <f>$AA64 * _xlfn.XLOOKUP($A64, _1_product_catalog_pricing[SKU], _1_product_catalog_pricing[Cost Price ($)], , 0)</f>
        <v>1463.88</v>
      </c>
      <c r="AF64" s="23" cm="1">
        <f t="array" ref="AF64">$AE64 - _xlfn.XLOOKUP($A64, 'Competitive Analysis (Step 1)'!$A$10:$A$209,_xlfn.ANCHORARRAY( 'Competitive Analysis (Step 1)'!$S$10),,0)</f>
        <v>-66.539999999999964</v>
      </c>
      <c r="AG64" s="21" cm="1">
        <f t="array" ref="AG64">$AF64 / _xlfn.XLOOKUP($A64, 'Competitive Analysis (Step 1)'!$A$10:$A$209,_xlfn.ANCHORARRAY( 'Competitive Analysis (Step 1)'!$S$10),,0)</f>
        <v>-4.3478260869565188E-2</v>
      </c>
      <c r="AH64" s="28">
        <f t="shared" si="18"/>
        <v>3118.8128942462999</v>
      </c>
      <c r="AI64" s="23" cm="1">
        <f t="array" ref="AI64">$AH64 - _xlfn.XLOOKUP($A64, 'Competitive Analysis (Step 1)'!$A$10:$A$209,_xlfn.ANCHORARRAY( 'Competitive Analysis (Step 1)'!$T$10),,0)</f>
        <v>106.27289424629998</v>
      </c>
      <c r="AJ64" s="9">
        <f t="shared" si="13"/>
        <v>0.68056336442750887</v>
      </c>
      <c r="AK64" s="21" cm="1">
        <f t="array" ref="AK64">$AI64 / _xlfn.XLOOKUP($A64, 'Competitive Analysis (Step 1)'!$A$10:$A$209,_xlfn.ANCHORARRAY( 'Competitive Analysis (Step 1)'!$T$10),,0)</f>
        <v>3.5276840887191532E-2</v>
      </c>
      <c r="AL64" t="str">
        <f t="shared" si="14"/>
        <v>Full</v>
      </c>
    </row>
    <row r="65" spans="1:38">
      <c r="A65" s="24" t="str">
        <v>SKU-1043</v>
      </c>
      <c r="B65" s="24" t="str">
        <v>Jump Rope</v>
      </c>
      <c r="C65" s="24" t="str">
        <v>Sports &amp; Outdoors</v>
      </c>
      <c r="D65" s="23">
        <v>112.56</v>
      </c>
      <c r="E65" s="23">
        <v>53.11</v>
      </c>
      <c r="F65" s="24" cm="1">
        <f t="array" ref="F65">_xlfn.XLOOKUP($A65,'Competitive Analysis (Step 1)'!$A$10:$A$209,_xlfn.ANCHORARRAY( 'Competitive Analysis (Step 1)'!$P$10),,0)</f>
        <v>59</v>
      </c>
      <c r="G65" s="31" cm="1">
        <f t="array" ref="G65">SUMPRODUCT((Transactions_and_Customer_Information_Joined[SKU]='V1 Pricing Model (Step 2)'!$A65) * (Transactions_and_Customer_Information_Joined[Order Status]="Completed") * (Transactions_and_Customer_Information_Joined[Quantity])) / 12</f>
        <v>3.3333333333333335</v>
      </c>
      <c r="H65" s="13">
        <f t="shared" si="4"/>
        <v>17.7</v>
      </c>
      <c r="I65" s="9">
        <f t="shared" si="5"/>
        <v>0.52816275764036957</v>
      </c>
      <c r="J65" s="23" cm="1">
        <f t="array" ref="J65">(SMALL(IF('Competitive Analysis (Step 1)'!$A$10:$A$209=$A65,'Competitive Analysis (Step 1)'!$D$10:$D$209),2)+SMALL(IF('Competitive Analysis (Step 1)'!$A$10:$A$209=$A65,'Competitive Analysis (Step 1)'!$D$10:$D$209),3))/2</f>
        <v>117.28999999999999</v>
      </c>
      <c r="K65" s="22">
        <f t="shared" si="6"/>
        <v>4.7299999999999898</v>
      </c>
      <c r="L65" s="12">
        <f t="shared" si="7"/>
        <v>4.202203269367439E-2</v>
      </c>
      <c r="M65" s="24">
        <v>4.8</v>
      </c>
      <c r="N65" s="24">
        <v>3.625</v>
      </c>
      <c r="O65">
        <v>1.1749999999999998</v>
      </c>
      <c r="P65" s="3" cm="1">
        <f t="array" ref="P65">MEDIAN(IF($C$22:$C$71=$C65, $I$22:$I$71))</f>
        <v>0.52998638249885821</v>
      </c>
      <c r="Q65" s="34" cm="1">
        <f t="array" ref="Q65">_xlfn.LET(
    _xlpm.stock, $F65,
    _xlpm.stock_ratio, $H65,
    _xlpm.cat_ratios, IF($C$22:$C$71=$C65, $H$22:$H$71),
    _xlpm.cat_median, MEDIAN(_xlpm.cat_ratios),
    _xlpm.cat_stdev, STDEV(IF($C$22:$C$71=$C65, $H$22:$H$71)),
    _xlpm.z_score, IF(_xlpm.cat_stdev = 0, 0, (_xlpm.stock_ratio - _xlpm.cat_median) / _xlpm.cat_stdev),
    _xlpm.capped_z, MIN(MAX(_xlpm.z_score, -2), 2),
    IF(_xlpm.stock &lt; $B$18, 0, 1 + $B$19 * _xlpm.capped_z)
)</f>
        <v>1.025022137581121</v>
      </c>
      <c r="R65" s="42" cm="1">
        <f t="array" ref="R65">_xlfn.LET(
    _xlpm.sku, $A65,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$D65,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-1.9046743287820255E-2</v>
      </c>
      <c r="S65" s="4" t="str">
        <f t="shared" si="8"/>
        <v>Hold</v>
      </c>
      <c r="T65" s="4" t="str" cm="1">
        <f t="array" ref="T65">IF($S65="Hold", IF(0.5 * ($P65-$I65) / $P65 + 0.5 * ($R65 / MAX(ABS($R65:$R114))) &gt; 0, "Raise", "Hold"), $S65)</f>
        <v>Hold</v>
      </c>
      <c r="U65" s="22">
        <f t="shared" si="9"/>
        <v>124.60661115062148</v>
      </c>
      <c r="V65" s="22">
        <f t="shared" si="15"/>
        <v>12.046611150621473</v>
      </c>
      <c r="W65" s="3">
        <f t="shared" si="16"/>
        <v>0.10702390858761081</v>
      </c>
      <c r="X65" s="22">
        <f t="shared" si="10"/>
        <v>7.3166111506214833</v>
      </c>
      <c r="Y65" s="3">
        <f t="shared" si="11"/>
        <v>6.238051965744295E-2</v>
      </c>
      <c r="Z65" s="3">
        <f t="shared" si="17"/>
        <v>-4.2809563435044329E-2</v>
      </c>
      <c r="AA65" s="24" cm="1">
        <f t="array" ref="AA65">ROUND(_xlfn.XLOOKUP($A65, 'Competitive Analysis (Step 1)'!$A$10:$A$209,_xlfn.ANCHORARRAY( 'Competitive Analysis (Step 1)'!$Q$10), , 0) * (1+$Z65), 0)</f>
        <v>38</v>
      </c>
      <c r="AB65" s="22">
        <f t="shared" si="12"/>
        <v>4735.0512237236162</v>
      </c>
      <c r="AC65" s="23" cm="1">
        <f t="array" ref="AC65">$AB65 - _xlfn.XLOOKUP($A65, 'Competitive Analysis (Step 1)'!$A$10:$A$209,_xlfn.ANCHORARRAY( 'Competitive Analysis (Step 1)'!$R$10), ,0)</f>
        <v>979.85122372361684</v>
      </c>
      <c r="AD65" s="21" cm="1">
        <f t="array" ref="AD65">$AC65 / _xlfn.XLOOKUP($A65, 'Competitive Analysis (Step 1)'!$A$10:$A$209,_xlfn.ANCHORARRAY( 'Competitive Analysis (Step 1)'!$V$10), ,0)</f>
        <v>0.27648328255904858</v>
      </c>
      <c r="AE65" s="23">
        <f>$AA65 * _xlfn.XLOOKUP($A65, _1_product_catalog_pricing[SKU], _1_product_catalog_pricing[Cost Price ($)], , 0)</f>
        <v>2018.18</v>
      </c>
      <c r="AF65" s="23" cm="1">
        <f t="array" ref="AF65">$AE65 - _xlfn.XLOOKUP($A65, 'Competitive Analysis (Step 1)'!$A$10:$A$209,_xlfn.ANCHORARRAY( 'Competitive Analysis (Step 1)'!$S$10),,0)</f>
        <v>-106.21999999999957</v>
      </c>
      <c r="AG65" s="21" cm="1">
        <f t="array" ref="AG65">$AF65 / _xlfn.XLOOKUP($A65, 'Competitive Analysis (Step 1)'!$A$10:$A$209,_xlfn.ANCHORARRAY( 'Competitive Analysis (Step 1)'!$S$10),,0)</f>
        <v>-4.9999999999999808E-2</v>
      </c>
      <c r="AH65" s="28">
        <f t="shared" si="18"/>
        <v>2716.8712237236159</v>
      </c>
      <c r="AI65" s="23" cm="1">
        <f t="array" ref="AI65">$AH65 - _xlfn.XLOOKUP($A65, 'Competitive Analysis (Step 1)'!$A$10:$A$209,_xlfn.ANCHORARRAY( 'Competitive Analysis (Step 1)'!$T$10),,0)</f>
        <v>1086.0712237236162</v>
      </c>
      <c r="AJ65" s="9">
        <f t="shared" si="13"/>
        <v>0.57377863413842534</v>
      </c>
      <c r="AK65" s="21" cm="1">
        <f t="array" ref="AK65">$AI65 / _xlfn.XLOOKUP($A65, 'Competitive Analysis (Step 1)'!$A$10:$A$209,_xlfn.ANCHORARRAY( 'Competitive Analysis (Step 1)'!$T$10),,0)</f>
        <v>0.66597450559456484</v>
      </c>
      <c r="AL65" t="str">
        <f t="shared" si="14"/>
        <v>Full</v>
      </c>
    </row>
    <row r="66" spans="1:38">
      <c r="A66" s="24" t="str">
        <v>SKU-1044</v>
      </c>
      <c r="B66" s="24" t="str">
        <v>Foam Roller</v>
      </c>
      <c r="C66" s="24" t="str">
        <v>Sports &amp; Outdoors</v>
      </c>
      <c r="D66" s="23">
        <v>144.94999999999999</v>
      </c>
      <c r="E66" s="23">
        <v>77.19</v>
      </c>
      <c r="F66" s="24" cm="1">
        <f t="array" ref="F66">_xlfn.XLOOKUP($A66,'Competitive Analysis (Step 1)'!$A$10:$A$209,_xlfn.ANCHORARRAY( 'Competitive Analysis (Step 1)'!$P$10),,0)</f>
        <v>176</v>
      </c>
      <c r="G66" s="31" cm="1">
        <f t="array" ref="G66">SUMPRODUCT((Transactions_and_Customer_Information_Joined[SKU]='V1 Pricing Model (Step 2)'!$A66) * (Transactions_and_Customer_Information_Joined[Order Status]="Completed") * (Transactions_and_Customer_Information_Joined[Quantity])) / 12</f>
        <v>1.5833333333333333</v>
      </c>
      <c r="H66" s="13">
        <f t="shared" si="4"/>
        <v>111.15789473684211</v>
      </c>
      <c r="I66" s="9">
        <f t="shared" si="5"/>
        <v>0.46747154191100376</v>
      </c>
      <c r="J66" s="23" cm="1">
        <f t="array" ref="J66">(SMALL(IF('Competitive Analysis (Step 1)'!$A$10:$A$209=$A66,'Competitive Analysis (Step 1)'!$D$10:$D$209),2)+SMALL(IF('Competitive Analysis (Step 1)'!$A$10:$A$209=$A66,'Competitive Analysis (Step 1)'!$D$10:$D$209),3))/2</f>
        <v>169.7</v>
      </c>
      <c r="K66" s="22">
        <f t="shared" si="6"/>
        <v>24.75</v>
      </c>
      <c r="L66" s="12">
        <f t="shared" si="7"/>
        <v>0.17074853397723355</v>
      </c>
      <c r="M66" s="24">
        <v>4.5</v>
      </c>
      <c r="N66" s="24">
        <v>3.75</v>
      </c>
      <c r="O66">
        <v>0.75</v>
      </c>
      <c r="P66" s="3" cm="1">
        <f t="array" ref="P66">MEDIAN(IF($C$22:$C$71=$C66, $I$22:$I$71))</f>
        <v>0.52998638249885821</v>
      </c>
      <c r="Q66" s="34" cm="1">
        <f t="array" ref="Q66">_xlfn.LET(
    _xlpm.stock, $F66,
    _xlpm.stock_ratio, $H66,
    _xlpm.cat_ratios, IF($C$22:$C$71=$C66, $H$22:$H$71),
    _xlpm.cat_median, MEDIAN(_xlpm.cat_ratios),
    _xlpm.cat_stdev, STDEV(IF($C$22:$C$71=$C66, $H$22:$H$71)),
    _xlpm.z_score, IF(_xlpm.cat_stdev = 0, 0, (_xlpm.stock_ratio - _xlpm.cat_median) / _xlpm.cat_stdev),
    _xlpm.capped_z, MIN(MAX(_xlpm.z_score, -2), 2),
    IF(_xlpm.stock &lt; $B$18, 0, 1 + $B$19 * _xlpm.capped_z)
)</f>
        <v>0.99935133308756752</v>
      </c>
      <c r="R66" s="42" cm="1">
        <f t="array" ref="R66">_xlfn.LET(
    _xlpm.sku, $A66,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$D66,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-0.13375613907681944</v>
      </c>
      <c r="S66" s="4" t="str">
        <f t="shared" si="8"/>
        <v>Raise</v>
      </c>
      <c r="T66" s="4" t="str" cm="1">
        <f t="array" ref="T66">IF($S66="Hold", IF(0.5 * ($P66-$I66) / $P66 + 0.5 * ($R66 / MAX(ABS($R66:$R115))) &gt; 0, "Raise", "Hold"), $S66)</f>
        <v>Raise</v>
      </c>
      <c r="U66" s="22">
        <f t="shared" si="9"/>
        <v>181.88519051376983</v>
      </c>
      <c r="V66" s="22">
        <f t="shared" si="15"/>
        <v>36.93519051376984</v>
      </c>
      <c r="W66" s="3">
        <f t="shared" si="16"/>
        <v>0.25481331848064742</v>
      </c>
      <c r="X66" s="22">
        <f t="shared" si="10"/>
        <v>12.18519051376984</v>
      </c>
      <c r="Y66" s="3">
        <f t="shared" si="11"/>
        <v>7.1804304736416261E-2</v>
      </c>
      <c r="Z66" s="3">
        <f t="shared" si="17"/>
        <v>-0.10192532739225897</v>
      </c>
      <c r="AA66" s="24" cm="1">
        <f t="array" ref="AA66">ROUND(_xlfn.XLOOKUP($A66, 'Competitive Analysis (Step 1)'!$A$10:$A$209,_xlfn.ANCHORARRAY( 'Competitive Analysis (Step 1)'!$Q$10), , 0) * (1+$Z66), 0)</f>
        <v>17</v>
      </c>
      <c r="AB66" s="22">
        <f t="shared" si="12"/>
        <v>3092.0482387340871</v>
      </c>
      <c r="AC66" s="23" cm="1">
        <f t="array" ref="AC66">$AB66 - _xlfn.XLOOKUP($A66, 'Competitive Analysis (Step 1)'!$A$10:$A$209,_xlfn.ANCHORARRAY( 'Competitive Analysis (Step 1)'!$R$10), ,0)</f>
        <v>337.99823873408741</v>
      </c>
      <c r="AD66" s="21" cm="1">
        <f t="array" ref="AD66">$AC66 / _xlfn.XLOOKUP($A66, 'Competitive Analysis (Step 1)'!$A$10:$A$209,_xlfn.ANCHORARRAY( 'Competitive Analysis (Step 1)'!$V$10), ,0)</f>
        <v>0.12990589027664234</v>
      </c>
      <c r="AE66" s="23">
        <f>$AA66 * _xlfn.XLOOKUP($A66, _1_product_catalog_pricing[SKU], _1_product_catalog_pricing[Cost Price ($)], , 0)</f>
        <v>1312.23</v>
      </c>
      <c r="AF66" s="23" cm="1">
        <f t="array" ref="AF66">$AE66 - _xlfn.XLOOKUP($A66, 'Competitive Analysis (Step 1)'!$A$10:$A$209,_xlfn.ANCHORARRAY( 'Competitive Analysis (Step 1)'!$S$10),,0)</f>
        <v>-154.37999999999988</v>
      </c>
      <c r="AG66" s="21" cm="1">
        <f t="array" ref="AG66">$AF66 / _xlfn.XLOOKUP($A66, 'Competitive Analysis (Step 1)'!$A$10:$A$209,_xlfn.ANCHORARRAY( 'Competitive Analysis (Step 1)'!$S$10),,0)</f>
        <v>-0.10526315789473677</v>
      </c>
      <c r="AH66" s="28">
        <f t="shared" si="18"/>
        <v>1779.8182387340871</v>
      </c>
      <c r="AI66" s="23" cm="1">
        <f t="array" ref="AI66">$AH66 - _xlfn.XLOOKUP($A66, 'Competitive Analysis (Step 1)'!$A$10:$A$209,_xlfn.ANCHORARRAY( 'Competitive Analysis (Step 1)'!$T$10),,0)</f>
        <v>492.37823873408729</v>
      </c>
      <c r="AJ66" s="9">
        <f t="shared" si="13"/>
        <v>0.57561140749303474</v>
      </c>
      <c r="AK66" s="21" cm="1">
        <f t="array" ref="AK66">$AI66 / _xlfn.XLOOKUP($A66, 'Competitive Analysis (Step 1)'!$A$10:$A$209,_xlfn.ANCHORARRAY( 'Competitive Analysis (Step 1)'!$T$10),,0)</f>
        <v>0.38244752278481897</v>
      </c>
      <c r="AL66" t="str">
        <f t="shared" si="14"/>
        <v>Full</v>
      </c>
    </row>
    <row r="67" spans="1:38">
      <c r="A67" s="24" t="str">
        <v>SKU-1045</v>
      </c>
      <c r="B67" s="24" t="str">
        <v>Dumbbell Set</v>
      </c>
      <c r="C67" s="24" t="str">
        <v>Sports &amp; Outdoors</v>
      </c>
      <c r="D67" s="23">
        <v>126.76</v>
      </c>
      <c r="E67" s="23">
        <v>78.819999999999993</v>
      </c>
      <c r="F67" s="24" cm="1">
        <f t="array" ref="F67">_xlfn.XLOOKUP($A67,'Competitive Analysis (Step 1)'!$A$10:$A$209,_xlfn.ANCHORARRAY( 'Competitive Analysis (Step 1)'!$P$10),,0)</f>
        <v>362</v>
      </c>
      <c r="G67" s="31" cm="1">
        <f t="array" ref="G67">SUMPRODUCT((Transactions_and_Customer_Information_Joined[SKU]='V1 Pricing Model (Step 2)'!$A67) * (Transactions_and_Customer_Information_Joined[Order Status]="Completed") * (Transactions_and_Customer_Information_Joined[Quantity])) / 12</f>
        <v>1.9166666666666667</v>
      </c>
      <c r="H67" s="13">
        <f t="shared" si="4"/>
        <v>188.86956521739128</v>
      </c>
      <c r="I67" s="9">
        <f t="shared" si="5"/>
        <v>0.37819501420006318</v>
      </c>
      <c r="J67" s="23" cm="1">
        <f t="array" ref="J67">(SMALL(IF('Competitive Analysis (Step 1)'!$A$10:$A$209=$A67,'Competitive Analysis (Step 1)'!$D$10:$D$209),2)+SMALL(IF('Competitive Analysis (Step 1)'!$A$10:$A$209=$A67,'Competitive Analysis (Step 1)'!$D$10:$D$209),3))/2</f>
        <v>133.875</v>
      </c>
      <c r="K67" s="22">
        <f t="shared" si="6"/>
        <v>7.1149999999999949</v>
      </c>
      <c r="L67" s="12">
        <f t="shared" si="7"/>
        <v>5.6129693909750665E-2</v>
      </c>
      <c r="M67" s="24">
        <v>3.9</v>
      </c>
      <c r="N67" s="24">
        <v>3.8250000000000002</v>
      </c>
      <c r="O67">
        <v>7.4999999999999734E-2</v>
      </c>
      <c r="P67" s="3" cm="1">
        <f t="array" ref="P67">MEDIAN(IF($C$22:$C$71=$C67, $I$22:$I$71))</f>
        <v>0.52998638249885821</v>
      </c>
      <c r="Q67" s="34" cm="1">
        <f t="array" ref="Q67">_xlfn.LET(
    _xlpm.stock, $F67,
    _xlpm.stock_ratio, $H67,
    _xlpm.cat_ratios, IF($C$22:$C$71=$C67, $H$22:$H$71),
    _xlpm.cat_median, MEDIAN(_xlpm.cat_ratios),
    _xlpm.cat_stdev, STDEV(IF($C$22:$C$71=$C67, $H$22:$H$71)),
    _xlpm.z_score, IF(_xlpm.cat_stdev = 0, 0, (_xlpm.stock_ratio - _xlpm.cat_median) / _xlpm.cat_stdev),
    _xlpm.capped_z, MIN(MAX(_xlpm.z_score, -2), 2),
    IF(_xlpm.stock &lt; $B$18, 0, 1 + $B$19 * _xlpm.capped_z)
)</f>
        <v>0.97800566608542805</v>
      </c>
      <c r="R67" s="42" cm="1">
        <f t="array" ref="R67">_xlfn.LET(
    _xlpm.sku, $A67,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$D67,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0.11335157261264264</v>
      </c>
      <c r="S67" s="4" t="str">
        <f t="shared" si="8"/>
        <v>Reduce</v>
      </c>
      <c r="T67" s="4" t="str" cm="1">
        <f t="array" ref="T67">IF($S67="Hold", IF(0.5 * ($P67-$I67) / $P67 + 0.5 * ($R67 / MAX(ABS($R67:$R116))) &gt; 0, "Raise", "Hold"), $S67)</f>
        <v>Reduce</v>
      </c>
      <c r="U67" s="22">
        <f t="shared" si="9"/>
        <v>128.30972710860155</v>
      </c>
      <c r="V67" s="22">
        <f t="shared" si="15"/>
        <v>1.5497271086015445</v>
      </c>
      <c r="W67" s="3">
        <f t="shared" si="16"/>
        <v>1.2225679304209092E-2</v>
      </c>
      <c r="X67" s="22">
        <f t="shared" si="10"/>
        <v>-5.5652728913984504</v>
      </c>
      <c r="Y67" s="3">
        <f t="shared" si="11"/>
        <v>-4.1570665855450613E-2</v>
      </c>
      <c r="Z67" s="3">
        <f t="shared" si="17"/>
        <v>-9.7805434433672744E-3</v>
      </c>
      <c r="AA67" s="24" cm="1">
        <f t="array" ref="AA67">ROUND(_xlfn.XLOOKUP($A67, 'Competitive Analysis (Step 1)'!$A$10:$A$209,_xlfn.ANCHORARRAY( 'Competitive Analysis (Step 1)'!$Q$10), , 0) * (1+$Z67), 0)</f>
        <v>23</v>
      </c>
      <c r="AB67" s="22">
        <f t="shared" si="12"/>
        <v>2951.1237234978357</v>
      </c>
      <c r="AC67" s="23" cm="1">
        <f t="array" ref="AC67">$AB67 - _xlfn.XLOOKUP($A67, 'Competitive Analysis (Step 1)'!$A$10:$A$209,_xlfn.ANCHORARRAY( 'Competitive Analysis (Step 1)'!$R$10), ,0)</f>
        <v>771.64372349783571</v>
      </c>
      <c r="AD67" s="21" cm="1">
        <f t="array" ref="AD67">$AC67 / _xlfn.XLOOKUP($A67, 'Competitive Analysis (Step 1)'!$A$10:$A$209,_xlfn.ANCHORARRAY( 'Competitive Analysis (Step 1)'!$V$10), ,0)</f>
        <v>0.36846706307794658</v>
      </c>
      <c r="AE67" s="23">
        <f>$AA67 * _xlfn.XLOOKUP($A67, _1_product_catalog_pricing[SKU], _1_product_catalog_pricing[Cost Price ($)], , 0)</f>
        <v>1812.86</v>
      </c>
      <c r="AF67" s="23" cm="1">
        <f t="array" ref="AF67">$AE67 - _xlfn.XLOOKUP($A67, 'Competitive Analysis (Step 1)'!$A$10:$A$209,_xlfn.ANCHORARRAY( 'Competitive Analysis (Step 1)'!$S$10),,0)</f>
        <v>0</v>
      </c>
      <c r="AG67" s="21" cm="1">
        <f t="array" ref="AG67">$AF67 / _xlfn.XLOOKUP($A67, 'Competitive Analysis (Step 1)'!$A$10:$A$209,_xlfn.ANCHORARRAY( 'Competitive Analysis (Step 1)'!$S$10),,0)</f>
        <v>0</v>
      </c>
      <c r="AH67" s="28">
        <f t="shared" si="18"/>
        <v>1138.2637234978358</v>
      </c>
      <c r="AI67" s="23" cm="1">
        <f t="array" ref="AI67">$AH67 - _xlfn.XLOOKUP($A67, 'Competitive Analysis (Step 1)'!$A$10:$A$209,_xlfn.ANCHORARRAY( 'Competitive Analysis (Step 1)'!$T$10),,0)</f>
        <v>771.64372349783571</v>
      </c>
      <c r="AJ67" s="9">
        <f t="shared" si="13"/>
        <v>0.38570518559916644</v>
      </c>
      <c r="AK67" s="21" cm="1">
        <f t="array" ref="AK67">$AI67 / _xlfn.XLOOKUP($A67, 'Competitive Analysis (Step 1)'!$A$10:$A$209,_xlfn.ANCHORARRAY( 'Competitive Analysis (Step 1)'!$T$10),,0)</f>
        <v>2.1047507596362323</v>
      </c>
      <c r="AL67" t="str">
        <f t="shared" si="14"/>
        <v>Full</v>
      </c>
    </row>
    <row r="68" spans="1:38">
      <c r="A68" s="24" t="str">
        <v>SKU-1046</v>
      </c>
      <c r="B68" s="24" t="str">
        <v>Cycling Gloves</v>
      </c>
      <c r="C68" s="24" t="str">
        <v>Sports &amp; Outdoors</v>
      </c>
      <c r="D68" s="23">
        <v>116.08</v>
      </c>
      <c r="E68" s="23">
        <v>37.35</v>
      </c>
      <c r="F68" s="24" cm="1">
        <f t="array" ref="F68">_xlfn.XLOOKUP($A68,'Competitive Analysis (Step 1)'!$A$10:$A$209,_xlfn.ANCHORARRAY( 'Competitive Analysis (Step 1)'!$P$10),,0)</f>
        <v>368</v>
      </c>
      <c r="G68" s="31" cm="1">
        <f t="array" ref="G68">SUMPRODUCT((Transactions_and_Customer_Information_Joined[SKU]='V1 Pricing Model (Step 2)'!$A68) * (Transactions_and_Customer_Information_Joined[Order Status]="Completed") * (Transactions_and_Customer_Information_Joined[Quantity])) / 12</f>
        <v>1.5833333333333333</v>
      </c>
      <c r="H68" s="13">
        <f t="shared" si="4"/>
        <v>232.42105263157896</v>
      </c>
      <c r="I68" s="9">
        <f t="shared" si="5"/>
        <v>0.67823914541695374</v>
      </c>
      <c r="J68" s="23" cm="1">
        <f t="array" ref="J68">(SMALL(IF('Competitive Analysis (Step 1)'!$A$10:$A$209=$A68,'Competitive Analysis (Step 1)'!$D$10:$D$209),2)+SMALL(IF('Competitive Analysis (Step 1)'!$A$10:$A$209=$A68,'Competitive Analysis (Step 1)'!$D$10:$D$209),3))/2</f>
        <v>116.82499999999999</v>
      </c>
      <c r="K68" s="22">
        <f t="shared" si="6"/>
        <v>0.74499999999999034</v>
      </c>
      <c r="L68" s="12">
        <f t="shared" si="7"/>
        <v>6.4179875947621501E-3</v>
      </c>
      <c r="M68" s="24">
        <v>4.8</v>
      </c>
      <c r="N68" s="24">
        <v>3.7</v>
      </c>
      <c r="O68">
        <v>1.0999999999999996</v>
      </c>
      <c r="P68" s="3" cm="1">
        <f t="array" ref="P68">MEDIAN(IF($C$22:$C$71=$C68, $I$22:$I$71))</f>
        <v>0.52998638249885821</v>
      </c>
      <c r="Q68" s="34" cm="1">
        <f t="array" ref="Q68">_xlfn.LET(
    _xlpm.stock, $F68,
    _xlpm.stock_ratio, $H68,
    _xlpm.cat_ratios, IF($C$22:$C$71=$C68, $H$22:$H$71),
    _xlpm.cat_median, MEDIAN(_xlpm.cat_ratios),
    _xlpm.cat_stdev, STDEV(IF($C$22:$C$71=$C68, $H$22:$H$71)),
    _xlpm.z_score, IF(_xlpm.cat_stdev = 0, 0, (_xlpm.stock_ratio - _xlpm.cat_median) / _xlpm.cat_stdev),
    _xlpm.capped_z, MIN(MAX(_xlpm.z_score, -2), 2),
    IF(_xlpm.stock &lt; $B$18, 0, 1 + $B$19 * _xlpm.capped_z)
)</f>
        <v>0.96604304139801001</v>
      </c>
      <c r="R68" s="42" cm="1">
        <f t="array" ref="R68">_xlfn.LET(
    _xlpm.sku, $A68,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$D68,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-1.7203557872818461E-2</v>
      </c>
      <c r="S68" s="4" t="str">
        <f t="shared" si="8"/>
        <v>Hold</v>
      </c>
      <c r="T68" s="4" t="str" cm="1">
        <f t="array" ref="T68">IF($S68="Hold", IF(0.5 * ($P68-$I68) / $P68 + 0.5 * ($R68 / MAX(ABS($R68:$R117))) &gt; 0, "Raise", "Hold"), $S68)</f>
        <v>Hold</v>
      </c>
      <c r="U68" s="22">
        <f t="shared" si="9"/>
        <v>117.71087137870938</v>
      </c>
      <c r="V68" s="22">
        <f t="shared" si="15"/>
        <v>1.6308713787093865</v>
      </c>
      <c r="W68" s="3">
        <f t="shared" si="16"/>
        <v>1.4049546680818285E-2</v>
      </c>
      <c r="X68" s="22">
        <f t="shared" si="10"/>
        <v>0.88587137870939614</v>
      </c>
      <c r="Y68" s="3">
        <f t="shared" si="11"/>
        <v>7.5828921781245133E-3</v>
      </c>
      <c r="Z68" s="3">
        <f t="shared" si="17"/>
        <v>-5.619818672327314E-3</v>
      </c>
      <c r="AA68" s="24" cm="1">
        <f t="array" ref="AA68">ROUND(_xlfn.XLOOKUP($A68, 'Competitive Analysis (Step 1)'!$A$10:$A$209,_xlfn.ANCHORARRAY( 'Competitive Analysis (Step 1)'!$Q$10), , 0) * (1+$Z68), 0)</f>
        <v>19</v>
      </c>
      <c r="AB68" s="22">
        <f t="shared" si="12"/>
        <v>2236.5065561954784</v>
      </c>
      <c r="AC68" s="23" cm="1">
        <f t="array" ref="AC68">$AB68 - _xlfn.XLOOKUP($A68, 'Competitive Analysis (Step 1)'!$A$10:$A$209,_xlfn.ANCHORARRAY( 'Competitive Analysis (Step 1)'!$R$10), ,0)</f>
        <v>349.04655619547839</v>
      </c>
      <c r="AD68" s="21" cm="1">
        <f t="array" ref="AD68">$AC68 / _xlfn.XLOOKUP($A68, 'Competitive Analysis (Step 1)'!$A$10:$A$209,_xlfn.ANCHORARRAY( 'Competitive Analysis (Step 1)'!$V$10), ,0)</f>
        <v>0.1941239759493445</v>
      </c>
      <c r="AE68" s="23">
        <f>$AA68 * _xlfn.XLOOKUP($A68, _1_product_catalog_pricing[SKU], _1_product_catalog_pricing[Cost Price ($)], , 0)</f>
        <v>709.65</v>
      </c>
      <c r="AF68" s="23" cm="1">
        <f t="array" ref="AF68">$AE68 - _xlfn.XLOOKUP($A68, 'Competitive Analysis (Step 1)'!$A$10:$A$209,_xlfn.ANCHORARRAY( 'Competitive Analysis (Step 1)'!$S$10),,0)</f>
        <v>0</v>
      </c>
      <c r="AG68" s="21" cm="1">
        <f t="array" ref="AG68">$AF68 / _xlfn.XLOOKUP($A68, 'Competitive Analysis (Step 1)'!$A$10:$A$209,_xlfn.ANCHORARRAY( 'Competitive Analysis (Step 1)'!$S$10),,0)</f>
        <v>0</v>
      </c>
      <c r="AH68" s="28">
        <f t="shared" si="18"/>
        <v>1526.8565561954783</v>
      </c>
      <c r="AI68" s="23" cm="1">
        <f t="array" ref="AI68">$AH68 - _xlfn.XLOOKUP($A68, 'Competitive Analysis (Step 1)'!$A$10:$A$209,_xlfn.ANCHORARRAY( 'Competitive Analysis (Step 1)'!$T$10),,0)</f>
        <v>349.04655619547839</v>
      </c>
      <c r="AJ68" s="9">
        <f t="shared" si="13"/>
        <v>0.68269710722101085</v>
      </c>
      <c r="AK68" s="21" cm="1">
        <f t="array" ref="AK68">$AI68 / _xlfn.XLOOKUP($A68, 'Competitive Analysis (Step 1)'!$A$10:$A$209,_xlfn.ANCHORARRAY( 'Competitive Analysis (Step 1)'!$T$10),,0)</f>
        <v>0.29635217581399242</v>
      </c>
      <c r="AL68" t="str">
        <f t="shared" si="14"/>
        <v>Full</v>
      </c>
    </row>
    <row r="69" spans="1:38">
      <c r="A69" s="24" t="str">
        <v>SKU-1047</v>
      </c>
      <c r="B69" s="24" t="str">
        <v>Hiking Socks</v>
      </c>
      <c r="C69" s="24" t="str">
        <v>Sports &amp; Outdoors</v>
      </c>
      <c r="D69" s="23">
        <v>75.69</v>
      </c>
      <c r="E69" s="23">
        <v>35.630000000000003</v>
      </c>
      <c r="F69" s="24" cm="1">
        <f t="array" ref="F69">_xlfn.XLOOKUP($A69,'Competitive Analysis (Step 1)'!$A$10:$A$209,_xlfn.ANCHORARRAY( 'Competitive Analysis (Step 1)'!$P$10),,0)</f>
        <v>98</v>
      </c>
      <c r="G69" s="31" cm="1">
        <f t="array" ref="G69">SUMPRODUCT((Transactions_and_Customer_Information_Joined[SKU]='V1 Pricing Model (Step 2)'!$A69) * (Transactions_and_Customer_Information_Joined[Order Status]="Completed") * (Transactions_and_Customer_Information_Joined[Quantity])) / 12</f>
        <v>2.0833333333333335</v>
      </c>
      <c r="H69" s="13">
        <f t="shared" si="4"/>
        <v>47.04</v>
      </c>
      <c r="I69" s="9">
        <f t="shared" si="5"/>
        <v>0.52926410358039366</v>
      </c>
      <c r="J69" s="23" cm="1">
        <f t="array" ref="J69">(SMALL(IF('Competitive Analysis (Step 1)'!$A$10:$A$209=$A69,'Competitive Analysis (Step 1)'!$D$10:$D$209),2)+SMALL(IF('Competitive Analysis (Step 1)'!$A$10:$A$209=$A69,'Competitive Analysis (Step 1)'!$D$10:$D$209),3))/2</f>
        <v>67.775000000000006</v>
      </c>
      <c r="K69" s="22">
        <f t="shared" si="6"/>
        <v>-7.914999999999992</v>
      </c>
      <c r="L69" s="12">
        <f t="shared" si="7"/>
        <v>-0.1045712775796009</v>
      </c>
      <c r="M69" s="24">
        <v>3.8</v>
      </c>
      <c r="N69" s="24">
        <v>4.125</v>
      </c>
      <c r="O69">
        <v>-0.32500000000000018</v>
      </c>
      <c r="P69" s="3" cm="1">
        <f t="array" ref="P69">MEDIAN(IF($C$22:$C$71=$C69, $I$22:$I$71))</f>
        <v>0.52998638249885821</v>
      </c>
      <c r="Q69" s="34" cm="1">
        <f t="array" ref="Q69">_xlfn.LET(
    _xlpm.stock, $F69,
    _xlpm.stock_ratio, $H69,
    _xlpm.cat_ratios, IF($C$22:$C$71=$C69, $H$22:$H$71),
    _xlpm.cat_median, MEDIAN(_xlpm.cat_ratios),
    _xlpm.cat_stdev, STDEV(IF($C$22:$C$71=$C69, $H$22:$H$71)),
    _xlpm.z_score, IF(_xlpm.cat_stdev = 0, 0, (_xlpm.stock_ratio - _xlpm.cat_median) / _xlpm.cat_stdev),
    _xlpm.capped_z, MIN(MAX(_xlpm.z_score, -2), 2),
    IF(_xlpm.stock &lt; $B$18, 0, 1 + $B$19 * _xlpm.capped_z)
)</f>
        <v>1.016963092318421</v>
      </c>
      <c r="R69" s="42" cm="1">
        <f t="array" ref="R69">_xlfn.LET(
    _xlpm.sku, $A69,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$D69,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0.1625556844717348</v>
      </c>
      <c r="S69" s="4" t="str">
        <f t="shared" si="8"/>
        <v>Reduce</v>
      </c>
      <c r="T69" s="4" t="str" cm="1">
        <f t="array" ref="T69">IF($S69="Hold", IF(0.5 * ($P69-$I69) / $P69 + 0.5 * ($R69 / MAX(ABS($R69:$R118))) &gt; 0, "Raise", "Hold"), $S69)</f>
        <v>Reduce</v>
      </c>
      <c r="U69" s="22">
        <f t="shared" si="9"/>
        <v>66.259095923610843</v>
      </c>
      <c r="V69" s="22">
        <f t="shared" si="15"/>
        <v>-9.4309040763891545</v>
      </c>
      <c r="W69" s="3">
        <f t="shared" si="16"/>
        <v>-0.12459907618429324</v>
      </c>
      <c r="X69" s="22">
        <f t="shared" si="10"/>
        <v>-1.5159040763891625</v>
      </c>
      <c r="Y69" s="3">
        <f t="shared" si="11"/>
        <v>-2.2366714516992434E-2</v>
      </c>
      <c r="Z69" s="3">
        <f t="shared" si="17"/>
        <v>9.9679260947434595E-2</v>
      </c>
      <c r="AA69" s="24" cm="1">
        <f t="array" ref="AA69">ROUND(_xlfn.XLOOKUP($A69, 'Competitive Analysis (Step 1)'!$A$10:$A$209,_xlfn.ANCHORARRAY( 'Competitive Analysis (Step 1)'!$Q$10), , 0) * (1+$Z69), 0)</f>
        <v>27</v>
      </c>
      <c r="AB69" s="22">
        <f t="shared" si="12"/>
        <v>1788.9955899374927</v>
      </c>
      <c r="AC69" s="23" cm="1">
        <f t="array" ref="AC69">$AB69 - _xlfn.XLOOKUP($A69, 'Competitive Analysis (Step 1)'!$A$10:$A$209,_xlfn.ANCHORARRAY( 'Competitive Analysis (Step 1)'!$R$10), ,0)</f>
        <v>-103.2544100625073</v>
      </c>
      <c r="AD69" s="21" cm="1">
        <f t="array" ref="AD69">$AC69 / _xlfn.XLOOKUP($A69, 'Competitive Analysis (Step 1)'!$A$10:$A$209,_xlfn.ANCHORARRAY( 'Competitive Analysis (Step 1)'!$V$10), ,0)</f>
        <v>-6.0764338631231998E-2</v>
      </c>
      <c r="AE69" s="23">
        <f>$AA69 * _xlfn.XLOOKUP($A69, _1_product_catalog_pricing[SKU], _1_product_catalog_pricing[Cost Price ($)], , 0)</f>
        <v>962.0100000000001</v>
      </c>
      <c r="AF69" s="23" cm="1">
        <f t="array" ref="AF69">$AE69 - _xlfn.XLOOKUP($A69, 'Competitive Analysis (Step 1)'!$A$10:$A$209,_xlfn.ANCHORARRAY( 'Competitive Analysis (Step 1)'!$S$10),,0)</f>
        <v>71.260000000000105</v>
      </c>
      <c r="AG69" s="21" cm="1">
        <f t="array" ref="AG69">$AF69 / _xlfn.XLOOKUP($A69, 'Competitive Analysis (Step 1)'!$A$10:$A$209,_xlfn.ANCHORARRAY( 'Competitive Analysis (Step 1)'!$S$10),,0)</f>
        <v>8.0000000000000113E-2</v>
      </c>
      <c r="AH69" s="28">
        <f t="shared" si="18"/>
        <v>826.98558993749259</v>
      </c>
      <c r="AI69" s="23" cm="1">
        <f t="array" ref="AI69">$AH69 - _xlfn.XLOOKUP($A69, 'Competitive Analysis (Step 1)'!$A$10:$A$209,_xlfn.ANCHORARRAY( 'Competitive Analysis (Step 1)'!$T$10),,0)</f>
        <v>-174.51441006250741</v>
      </c>
      <c r="AJ69" s="9">
        <f t="shared" si="13"/>
        <v>0.46226250896816767</v>
      </c>
      <c r="AK69" s="21" cm="1">
        <f t="array" ref="AK69">$AI69 / _xlfn.XLOOKUP($A69, 'Competitive Analysis (Step 1)'!$A$10:$A$209,_xlfn.ANCHORARRAY( 'Competitive Analysis (Step 1)'!$T$10),,0)</f>
        <v>-0.1742530305167323</v>
      </c>
      <c r="AL69" t="str">
        <f t="shared" si="14"/>
        <v>Exclude</v>
      </c>
    </row>
    <row r="70" spans="1:38">
      <c r="A70" s="24" t="str">
        <v>SKU-1048</v>
      </c>
      <c r="B70" s="24" t="str">
        <v>Gym Bag</v>
      </c>
      <c r="C70" s="24" t="str">
        <v>Sports &amp; Outdoors</v>
      </c>
      <c r="D70" s="23">
        <v>101.6</v>
      </c>
      <c r="E70" s="23">
        <v>47.68</v>
      </c>
      <c r="F70" s="24" cm="1">
        <f t="array" ref="F70">_xlfn.XLOOKUP($A70,'Competitive Analysis (Step 1)'!$A$10:$A$209,_xlfn.ANCHORARRAY( 'Competitive Analysis (Step 1)'!$P$10),,0)</f>
        <v>220</v>
      </c>
      <c r="G70" s="31" cm="1">
        <f t="array" ref="G70">SUMPRODUCT((Transactions_and_Customer_Information_Joined[SKU]='V1 Pricing Model (Step 2)'!$A70) * (Transactions_and_Customer_Information_Joined[Order Status]="Completed") * (Transactions_and_Customer_Information_Joined[Quantity])) / 12</f>
        <v>3.0833333333333335</v>
      </c>
      <c r="H70" s="13">
        <f t="shared" si="4"/>
        <v>71.351351351351354</v>
      </c>
      <c r="I70" s="9">
        <f t="shared" si="5"/>
        <v>0.53070866141732276</v>
      </c>
      <c r="J70" s="23" cm="1">
        <f t="array" ref="J70">(SMALL(IF('Competitive Analysis (Step 1)'!$A$10:$A$209=$A70,'Competitive Analysis (Step 1)'!$D$10:$D$209),2)+SMALL(IF('Competitive Analysis (Step 1)'!$A$10:$A$209=$A70,'Competitive Analysis (Step 1)'!$D$10:$D$209),3))/2</f>
        <v>109.315</v>
      </c>
      <c r="K70" s="22">
        <f t="shared" si="6"/>
        <v>7.7150000000000034</v>
      </c>
      <c r="L70" s="12">
        <f t="shared" si="7"/>
        <v>7.5935039370078783E-2</v>
      </c>
      <c r="M70" s="24">
        <v>4.5999999999999996</v>
      </c>
      <c r="N70" s="24">
        <v>4.2750000000000004</v>
      </c>
      <c r="O70">
        <v>0.32499999999999929</v>
      </c>
      <c r="P70" s="3" cm="1">
        <f t="array" ref="P70">MEDIAN(IF($C$22:$C$71=$C70, $I$22:$I$71))</f>
        <v>0.52998638249885821</v>
      </c>
      <c r="Q70" s="34" cm="1">
        <f t="array" ref="Q70">_xlfn.LET(
    _xlpm.stock, $F70,
    _xlpm.stock_ratio, $H70,
    _xlpm.cat_ratios, IF($C$22:$C$71=$C70, $H$22:$H$71),
    _xlpm.cat_median, MEDIAN(_xlpm.cat_ratios),
    _xlpm.cat_stdev, STDEV(IF($C$22:$C$71=$C70, $H$22:$H$71)),
    _xlpm.z_score, IF(_xlpm.cat_stdev = 0, 0, (_xlpm.stock_ratio - _xlpm.cat_median) / _xlpm.cat_stdev),
    _xlpm.capped_z, MIN(MAX(_xlpm.z_score, -2), 2),
    IF(_xlpm.stock &lt; $B$18, 0, 1 + $B$19 * _xlpm.capped_z)
)</f>
        <v>1.0102853049653895</v>
      </c>
      <c r="R70" s="42" cm="1">
        <f t="array" ref="R70">_xlfn.LET(
    _xlpm.sku, $A70,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$D70,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-3.3378385891628871E-2</v>
      </c>
      <c r="S70" s="4" t="str">
        <f t="shared" si="8"/>
        <v>Hold</v>
      </c>
      <c r="T70" s="4" t="str" cm="1">
        <f t="array" ref="T70">IF($S70="Hold", IF(0.5 * ($P70-$I70) / $P70 + 0.5 * ($R70 / MAX(ABS($R70:$R119))) &gt; 0, "Raise", "Hold"), $S70)</f>
        <v>Hold</v>
      </c>
      <c r="U70" s="22">
        <f t="shared" si="9"/>
        <v>110.85658594324225</v>
      </c>
      <c r="V70" s="22">
        <f t="shared" si="15"/>
        <v>9.256585943242257</v>
      </c>
      <c r="W70" s="3">
        <f t="shared" si="16"/>
        <v>9.1108129362620652E-2</v>
      </c>
      <c r="X70" s="22">
        <f t="shared" si="10"/>
        <v>1.5415859432422536</v>
      </c>
      <c r="Y70" s="3">
        <f t="shared" si="11"/>
        <v>1.410223613632396E-2</v>
      </c>
      <c r="Z70" s="3">
        <f t="shared" si="17"/>
        <v>-3.6443251745048262E-2</v>
      </c>
      <c r="AA70" s="24" cm="1">
        <f t="array" ref="AA70">ROUND(_xlfn.XLOOKUP($A70, 'Competitive Analysis (Step 1)'!$A$10:$A$209,_xlfn.ANCHORARRAY( 'Competitive Analysis (Step 1)'!$Q$10), , 0) * (1+$Z70), 0)</f>
        <v>36</v>
      </c>
      <c r="AB70" s="22">
        <f t="shared" si="12"/>
        <v>3990.8370939567212</v>
      </c>
      <c r="AC70" s="23" cm="1">
        <f t="array" ref="AC70">$AB70 - _xlfn.XLOOKUP($A70, 'Competitive Analysis (Step 1)'!$A$10:$A$209,_xlfn.ANCHORARRAY( 'Competitive Analysis (Step 1)'!$R$10), ,0)</f>
        <v>1073.7570939567217</v>
      </c>
      <c r="AD70" s="21" cm="1">
        <f t="array" ref="AD70">$AC70 / _xlfn.XLOOKUP($A70, 'Competitive Analysis (Step 1)'!$A$10:$A$209,_xlfn.ANCHORARRAY( 'Competitive Analysis (Step 1)'!$V$10), ,0)</f>
        <v>0.41022551994923429</v>
      </c>
      <c r="AE70" s="23">
        <f>$AA70 * _xlfn.XLOOKUP($A70, _1_product_catalog_pricing[SKU], _1_product_catalog_pricing[Cost Price ($)], , 0)</f>
        <v>1716.48</v>
      </c>
      <c r="AF70" s="23" cm="1">
        <f t="array" ref="AF70">$AE70 - _xlfn.XLOOKUP($A70, 'Competitive Analysis (Step 1)'!$A$10:$A$209,_xlfn.ANCHORARRAY( 'Competitive Analysis (Step 1)'!$S$10),,0)</f>
        <v>-47.679999999999609</v>
      </c>
      <c r="AG70" s="21" cm="1">
        <f t="array" ref="AG70">$AF70 / _xlfn.XLOOKUP($A70, 'Competitive Analysis (Step 1)'!$A$10:$A$209,_xlfn.ANCHORARRAY( 'Competitive Analysis (Step 1)'!$S$10),,0)</f>
        <v>-2.702702702702681E-2</v>
      </c>
      <c r="AH70" s="28">
        <f t="shared" si="18"/>
        <v>2274.3570939567212</v>
      </c>
      <c r="AI70" s="23" cm="1">
        <f t="array" ref="AI70">$AH70 - _xlfn.XLOOKUP($A70, 'Competitive Analysis (Step 1)'!$A$10:$A$209,_xlfn.ANCHORARRAY( 'Competitive Analysis (Step 1)'!$T$10),,0)</f>
        <v>1121.4370939567214</v>
      </c>
      <c r="AJ70" s="9">
        <f t="shared" si="13"/>
        <v>0.56989474649334948</v>
      </c>
      <c r="AK70" s="21" cm="1">
        <f t="array" ref="AK70">$AI70 / _xlfn.XLOOKUP($A70, 'Competitive Analysis (Step 1)'!$A$10:$A$209,_xlfn.ANCHORARRAY( 'Competitive Analysis (Step 1)'!$T$10),,0)</f>
        <v>0.9726928962605571</v>
      </c>
      <c r="AL70" t="str">
        <f t="shared" si="14"/>
        <v>Full</v>
      </c>
    </row>
    <row r="71" spans="1:38">
      <c r="A71" s="24" t="str">
        <v>SKU-1049</v>
      </c>
      <c r="B71" s="24" t="str">
        <v>Protein Shaker</v>
      </c>
      <c r="C71" s="24" t="str">
        <v>Sports &amp; Outdoors</v>
      </c>
      <c r="D71" s="23">
        <v>99.75</v>
      </c>
      <c r="E71" s="23">
        <v>38.130000000000003</v>
      </c>
      <c r="F71" s="24" cm="1">
        <f t="array" ref="F71">_xlfn.XLOOKUP($A71,'Competitive Analysis (Step 1)'!$A$10:$A$209,_xlfn.ANCHORARRAY( 'Competitive Analysis (Step 1)'!$P$10),,0)</f>
        <v>337</v>
      </c>
      <c r="G71" s="31" cm="1">
        <f t="array" ref="G71">SUMPRODUCT((Transactions_and_Customer_Information_Joined[SKU]='V1 Pricing Model (Step 2)'!$A71) * (Transactions_and_Customer_Information_Joined[Order Status]="Completed") * (Transactions_and_Customer_Information_Joined[Quantity])) / 12</f>
        <v>2.8333333333333335</v>
      </c>
      <c r="H71" s="13">
        <f t="shared" si="4"/>
        <v>118.94117647058823</v>
      </c>
      <c r="I71" s="9">
        <f t="shared" si="5"/>
        <v>0.6177443609022556</v>
      </c>
      <c r="J71" s="23" cm="1">
        <f t="array" ref="J71">(SMALL(IF('Competitive Analysis (Step 1)'!$A$10:$A$209=$A71,'Competitive Analysis (Step 1)'!$D$10:$D$209),2)+SMALL(IF('Competitive Analysis (Step 1)'!$A$10:$A$209=$A71,'Competitive Analysis (Step 1)'!$D$10:$D$209),3))/2</f>
        <v>107.465</v>
      </c>
      <c r="K71" s="22">
        <f t="shared" si="6"/>
        <v>7.7150000000000034</v>
      </c>
      <c r="L71" s="12">
        <f t="shared" si="7"/>
        <v>7.7343358395990006E-2</v>
      </c>
      <c r="M71" s="24">
        <v>3.2</v>
      </c>
      <c r="N71" s="24">
        <v>3.85</v>
      </c>
      <c r="O71">
        <v>-0.64999999999999991</v>
      </c>
      <c r="P71" s="3" cm="1">
        <f t="array" ref="P71">MEDIAN(IF($C$22:$C$71=$C71, $I$22:$I$71))</f>
        <v>0.52998638249885821</v>
      </c>
      <c r="Q71" s="34" cm="1">
        <f t="array" ref="Q71">_xlfn.LET(
    _xlpm.stock, $F71,
    _xlpm.stock_ratio, $H71,
    _xlpm.cat_ratios, IF($C$22:$C$71=$C71, $H$22:$H$71),
    _xlpm.cat_median, MEDIAN(_xlpm.cat_ratios),
    _xlpm.cat_stdev, STDEV(IF($C$22:$C$71=$C71, $H$22:$H$71)),
    _xlpm.z_score, IF(_xlpm.cat_stdev = 0, 0, (_xlpm.stock_ratio - _xlpm.cat_median) / _xlpm.cat_stdev),
    _xlpm.capped_z, MIN(MAX(_xlpm.z_score, -2), 2),
    IF(_xlpm.stock &lt; $B$18, 0, 1 + $B$19 * _xlpm.capped_z)
)</f>
        <v>0.99721343875271384</v>
      </c>
      <c r="R71" s="42" cm="1">
        <f t="array" ref="R71">_xlfn.LET(
    _xlpm.sku, $A71,
    _xlpm.tol, $B$3,
    _xlpm.sku_range, 'Competitive Analysis (Step 1)'!$A$10:$A$209,
    _xlpm.comp_prices, 'Competitive Analysis (Step 1)'!$D$10:$D$209,
    _xlpm.comp_reviews, 'Competitive Analysis (Step 1)'!$F$10:$F$209,
    _xlpm.obs_dates, 'Competitive Analysis (Step 1)'!$G$10:$G$209,
    _xlpm.our_price, $D71,
    _xlpm.matches, (_xlpm.sku_range=_xlpm.sku),
    _xlpm.deltas, IF(_xlpm.matches, (_xlpm.our_price - _xlpm.comp_prices) / _xlpm.comp_prices, 0),
    _xlpm.review_wt, IF(_xlpm.matches, LN(_xlpm.comp_reviews + 1), 0),
    _xlpm.decay_wt, IFERROR(IF(_xlpm.matches, EXP(-$B$17 * ($B$2 - _xlpm.obs_dates)), 0), 0),
    _xlpm.weights, _xlpm.review_wt * _xlpm.decay_wt,
    _xlpm.outside_band, IF(ABS(_xlpm.deltas) &gt; _xlpm.tol, 1, 0),
    _xlpm.total_weight, SUMPRODUCT(_xlpm.weights * _xlpm.matches),
    _xlpm.weighted_signal, SUMPRODUCT(_xlpm.weights * _xlpm.deltas * _xlpm.outside_band),
    IF(_xlpm.total_weight = 0, 0, _xlpm.weighted_signal / _xlpm.total_weight)
)</f>
        <v>-5.6073809032891976E-2</v>
      </c>
      <c r="S71" s="4" t="str">
        <f t="shared" si="8"/>
        <v>Raise</v>
      </c>
      <c r="T71" s="4" t="str" cm="1">
        <f t="array" ref="T71">IF($S71="Hold", IF(0.5 * ($P71-$I71) / $P71 + 0.5 * ($R71 / MAX(ABS($R71:$R120))) &gt; 0, "Raise", "Hold"), $S71)</f>
        <v>Raise</v>
      </c>
      <c r="U71" s="22">
        <f t="shared" si="9"/>
        <v>110.43409123252499</v>
      </c>
      <c r="V71" s="22">
        <f t="shared" si="15"/>
        <v>10.684091232524992</v>
      </c>
      <c r="W71" s="3">
        <f t="shared" si="16"/>
        <v>0.10710868403533827</v>
      </c>
      <c r="X71" s="22">
        <f t="shared" si="10"/>
        <v>2.9690912325249883</v>
      </c>
      <c r="Y71" s="3">
        <f t="shared" si="11"/>
        <v>2.7628448634671645E-2</v>
      </c>
      <c r="Z71" s="3">
        <f t="shared" si="17"/>
        <v>-4.2843473614135312E-2</v>
      </c>
      <c r="AA71" s="24" cm="1">
        <f t="array" ref="AA71">ROUND(_xlfn.XLOOKUP($A71, 'Competitive Analysis (Step 1)'!$A$10:$A$209,_xlfn.ANCHORARRAY( 'Competitive Analysis (Step 1)'!$Q$10), , 0) * (1+$Z71), 0)</f>
        <v>33</v>
      </c>
      <c r="AB71" s="22">
        <f t="shared" si="12"/>
        <v>3644.3250106733249</v>
      </c>
      <c r="AC71" s="23" cm="1">
        <f t="array" ref="AC71">$AB71 - _xlfn.XLOOKUP($A71, 'Competitive Analysis (Step 1)'!$A$10:$A$209,_xlfn.ANCHORARRAY( 'Competitive Analysis (Step 1)'!$R$10), ,0)</f>
        <v>597.24501067332449</v>
      </c>
      <c r="AD71" s="21" cm="1">
        <f t="array" ref="AD71">$AC71 / _xlfn.XLOOKUP($A71, 'Competitive Analysis (Step 1)'!$A$10:$A$209,_xlfn.ANCHORARRAY( 'Competitive Analysis (Step 1)'!$V$10), ,0)</f>
        <v>0.2170750185086211</v>
      </c>
      <c r="AE71" s="23">
        <f>$AA71 * _xlfn.XLOOKUP($A71, _1_product_catalog_pricing[SKU], _1_product_catalog_pricing[Cost Price ($)], , 0)</f>
        <v>1258.2900000000002</v>
      </c>
      <c r="AF71" s="23" cm="1">
        <f t="array" ref="AF71">$AE71 - _xlfn.XLOOKUP($A71, 'Competitive Analysis (Step 1)'!$A$10:$A$209,_xlfn.ANCHORARRAY( 'Competitive Analysis (Step 1)'!$S$10),,0)</f>
        <v>-38.129999999999882</v>
      </c>
      <c r="AG71" s="21" cm="1">
        <f t="array" ref="AG71">$AF71 / _xlfn.XLOOKUP($A71, 'Competitive Analysis (Step 1)'!$A$10:$A$209,_xlfn.ANCHORARRAY( 'Competitive Analysis (Step 1)'!$S$10),,0)</f>
        <v>-2.9411764705882259E-2</v>
      </c>
      <c r="AH71" s="28">
        <f t="shared" si="18"/>
        <v>2386.0350106733249</v>
      </c>
      <c r="AI71" s="23" cm="1">
        <f t="array" ref="AI71">$AH71 - _xlfn.XLOOKUP($A71, 'Competitive Analysis (Step 1)'!$A$10:$A$209,_xlfn.ANCHORARRAY( 'Competitive Analysis (Step 1)'!$T$10),,0)</f>
        <v>635.3750106733246</v>
      </c>
      <c r="AJ71" s="9">
        <f t="shared" si="13"/>
        <v>0.65472618487243028</v>
      </c>
      <c r="AK71" s="21" cm="1">
        <f t="array" ref="AK71">$AI71 / _xlfn.XLOOKUP($A71, 'Competitive Analysis (Step 1)'!$A$10:$A$209,_xlfn.ANCHORARRAY( 'Competitive Analysis (Step 1)'!$T$10),,0)</f>
        <v>0.36293455649487877</v>
      </c>
      <c r="AL71" t="str">
        <f t="shared" si="14"/>
        <v>Full</v>
      </c>
    </row>
    <row r="72" spans="1:38">
      <c r="S72" s="4"/>
      <c r="T72" s="4"/>
      <c r="U72" s="2"/>
      <c r="V72" s="2"/>
      <c r="Y72" s="3"/>
      <c r="AC72" s="7"/>
      <c r="AD72" s="6"/>
      <c r="AE72" s="6"/>
      <c r="AF72" s="6"/>
      <c r="AG72" s="6"/>
      <c r="AH72" s="6"/>
      <c r="AI72" s="6"/>
      <c r="AJ72" s="9"/>
      <c r="AK72" s="6"/>
    </row>
    <row r="73" spans="1:38">
      <c r="S73" s="4"/>
      <c r="T73" s="4"/>
      <c r="U73" s="3"/>
      <c r="V73" s="2"/>
      <c r="Y73" s="3"/>
      <c r="AC73" s="2"/>
      <c r="AD73" s="6"/>
      <c r="AE73" s="6"/>
      <c r="AF73" s="6"/>
      <c r="AG73" s="6"/>
      <c r="AH73" s="6"/>
      <c r="AI73" s="6"/>
      <c r="AJ73" s="6"/>
      <c r="AK73" s="6"/>
    </row>
    <row r="74" spans="1:38">
      <c r="S74" s="4"/>
      <c r="T74" s="4"/>
      <c r="U74" s="3"/>
      <c r="AD74" s="6"/>
      <c r="AE74" s="6"/>
      <c r="AF74" s="6"/>
      <c r="AG74" s="6"/>
      <c r="AH74" s="6"/>
      <c r="AI74" s="6"/>
      <c r="AJ74" s="6"/>
      <c r="AK74" s="6"/>
    </row>
    <row r="75" spans="1:38">
      <c r="S75" s="4"/>
      <c r="T75" s="4"/>
      <c r="AD75" s="6"/>
      <c r="AE75" s="6"/>
      <c r="AF75" s="6"/>
      <c r="AG75" s="6"/>
      <c r="AH75" s="6"/>
      <c r="AI75" s="6"/>
      <c r="AJ75" s="6"/>
      <c r="AK75" s="6"/>
    </row>
  </sheetData>
  <autoFilter ref="A21:AL71" xr:uid="{8CFA778C-A7F8-48BA-A5DD-39EB9FE10897}"/>
  <conditionalFormatting sqref="S22:T71">
    <cfRule type="cellIs" dxfId="9" priority="6" operator="equal">
      <formula>"Reduce"</formula>
    </cfRule>
    <cfRule type="cellIs" dxfId="8" priority="7" operator="equal">
      <formula>"Raise"</formula>
    </cfRule>
    <cfRule type="cellIs" dxfId="7" priority="8" operator="equal">
      <formula>"Hold"</formula>
    </cfRule>
  </conditionalFormatting>
  <conditionalFormatting sqref="AL22:AL71">
    <cfRule type="containsText" dxfId="6" priority="1" operator="containsText" text="Exclude">
      <formula>NOT(ISERROR(SEARCH("Exclude",AL22)))</formula>
    </cfRule>
    <cfRule type="containsText" dxfId="5" priority="2" operator="containsText" text="Constrained">
      <formula>NOT(ISERROR(SEARCH("Constrained",AL22)))</formula>
    </cfRule>
    <cfRule type="containsText" dxfId="4" priority="3" operator="containsText" text="Full">
      <formula>NOT(ISERROR(SEARCH("Full",AL22)))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69565-0D32-4482-8ADD-E279C026585D}">
  <sheetPr codeName="Sheet6">
    <tabColor rgb="FFFFC000"/>
  </sheetPr>
  <dimension ref="A1:Z4044"/>
  <sheetViews>
    <sheetView workbookViewId="0"/>
  </sheetViews>
  <sheetFormatPr defaultRowHeight="15"/>
  <cols>
    <col min="1" max="1" width="45.5703125" bestFit="1" customWidth="1"/>
    <col min="2" max="2" width="16.5703125" bestFit="1" customWidth="1"/>
    <col min="3" max="3" width="21.28515625" bestFit="1" customWidth="1"/>
    <col min="4" max="4" width="86.42578125" bestFit="1" customWidth="1"/>
    <col min="5" max="5" width="12.28515625" bestFit="1" customWidth="1"/>
    <col min="6" max="6" width="20.5703125" bestFit="1" customWidth="1"/>
    <col min="7" max="7" width="12.140625" bestFit="1" customWidth="1"/>
    <col min="8" max="8" width="22.42578125" bestFit="1" customWidth="1"/>
    <col min="9" max="9" width="18.5703125" bestFit="1" customWidth="1"/>
    <col min="10" max="10" width="43.42578125" bestFit="1" customWidth="1"/>
    <col min="11" max="11" width="30.42578125" bestFit="1" customWidth="1"/>
    <col min="12" max="12" width="31.42578125" bestFit="1" customWidth="1"/>
    <col min="13" max="13" width="26.85546875" bestFit="1" customWidth="1"/>
    <col min="14" max="14" width="38.85546875" bestFit="1" customWidth="1"/>
    <col min="15" max="15" width="39.5703125" bestFit="1" customWidth="1"/>
    <col min="16" max="16" width="21" bestFit="1" customWidth="1"/>
    <col min="17" max="17" width="25.85546875" bestFit="1" customWidth="1"/>
    <col min="18" max="18" width="21.85546875" bestFit="1" customWidth="1"/>
    <col min="19" max="19" width="17.42578125" bestFit="1" customWidth="1"/>
    <col min="20" max="20" width="21.140625" bestFit="1" customWidth="1"/>
    <col min="21" max="21" width="27" bestFit="1" customWidth="1"/>
    <col min="22" max="22" width="30" bestFit="1" customWidth="1"/>
    <col min="23" max="23" width="13.85546875" bestFit="1" customWidth="1"/>
    <col min="24" max="24" width="12.28515625" bestFit="1" customWidth="1"/>
    <col min="25" max="25" width="45.42578125" bestFit="1" customWidth="1"/>
    <col min="26" max="26" width="14" bestFit="1" customWidth="1"/>
  </cols>
  <sheetData>
    <row r="1" spans="1:5">
      <c r="A1" s="10" t="s">
        <v>5463</v>
      </c>
      <c r="B1" s="10" t="s">
        <v>5239</v>
      </c>
      <c r="D1" s="20"/>
      <c r="E1" s="20"/>
    </row>
    <row r="2" spans="1:5">
      <c r="A2" s="14" t="s">
        <v>5321</v>
      </c>
      <c r="B2" s="14">
        <v>70</v>
      </c>
      <c r="D2" s="5"/>
      <c r="E2" s="2"/>
    </row>
    <row r="3" spans="1:5">
      <c r="A3" s="14" t="s">
        <v>5322</v>
      </c>
      <c r="B3" s="14">
        <v>65</v>
      </c>
      <c r="D3" s="5"/>
      <c r="E3" s="2"/>
    </row>
    <row r="4" spans="1:5">
      <c r="A4" s="14" t="s">
        <v>5323</v>
      </c>
      <c r="B4" s="14">
        <v>45</v>
      </c>
      <c r="D4" s="5"/>
      <c r="E4" s="21"/>
    </row>
    <row r="5" spans="1:5">
      <c r="A5" s="14" t="s">
        <v>5324</v>
      </c>
      <c r="B5" s="14">
        <v>35</v>
      </c>
      <c r="D5" s="5"/>
      <c r="E5" s="21"/>
    </row>
    <row r="6" spans="1:5">
      <c r="A6" s="14" t="s">
        <v>5325</v>
      </c>
      <c r="B6" s="14">
        <v>25</v>
      </c>
      <c r="D6" s="5"/>
      <c r="E6" s="21"/>
    </row>
    <row r="7" spans="1:5">
      <c r="A7" s="14" t="s">
        <v>5326</v>
      </c>
      <c r="B7" s="14">
        <v>15</v>
      </c>
      <c r="D7" s="5"/>
      <c r="E7" s="21"/>
    </row>
    <row r="8" spans="1:5">
      <c r="A8" s="14" t="s">
        <v>5353</v>
      </c>
      <c r="B8" s="15">
        <v>0.45</v>
      </c>
      <c r="D8" s="5"/>
      <c r="E8" s="21"/>
    </row>
    <row r="9" spans="1:5">
      <c r="A9" s="14" t="s">
        <v>5354</v>
      </c>
      <c r="B9" s="15">
        <v>0.6</v>
      </c>
      <c r="D9" s="5"/>
      <c r="E9" s="21"/>
    </row>
    <row r="10" spans="1:5">
      <c r="A10" s="14" t="s">
        <v>5355</v>
      </c>
      <c r="B10" s="15">
        <v>0.25</v>
      </c>
      <c r="D10" s="5"/>
      <c r="E10" s="21"/>
    </row>
    <row r="11" spans="1:5">
      <c r="A11" s="14" t="s">
        <v>5356</v>
      </c>
      <c r="B11" s="15">
        <v>0.35</v>
      </c>
      <c r="D11" s="5"/>
      <c r="E11" s="21"/>
    </row>
    <row r="12" spans="1:5">
      <c r="A12" s="14" t="s">
        <v>5357</v>
      </c>
      <c r="B12" s="15">
        <v>0.18</v>
      </c>
      <c r="D12" s="5"/>
      <c r="E12" s="22"/>
    </row>
    <row r="13" spans="1:5">
      <c r="A13" s="14" t="s">
        <v>5358</v>
      </c>
      <c r="B13" s="15">
        <v>0.05</v>
      </c>
      <c r="D13" s="5"/>
      <c r="E13" s="23"/>
    </row>
    <row r="14" spans="1:5">
      <c r="A14" s="14" t="s">
        <v>5327</v>
      </c>
      <c r="B14" s="14">
        <v>15</v>
      </c>
      <c r="D14" s="5"/>
      <c r="E14" s="3"/>
    </row>
    <row r="15" spans="1:5">
      <c r="A15" s="14" t="s">
        <v>5328</v>
      </c>
      <c r="B15" s="14">
        <v>5</v>
      </c>
      <c r="D15" s="5"/>
      <c r="E15" s="21"/>
    </row>
    <row r="16" spans="1:5">
      <c r="A16" s="14" t="s">
        <v>5329</v>
      </c>
      <c r="B16" s="14">
        <v>-5</v>
      </c>
      <c r="D16" s="5"/>
      <c r="E16" s="21"/>
    </row>
    <row r="17" spans="1:5">
      <c r="A17" s="14" t="s">
        <v>5330</v>
      </c>
      <c r="B17" s="14">
        <v>3</v>
      </c>
      <c r="D17" s="5"/>
      <c r="E17" s="21"/>
    </row>
    <row r="18" spans="1:5">
      <c r="A18" s="14" t="s">
        <v>5331</v>
      </c>
      <c r="B18" s="14">
        <v>7</v>
      </c>
      <c r="D18" s="5"/>
      <c r="E18" s="21"/>
    </row>
    <row r="19" spans="1:5">
      <c r="A19" s="14" t="s">
        <v>5332</v>
      </c>
      <c r="B19" s="14">
        <v>10</v>
      </c>
      <c r="D19" s="5"/>
      <c r="E19" s="21"/>
    </row>
    <row r="20" spans="1:5">
      <c r="A20" s="14" t="s">
        <v>5333</v>
      </c>
      <c r="B20" s="14">
        <v>-8</v>
      </c>
      <c r="D20" s="5"/>
      <c r="E20" s="3"/>
    </row>
    <row r="21" spans="1:5">
      <c r="A21" s="14" t="s">
        <v>5334</v>
      </c>
      <c r="B21" s="14">
        <v>300</v>
      </c>
      <c r="D21" s="5"/>
      <c r="E21" s="21"/>
    </row>
    <row r="22" spans="1:5">
      <c r="A22" s="14" t="s">
        <v>5335</v>
      </c>
      <c r="B22" s="14">
        <v>180</v>
      </c>
      <c r="D22" s="5"/>
      <c r="E22" s="3"/>
    </row>
    <row r="23" spans="1:5">
      <c r="A23" s="14" t="s">
        <v>5336</v>
      </c>
      <c r="B23" s="14">
        <v>15</v>
      </c>
    </row>
    <row r="24" spans="1:5">
      <c r="A24" s="14" t="s">
        <v>5337</v>
      </c>
      <c r="B24" s="14">
        <v>8</v>
      </c>
    </row>
    <row r="25" spans="1:5">
      <c r="A25" s="14" t="s">
        <v>5338</v>
      </c>
      <c r="B25" s="14">
        <v>-5</v>
      </c>
    </row>
    <row r="26" spans="1:5">
      <c r="A26" s="14" t="s">
        <v>5339</v>
      </c>
      <c r="B26" s="14">
        <v>25</v>
      </c>
    </row>
    <row r="27" spans="1:5">
      <c r="A27" s="14" t="s">
        <v>5340</v>
      </c>
      <c r="B27" s="14">
        <v>15</v>
      </c>
    </row>
    <row r="28" spans="1:5">
      <c r="A28" s="14" t="s">
        <v>5423</v>
      </c>
      <c r="B28" s="14">
        <v>0.25</v>
      </c>
    </row>
    <row r="29" spans="1:5">
      <c r="A29" s="14" t="s">
        <v>5424</v>
      </c>
      <c r="B29" s="14">
        <v>20</v>
      </c>
    </row>
    <row r="30" spans="1:5">
      <c r="A30" s="14" t="s">
        <v>5425</v>
      </c>
      <c r="B30" s="14">
        <v>20</v>
      </c>
    </row>
    <row r="31" spans="1:5">
      <c r="A31" s="14" t="s">
        <v>5426</v>
      </c>
      <c r="B31" s="14">
        <v>20</v>
      </c>
    </row>
    <row r="32" spans="1:5">
      <c r="A32" s="14" t="s">
        <v>5430</v>
      </c>
      <c r="B32" s="14">
        <v>0.15</v>
      </c>
    </row>
    <row r="33" spans="1:26">
      <c r="A33" s="14" t="s">
        <v>5427</v>
      </c>
      <c r="B33" s="14">
        <v>0.1</v>
      </c>
    </row>
    <row r="34" spans="1:26">
      <c r="A34" s="14" t="s">
        <v>5428</v>
      </c>
      <c r="B34" s="14">
        <v>10</v>
      </c>
    </row>
    <row r="35" spans="1:26">
      <c r="A35" s="14" t="s">
        <v>5429</v>
      </c>
      <c r="B35" s="15">
        <v>0.4</v>
      </c>
    </row>
    <row r="36" spans="1:26">
      <c r="A36" s="14"/>
      <c r="B36" s="14"/>
    </row>
    <row r="38" spans="1:26">
      <c r="A38" s="24" t="s">
        <v>141</v>
      </c>
      <c r="B38" s="24" t="s">
        <v>2071</v>
      </c>
      <c r="C38" s="24" t="s">
        <v>2072</v>
      </c>
      <c r="D38" s="24" t="s">
        <v>143</v>
      </c>
      <c r="E38" s="24" t="s">
        <v>2083</v>
      </c>
      <c r="F38" s="24" t="s">
        <v>2081</v>
      </c>
      <c r="G38" s="24" t="s">
        <v>2082</v>
      </c>
      <c r="H38" s="24" t="s">
        <v>2075</v>
      </c>
      <c r="I38" s="24" t="s">
        <v>2077</v>
      </c>
      <c r="J38" s="24" t="s">
        <v>5422</v>
      </c>
      <c r="K38" s="24" t="s">
        <v>5341</v>
      </c>
      <c r="L38" s="5" t="s">
        <v>5342</v>
      </c>
      <c r="M38" s="24" t="s">
        <v>5344</v>
      </c>
      <c r="N38" s="24" t="s">
        <v>5420</v>
      </c>
      <c r="O38" s="24" t="s">
        <v>5421</v>
      </c>
      <c r="P38" s="5" t="s">
        <v>5351</v>
      </c>
      <c r="Q38" s="5" t="s">
        <v>5352</v>
      </c>
      <c r="R38" s="5" t="s">
        <v>5345</v>
      </c>
      <c r="S38" s="5" t="s">
        <v>5346</v>
      </c>
      <c r="T38" s="5" t="s">
        <v>5347</v>
      </c>
      <c r="U38" s="5" t="s">
        <v>5348</v>
      </c>
      <c r="V38" s="5" t="s">
        <v>5431</v>
      </c>
      <c r="W38" s="5" t="s">
        <v>5349</v>
      </c>
      <c r="X38" s="5" t="s">
        <v>5350</v>
      </c>
      <c r="Y38" s="5" t="s">
        <v>5432</v>
      </c>
      <c r="Z38" s="5" t="s">
        <v>5359</v>
      </c>
    </row>
    <row r="39" spans="1:26">
      <c r="A39" s="24" t="str" cm="1">
        <f t="array" ref="A39:A590">_xlfn.UNIQUE(_xlfn._xlws.FILTER(Transactions_and_Customer_Information_Joined[Customer ID], Transactions_and_Customer_Information_Joined[Order Status]="Completed"))</f>
        <v>CUST-4362</v>
      </c>
      <c r="B39" s="24" t="str" cm="1">
        <f t="array" ref="B39:B590">_xlfn.XLOOKUP(_xlfn.ANCHORARRAY($A39), _3_customer_segments[Customer ID], _3_customer_segments[Segment],,0)</f>
        <v>Occasional Buyer</v>
      </c>
      <c r="C39" s="24" t="str" cm="1">
        <f t="array" ref="C39:C590">_xlfn.XLOOKUP(_xlfn.ANCHORARRAY($A39), _3_customer_segments[Customer ID], _3_customer_segments[Acquisition Channel],,0)</f>
        <v>Influencer</v>
      </c>
      <c r="D39" s="24" t="str" cm="1">
        <f t="array" ref="D39:D590">_xlfn.XLOOKUP(_xlfn.ANCHORARRAY($A39), _3_customer_segments[Customer ID], _3_customer_segments[Region],,0)</f>
        <v>Canada</v>
      </c>
      <c r="E39" s="24" t="str" cm="1">
        <f t="array" ref="E39:E590">_xlfn.XLOOKUP(_xlfn.ANCHORARRAY($A39), _3_customer_segments[Customer ID], _3_customer_segments[Age Group],,0)</f>
        <v>35-44</v>
      </c>
      <c r="F39" s="24" t="str" cm="1">
        <f t="array" ref="F39:F590">_xlfn.XLOOKUP(_xlfn.ANCHORARRAY($A39), _3_customer_segments[Customer ID], _3_customer_segments[Discount Sensitivity],,0)</f>
        <v>High</v>
      </c>
      <c r="G39" s="24" cm="1">
        <f t="array" ref="G39:G590">_xlfn.XLOOKUP(_xlfn.ANCHORARRAY($A39), _3_customer_segments[Customer ID],_3_customer_segments[NPS Score],,0)</f>
        <v>5</v>
      </c>
      <c r="H39" s="24" cm="1">
        <f t="array" ref="H39:H590">_xlfn.XLOOKUP(_xlfn.ANCHORARRAY($A39), _3_customer_segments[Customer ID],_3_customer_segments[Days Since Last Order],,0)</f>
        <v>230</v>
      </c>
      <c r="I39" s="23" cm="1">
        <f t="array" ref="I39:I590">_xlfn.XLOOKUP(_xlfn.ANCHORARRAY($A39), _3_customer_segments[Customer ID], _3_customer_segments[Lifetime Value ($)],,0)</f>
        <v>176.84</v>
      </c>
      <c r="J39" s="24" cm="1">
        <f t="array" ref="J39">SUMPRODUCT(
    (Transactions_and_Customer_Information_Joined[Customer ID]='V1-Based Churn Model (Step 3)'!$A39) *
    (IFERROR(_xlfn.XLOOKUP(Transactions_and_Customer_Information_Joined[SKU], 'V1 Pricing Model (Step 2)'!$A$22:$A$71, 'V1 Pricing Model (Step 2)'!$AL$22:$AL$71), "Exclude")&lt;&gt;"Exclude") *
    Transactions_and_Customer_Information_Joined[Gross Revenue])</f>
        <v>169.9</v>
      </c>
      <c r="K39" s="24">
        <f>SUMIF(Transactions_and_Customer_Information_Joined[Customer ID], 'V1-Based Churn Model (Step 3)'!$A39, Transactions_and_Customer_Information_Joined[Gross Revenue])</f>
        <v>169.9</v>
      </c>
      <c r="L39" s="3">
        <f t="shared" ref="L39:L102" si="0">IFERROR($J39/$K39, 0)</f>
        <v>1</v>
      </c>
      <c r="M39" s="21" cm="1">
        <f t="array" ref="M39:M590">IFERROR(_xlfn.MAXIFS(_xlfn.ANCHORARRAY('Helper Ref'!$A$2), Transactions_and_Customer_Information_Joined[Customer ID],_xlfn.ANCHORARRAY( 'V1-Based Churn Model (Step 3)'!$A39)), 0)</f>
        <v>0</v>
      </c>
      <c r="N39" s="21" cm="1">
        <f t="array" ref="N39">SUMPRODUCT(
    (Transactions_and_Customer_Information_Joined[Customer ID]=$A39)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9" s="21" cm="1">
        <f t="array" ref="O39">IFERROR(
    SUMPRODUCT(
        (Transactions_and_Customer_Information_Joined[Customer ID]=$A39)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$J39,
0)</f>
        <v>0</v>
      </c>
      <c r="P39" s="5" cm="1">
        <f t="array" ref="P39">_xlfn.IFS(B39="At-Risk Churner",$B$2,$B39="Dormant",$B$3,$B39="Deal Hunter",$B$4,$B39="New Customer",$B$5,$B39="Occasional Buyer",$B$6,$B39="Loyal High-Value",$B$7)</f>
        <v>25</v>
      </c>
      <c r="Q39" s="9" cm="1">
        <f t="array" ref="Q39">_xlfn.IFS($B39 = "At-Risk Churner", $B$8, $B39="Dormant",$B$9, $B39="Deal Hunter", $B$10, $B39="New Customer", $B$11, $B39="Occasional Buyer", $B$12, $B39 = "Loyal High-Value",$B$13)</f>
        <v>0.18</v>
      </c>
      <c r="R39" s="5" cm="1">
        <f t="array" ref="R39:R590">_xlfn.IFS(_xlfn.ANCHORARRAY($F39) = "High", $B$14,_xlfn.ANCHORARRAY(  $F39) = "Medium", $B$15,_xlfn.ANCHORARRAY( $F39) = "Low", $B$16)</f>
        <v>15</v>
      </c>
      <c r="S39" s="5" cm="1">
        <f t="array" ref="S39:S590">IF(_xlfn.ANCHORARRAY($G39)&lt;=$B$17,$B$19,IF(_xlfn.ANCHORARRAY($G39)&gt;=$B$18,$B$20,0))</f>
        <v>0</v>
      </c>
      <c r="T39" s="5" cm="1">
        <f t="array" ref="T39:T590">IF(_xlfn.ANCHORARRAY($H39)&gt;$B$21,$B$23,IF(_xlfn.ANCHORARRAY($H39)&gt;$B$22,$B$24,IF(_xlfn.ANCHORARRAY($H39)&lt;60,$B$25,0)))</f>
        <v>8</v>
      </c>
      <c r="U39" s="5">
        <f>MIN(
    $L39 * $B$26 * (1 + $B$28 * LN(MAX($N39, 1))),
    $B$27
)</f>
        <v>15</v>
      </c>
      <c r="V39" s="5">
        <f>MIN(
    $B$29 * ABS($O39) + $B$30 * ABS($M39),
    $B$31
)</f>
        <v>0</v>
      </c>
      <c r="W39" s="43">
        <f>MIN(MAX(
    $P39 + $R39 + $S39 + $T39 + $U39 + $V39
    + $B$32 * ($R39 * $U39) / 100
    + $B$33 * ($P39 * $S39) / 100,
0), 100)</f>
        <v>63.337499999999999</v>
      </c>
      <c r="X39" s="5" t="str" cm="1">
        <f t="array" ref="X39">_xlfn.IFS($W39 &lt;= 30, "Low", $W39 &lt;=50, "Medium", $W39 &lt;= 70, "High", $W39 &gt; 70, "Critical")</f>
        <v>High</v>
      </c>
      <c r="Y39" s="9">
        <f>$Q39 * (1 / (1 + EXP(-($W39 - 50) / $B$34)))</f>
        <v>0.14246284540372325</v>
      </c>
      <c r="Z39" s="22">
        <f>_xlfn.LET(
    _xlpm.full_churn, $Y39 * $I39,
    _xlpm.partial_rate, IF(OR($X39="Medium", $X39="High"), (1 - $Y39) * 0.5 * $B$35, 0),
    _xlpm.partial_churn, _xlpm.partial_rate * $I39,
    _xlpm.full_churn + _xlpm.partial_churn
)</f>
        <v>55.522503664955536</v>
      </c>
    </row>
    <row r="40" spans="1:26">
      <c r="A40" s="24" t="str">
        <v>CUST-2247</v>
      </c>
      <c r="B40" s="24" t="str">
        <v>New Customer</v>
      </c>
      <c r="C40" s="24" t="str">
        <v>Referral</v>
      </c>
      <c r="D40" s="24" t="str">
        <v>Midwest</v>
      </c>
      <c r="E40" s="24" t="str">
        <v>25-34</v>
      </c>
      <c r="F40" s="24" t="str">
        <v>Medium</v>
      </c>
      <c r="G40" s="24">
        <v>3</v>
      </c>
      <c r="H40" s="24">
        <v>33</v>
      </c>
      <c r="I40" s="23">
        <v>131.18</v>
      </c>
      <c r="J40" s="24" cm="1">
        <f t="array" ref="J40">SUMPRODUCT(
    (Transactions_and_Customer_Information_Joined[Customer ID]='V1-Based Churn Model (Step 3)'!$A40) *
    (IFERROR(_xlfn.XLOOKUP(Transactions_and_Customer_Information_Joined[SKU], 'V1 Pricing Model (Step 2)'!$A$22:$A$71, 'V1 Pricing Model (Step 2)'!$AL$22:$AL$71), "Exclude")&lt;&gt;"Exclude") *
    Transactions_and_Customer_Information_Joined[Gross Revenue])</f>
        <v>522.68999999999994</v>
      </c>
      <c r="K40" s="24">
        <f>SUMIF(Transactions_and_Customer_Information_Joined[Customer ID], 'V1-Based Churn Model (Step 3)'!$A40, Transactions_and_Customer_Information_Joined[Gross Revenue])</f>
        <v>522.68999999999994</v>
      </c>
      <c r="L40" s="3">
        <f t="shared" si="0"/>
        <v>1</v>
      </c>
      <c r="M40" s="21">
        <v>5.8348079685156623E-2</v>
      </c>
      <c r="N40" s="21" cm="1">
        <f t="array" ref="N40">SUMPRODUCT(
    (Transactions_and_Customer_Information_Joined[Customer ID]=$A40)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0" s="21" cm="1">
        <f t="array" ref="O40">IFERROR(
    SUMPRODUCT(
        (Transactions_and_Customer_Information_Joined[Customer ID]=$A40)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$J40,
0)</f>
        <v>5.8348079685156623E-2</v>
      </c>
      <c r="P40" s="5" cm="1">
        <f t="array" ref="P40">_xlfn.IFS(B40="At-Risk Churner",$B$2,$B40="Dormant",$B$3,$B40="Deal Hunter",$B$4,$B40="New Customer",$B$5,$B40="Occasional Buyer",$B$6,$B40="Loyal High-Value",$B$7)</f>
        <v>35</v>
      </c>
      <c r="Q40" s="9" cm="1">
        <f t="array" ref="Q40">_xlfn.IFS($B40 = "At-Risk Churner", $B$8, $B40="Dormant",$B$9, $B40="Deal Hunter", $B$10, $B40="New Customer", $B$11, $B40="Occasional Buyer", $B$12, $B40 = "Loyal High-Value",$B$13)</f>
        <v>0.35</v>
      </c>
      <c r="R40" s="5">
        <v>5</v>
      </c>
      <c r="S40" s="5">
        <v>10</v>
      </c>
      <c r="T40" s="5">
        <v>-5</v>
      </c>
      <c r="U40" s="5">
        <f t="shared" ref="U40:U103" si="1">MIN(
    $L40 * $B$26 * (1 + $B$28 * LN(MAX($N40, 1))),
    $B$27
)</f>
        <v>15</v>
      </c>
      <c r="V40" s="5">
        <f t="shared" ref="V40:V103" si="2">MIN(
    $B$29 * ABS($O40) + $B$30 * ABS($M40),
    $B$31
)</f>
        <v>2.3339231874062651</v>
      </c>
      <c r="W40" s="43">
        <f t="shared" ref="W40:W103" si="3">MIN(MAX(
    $P40 + $R40 + $S40 + $T40 + $U40 + $V40
    + $B$32 * ($R40 * $U40) / 100
    + $B$33 * ($P40 * $S40) / 100,
0), 100)</f>
        <v>62.796423187406262</v>
      </c>
      <c r="X40" s="5" t="str" cm="1">
        <f t="array" ref="X40">_xlfn.IFS($W40 &lt;= 30, "Low", $W40 &lt;=50, "Medium", $W40 &lt;= 70, "High", $W40 &gt; 70, "Critical")</f>
        <v>High</v>
      </c>
      <c r="Y40" s="9">
        <f t="shared" ref="Y40:Y103" si="4">$Q40 * (1 / (1 + EXP(-($W40 - 50) / $B$34)))</f>
        <v>0.27383610975296507</v>
      </c>
      <c r="Z40" s="22">
        <f t="shared" ref="Z40:Z103" si="5">_xlfn.LET(
    _xlpm.full_churn, $Y40 * $I40,
    _xlpm.partial_rate, IF(OR($X40="Medium", $X40="High"), (1 - $Y40) * 0.5 * $B$35, 0),
    _xlpm.partial_churn, _xlpm.partial_rate * $I40,
    _xlpm.full_churn + _xlpm.partial_churn
)</f>
        <v>54.973456701915168</v>
      </c>
    </row>
    <row r="41" spans="1:26">
      <c r="A41" s="24" t="str">
        <v>CUST-3499</v>
      </c>
      <c r="B41" s="24" t="str">
        <v>Loyal High-Value</v>
      </c>
      <c r="C41" s="24" t="str">
        <v>Referral</v>
      </c>
      <c r="D41" s="24" t="str">
        <v>West</v>
      </c>
      <c r="E41" s="24" t="str">
        <v>55+</v>
      </c>
      <c r="F41" s="24" t="str">
        <v>High</v>
      </c>
      <c r="G41" s="24">
        <v>1</v>
      </c>
      <c r="H41" s="24">
        <v>40</v>
      </c>
      <c r="I41" s="23">
        <v>2272.04</v>
      </c>
      <c r="J41" s="24" cm="1">
        <f t="array" ref="J41">SUMPRODUCT(
    (Transactions_and_Customer_Information_Joined[Customer ID]='V1-Based Churn Model (Step 3)'!$A41) *
    (IFERROR(_xlfn.XLOOKUP(Transactions_and_Customer_Information_Joined[SKU], 'V1 Pricing Model (Step 2)'!$A$22:$A$71, 'V1 Pricing Model (Step 2)'!$AL$22:$AL$71), "Exclude")&lt;&gt;"Exclude") *
    Transactions_and_Customer_Information_Joined[Gross Revenue])</f>
        <v>174.23</v>
      </c>
      <c r="K41" s="24">
        <f>SUMIF(Transactions_and_Customer_Information_Joined[Customer ID], 'V1-Based Churn Model (Step 3)'!$A41, Transactions_and_Customer_Information_Joined[Gross Revenue])</f>
        <v>401.29999999999995</v>
      </c>
      <c r="L41" s="3">
        <f t="shared" si="0"/>
        <v>0.43416396710690258</v>
      </c>
      <c r="M41" s="21">
        <v>5.8348079685156623E-2</v>
      </c>
      <c r="N41" s="21" cm="1">
        <f t="array" ref="N41">SUMPRODUCT(
    (Transactions_and_Customer_Information_Joined[Customer ID]=$A41)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1" s="21" cm="1">
        <f t="array" ref="O41">IFERROR(
    SUMPRODUCT(
        (Transactions_and_Customer_Information_Joined[Customer ID]=$A41)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$J41,
0)</f>
        <v>5.8348079685156623E-2</v>
      </c>
      <c r="P41" s="5" cm="1">
        <f t="array" ref="P41">_xlfn.IFS(B41="At-Risk Churner",$B$2,$B41="Dormant",$B$3,$B41="Deal Hunter",$B$4,$B41="New Customer",$B$5,$B41="Occasional Buyer",$B$6,$B41="Loyal High-Value",$B$7)</f>
        <v>15</v>
      </c>
      <c r="Q41" s="9" cm="1">
        <f t="array" ref="Q41">_xlfn.IFS($B41 = "At-Risk Churner", $B$8, $B41="Dormant",$B$9, $B41="Deal Hunter", $B$10, $B41="New Customer", $B$11, $B41="Occasional Buyer", $B$12, $B41 = "Loyal High-Value",$B$13)</f>
        <v>0.05</v>
      </c>
      <c r="R41" s="5">
        <v>15</v>
      </c>
      <c r="S41" s="5">
        <v>10</v>
      </c>
      <c r="T41" s="5">
        <v>-5</v>
      </c>
      <c r="U41" s="5">
        <f t="shared" si="1"/>
        <v>10.854099177672564</v>
      </c>
      <c r="V41" s="5">
        <f t="shared" si="2"/>
        <v>2.3339231874062651</v>
      </c>
      <c r="W41" s="43">
        <f t="shared" si="3"/>
        <v>48.582239596576464</v>
      </c>
      <c r="X41" s="5" t="str" cm="1">
        <f t="array" ref="X41">_xlfn.IFS($W41 &lt;= 30, "Low", $W41 &lt;=50, "Medium", $W41 &lt;= 70, "High", $W41 &gt; 70, "Critical")</f>
        <v>Medium</v>
      </c>
      <c r="Y41" s="9">
        <f t="shared" si="4"/>
        <v>2.3230762042666286E-2</v>
      </c>
      <c r="Z41" s="22">
        <f t="shared" si="5"/>
        <v>496.63297647313567</v>
      </c>
    </row>
    <row r="42" spans="1:26">
      <c r="A42" s="24" t="str">
        <v>CUST-2301</v>
      </c>
      <c r="B42" s="24" t="str">
        <v>Loyal High-Value</v>
      </c>
      <c r="C42" s="24" t="str">
        <v>Direct</v>
      </c>
      <c r="D42" s="24" t="str">
        <v>Southwest</v>
      </c>
      <c r="E42" s="24" t="str">
        <v>35-44</v>
      </c>
      <c r="F42" s="24" t="str">
        <v>Medium</v>
      </c>
      <c r="G42" s="24">
        <v>6</v>
      </c>
      <c r="H42" s="24">
        <v>93</v>
      </c>
      <c r="I42" s="23">
        <v>997.06</v>
      </c>
      <c r="J42" s="24" cm="1">
        <f t="array" ref="J42">SUMPRODUCT(
    (Transactions_and_Customer_Information_Joined[Customer ID]='V1-Based Churn Model (Step 3)'!$A42) *
    (IFERROR(_xlfn.XLOOKUP(Transactions_and_Customer_Information_Joined[SKU], 'V1 Pricing Model (Step 2)'!$A$22:$A$71, 'V1 Pricing Model (Step 2)'!$AL$22:$AL$71), "Exclude")&lt;&gt;"Exclude") *
    Transactions_and_Customer_Information_Joined[Gross Revenue])</f>
        <v>26.7</v>
      </c>
      <c r="K42" s="24">
        <f>SUMIF(Transactions_and_Customer_Information_Joined[Customer ID], 'V1-Based Churn Model (Step 3)'!$A42, Transactions_and_Customer_Information_Joined[Gross Revenue])</f>
        <v>26.7</v>
      </c>
      <c r="L42" s="3">
        <f t="shared" si="0"/>
        <v>1</v>
      </c>
      <c r="M42" s="21">
        <v>7.5818801139291682E-3</v>
      </c>
      <c r="N42" s="21" cm="1">
        <f t="array" ref="N42">SUMPRODUCT(
    (Transactions_and_Customer_Information_Joined[Customer ID]=$A42)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2" s="21" cm="1">
        <f t="array" ref="O42">IFERROR(
    SUMPRODUCT(
        (Transactions_and_Customer_Information_Joined[Customer ID]=$A42)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$J42,
0)</f>
        <v>7.5818801139291682E-3</v>
      </c>
      <c r="P42" s="5" cm="1">
        <f t="array" ref="P42">_xlfn.IFS(B42="At-Risk Churner",$B$2,$B42="Dormant",$B$3,$B42="Deal Hunter",$B$4,$B42="New Customer",$B$5,$B42="Occasional Buyer",$B$6,$B42="Loyal High-Value",$B$7)</f>
        <v>15</v>
      </c>
      <c r="Q42" s="9" cm="1">
        <f t="array" ref="Q42">_xlfn.IFS($B42 = "At-Risk Churner", $B$8, $B42="Dormant",$B$9, $B42="Deal Hunter", $B$10, $B42="New Customer", $B$11, $B42="Occasional Buyer", $B$12, $B42 = "Loyal High-Value",$B$13)</f>
        <v>0.05</v>
      </c>
      <c r="R42" s="5">
        <v>5</v>
      </c>
      <c r="S42" s="5">
        <v>0</v>
      </c>
      <c r="T42" s="5">
        <v>0</v>
      </c>
      <c r="U42" s="5">
        <f t="shared" si="1"/>
        <v>15</v>
      </c>
      <c r="V42" s="5">
        <f t="shared" si="2"/>
        <v>0.30327520455716672</v>
      </c>
      <c r="W42" s="43">
        <f t="shared" si="3"/>
        <v>35.415775204557164</v>
      </c>
      <c r="X42" s="5" t="str" cm="1">
        <f t="array" ref="X42">_xlfn.IFS($W42 &lt;= 30, "Low", $W42 &lt;=50, "Medium", $W42 &lt;= 70, "High", $W42 &gt; 70, "Critical")</f>
        <v>Medium</v>
      </c>
      <c r="Y42" s="9">
        <f t="shared" si="4"/>
        <v>9.4354360719056552E-3</v>
      </c>
      <c r="Z42" s="22">
        <f t="shared" si="5"/>
        <v>206.93815671188338</v>
      </c>
    </row>
    <row r="43" spans="1:26">
      <c r="A43" s="24" t="str">
        <v>CUST-3837</v>
      </c>
      <c r="B43" s="24" t="str">
        <v>Dormant</v>
      </c>
      <c r="C43" s="24" t="str">
        <v>Referral</v>
      </c>
      <c r="D43" s="24" t="str">
        <v>Midwest</v>
      </c>
      <c r="E43" s="24" t="str">
        <v>55+</v>
      </c>
      <c r="F43" s="24" t="str">
        <v>Low</v>
      </c>
      <c r="G43" s="24">
        <v>9</v>
      </c>
      <c r="H43" s="24">
        <v>285</v>
      </c>
      <c r="I43" s="23">
        <v>166.92</v>
      </c>
      <c r="J43" s="24" cm="1">
        <f t="array" ref="J43">SUMPRODUCT(
    (Transactions_and_Customer_Information_Joined[Customer ID]='V1-Based Churn Model (Step 3)'!$A43) *
    (IFERROR(_xlfn.XLOOKUP(Transactions_and_Customer_Information_Joined[SKU], 'V1 Pricing Model (Step 2)'!$A$22:$A$71, 'V1 Pricing Model (Step 2)'!$AL$22:$AL$71), "Exclude")&lt;&gt;"Exclude") *
    Transactions_and_Customer_Information_Joined[Gross Revenue])</f>
        <v>436.71000000000004</v>
      </c>
      <c r="K43" s="24">
        <f>SUMIF(Transactions_and_Customer_Information_Joined[Customer ID], 'V1-Based Churn Model (Step 3)'!$A43, Transactions_and_Customer_Information_Joined[Gross Revenue])</f>
        <v>436.71000000000004</v>
      </c>
      <c r="L43" s="3">
        <f t="shared" si="0"/>
        <v>1</v>
      </c>
      <c r="M43" s="21">
        <v>5.3264377873214752E-2</v>
      </c>
      <c r="N43" s="21" cm="1">
        <f t="array" ref="N43">SUMPRODUCT(
    (Transactions_and_Customer_Information_Joined[Customer ID]=$A43)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3" s="21" cm="1">
        <f t="array" ref="O43">IFERROR(
    SUMPRODUCT(
        (Transactions_and_Customer_Information_Joined[Customer ID]=$A43)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$J43,
0)</f>
        <v>2.8516031841786325E-2</v>
      </c>
      <c r="P43" s="5" cm="1">
        <f t="array" ref="P43">_xlfn.IFS(B43="At-Risk Churner",$B$2,$B43="Dormant",$B$3,$B43="Deal Hunter",$B$4,$B43="New Customer",$B$5,$B43="Occasional Buyer",$B$6,$B43="Loyal High-Value",$B$7)</f>
        <v>65</v>
      </c>
      <c r="Q43" s="9" cm="1">
        <f t="array" ref="Q43">_xlfn.IFS($B43 = "At-Risk Churner", $B$8, $B43="Dormant",$B$9, $B43="Deal Hunter", $B$10, $B43="New Customer", $B$11, $B43="Occasional Buyer", $B$12, $B43 = "Loyal High-Value",$B$13)</f>
        <v>0.6</v>
      </c>
      <c r="R43" s="5">
        <v>-5</v>
      </c>
      <c r="S43" s="5">
        <v>-8</v>
      </c>
      <c r="T43" s="5">
        <v>8</v>
      </c>
      <c r="U43" s="5">
        <f t="shared" si="1"/>
        <v>15</v>
      </c>
      <c r="V43" s="5">
        <f t="shared" si="2"/>
        <v>1.6356081943000216</v>
      </c>
      <c r="W43" s="43">
        <f t="shared" si="3"/>
        <v>76.003108194300026</v>
      </c>
      <c r="X43" s="5" t="str" cm="1">
        <f t="array" ref="X43">_xlfn.IFS($W43 &lt;= 30, "Low", $W43 &lt;=50, "Medium", $W43 &lt;= 70, "High", $W43 &gt; 70, "Critical")</f>
        <v>Critical</v>
      </c>
      <c r="Y43" s="9">
        <f t="shared" si="4"/>
        <v>0.55852894847268209</v>
      </c>
      <c r="Z43" s="22">
        <f t="shared" si="5"/>
        <v>93.229652079060088</v>
      </c>
    </row>
    <row r="44" spans="1:26">
      <c r="A44" s="24" t="str">
        <v>CUST-2481</v>
      </c>
      <c r="B44" s="24" t="str">
        <v>Deal Hunter</v>
      </c>
      <c r="C44" s="24" t="str">
        <v>Influencer</v>
      </c>
      <c r="D44" s="24" t="str">
        <v>Northeast</v>
      </c>
      <c r="E44" s="24" t="str">
        <v>25-34</v>
      </c>
      <c r="F44" s="24" t="str">
        <v>Low</v>
      </c>
      <c r="G44" s="24">
        <v>2</v>
      </c>
      <c r="H44" s="24">
        <v>255</v>
      </c>
      <c r="I44" s="23">
        <v>411.92</v>
      </c>
      <c r="J44" s="24" cm="1">
        <f t="array" ref="J44">SUMPRODUCT(
    (Transactions_and_Customer_Information_Joined[Customer ID]='V1-Based Churn Model (Step 3)'!$A44) *
    (IFERROR(_xlfn.XLOOKUP(Transactions_and_Customer_Information_Joined[SKU], 'V1 Pricing Model (Step 2)'!$A$22:$A$71, 'V1 Pricing Model (Step 2)'!$AL$22:$AL$71), "Exclude")&lt;&gt;"Exclude") *
    Transactions_and_Customer_Information_Joined[Gross Revenue])</f>
        <v>105.84</v>
      </c>
      <c r="K44" s="24">
        <f>SUMIF(Transactions_and_Customer_Information_Joined[Customer ID], 'V1-Based Churn Model (Step 3)'!$A44, Transactions_and_Customer_Information_Joined[Gross Revenue])</f>
        <v>105.84</v>
      </c>
      <c r="L44" s="3">
        <f t="shared" si="0"/>
        <v>1</v>
      </c>
      <c r="M44" s="21">
        <v>-4.5975852073346618E-2</v>
      </c>
      <c r="N44" s="21" cm="1">
        <f t="array" ref="N44">SUMPRODUCT(
    (Transactions_and_Customer_Information_Joined[Customer ID]=$A44)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4" s="21" cm="1">
        <f t="array" ref="O44">IFERROR(
    SUMPRODUCT(
        (Transactions_and_Customer_Information_Joined[Customer ID]=$A44)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$J44,
0)</f>
        <v>-4.5975852073346618E-2</v>
      </c>
      <c r="P44" s="5" cm="1">
        <f t="array" ref="P44">_xlfn.IFS(B44="At-Risk Churner",$B$2,$B44="Dormant",$B$3,$B44="Deal Hunter",$B$4,$B44="New Customer",$B$5,$B44="Occasional Buyer",$B$6,$B44="Loyal High-Value",$B$7)</f>
        <v>45</v>
      </c>
      <c r="Q44" s="9" cm="1">
        <f t="array" ref="Q44">_xlfn.IFS($B44 = "At-Risk Churner", $B$8, $B44="Dormant",$B$9, $B44="Deal Hunter", $B$10, $B44="New Customer", $B$11, $B44="Occasional Buyer", $B$12, $B44 = "Loyal High-Value",$B$13)</f>
        <v>0.25</v>
      </c>
      <c r="R44" s="5">
        <v>-5</v>
      </c>
      <c r="S44" s="5">
        <v>10</v>
      </c>
      <c r="T44" s="5">
        <v>8</v>
      </c>
      <c r="U44" s="5">
        <f t="shared" si="1"/>
        <v>15</v>
      </c>
      <c r="V44" s="5">
        <f t="shared" si="2"/>
        <v>1.8390340829338647</v>
      </c>
      <c r="W44" s="43">
        <f t="shared" si="3"/>
        <v>75.17653408293387</v>
      </c>
      <c r="X44" s="5" t="str" cm="1">
        <f t="array" ref="X44">_xlfn.IFS($W44 &lt;= 30, "Low", $W44 &lt;=50, "Medium", $W44 &lt;= 70, "High", $W44 &gt; 70, "Critical")</f>
        <v>Critical</v>
      </c>
      <c r="Y44" s="9">
        <f t="shared" si="4"/>
        <v>0.23134254008782529</v>
      </c>
      <c r="Z44" s="22">
        <f t="shared" si="5"/>
        <v>95.294619112977003</v>
      </c>
    </row>
    <row r="45" spans="1:26">
      <c r="A45" s="24" t="str">
        <v>CUST-3854</v>
      </c>
      <c r="B45" s="24" t="str">
        <v>Dormant</v>
      </c>
      <c r="C45" s="24" t="str">
        <v>Organic Search</v>
      </c>
      <c r="D45" s="24" t="str">
        <v>Canada</v>
      </c>
      <c r="E45" s="24" t="str">
        <v>35-44</v>
      </c>
      <c r="F45" s="24" t="str">
        <v>High</v>
      </c>
      <c r="G45" s="24">
        <v>3</v>
      </c>
      <c r="H45" s="24">
        <v>285</v>
      </c>
      <c r="I45" s="23">
        <v>81.97</v>
      </c>
      <c r="J45" s="24" cm="1">
        <f t="array" ref="J45">SUMPRODUCT(
    (Transactions_and_Customer_Information_Joined[Customer ID]='V1-Based Churn Model (Step 3)'!$A45) *
    (IFERROR(_xlfn.XLOOKUP(Transactions_and_Customer_Information_Joined[SKU], 'V1 Pricing Model (Step 2)'!$A$22:$A$71, 'V1 Pricing Model (Step 2)'!$AL$22:$AL$71), "Exclude")&lt;&gt;"Exclude") *
    Transactions_and_Customer_Information_Joined[Gross Revenue])</f>
        <v>105.33</v>
      </c>
      <c r="K45" s="24">
        <f>SUMIF(Transactions_and_Customer_Information_Joined[Customer ID], 'V1-Based Churn Model (Step 3)'!$A45, Transactions_and_Customer_Information_Joined[Gross Revenue])</f>
        <v>105.33</v>
      </c>
      <c r="L45" s="3">
        <f t="shared" si="0"/>
        <v>1</v>
      </c>
      <c r="M45" s="21">
        <v>0.25581555939754186</v>
      </c>
      <c r="N45" s="21" cm="1">
        <f t="array" ref="N45">SUMPRODUCT(
    (Transactions_and_Customer_Information_Joined[Customer ID]=$A45)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5" s="21" cm="1">
        <f t="array" ref="O45">IFERROR(
    SUMPRODUCT(
        (Transactions_and_Customer_Information_Joined[Customer ID]=$A45)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$J45,
0)</f>
        <v>0.25581555939754186</v>
      </c>
      <c r="P45" s="5" cm="1">
        <f t="array" ref="P45">_xlfn.IFS(B45="At-Risk Churner",$B$2,$B45="Dormant",$B$3,$B45="Deal Hunter",$B$4,$B45="New Customer",$B$5,$B45="Occasional Buyer",$B$6,$B45="Loyal High-Value",$B$7)</f>
        <v>65</v>
      </c>
      <c r="Q45" s="9" cm="1">
        <f t="array" ref="Q45">_xlfn.IFS($B45 = "At-Risk Churner", $B$8, $B45="Dormant",$B$9, $B45="Deal Hunter", $B$10, $B45="New Customer", $B$11, $B45="Occasional Buyer", $B$12, $B45 = "Loyal High-Value",$B$13)</f>
        <v>0.6</v>
      </c>
      <c r="R45" s="5">
        <v>15</v>
      </c>
      <c r="S45" s="5">
        <v>10</v>
      </c>
      <c r="T45" s="5">
        <v>8</v>
      </c>
      <c r="U45" s="5">
        <f t="shared" si="1"/>
        <v>15</v>
      </c>
      <c r="V45" s="5">
        <f t="shared" si="2"/>
        <v>10.232622375901673</v>
      </c>
      <c r="W45" s="43">
        <f t="shared" si="3"/>
        <v>100</v>
      </c>
      <c r="X45" s="5" t="str" cm="1">
        <f t="array" ref="X45">_xlfn.IFS($W45 &lt;= 30, "Low", $W45 &lt;=50, "Medium", $W45 &lt;= 70, "High", $W45 &gt; 70, "Critical")</f>
        <v>Critical</v>
      </c>
      <c r="Y45" s="9">
        <f t="shared" si="4"/>
        <v>0.59598428944542914</v>
      </c>
      <c r="Z45" s="22">
        <f t="shared" si="5"/>
        <v>48.852832205841828</v>
      </c>
    </row>
    <row r="46" spans="1:26">
      <c r="A46" s="24" t="str">
        <v>CUST-1942</v>
      </c>
      <c r="B46" s="24" t="str">
        <v>Loyal High-Value</v>
      </c>
      <c r="C46" s="24" t="str">
        <v>Paid Social</v>
      </c>
      <c r="D46" s="24" t="str">
        <v>UK</v>
      </c>
      <c r="E46" s="24" t="str">
        <v>25-34</v>
      </c>
      <c r="F46" s="24" t="str">
        <v>Medium</v>
      </c>
      <c r="G46" s="24">
        <v>0</v>
      </c>
      <c r="H46" s="24">
        <v>89</v>
      </c>
      <c r="I46" s="23">
        <v>1827.99</v>
      </c>
      <c r="J46" s="24" cm="1">
        <f t="array" ref="J46">SUMPRODUCT(
    (Transactions_and_Customer_Information_Joined[Customer ID]='V1-Based Churn Model (Step 3)'!$A46)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46" s="24">
        <f>SUMIF(Transactions_and_Customer_Information_Joined[Customer ID], 'V1-Based Churn Model (Step 3)'!$A46, Transactions_and_Customer_Information_Joined[Gross Revenue])</f>
        <v>326.39999999999998</v>
      </c>
      <c r="L46" s="3">
        <f t="shared" si="0"/>
        <v>0</v>
      </c>
      <c r="M46" s="21">
        <v>0</v>
      </c>
      <c r="N46" s="21" cm="1">
        <f t="array" ref="N46">SUMPRODUCT(
    (Transactions_and_Customer_Information_Joined[Customer ID]=$A46)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46" s="21" cm="1">
        <f t="array" ref="O46">IFERROR(
    SUMPRODUCT(
        (Transactions_and_Customer_Information_Joined[Customer ID]=$A46)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$J46,
0)</f>
        <v>0</v>
      </c>
      <c r="P46" s="5" cm="1">
        <f t="array" ref="P46">_xlfn.IFS(B46="At-Risk Churner",$B$2,$B46="Dormant",$B$3,$B46="Deal Hunter",$B$4,$B46="New Customer",$B$5,$B46="Occasional Buyer",$B$6,$B46="Loyal High-Value",$B$7)</f>
        <v>15</v>
      </c>
      <c r="Q46" s="9" cm="1">
        <f t="array" ref="Q46">_xlfn.IFS($B46 = "At-Risk Churner", $B$8, $B46="Dormant",$B$9, $B46="Deal Hunter", $B$10, $B46="New Customer", $B$11, $B46="Occasional Buyer", $B$12, $B46 = "Loyal High-Value",$B$13)</f>
        <v>0.05</v>
      </c>
      <c r="R46" s="5">
        <v>5</v>
      </c>
      <c r="S46" s="5">
        <v>10</v>
      </c>
      <c r="T46" s="5">
        <v>0</v>
      </c>
      <c r="U46" s="5">
        <f t="shared" si="1"/>
        <v>0</v>
      </c>
      <c r="V46" s="5">
        <f t="shared" si="2"/>
        <v>0</v>
      </c>
      <c r="W46" s="43">
        <f t="shared" si="3"/>
        <v>30.15</v>
      </c>
      <c r="X46" s="5" t="str" cm="1">
        <f t="array" ref="X46">_xlfn.IFS($W46 &lt;= 30, "Low", $W46 &lt;=50, "Medium", $W46 &lt;= 70, "High", $W46 &gt; 70, "Critical")</f>
        <v>Medium</v>
      </c>
      <c r="Y46" s="9">
        <f t="shared" si="4"/>
        <v>6.0393421697104684E-3</v>
      </c>
      <c r="Z46" s="22">
        <f t="shared" si="5"/>
        <v>374.4298856742472</v>
      </c>
    </row>
    <row r="47" spans="1:26">
      <c r="A47" s="24" t="str">
        <v>CUST-4858</v>
      </c>
      <c r="B47" s="24" t="str">
        <v>New Customer</v>
      </c>
      <c r="C47" s="24" t="str">
        <v>Paid Social</v>
      </c>
      <c r="D47" s="24" t="str">
        <v>Southeast</v>
      </c>
      <c r="E47" s="24" t="str">
        <v>55+</v>
      </c>
      <c r="F47" s="24" t="str">
        <v>Medium</v>
      </c>
      <c r="G47" s="24">
        <v>5</v>
      </c>
      <c r="H47" s="24">
        <v>306</v>
      </c>
      <c r="I47" s="23">
        <v>146.77000000000001</v>
      </c>
      <c r="J47" s="24" cm="1">
        <f t="array" ref="J47">SUMPRODUCT(
    (Transactions_and_Customer_Information_Joined[Customer ID]='V1-Based Churn Model (Step 3)'!$A47) *
    (IFERROR(_xlfn.XLOOKUP(Transactions_and_Customer_Information_Joined[SKU], 'V1 Pricing Model (Step 2)'!$A$22:$A$71, 'V1 Pricing Model (Step 2)'!$AL$22:$AL$71), "Exclude")&lt;&gt;"Exclude") *
    Transactions_and_Customer_Information_Joined[Gross Revenue])</f>
        <v>53.95</v>
      </c>
      <c r="K47" s="24">
        <f>SUMIF(Transactions_and_Customer_Information_Joined[Customer ID], 'V1-Based Churn Model (Step 3)'!$A47, Transactions_and_Customer_Information_Joined[Gross Revenue])</f>
        <v>53.95</v>
      </c>
      <c r="L47" s="3">
        <f t="shared" si="0"/>
        <v>1</v>
      </c>
      <c r="M47" s="21">
        <v>-6.3633334648082567E-3</v>
      </c>
      <c r="N47" s="21" cm="1">
        <f t="array" ref="N47">SUMPRODUCT(
    (Transactions_and_Customer_Information_Joined[Customer ID]=$A47)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7" s="21" cm="1">
        <f t="array" ref="O47">IFERROR(
    SUMPRODUCT(
        (Transactions_and_Customer_Information_Joined[Customer ID]=$A47)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$J47,
0)</f>
        <v>-6.3633334648082575E-3</v>
      </c>
      <c r="P47" s="5" cm="1">
        <f t="array" ref="P47">_xlfn.IFS(B47="At-Risk Churner",$B$2,$B47="Dormant",$B$3,$B47="Deal Hunter",$B$4,$B47="New Customer",$B$5,$B47="Occasional Buyer",$B$6,$B47="Loyal High-Value",$B$7)</f>
        <v>35</v>
      </c>
      <c r="Q47" s="9" cm="1">
        <f t="array" ref="Q47">_xlfn.IFS($B47 = "At-Risk Churner", $B$8, $B47="Dormant",$B$9, $B47="Deal Hunter", $B$10, $B47="New Customer", $B$11, $B47="Occasional Buyer", $B$12, $B47 = "Loyal High-Value",$B$13)</f>
        <v>0.35</v>
      </c>
      <c r="R47" s="5">
        <v>5</v>
      </c>
      <c r="S47" s="5">
        <v>0</v>
      </c>
      <c r="T47" s="5">
        <v>15</v>
      </c>
      <c r="U47" s="5">
        <f t="shared" si="1"/>
        <v>15</v>
      </c>
      <c r="V47" s="5">
        <f t="shared" si="2"/>
        <v>0.25453333859233029</v>
      </c>
      <c r="W47" s="43">
        <f t="shared" si="3"/>
        <v>70.367033338592321</v>
      </c>
      <c r="X47" s="5" t="str" cm="1">
        <f t="array" ref="X47">_xlfn.IFS($W47 &lt;= 30, "Low", $W47 &lt;=50, "Medium", $W47 &lt;= 70, "High", $W47 &gt; 70, "Critical")</f>
        <v>Critical</v>
      </c>
      <c r="Y47" s="9">
        <f t="shared" si="4"/>
        <v>0.309609003954255</v>
      </c>
      <c r="Z47" s="22">
        <f t="shared" si="5"/>
        <v>45.441313510366008</v>
      </c>
    </row>
    <row r="48" spans="1:26">
      <c r="A48" s="24" t="str">
        <v>CUST-1468</v>
      </c>
      <c r="B48" s="24" t="str">
        <v>Occasional Buyer</v>
      </c>
      <c r="C48" s="24" t="str">
        <v>Email Campaign</v>
      </c>
      <c r="D48" s="24" t="str">
        <v>UK</v>
      </c>
      <c r="E48" s="24" t="str">
        <v>25-34</v>
      </c>
      <c r="F48" s="24" t="str">
        <v>Low</v>
      </c>
      <c r="G48" s="24">
        <v>1</v>
      </c>
      <c r="H48" s="24">
        <v>139</v>
      </c>
      <c r="I48" s="23">
        <v>644.28</v>
      </c>
      <c r="J48" s="24" cm="1">
        <f t="array" ref="J48">SUMPRODUCT(
    (Transactions_and_Customer_Information_Joined[Customer ID]='V1-Based Churn Model (Step 3)'!$A48) *
    (IFERROR(_xlfn.XLOOKUP(Transactions_and_Customer_Information_Joined[SKU], 'V1 Pricing Model (Step 2)'!$A$22:$A$71, 'V1 Pricing Model (Step 2)'!$AL$22:$AL$71), "Exclude")&lt;&gt;"Exclude") *
    Transactions_and_Customer_Information_Joined[Gross Revenue])</f>
        <v>34.479999999999997</v>
      </c>
      <c r="K48" s="24">
        <f>SUMIF(Transactions_and_Customer_Information_Joined[Customer ID], 'V1-Based Churn Model (Step 3)'!$A48, Transactions_and_Customer_Information_Joined[Gross Revenue])</f>
        <v>34.479999999999997</v>
      </c>
      <c r="L48" s="3">
        <f t="shared" si="0"/>
        <v>1</v>
      </c>
      <c r="M48" s="21">
        <v>7.0422329455997176E-2</v>
      </c>
      <c r="N48" s="21" cm="1">
        <f t="array" ref="N48">SUMPRODUCT(
    (Transactions_and_Customer_Information_Joined[Customer ID]=$A48)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8" s="21" cm="1">
        <f t="array" ref="O48">IFERROR(
    SUMPRODUCT(
        (Transactions_and_Customer_Information_Joined[Customer ID]=$A48)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$J48,
0)</f>
        <v>7.0422329455997176E-2</v>
      </c>
      <c r="P48" s="5" cm="1">
        <f t="array" ref="P48">_xlfn.IFS(B48="At-Risk Churner",$B$2,$B48="Dormant",$B$3,$B48="Deal Hunter",$B$4,$B48="New Customer",$B$5,$B48="Occasional Buyer",$B$6,$B48="Loyal High-Value",$B$7)</f>
        <v>25</v>
      </c>
      <c r="Q48" s="9" cm="1">
        <f t="array" ref="Q48">_xlfn.IFS($B48 = "At-Risk Churner", $B$8, $B48="Dormant",$B$9, $B48="Deal Hunter", $B$10, $B48="New Customer", $B$11, $B48="Occasional Buyer", $B$12, $B48 = "Loyal High-Value",$B$13)</f>
        <v>0.18</v>
      </c>
      <c r="R48" s="5">
        <v>-5</v>
      </c>
      <c r="S48" s="5">
        <v>10</v>
      </c>
      <c r="T48" s="5">
        <v>0</v>
      </c>
      <c r="U48" s="5">
        <f t="shared" si="1"/>
        <v>15</v>
      </c>
      <c r="V48" s="5">
        <f t="shared" si="2"/>
        <v>2.8168931782398872</v>
      </c>
      <c r="W48" s="43">
        <f t="shared" si="3"/>
        <v>47.95439317823989</v>
      </c>
      <c r="X48" s="5" t="str" cm="1">
        <f t="array" ref="X48">_xlfn.IFS($W48 &lt;= 30, "Low", $W48 &lt;=50, "Medium", $W48 &lt;= 70, "High", $W48 &gt; 70, "Critical")</f>
        <v>Medium</v>
      </c>
      <c r="Y48" s="9">
        <f t="shared" si="4"/>
        <v>8.0826735010309986E-2</v>
      </c>
      <c r="Z48" s="22">
        <f t="shared" si="5"/>
        <v>170.516039065954</v>
      </c>
    </row>
    <row r="49" spans="1:26">
      <c r="A49" s="24" t="str">
        <v>CUST-1627</v>
      </c>
      <c r="B49" s="24" t="str">
        <v>Occasional Buyer</v>
      </c>
      <c r="C49" s="24" t="str">
        <v>Email Campaign</v>
      </c>
      <c r="D49" s="24" t="str">
        <v>Southwest</v>
      </c>
      <c r="E49" s="24" t="str">
        <v>25-34</v>
      </c>
      <c r="F49" s="24" t="str">
        <v>Medium</v>
      </c>
      <c r="G49" s="24">
        <v>8</v>
      </c>
      <c r="H49" s="24">
        <v>47</v>
      </c>
      <c r="I49" s="23">
        <v>288.31</v>
      </c>
      <c r="J49" s="24" cm="1">
        <f t="array" ref="J49">SUMPRODUCT(
    (Transactions_and_Customer_Information_Joined[Customer ID]='V1-Based Churn Model (Step 3)'!$A49) *
    (IFERROR(_xlfn.XLOOKUP(Transactions_and_Customer_Information_Joined[SKU], 'V1 Pricing Model (Step 2)'!$A$22:$A$71, 'V1 Pricing Model (Step 2)'!$AL$22:$AL$71), "Exclude")&lt;&gt;"Exclude") *
    Transactions_and_Customer_Information_Joined[Gross Revenue])</f>
        <v>295.74</v>
      </c>
      <c r="K49" s="24">
        <f>SUMIF(Transactions_and_Customer_Information_Joined[Customer ID], 'V1-Based Churn Model (Step 3)'!$A49, Transactions_and_Customer_Information_Joined[Gross Revenue])</f>
        <v>295.74</v>
      </c>
      <c r="L49" s="3">
        <f t="shared" si="0"/>
        <v>1</v>
      </c>
      <c r="M49" s="21">
        <v>0</v>
      </c>
      <c r="N49" s="21" cm="1">
        <f t="array" ref="N49">SUMPRODUCT(
    (Transactions_and_Customer_Information_Joined[Customer ID]=$A49)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9" s="21" cm="1">
        <f t="array" ref="O49">IFERROR(
    SUMPRODUCT(
        (Transactions_and_Customer_Information_Joined[Customer ID]=$A49)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$J49,
0)</f>
        <v>0</v>
      </c>
      <c r="P49" s="5" cm="1">
        <f t="array" ref="P49">_xlfn.IFS(B49="At-Risk Churner",$B$2,$B49="Dormant",$B$3,$B49="Deal Hunter",$B$4,$B49="New Customer",$B$5,$B49="Occasional Buyer",$B$6,$B49="Loyal High-Value",$B$7)</f>
        <v>25</v>
      </c>
      <c r="Q49" s="9" cm="1">
        <f t="array" ref="Q49">_xlfn.IFS($B49 = "At-Risk Churner", $B$8, $B49="Dormant",$B$9, $B49="Deal Hunter", $B$10, $B49="New Customer", $B$11, $B49="Occasional Buyer", $B$12, $B49 = "Loyal High-Value",$B$13)</f>
        <v>0.18</v>
      </c>
      <c r="R49" s="5">
        <v>5</v>
      </c>
      <c r="S49" s="5">
        <v>-8</v>
      </c>
      <c r="T49" s="5">
        <v>-5</v>
      </c>
      <c r="U49" s="5">
        <f t="shared" si="1"/>
        <v>15</v>
      </c>
      <c r="V49" s="5">
        <f t="shared" si="2"/>
        <v>0</v>
      </c>
      <c r="W49" s="43">
        <f t="shared" si="3"/>
        <v>31.912499999999998</v>
      </c>
      <c r="X49" s="5" t="str" cm="1">
        <f t="array" ref="X49">_xlfn.IFS($W49 &lt;= 30, "Low", $W49 &lt;=50, "Medium", $W49 &lt;= 70, "High", $W49 &gt; 70, "Critical")</f>
        <v>Medium</v>
      </c>
      <c r="Y49" s="9">
        <f t="shared" si="4"/>
        <v>2.5342068134124915E-2</v>
      </c>
      <c r="Z49" s="22">
        <f t="shared" si="5"/>
        <v>63.507097330999649</v>
      </c>
    </row>
    <row r="50" spans="1:26">
      <c r="A50" s="24" t="str">
        <v>CUST-3267</v>
      </c>
      <c r="B50" s="24" t="str">
        <v>At-Risk Churner</v>
      </c>
      <c r="C50" s="24" t="str">
        <v>Referral</v>
      </c>
      <c r="D50" s="24" t="str">
        <v>UK</v>
      </c>
      <c r="E50" s="24" t="str">
        <v>25-34</v>
      </c>
      <c r="F50" s="24" t="str">
        <v>Low</v>
      </c>
      <c r="G50" s="24">
        <v>2</v>
      </c>
      <c r="H50" s="24">
        <v>221</v>
      </c>
      <c r="I50" s="23">
        <v>266.56</v>
      </c>
      <c r="J50" s="24" cm="1">
        <f t="array" ref="J50">SUMPRODUCT(
    (Transactions_and_Customer_Information_Joined[Customer ID]='V1-Based Churn Model (Step 3)'!$A50) *
    (IFERROR(_xlfn.XLOOKUP(Transactions_and_Customer_Information_Joined[SKU], 'V1 Pricing Model (Step 2)'!$A$22:$A$71, 'V1 Pricing Model (Step 2)'!$AL$22:$AL$71), "Exclude")&lt;&gt;"Exclude") *
    Transactions_and_Customer_Information_Joined[Gross Revenue])</f>
        <v>424.24</v>
      </c>
      <c r="K50" s="24">
        <f>SUMIF(Transactions_and_Customer_Information_Joined[Customer ID], 'V1-Based Churn Model (Step 3)'!$A50, Transactions_and_Customer_Information_Joined[Gross Revenue])</f>
        <v>424.24</v>
      </c>
      <c r="L50" s="3">
        <f t="shared" si="0"/>
        <v>1</v>
      </c>
      <c r="M50" s="21">
        <v>0.18762795201583557</v>
      </c>
      <c r="N50" s="21" cm="1">
        <f t="array" ref="N50">SUMPRODUCT(
    (Transactions_and_Customer_Information_Joined[Customer ID]=$A50)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0" s="21" cm="1">
        <f t="array" ref="O50">IFERROR(
    SUMPRODUCT(
        (Transactions_and_Customer_Information_Joined[Customer ID]=$A50)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$J50,
0)</f>
        <v>0.18762795201583557</v>
      </c>
      <c r="P50" s="5" cm="1">
        <f t="array" ref="P50">_xlfn.IFS(B50="At-Risk Churner",$B$2,$B50="Dormant",$B$3,$B50="Deal Hunter",$B$4,$B50="New Customer",$B$5,$B50="Occasional Buyer",$B$6,$B50="Loyal High-Value",$B$7)</f>
        <v>70</v>
      </c>
      <c r="Q50" s="9" cm="1">
        <f t="array" ref="Q50">_xlfn.IFS($B50 = "At-Risk Churner", $B$8, $B50="Dormant",$B$9, $B50="Deal Hunter", $B$10, $B50="New Customer", $B$11, $B50="Occasional Buyer", $B$12, $B50 = "Loyal High-Value",$B$13)</f>
        <v>0.45</v>
      </c>
      <c r="R50" s="5">
        <v>-5</v>
      </c>
      <c r="S50" s="5">
        <v>10</v>
      </c>
      <c r="T50" s="5">
        <v>8</v>
      </c>
      <c r="U50" s="5">
        <f t="shared" si="1"/>
        <v>15</v>
      </c>
      <c r="V50" s="5">
        <f t="shared" si="2"/>
        <v>7.505118080633423</v>
      </c>
      <c r="W50" s="43">
        <f t="shared" si="3"/>
        <v>100</v>
      </c>
      <c r="X50" s="5" t="str" cm="1">
        <f t="array" ref="X50">_xlfn.IFS($W50 &lt;= 30, "Low", $W50 &lt;=50, "Medium", $W50 &lt;= 70, "High", $W50 &gt; 70, "Critical")</f>
        <v>Critical</v>
      </c>
      <c r="Y50" s="9">
        <f t="shared" si="4"/>
        <v>0.44698821708407188</v>
      </c>
      <c r="Z50" s="22">
        <f t="shared" si="5"/>
        <v>119.1491791459302</v>
      </c>
    </row>
    <row r="51" spans="1:26">
      <c r="A51" s="24" t="str">
        <v>CUST-2786</v>
      </c>
      <c r="B51" s="24" t="str">
        <v>Dormant</v>
      </c>
      <c r="C51" s="24" t="str">
        <v>Organic Search</v>
      </c>
      <c r="D51" s="24" t="str">
        <v>UK</v>
      </c>
      <c r="E51" s="24" t="str">
        <v>35-44</v>
      </c>
      <c r="F51" s="24" t="str">
        <v>Low</v>
      </c>
      <c r="G51" s="24">
        <v>6</v>
      </c>
      <c r="H51" s="24">
        <v>66</v>
      </c>
      <c r="I51" s="23">
        <v>84.52</v>
      </c>
      <c r="J51" s="24" cm="1">
        <f t="array" ref="J51">SUMPRODUCT(
    (Transactions_and_Customer_Information_Joined[Customer ID]='V1-Based Churn Model (Step 3)'!$A51) *
    (IFERROR(_xlfn.XLOOKUP(Transactions_and_Customer_Information_Joined[SKU], 'V1 Pricing Model (Step 2)'!$A$22:$A$71, 'V1 Pricing Model (Step 2)'!$AL$22:$AL$71), "Exclude")&lt;&gt;"Exclude") *
    Transactions_and_Customer_Information_Joined[Gross Revenue])</f>
        <v>921.63</v>
      </c>
      <c r="K51" s="24">
        <f>SUMIF(Transactions_and_Customer_Information_Joined[Customer ID], 'V1-Based Churn Model (Step 3)'!$A51, Transactions_and_Customer_Information_Joined[Gross Revenue])</f>
        <v>1025.5899999999999</v>
      </c>
      <c r="L51" s="3">
        <f t="shared" si="0"/>
        <v>0.89863395703936277</v>
      </c>
      <c r="M51" s="21">
        <v>0.13680891237597953</v>
      </c>
      <c r="N51" s="21" cm="1">
        <f t="array" ref="N51">SUMPRODUCT(
    (Transactions_and_Customer_Information_Joined[Customer ID]=$A51)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2</v>
      </c>
      <c r="O51" s="21" cm="1">
        <f t="array" ref="O51">IFERROR(
    SUMPRODUCT(
        (Transactions_and_Customer_Information_Joined[Customer ID]=$A51)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$J51,
0)</f>
        <v>7.6380921042398159E-2</v>
      </c>
      <c r="P51" s="5" cm="1">
        <f t="array" ref="P51">_xlfn.IFS(B51="At-Risk Churner",$B$2,$B51="Dormant",$B$3,$B51="Deal Hunter",$B$4,$B51="New Customer",$B$5,$B51="Occasional Buyer",$B$6,$B51="Loyal High-Value",$B$7)</f>
        <v>65</v>
      </c>
      <c r="Q51" s="9" cm="1">
        <f t="array" ref="Q51">_xlfn.IFS($B51 = "At-Risk Churner", $B$8, $B51="Dormant",$B$9, $B51="Deal Hunter", $B$10, $B51="New Customer", $B$11, $B51="Occasional Buyer", $B$12, $B51 = "Loyal High-Value",$B$13)</f>
        <v>0.6</v>
      </c>
      <c r="R51" s="5">
        <v>-5</v>
      </c>
      <c r="S51" s="5">
        <v>0</v>
      </c>
      <c r="T51" s="5">
        <v>0</v>
      </c>
      <c r="U51" s="5">
        <f t="shared" si="1"/>
        <v>15</v>
      </c>
      <c r="V51" s="5">
        <f t="shared" si="2"/>
        <v>4.2637966683675534</v>
      </c>
      <c r="W51" s="43">
        <f t="shared" si="3"/>
        <v>79.15129666836755</v>
      </c>
      <c r="X51" s="5" t="str" cm="1">
        <f t="array" ref="X51">_xlfn.IFS($W51 &lt;= 30, "Low", $W51 &lt;=50, "Medium", $W51 &lt;= 70, "High", $W51 &gt; 70, "Critical")</f>
        <v>Critical</v>
      </c>
      <c r="Y51" s="9">
        <f t="shared" si="4"/>
        <v>0.56915358161636476</v>
      </c>
      <c r="Z51" s="22">
        <f t="shared" si="5"/>
        <v>48.10486071821515</v>
      </c>
    </row>
    <row r="52" spans="1:26">
      <c r="A52" s="24" t="str">
        <v>CUST-1534</v>
      </c>
      <c r="B52" s="24" t="str">
        <v>New Customer</v>
      </c>
      <c r="C52" s="24" t="str">
        <v>Referral</v>
      </c>
      <c r="D52" s="24" t="str">
        <v>Southwest</v>
      </c>
      <c r="E52" s="24" t="str">
        <v>35-44</v>
      </c>
      <c r="F52" s="24" t="str">
        <v>Medium</v>
      </c>
      <c r="G52" s="24">
        <v>4</v>
      </c>
      <c r="H52" s="24">
        <v>71</v>
      </c>
      <c r="I52" s="23">
        <v>130.22999999999999</v>
      </c>
      <c r="J52" s="24" cm="1">
        <f t="array" ref="J52">SUMPRODUCT(
    (Transactions_and_Customer_Information_Joined[Customer ID]='V1-Based Churn Model (Step 3)'!$A52) *
    (IFERROR(_xlfn.XLOOKUP(Transactions_and_Customer_Information_Joined[SKU], 'V1 Pricing Model (Step 2)'!$A$22:$A$71, 'V1 Pricing Model (Step 2)'!$AL$22:$AL$71), "Exclude")&lt;&gt;"Exclude") *
    Transactions_and_Customer_Information_Joined[Gross Revenue])</f>
        <v>709.64</v>
      </c>
      <c r="K52" s="24">
        <f>SUMIF(Transactions_and_Customer_Information_Joined[Customer ID], 'V1-Based Churn Model (Step 3)'!$A52, Transactions_and_Customer_Information_Joined[Gross Revenue])</f>
        <v>709.64</v>
      </c>
      <c r="L52" s="3">
        <f t="shared" si="0"/>
        <v>1</v>
      </c>
      <c r="M52" s="21">
        <v>9.4555309750757724E-2</v>
      </c>
      <c r="N52" s="21" cm="1">
        <f t="array" ref="N52">SUMPRODUCT(
    (Transactions_and_Customer_Information_Joined[Customer ID]=$A52)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2" s="21" cm="1">
        <f t="array" ref="O52">IFERROR(
    SUMPRODUCT(
        (Transactions_and_Customer_Information_Joined[Customer ID]=$A52)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$J52,
0)</f>
        <v>9.4555309750757724E-2</v>
      </c>
      <c r="P52" s="5" cm="1">
        <f t="array" ref="P52">_xlfn.IFS(B52="At-Risk Churner",$B$2,$B52="Dormant",$B$3,$B52="Deal Hunter",$B$4,$B52="New Customer",$B$5,$B52="Occasional Buyer",$B$6,$B52="Loyal High-Value",$B$7)</f>
        <v>35</v>
      </c>
      <c r="Q52" s="9" cm="1">
        <f t="array" ref="Q52">_xlfn.IFS($B52 = "At-Risk Churner", $B$8, $B52="Dormant",$B$9, $B52="Deal Hunter", $B$10, $B52="New Customer", $B$11, $B52="Occasional Buyer", $B$12, $B52 = "Loyal High-Value",$B$13)</f>
        <v>0.35</v>
      </c>
      <c r="R52" s="5">
        <v>5</v>
      </c>
      <c r="S52" s="5">
        <v>0</v>
      </c>
      <c r="T52" s="5">
        <v>0</v>
      </c>
      <c r="U52" s="5">
        <f t="shared" si="1"/>
        <v>15</v>
      </c>
      <c r="V52" s="5">
        <f t="shared" si="2"/>
        <v>3.7822123900303088</v>
      </c>
      <c r="W52" s="43">
        <f t="shared" si="3"/>
        <v>58.894712390030307</v>
      </c>
      <c r="X52" s="5" t="str" cm="1">
        <f t="array" ref="X52">_xlfn.IFS($W52 &lt;= 30, "Low", $W52 &lt;=50, "Medium", $W52 &lt;= 70, "High", $W52 &gt; 70, "Critical")</f>
        <v>High</v>
      </c>
      <c r="Y52" s="9">
        <f t="shared" si="4"/>
        <v>0.24807336498241861</v>
      </c>
      <c r="Z52" s="22">
        <f t="shared" si="5"/>
        <v>51.891275457328291</v>
      </c>
    </row>
    <row r="53" spans="1:26">
      <c r="A53" s="24" t="str">
        <v>CUST-3592</v>
      </c>
      <c r="B53" s="24" t="str">
        <v>At-Risk Churner</v>
      </c>
      <c r="C53" s="24" t="str">
        <v>Referral</v>
      </c>
      <c r="D53" s="24" t="str">
        <v>Canada</v>
      </c>
      <c r="E53" s="24" t="str">
        <v>45-54</v>
      </c>
      <c r="F53" s="24" t="str">
        <v>Low</v>
      </c>
      <c r="G53" s="24">
        <v>8</v>
      </c>
      <c r="H53" s="24">
        <v>3</v>
      </c>
      <c r="I53" s="23">
        <v>284.73</v>
      </c>
      <c r="J53" s="24" cm="1">
        <f t="array" ref="J53">SUMPRODUCT(
    (Transactions_and_Customer_Information_Joined[Customer ID]='V1-Based Churn Model (Step 3)'!$A53) *
    (IFERROR(_xlfn.XLOOKUP(Transactions_and_Customer_Information_Joined[SKU], 'V1 Pricing Model (Step 2)'!$A$22:$A$71, 'V1 Pricing Model (Step 2)'!$AL$22:$AL$71), "Exclude")&lt;&gt;"Exclude") *
    Transactions_and_Customer_Information_Joined[Gross Revenue])</f>
        <v>469.74</v>
      </c>
      <c r="K53" s="24">
        <f>SUMIF(Transactions_and_Customer_Information_Joined[Customer ID], 'V1-Based Churn Model (Step 3)'!$A53, Transactions_and_Customer_Information_Joined[Gross Revenue])</f>
        <v>469.74</v>
      </c>
      <c r="L53" s="3">
        <f t="shared" si="0"/>
        <v>1</v>
      </c>
      <c r="M53" s="21">
        <v>5.4598129129915428E-2</v>
      </c>
      <c r="N53" s="21" cm="1">
        <f t="array" ref="N53">SUMPRODUCT(
    (Transactions_and_Customer_Information_Joined[Customer ID]=$A53)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2</v>
      </c>
      <c r="O53" s="21" cm="1">
        <f t="array" ref="O53">IFERROR(
    SUMPRODUCT(
        (Transactions_and_Customer_Information_Joined[Customer ID]=$A53)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$J53,
0)</f>
        <v>2.4805336143590675E-2</v>
      </c>
      <c r="P53" s="5" cm="1">
        <f t="array" ref="P53">_xlfn.IFS(B53="At-Risk Churner",$B$2,$B53="Dormant",$B$3,$B53="Deal Hunter",$B$4,$B53="New Customer",$B$5,$B53="Occasional Buyer",$B$6,$B53="Loyal High-Value",$B$7)</f>
        <v>70</v>
      </c>
      <c r="Q53" s="9" cm="1">
        <f t="array" ref="Q53">_xlfn.IFS($B53 = "At-Risk Churner", $B$8, $B53="Dormant",$B$9, $B53="Deal Hunter", $B$10, $B53="New Customer", $B$11, $B53="Occasional Buyer", $B$12, $B53 = "Loyal High-Value",$B$13)</f>
        <v>0.45</v>
      </c>
      <c r="R53" s="5">
        <v>-5</v>
      </c>
      <c r="S53" s="5">
        <v>-8</v>
      </c>
      <c r="T53" s="5">
        <v>-5</v>
      </c>
      <c r="U53" s="5">
        <f t="shared" si="1"/>
        <v>15</v>
      </c>
      <c r="V53" s="5">
        <f t="shared" si="2"/>
        <v>1.588069305470122</v>
      </c>
      <c r="W53" s="43">
        <f t="shared" si="3"/>
        <v>67.915569305470129</v>
      </c>
      <c r="X53" s="5" t="str" cm="1">
        <f t="array" ref="X53">_xlfn.IFS($W53 &lt;= 30, "Low", $W53 &lt;=50, "Medium", $W53 &lt;= 70, "High", $W53 &gt; 70, "Critical")</f>
        <v>High</v>
      </c>
      <c r="Y53" s="9">
        <f t="shared" si="4"/>
        <v>0.38570312461231315</v>
      </c>
      <c r="Z53" s="22">
        <f t="shared" si="5"/>
        <v>144.80300053669114</v>
      </c>
    </row>
    <row r="54" spans="1:26">
      <c r="A54" s="24" t="str">
        <v>CUST-4635</v>
      </c>
      <c r="B54" s="24" t="str">
        <v>Loyal High-Value</v>
      </c>
      <c r="C54" s="24" t="str">
        <v>Email Campaign</v>
      </c>
      <c r="D54" s="24" t="str">
        <v>Canada</v>
      </c>
      <c r="E54" s="24" t="str">
        <v>18-24</v>
      </c>
      <c r="F54" s="24" t="str">
        <v>High</v>
      </c>
      <c r="G54" s="24">
        <v>0</v>
      </c>
      <c r="H54" s="24">
        <v>27</v>
      </c>
      <c r="I54" s="23">
        <v>1154.07</v>
      </c>
      <c r="J54" s="24" cm="1">
        <f t="array" ref="J54">SUMPRODUCT(
    (Transactions_and_Customer_Information_Joined[Customer ID]='V1-Based Churn Model (Step 3)'!$A54)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54" s="24">
        <f>SUMIF(Transactions_and_Customer_Information_Joined[Customer ID], 'V1-Based Churn Model (Step 3)'!$A54, Transactions_and_Customer_Information_Joined[Gross Revenue])</f>
        <v>130.86000000000001</v>
      </c>
      <c r="L54" s="3">
        <f t="shared" si="0"/>
        <v>0</v>
      </c>
      <c r="M54" s="21">
        <v>0</v>
      </c>
      <c r="N54" s="21" cm="1">
        <f t="array" ref="N54">SUMPRODUCT(
    (Transactions_and_Customer_Information_Joined[Customer ID]=$A54)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54" s="21" cm="1">
        <f t="array" ref="O54">IFERROR(
    SUMPRODUCT(
        (Transactions_and_Customer_Information_Joined[Customer ID]=$A54)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$J54,
0)</f>
        <v>0</v>
      </c>
      <c r="P54" s="5" cm="1">
        <f t="array" ref="P54">_xlfn.IFS(B54="At-Risk Churner",$B$2,$B54="Dormant",$B$3,$B54="Deal Hunter",$B$4,$B54="New Customer",$B$5,$B54="Occasional Buyer",$B$6,$B54="Loyal High-Value",$B$7)</f>
        <v>15</v>
      </c>
      <c r="Q54" s="9" cm="1">
        <f t="array" ref="Q54">_xlfn.IFS($B54 = "At-Risk Churner", $B$8, $B54="Dormant",$B$9, $B54="Deal Hunter", $B$10, $B54="New Customer", $B$11, $B54="Occasional Buyer", $B$12, $B54 = "Loyal High-Value",$B$13)</f>
        <v>0.05</v>
      </c>
      <c r="R54" s="5">
        <v>15</v>
      </c>
      <c r="S54" s="5">
        <v>10</v>
      </c>
      <c r="T54" s="5">
        <v>-5</v>
      </c>
      <c r="U54" s="5">
        <f t="shared" si="1"/>
        <v>0</v>
      </c>
      <c r="V54" s="5">
        <f t="shared" si="2"/>
        <v>0</v>
      </c>
      <c r="W54" s="43">
        <f t="shared" si="3"/>
        <v>35.15</v>
      </c>
      <c r="X54" s="5" t="str" cm="1">
        <f t="array" ref="X54">_xlfn.IFS($W54 &lt;= 30, "Low", $W54 &lt;=50, "Medium", $W54 &lt;= 70, "High", $W54 &gt; 70, "Critical")</f>
        <v>Medium</v>
      </c>
      <c r="Y54" s="9">
        <f t="shared" si="4"/>
        <v>9.2336693198458563E-3</v>
      </c>
      <c r="Z54" s="22">
        <f t="shared" si="5"/>
        <v>239.33904060156362</v>
      </c>
    </row>
    <row r="55" spans="1:26">
      <c r="A55" s="24" t="str">
        <v>CUST-4158</v>
      </c>
      <c r="B55" s="24" t="str">
        <v>New Customer</v>
      </c>
      <c r="C55" s="24" t="str">
        <v>Paid Social</v>
      </c>
      <c r="D55" s="24" t="str">
        <v>Southeast</v>
      </c>
      <c r="E55" s="24" t="str">
        <v>25-34</v>
      </c>
      <c r="F55" s="24" t="str">
        <v>High</v>
      </c>
      <c r="G55" s="24">
        <v>3</v>
      </c>
      <c r="H55" s="24">
        <v>344</v>
      </c>
      <c r="I55" s="23">
        <v>97.59</v>
      </c>
      <c r="J55" s="24" cm="1">
        <f t="array" ref="J55">SUMPRODUCT(
    (Transactions_and_Customer_Information_Joined[Customer ID]='V1-Based Churn Model (Step 3)'!$A55) *
    (IFERROR(_xlfn.XLOOKUP(Transactions_and_Customer_Information_Joined[SKU], 'V1 Pricing Model (Step 2)'!$A$22:$A$71, 'V1 Pricing Model (Step 2)'!$AL$22:$AL$71), "Exclude")&lt;&gt;"Exclude") *
    Transactions_and_Customer_Information_Joined[Gross Revenue])</f>
        <v>70.22</v>
      </c>
      <c r="K55" s="24">
        <f>SUMIF(Transactions_and_Customer_Information_Joined[Customer ID], 'V1-Based Churn Model (Step 3)'!$A55, Transactions_and_Customer_Information_Joined[Gross Revenue])</f>
        <v>70.22</v>
      </c>
      <c r="L55" s="3">
        <f t="shared" si="0"/>
        <v>1</v>
      </c>
      <c r="M55" s="21">
        <v>0.25581555939754186</v>
      </c>
      <c r="N55" s="21" cm="1">
        <f t="array" ref="N55">SUMPRODUCT(
    (Transactions_and_Customer_Information_Joined[Customer ID]=$A55)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5" s="21" cm="1">
        <f t="array" ref="O55">IFERROR(
    SUMPRODUCT(
        (Transactions_and_Customer_Information_Joined[Customer ID]=$A55)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$J55,
0)</f>
        <v>0.25581555939754186</v>
      </c>
      <c r="P55" s="5" cm="1">
        <f t="array" ref="P55">_xlfn.IFS(B55="At-Risk Churner",$B$2,$B55="Dormant",$B$3,$B55="Deal Hunter",$B$4,$B55="New Customer",$B$5,$B55="Occasional Buyer",$B$6,$B55="Loyal High-Value",$B$7)</f>
        <v>35</v>
      </c>
      <c r="Q55" s="9" cm="1">
        <f t="array" ref="Q55">_xlfn.IFS($B55 = "At-Risk Churner", $B$8, $B55="Dormant",$B$9, $B55="Deal Hunter", $B$10, $B55="New Customer", $B$11, $B55="Occasional Buyer", $B$12, $B55 = "Loyal High-Value",$B$13)</f>
        <v>0.35</v>
      </c>
      <c r="R55" s="5">
        <v>15</v>
      </c>
      <c r="S55" s="5">
        <v>10</v>
      </c>
      <c r="T55" s="5">
        <v>15</v>
      </c>
      <c r="U55" s="5">
        <f t="shared" si="1"/>
        <v>15</v>
      </c>
      <c r="V55" s="5">
        <f t="shared" si="2"/>
        <v>10.232622375901673</v>
      </c>
      <c r="W55" s="43">
        <f t="shared" si="3"/>
        <v>100</v>
      </c>
      <c r="X55" s="5" t="str" cm="1">
        <f t="array" ref="X55">_xlfn.IFS($W55 &lt;= 30, "Low", $W55 &lt;=50, "Medium", $W55 &lt;= 70, "High", $W55 &gt; 70, "Critical")</f>
        <v>Critical</v>
      </c>
      <c r="Y55" s="9">
        <f t="shared" si="4"/>
        <v>0.34765750217650032</v>
      </c>
      <c r="Z55" s="22">
        <f t="shared" si="5"/>
        <v>33.927895637404667</v>
      </c>
    </row>
    <row r="56" spans="1:26">
      <c r="A56" s="24" t="str">
        <v>CUST-3037</v>
      </c>
      <c r="B56" s="24" t="str">
        <v>Occasional Buyer</v>
      </c>
      <c r="C56" s="24" t="str">
        <v>Email Campaign</v>
      </c>
      <c r="D56" s="24" t="str">
        <v>Canada</v>
      </c>
      <c r="E56" s="24" t="str">
        <v>45-54</v>
      </c>
      <c r="F56" s="24" t="str">
        <v>High</v>
      </c>
      <c r="G56" s="24">
        <v>6</v>
      </c>
      <c r="H56" s="24">
        <v>34</v>
      </c>
      <c r="I56" s="23">
        <v>523.89</v>
      </c>
      <c r="J56" s="24" cm="1">
        <f t="array" ref="J56">SUMPRODUCT(
    (Transactions_and_Customer_Information_Joined[Customer ID]='V1-Based Churn Model (Step 3)'!$A56) *
    (IFERROR(_xlfn.XLOOKUP(Transactions_and_Customer_Information_Joined[SKU], 'V1 Pricing Model (Step 2)'!$A$22:$A$71, 'V1 Pricing Model (Step 2)'!$AL$22:$AL$71), "Exclude")&lt;&gt;"Exclude") *
    Transactions_and_Customer_Information_Joined[Gross Revenue])</f>
        <v>1142.8</v>
      </c>
      <c r="K56" s="24">
        <f>SUMIF(Transactions_and_Customer_Information_Joined[Customer ID], 'V1-Based Churn Model (Step 3)'!$A56, Transactions_and_Customer_Information_Joined[Gross Revenue])</f>
        <v>1142.8</v>
      </c>
      <c r="L56" s="3">
        <f t="shared" si="0"/>
        <v>1</v>
      </c>
      <c r="M56" s="21">
        <v>0.17380489413507264</v>
      </c>
      <c r="N56" s="21" cm="1">
        <f t="array" ref="N56">SUMPRODUCT(
    (Transactions_and_Customer_Information_Joined[Customer ID]=$A56)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2</v>
      </c>
      <c r="O56" s="21" cm="1">
        <f t="array" ref="O56">IFERROR(
    SUMPRODUCT(
        (Transactions_and_Customer_Information_Joined[Customer ID]=$A56)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$J56,
0)</f>
        <v>9.6379767056025856E-2</v>
      </c>
      <c r="P56" s="5" cm="1">
        <f t="array" ref="P56">_xlfn.IFS(B56="At-Risk Churner",$B$2,$B56="Dormant",$B$3,$B56="Deal Hunter",$B$4,$B56="New Customer",$B$5,$B56="Occasional Buyer",$B$6,$B56="Loyal High-Value",$B$7)</f>
        <v>25</v>
      </c>
      <c r="Q56" s="9" cm="1">
        <f t="array" ref="Q56">_xlfn.IFS($B56 = "At-Risk Churner", $B$8, $B56="Dormant",$B$9, $B56="Deal Hunter", $B$10, $B56="New Customer", $B$11, $B56="Occasional Buyer", $B$12, $B56 = "Loyal High-Value",$B$13)</f>
        <v>0.18</v>
      </c>
      <c r="R56" s="5">
        <v>15</v>
      </c>
      <c r="S56" s="5">
        <v>0</v>
      </c>
      <c r="T56" s="5">
        <v>-5</v>
      </c>
      <c r="U56" s="5">
        <f t="shared" si="1"/>
        <v>15</v>
      </c>
      <c r="V56" s="5">
        <f t="shared" si="2"/>
        <v>5.4036932238219695</v>
      </c>
      <c r="W56" s="43">
        <f t="shared" si="3"/>
        <v>55.741193223821966</v>
      </c>
      <c r="X56" s="5" t="str" cm="1">
        <f t="array" ref="X56">_xlfn.IFS($W56 &lt;= 30, "Low", $W56 &lt;=50, "Medium", $W56 &lt;= 70, "High", $W56 &gt; 70, "Critical")</f>
        <v>High</v>
      </c>
      <c r="Y56" s="9">
        <f t="shared" si="4"/>
        <v>0.11514836572849101</v>
      </c>
      <c r="Z56" s="22">
        <f t="shared" si="5"/>
        <v>153.03806185719932</v>
      </c>
    </row>
    <row r="57" spans="1:26">
      <c r="A57" s="24" t="str">
        <v>CUST-1996</v>
      </c>
      <c r="B57" s="24" t="str">
        <v>At-Risk Churner</v>
      </c>
      <c r="C57" s="24" t="str">
        <v>Influencer</v>
      </c>
      <c r="D57" s="24" t="str">
        <v>West</v>
      </c>
      <c r="E57" s="24" t="str">
        <v>25-34</v>
      </c>
      <c r="F57" s="24" t="str">
        <v>Medium</v>
      </c>
      <c r="G57" s="24">
        <v>2</v>
      </c>
      <c r="H57" s="24">
        <v>28</v>
      </c>
      <c r="I57" s="23">
        <v>113.03</v>
      </c>
      <c r="J57" s="24" cm="1">
        <f t="array" ref="J57">SUMPRODUCT(
    (Transactions_and_Customer_Information_Joined[Customer ID]='V1-Based Churn Model (Step 3)'!$A57) *
    (IFERROR(_xlfn.XLOOKUP(Transactions_and_Customer_Information_Joined[SKU], 'V1 Pricing Model (Step 2)'!$A$22:$A$71, 'V1 Pricing Model (Step 2)'!$AL$22:$AL$71), "Exclude")&lt;&gt;"Exclude") *
    Transactions_and_Customer_Information_Joined[Gross Revenue])</f>
        <v>207.12</v>
      </c>
      <c r="K57" s="24">
        <f>SUMIF(Transactions_and_Customer_Information_Joined[Customer ID], 'V1-Based Churn Model (Step 3)'!$A57, Transactions_and_Customer_Information_Joined[Gross Revenue])</f>
        <v>207.12</v>
      </c>
      <c r="L57" s="3">
        <f t="shared" si="0"/>
        <v>1</v>
      </c>
      <c r="M57" s="21">
        <v>1.0827913756041518E-3</v>
      </c>
      <c r="N57" s="21" cm="1">
        <f t="array" ref="N57">SUMPRODUCT(
    (Transactions_and_Customer_Information_Joined[Customer ID]=$A57)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7" s="21" cm="1">
        <f t="array" ref="O57">IFERROR(
    SUMPRODUCT(
        (Transactions_and_Customer_Information_Joined[Customer ID]=$A57)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$J57,
0)</f>
        <v>1.0827913756041518E-3</v>
      </c>
      <c r="P57" s="5" cm="1">
        <f t="array" ref="P57">_xlfn.IFS(B57="At-Risk Churner",$B$2,$B57="Dormant",$B$3,$B57="Deal Hunter",$B$4,$B57="New Customer",$B$5,$B57="Occasional Buyer",$B$6,$B57="Loyal High-Value",$B$7)</f>
        <v>70</v>
      </c>
      <c r="Q57" s="9" cm="1">
        <f t="array" ref="Q57">_xlfn.IFS($B57 = "At-Risk Churner", $B$8, $B57="Dormant",$B$9, $B57="Deal Hunter", $B$10, $B57="New Customer", $B$11, $B57="Occasional Buyer", $B$12, $B57 = "Loyal High-Value",$B$13)</f>
        <v>0.45</v>
      </c>
      <c r="R57" s="5">
        <v>5</v>
      </c>
      <c r="S57" s="5">
        <v>10</v>
      </c>
      <c r="T57" s="5">
        <v>-5</v>
      </c>
      <c r="U57" s="5">
        <f t="shared" si="1"/>
        <v>15</v>
      </c>
      <c r="V57" s="5">
        <f t="shared" si="2"/>
        <v>4.3311655024166069E-2</v>
      </c>
      <c r="W57" s="43">
        <f t="shared" si="3"/>
        <v>95.855811655024169</v>
      </c>
      <c r="X57" s="5" t="str" cm="1">
        <f t="array" ref="X57">_xlfn.IFS($W57 &lt;= 30, "Low", $W57 &lt;=50, "Medium", $W57 &lt;= 70, "High", $W57 &gt; 70, "Critical")</f>
        <v>Critical</v>
      </c>
      <c r="Y57" s="9">
        <f t="shared" si="4"/>
        <v>0.44545730593351296</v>
      </c>
      <c r="Z57" s="22">
        <f t="shared" si="5"/>
        <v>50.35003928966497</v>
      </c>
    </row>
    <row r="58" spans="1:26">
      <c r="A58" s="24" t="str">
        <v>CUST-4068</v>
      </c>
      <c r="B58" s="24" t="str">
        <v>New Customer</v>
      </c>
      <c r="C58" s="24" t="str">
        <v>Direct</v>
      </c>
      <c r="D58" s="24" t="str">
        <v>West</v>
      </c>
      <c r="E58" s="24" t="str">
        <v>25-34</v>
      </c>
      <c r="F58" s="24" t="str">
        <v>Medium</v>
      </c>
      <c r="G58" s="24">
        <v>2</v>
      </c>
      <c r="H58" s="24">
        <v>318</v>
      </c>
      <c r="I58" s="23">
        <v>61.62</v>
      </c>
      <c r="J58" s="24" cm="1">
        <f t="array" ref="J58">SUMPRODUCT(
    (Transactions_and_Customer_Information_Joined[Customer ID]='V1-Based Churn Model (Step 3)'!$A58) *
    (IFERROR(_xlfn.XLOOKUP(Transactions_and_Customer_Information_Joined[SKU], 'V1 Pricing Model (Step 2)'!$A$22:$A$71, 'V1 Pricing Model (Step 2)'!$AL$22:$AL$71), "Exclude")&lt;&gt;"Exclude") *
    Transactions_and_Customer_Information_Joined[Gross Revenue])</f>
        <v>70.22</v>
      </c>
      <c r="K58" s="24">
        <f>SUMIF(Transactions_and_Customer_Information_Joined[Customer ID], 'V1-Based Churn Model (Step 3)'!$A58, Transactions_and_Customer_Information_Joined[Gross Revenue])</f>
        <v>70.22</v>
      </c>
      <c r="L58" s="3">
        <f t="shared" si="0"/>
        <v>1</v>
      </c>
      <c r="M58" s="21">
        <v>0.25581555939754186</v>
      </c>
      <c r="N58" s="21" cm="1">
        <f t="array" ref="N58">SUMPRODUCT(
    (Transactions_and_Customer_Information_Joined[Customer ID]=$A58)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8" s="21" cm="1">
        <f t="array" ref="O58">IFERROR(
    SUMPRODUCT(
        (Transactions_and_Customer_Information_Joined[Customer ID]=$A58)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$J58,
0)</f>
        <v>0.25581555939754186</v>
      </c>
      <c r="P58" s="5" cm="1">
        <f t="array" ref="P58">_xlfn.IFS(B58="At-Risk Churner",$B$2,$B58="Dormant",$B$3,$B58="Deal Hunter",$B$4,$B58="New Customer",$B$5,$B58="Occasional Buyer",$B$6,$B58="Loyal High-Value",$B$7)</f>
        <v>35</v>
      </c>
      <c r="Q58" s="9" cm="1">
        <f t="array" ref="Q58">_xlfn.IFS($B58 = "At-Risk Churner", $B$8, $B58="Dormant",$B$9, $B58="Deal Hunter", $B$10, $B58="New Customer", $B$11, $B58="Occasional Buyer", $B$12, $B58 = "Loyal High-Value",$B$13)</f>
        <v>0.35</v>
      </c>
      <c r="R58" s="5">
        <v>5</v>
      </c>
      <c r="S58" s="5">
        <v>10</v>
      </c>
      <c r="T58" s="5">
        <v>15</v>
      </c>
      <c r="U58" s="5">
        <f t="shared" si="1"/>
        <v>15</v>
      </c>
      <c r="V58" s="5">
        <f t="shared" si="2"/>
        <v>10.232622375901673</v>
      </c>
      <c r="W58" s="43">
        <f t="shared" si="3"/>
        <v>90.695122375901661</v>
      </c>
      <c r="X58" s="5" t="str" cm="1">
        <f t="array" ref="X58">_xlfn.IFS($W58 &lt;= 30, "Low", $W58 &lt;=50, "Medium", $W58 &lt;= 70, "High", $W58 &gt; 70, "Critical")</f>
        <v>Critical</v>
      </c>
      <c r="Y58" s="9">
        <f t="shared" si="4"/>
        <v>0.34412045418831416</v>
      </c>
      <c r="Z58" s="22">
        <f t="shared" si="5"/>
        <v>21.204702387083916</v>
      </c>
    </row>
    <row r="59" spans="1:26">
      <c r="A59" s="24" t="str">
        <v>CUST-1474</v>
      </c>
      <c r="B59" s="24" t="str">
        <v>New Customer</v>
      </c>
      <c r="C59" s="24" t="str">
        <v>Influencer</v>
      </c>
      <c r="D59" s="24" t="str">
        <v>Northeast</v>
      </c>
      <c r="E59" s="24" t="str">
        <v>25-34</v>
      </c>
      <c r="F59" s="24" t="str">
        <v>Medium</v>
      </c>
      <c r="G59" s="24">
        <v>1</v>
      </c>
      <c r="H59" s="24">
        <v>255</v>
      </c>
      <c r="I59" s="23">
        <v>92.55</v>
      </c>
      <c r="J59" s="24" cm="1">
        <f t="array" ref="J59">SUMPRODUCT(
    (Transactions_and_Customer_Information_Joined[Customer ID]='V1-Based Churn Model (Step 3)'!$A59) *
    (IFERROR(_xlfn.XLOOKUP(Transactions_and_Customer_Information_Joined[SKU], 'V1 Pricing Model (Step 2)'!$A$22:$A$71, 'V1 Pricing Model (Step 2)'!$AL$22:$AL$71), "Exclude")&lt;&gt;"Exclude") *
    Transactions_and_Customer_Information_Joined[Gross Revenue])</f>
        <v>93.41</v>
      </c>
      <c r="K59" s="24">
        <f>SUMIF(Transactions_and_Customer_Information_Joined[Customer ID], 'V1-Based Churn Model (Step 3)'!$A59, Transactions_and_Customer_Information_Joined[Gross Revenue])</f>
        <v>93.41</v>
      </c>
      <c r="L59" s="3">
        <f t="shared" si="0"/>
        <v>1</v>
      </c>
      <c r="M59" s="21">
        <v>-6.1928730463004879E-2</v>
      </c>
      <c r="N59" s="21" cm="1">
        <f t="array" ref="N59">SUMPRODUCT(
    (Transactions_and_Customer_Information_Joined[Customer ID]=$A59)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9" s="21" cm="1">
        <f t="array" ref="O59">IFERROR(
    SUMPRODUCT(
        (Transactions_and_Customer_Information_Joined[Customer ID]=$A59)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$J59,
0)</f>
        <v>-6.1928730463004872E-2</v>
      </c>
      <c r="P59" s="5" cm="1">
        <f t="array" ref="P59">_xlfn.IFS(B59="At-Risk Churner",$B$2,$B59="Dormant",$B$3,$B59="Deal Hunter",$B$4,$B59="New Customer",$B$5,$B59="Occasional Buyer",$B$6,$B59="Loyal High-Value",$B$7)</f>
        <v>35</v>
      </c>
      <c r="Q59" s="9" cm="1">
        <f t="array" ref="Q59">_xlfn.IFS($B59 = "At-Risk Churner", $B$8, $B59="Dormant",$B$9, $B59="Deal Hunter", $B$10, $B59="New Customer", $B$11, $B59="Occasional Buyer", $B$12, $B59 = "Loyal High-Value",$B$13)</f>
        <v>0.35</v>
      </c>
      <c r="R59" s="5">
        <v>5</v>
      </c>
      <c r="S59" s="5">
        <v>10</v>
      </c>
      <c r="T59" s="5">
        <v>8</v>
      </c>
      <c r="U59" s="5">
        <f t="shared" si="1"/>
        <v>15</v>
      </c>
      <c r="V59" s="5">
        <f t="shared" si="2"/>
        <v>2.4771492185201947</v>
      </c>
      <c r="W59" s="43">
        <f t="shared" si="3"/>
        <v>75.939649218520188</v>
      </c>
      <c r="X59" s="5" t="str" cm="1">
        <f t="array" ref="X59">_xlfn.IFS($W59 &lt;= 30, "Low", $W59 &lt;=50, "Medium", $W59 &lt;= 70, "High", $W59 &gt; 70, "Critical")</f>
        <v>Critical</v>
      </c>
      <c r="Y59" s="9">
        <f t="shared" si="4"/>
        <v>0.32566525630605891</v>
      </c>
      <c r="Z59" s="22">
        <f t="shared" si="5"/>
        <v>30.140319471125753</v>
      </c>
    </row>
    <row r="60" spans="1:26">
      <c r="A60" s="24" t="str">
        <v>CUST-3477</v>
      </c>
      <c r="B60" s="24" t="str">
        <v>Occasional Buyer</v>
      </c>
      <c r="C60" s="24" t="str">
        <v>Organic Search</v>
      </c>
      <c r="D60" s="24" t="str">
        <v>Midwest</v>
      </c>
      <c r="E60" s="24" t="str">
        <v>45-54</v>
      </c>
      <c r="F60" s="24" t="str">
        <v>Low</v>
      </c>
      <c r="G60" s="24">
        <v>5</v>
      </c>
      <c r="H60" s="24">
        <v>184</v>
      </c>
      <c r="I60" s="23">
        <v>755.67</v>
      </c>
      <c r="J60" s="24" cm="1">
        <f t="array" ref="J60">SUMPRODUCT(
    (Transactions_and_Customer_Information_Joined[Customer ID]='V1-Based Churn Model (Step 3)'!$A60) *
    (IFERROR(_xlfn.XLOOKUP(Transactions_and_Customer_Information_Joined[SKU], 'V1 Pricing Model (Step 2)'!$A$22:$A$71, 'V1 Pricing Model (Step 2)'!$AL$22:$AL$71), "Exclude")&lt;&gt;"Exclude") *
    Transactions_and_Customer_Information_Joined[Gross Revenue])</f>
        <v>105.84</v>
      </c>
      <c r="K60" s="24">
        <f>SUMIF(Transactions_and_Customer_Information_Joined[Customer ID], 'V1-Based Churn Model (Step 3)'!$A60, Transactions_and_Customer_Information_Joined[Gross Revenue])</f>
        <v>105.84</v>
      </c>
      <c r="L60" s="3">
        <f t="shared" si="0"/>
        <v>1</v>
      </c>
      <c r="M60" s="21">
        <v>-4.5975852073346618E-2</v>
      </c>
      <c r="N60" s="21" cm="1">
        <f t="array" ref="N60">SUMPRODUCT(
    (Transactions_and_Customer_Information_Joined[Customer ID]=$A60)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60" s="21" cm="1">
        <f t="array" ref="O60">IFERROR(
    SUMPRODUCT(
        (Transactions_and_Customer_Information_Joined[Customer ID]=$A60)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$J60,
0)</f>
        <v>-4.5975852073346618E-2</v>
      </c>
      <c r="P60" s="5" cm="1">
        <f t="array" ref="P60">_xlfn.IFS(B60="At-Risk Churner",$B$2,$B60="Dormant",$B$3,$B60="Deal Hunter",$B$4,$B60="New Customer",$B$5,$B60="Occasional Buyer",$B$6,$B60="Loyal High-Value",$B$7)</f>
        <v>25</v>
      </c>
      <c r="Q60" s="9" cm="1">
        <f t="array" ref="Q60">_xlfn.IFS($B60 = "At-Risk Churner", $B$8, $B60="Dormant",$B$9, $B60="Deal Hunter", $B$10, $B60="New Customer", $B$11, $B60="Occasional Buyer", $B$12, $B60 = "Loyal High-Value",$B$13)</f>
        <v>0.18</v>
      </c>
      <c r="R60" s="5">
        <v>-5</v>
      </c>
      <c r="S60" s="5">
        <v>0</v>
      </c>
      <c r="T60" s="5">
        <v>8</v>
      </c>
      <c r="U60" s="5">
        <f t="shared" si="1"/>
        <v>15</v>
      </c>
      <c r="V60" s="5">
        <f t="shared" si="2"/>
        <v>1.8390340829338647</v>
      </c>
      <c r="W60" s="43">
        <f t="shared" si="3"/>
        <v>44.726534082933867</v>
      </c>
      <c r="X60" s="5" t="str" cm="1">
        <f t="array" ref="X60">_xlfn.IFS($W60 &lt;= 30, "Low", $W60 &lt;=50, "Medium", $W60 &lt;= 70, "High", $W60 &gt; 70, "Critical")</f>
        <v>Medium</v>
      </c>
      <c r="Y60" s="9">
        <f t="shared" si="4"/>
        <v>6.6804473830507291E-2</v>
      </c>
      <c r="Z60" s="22">
        <f t="shared" si="5"/>
        <v>191.51970939159958</v>
      </c>
    </row>
    <row r="61" spans="1:26">
      <c r="A61" s="24" t="str">
        <v>CUST-3058</v>
      </c>
      <c r="B61" s="24" t="str">
        <v>New Customer</v>
      </c>
      <c r="C61" s="24" t="str">
        <v>Direct</v>
      </c>
      <c r="D61" s="24" t="str">
        <v>West</v>
      </c>
      <c r="E61" s="24" t="str">
        <v>18-24</v>
      </c>
      <c r="F61" s="24" t="str">
        <v>Low</v>
      </c>
      <c r="G61" s="24">
        <v>8</v>
      </c>
      <c r="H61" s="24">
        <v>165</v>
      </c>
      <c r="I61" s="23">
        <v>89.93</v>
      </c>
      <c r="J61" s="24" cm="1">
        <f t="array" ref="J61">SUMPRODUCT(
    (Transactions_and_Customer_Information_Joined[Customer ID]='V1-Based Churn Model (Step 3)'!$A61) *
    (IFERROR(_xlfn.XLOOKUP(Transactions_and_Customer_Information_Joined[SKU], 'V1 Pricing Model (Step 2)'!$A$22:$A$71, 'V1 Pricing Model (Step 2)'!$AL$22:$AL$71), "Exclude")&lt;&gt;"Exclude") *
    Transactions_and_Customer_Information_Joined[Gross Revenue])</f>
        <v>320.7</v>
      </c>
      <c r="K61" s="24">
        <f>SUMIF(Transactions_and_Customer_Information_Joined[Customer ID], 'V1-Based Churn Model (Step 3)'!$A61, Transactions_and_Customer_Information_Joined[Gross Revenue])</f>
        <v>320.7</v>
      </c>
      <c r="L61" s="3">
        <f t="shared" si="0"/>
        <v>1</v>
      </c>
      <c r="M61" s="21">
        <v>0.13680891237597953</v>
      </c>
      <c r="N61" s="21" cm="1">
        <f t="array" ref="N61">SUMPRODUCT(
    (Transactions_and_Customer_Information_Joined[Customer ID]=$A61)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61" s="21" cm="1">
        <f t="array" ref="O61">IFERROR(
    SUMPRODUCT(
        (Transactions_and_Customer_Information_Joined[Customer ID]=$A61)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$J61,
0)</f>
        <v>0.13680891237597953</v>
      </c>
      <c r="P61" s="5" cm="1">
        <f t="array" ref="P61">_xlfn.IFS(B61="At-Risk Churner",$B$2,$B61="Dormant",$B$3,$B61="Deal Hunter",$B$4,$B61="New Customer",$B$5,$B61="Occasional Buyer",$B$6,$B61="Loyal High-Value",$B$7)</f>
        <v>35</v>
      </c>
      <c r="Q61" s="9" cm="1">
        <f t="array" ref="Q61">_xlfn.IFS($B61 = "At-Risk Churner", $B$8, $B61="Dormant",$B$9, $B61="Deal Hunter", $B$10, $B61="New Customer", $B$11, $B61="Occasional Buyer", $B$12, $B61 = "Loyal High-Value",$B$13)</f>
        <v>0.35</v>
      </c>
      <c r="R61" s="5">
        <v>-5</v>
      </c>
      <c r="S61" s="5">
        <v>-8</v>
      </c>
      <c r="T61" s="5">
        <v>0</v>
      </c>
      <c r="U61" s="5">
        <f t="shared" si="1"/>
        <v>15</v>
      </c>
      <c r="V61" s="5">
        <f t="shared" si="2"/>
        <v>5.4723564950391808</v>
      </c>
      <c r="W61" s="43">
        <f t="shared" si="3"/>
        <v>42.079856495039181</v>
      </c>
      <c r="X61" s="5" t="str" cm="1">
        <f t="array" ref="X61">_xlfn.IFS($W61 &lt;= 30, "Low", $W61 &lt;=50, "Medium", $W61 &lt;= 70, "High", $W61 &gt; 70, "Critical")</f>
        <v>Medium</v>
      </c>
      <c r="Y61" s="9">
        <f t="shared" si="4"/>
        <v>0.10910770956281753</v>
      </c>
      <c r="Z61" s="22">
        <f t="shared" si="5"/>
        <v>25.835645056787349</v>
      </c>
    </row>
    <row r="62" spans="1:26">
      <c r="A62" s="24" t="str">
        <v>CUST-1106</v>
      </c>
      <c r="B62" s="24" t="str">
        <v>Dormant</v>
      </c>
      <c r="C62" s="24" t="str">
        <v>Direct</v>
      </c>
      <c r="D62" s="24" t="str">
        <v>West</v>
      </c>
      <c r="E62" s="24" t="str">
        <v>18-24</v>
      </c>
      <c r="F62" s="24" t="str">
        <v>Medium</v>
      </c>
      <c r="G62" s="24">
        <v>2</v>
      </c>
      <c r="H62" s="24">
        <v>270</v>
      </c>
      <c r="I62" s="23">
        <v>154.62</v>
      </c>
      <c r="J62" s="24" cm="1">
        <f t="array" ref="J62">SUMPRODUCT(
    (Transactions_and_Customer_Information_Joined[Customer ID]='V1-Based Churn Model (Step 3)'!$A62) *
    (IFERROR(_xlfn.XLOOKUP(Transactions_and_Customer_Information_Joined[SKU], 'V1 Pricing Model (Step 2)'!$A$22:$A$71, 'V1 Pricing Model (Step 2)'!$AL$22:$AL$71), "Exclude")&lt;&gt;"Exclude") *
    Transactions_and_Customer_Information_Joined[Gross Revenue])</f>
        <v>362.3</v>
      </c>
      <c r="K62" s="24">
        <f>SUMIF(Transactions_and_Customer_Information_Joined[Customer ID], 'V1-Based Churn Model (Step 3)'!$A62, Transactions_and_Customer_Information_Joined[Gross Revenue])</f>
        <v>362.3</v>
      </c>
      <c r="L62" s="3">
        <f t="shared" si="0"/>
        <v>1</v>
      </c>
      <c r="M62" s="21">
        <v>0.22457947495613381</v>
      </c>
      <c r="N62" s="21" cm="1">
        <f t="array" ref="N62">SUMPRODUCT(
    (Transactions_and_Customer_Information_Joined[Customer ID]=$A62)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62" s="21" cm="1">
        <f t="array" ref="O62">IFERROR(
    SUMPRODUCT(
        (Transactions_and_Customer_Information_Joined[Customer ID]=$A62)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$J62,
0)</f>
        <v>0.15090441806787905</v>
      </c>
      <c r="P62" s="5" cm="1">
        <f t="array" ref="P62">_xlfn.IFS(B62="At-Risk Churner",$B$2,$B62="Dormant",$B$3,$B62="Deal Hunter",$B$4,$B62="New Customer",$B$5,$B62="Occasional Buyer",$B$6,$B62="Loyal High-Value",$B$7)</f>
        <v>65</v>
      </c>
      <c r="Q62" s="9" cm="1">
        <f t="array" ref="Q62">_xlfn.IFS($B62 = "At-Risk Churner", $B$8, $B62="Dormant",$B$9, $B62="Deal Hunter", $B$10, $B62="New Customer", $B$11, $B62="Occasional Buyer", $B$12, $B62 = "Loyal High-Value",$B$13)</f>
        <v>0.6</v>
      </c>
      <c r="R62" s="5">
        <v>5</v>
      </c>
      <c r="S62" s="5">
        <v>10</v>
      </c>
      <c r="T62" s="5">
        <v>8</v>
      </c>
      <c r="U62" s="5">
        <f t="shared" si="1"/>
        <v>15</v>
      </c>
      <c r="V62" s="5">
        <f t="shared" si="2"/>
        <v>7.5096778604802568</v>
      </c>
      <c r="W62" s="43">
        <f t="shared" si="3"/>
        <v>100</v>
      </c>
      <c r="X62" s="5" t="str" cm="1">
        <f t="array" ref="X62">_xlfn.IFS($W62 &lt;= 30, "Low", $W62 &lt;=50, "Medium", $W62 &lt;= 70, "High", $W62 &gt; 70, "Critical")</f>
        <v>Critical</v>
      </c>
      <c r="Y62" s="9">
        <f t="shared" si="4"/>
        <v>0.59598428944542914</v>
      </c>
      <c r="Z62" s="22">
        <f t="shared" si="5"/>
        <v>92.151090834052255</v>
      </c>
    </row>
    <row r="63" spans="1:26">
      <c r="A63" s="24" t="str">
        <v>CUST-1442</v>
      </c>
      <c r="B63" s="24" t="str">
        <v>New Customer</v>
      </c>
      <c r="C63" s="24" t="str">
        <v>Paid Social</v>
      </c>
      <c r="D63" s="24" t="str">
        <v>UK</v>
      </c>
      <c r="E63" s="24" t="str">
        <v>35-44</v>
      </c>
      <c r="F63" s="24" t="str">
        <v>Low</v>
      </c>
      <c r="G63" s="24">
        <v>8</v>
      </c>
      <c r="H63" s="24">
        <v>285</v>
      </c>
      <c r="I63" s="23">
        <v>118.39</v>
      </c>
      <c r="J63" s="24" cm="1">
        <f t="array" ref="J63">SUMPRODUCT(
    (Transactions_and_Customer_Information_Joined[Customer ID]='V1-Based Churn Model (Step 3)'!$A63) *
    (IFERROR(_xlfn.XLOOKUP(Transactions_and_Customer_Information_Joined[SKU], 'V1 Pricing Model (Step 2)'!$A$22:$A$71, 'V1 Pricing Model (Step 2)'!$AL$22:$AL$71), "Exclude")&lt;&gt;"Exclude") *
    Transactions_and_Customer_Information_Joined[Gross Revenue])</f>
        <v>218.56</v>
      </c>
      <c r="K63" s="24">
        <f>SUMIF(Transactions_and_Customer_Information_Joined[Customer ID], 'V1-Based Churn Model (Step 3)'!$A63, Transactions_and_Customer_Information_Joined[Gross Revenue])</f>
        <v>218.56</v>
      </c>
      <c r="L63" s="3">
        <f t="shared" si="0"/>
        <v>1</v>
      </c>
      <c r="M63" s="21">
        <v>0.24833629343146826</v>
      </c>
      <c r="N63" s="21" cm="1">
        <f t="array" ref="N63">SUMPRODUCT(
    (Transactions_and_Customer_Information_Joined[Customer ID]=$A63)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63" s="21" cm="1">
        <f t="array" ref="O63">IFERROR(
    SUMPRODUCT(
        (Transactions_and_Customer_Information_Joined[Customer ID]=$A63)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$J63,
0)</f>
        <v>0.24833629343146826</v>
      </c>
      <c r="P63" s="5" cm="1">
        <f t="array" ref="P63">_xlfn.IFS(B63="At-Risk Churner",$B$2,$B63="Dormant",$B$3,$B63="Deal Hunter",$B$4,$B63="New Customer",$B$5,$B63="Occasional Buyer",$B$6,$B63="Loyal High-Value",$B$7)</f>
        <v>35</v>
      </c>
      <c r="Q63" s="9" cm="1">
        <f t="array" ref="Q63">_xlfn.IFS($B63 = "At-Risk Churner", $B$8, $B63="Dormant",$B$9, $B63="Deal Hunter", $B$10, $B63="New Customer", $B$11, $B63="Occasional Buyer", $B$12, $B63 = "Loyal High-Value",$B$13)</f>
        <v>0.35</v>
      </c>
      <c r="R63" s="5">
        <v>-5</v>
      </c>
      <c r="S63" s="5">
        <v>-8</v>
      </c>
      <c r="T63" s="5">
        <v>8</v>
      </c>
      <c r="U63" s="5">
        <f t="shared" si="1"/>
        <v>15</v>
      </c>
      <c r="V63" s="5">
        <f t="shared" si="2"/>
        <v>9.9334517372587303</v>
      </c>
      <c r="W63" s="43">
        <f t="shared" si="3"/>
        <v>54.54095173725873</v>
      </c>
      <c r="X63" s="5" t="str" cm="1">
        <f t="array" ref="X63">_xlfn.IFS($W63 &lt;= 30, "Low", $W63 &lt;=50, "Medium", $W63 &lt;= 70, "High", $W63 &gt; 70, "Critical")</f>
        <v>High</v>
      </c>
      <c r="Y63" s="9">
        <f t="shared" si="4"/>
        <v>0.21406435955825728</v>
      </c>
      <c r="Z63" s="22">
        <f t="shared" si="5"/>
        <v>43.952463622481666</v>
      </c>
    </row>
    <row r="64" spans="1:26">
      <c r="A64" s="24" t="str">
        <v>CUST-1936</v>
      </c>
      <c r="B64" s="24" t="str">
        <v>At-Risk Churner</v>
      </c>
      <c r="C64" s="24" t="str">
        <v>Direct</v>
      </c>
      <c r="D64" s="24" t="str">
        <v>Southeast</v>
      </c>
      <c r="E64" s="24" t="str">
        <v>18-24</v>
      </c>
      <c r="F64" s="24" t="str">
        <v>Low</v>
      </c>
      <c r="G64" s="24">
        <v>5</v>
      </c>
      <c r="H64" s="24">
        <v>77</v>
      </c>
      <c r="I64" s="23">
        <v>254.04</v>
      </c>
      <c r="J64" s="24" cm="1">
        <f t="array" ref="J64">SUMPRODUCT(
    (Transactions_and_Customer_Information_Joined[Customer ID]='V1-Based Churn Model (Step 3)'!$A64) *
    (IFERROR(_xlfn.XLOOKUP(Transactions_and_Customer_Information_Joined[SKU], 'V1 Pricing Model (Step 2)'!$A$22:$A$71, 'V1 Pricing Model (Step 2)'!$AL$22:$AL$71), "Exclude")&lt;&gt;"Exclude") *
    Transactions_and_Customer_Information_Joined[Gross Revenue])</f>
        <v>72.7</v>
      </c>
      <c r="K64" s="24">
        <f>SUMIF(Transactions_and_Customer_Information_Joined[Customer ID], 'V1-Based Churn Model (Step 3)'!$A64, Transactions_and_Customer_Information_Joined[Gross Revenue])</f>
        <v>72.7</v>
      </c>
      <c r="L64" s="3">
        <f t="shared" si="0"/>
        <v>1</v>
      </c>
      <c r="M64" s="21">
        <v>6.4419042005321461E-2</v>
      </c>
      <c r="N64" s="21" cm="1">
        <f t="array" ref="N64">SUMPRODUCT(
    (Transactions_and_Customer_Information_Joined[Customer ID]=$A64)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64" s="21" cm="1">
        <f t="array" ref="O64">IFERROR(
    SUMPRODUCT(
        (Transactions_and_Customer_Information_Joined[Customer ID]=$A64)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$J64,
0)</f>
        <v>6.4419042005321461E-2</v>
      </c>
      <c r="P64" s="5" cm="1">
        <f t="array" ref="P64">_xlfn.IFS(B64="At-Risk Churner",$B$2,$B64="Dormant",$B$3,$B64="Deal Hunter",$B$4,$B64="New Customer",$B$5,$B64="Occasional Buyer",$B$6,$B64="Loyal High-Value",$B$7)</f>
        <v>70</v>
      </c>
      <c r="Q64" s="9" cm="1">
        <f t="array" ref="Q64">_xlfn.IFS($B64 = "At-Risk Churner", $B$8, $B64="Dormant",$B$9, $B64="Deal Hunter", $B$10, $B64="New Customer", $B$11, $B64="Occasional Buyer", $B$12, $B64 = "Loyal High-Value",$B$13)</f>
        <v>0.45</v>
      </c>
      <c r="R64" s="5">
        <v>-5</v>
      </c>
      <c r="S64" s="5">
        <v>0</v>
      </c>
      <c r="T64" s="5">
        <v>0</v>
      </c>
      <c r="U64" s="5">
        <f t="shared" si="1"/>
        <v>15</v>
      </c>
      <c r="V64" s="5">
        <f t="shared" si="2"/>
        <v>2.5767616802128583</v>
      </c>
      <c r="W64" s="43">
        <f t="shared" si="3"/>
        <v>82.464261680212857</v>
      </c>
      <c r="X64" s="5" t="str" cm="1">
        <f t="array" ref="X64">_xlfn.IFS($W64 &lt;= 30, "Low", $W64 &lt;=50, "Medium", $W64 &lt;= 70, "High", $W64 &gt; 70, "Critical")</f>
        <v>Critical</v>
      </c>
      <c r="Y64" s="9">
        <f t="shared" si="4"/>
        <v>0.43314501576589659</v>
      </c>
      <c r="Z64" s="22">
        <f t="shared" si="5"/>
        <v>110.03615980516837</v>
      </c>
    </row>
    <row r="65" spans="1:26">
      <c r="A65" s="24" t="str">
        <v>CUST-4391</v>
      </c>
      <c r="B65" s="24" t="str">
        <v>Dormant</v>
      </c>
      <c r="C65" s="24" t="str">
        <v>Referral</v>
      </c>
      <c r="D65" s="24" t="str">
        <v>Canada</v>
      </c>
      <c r="E65" s="24" t="str">
        <v>25-34</v>
      </c>
      <c r="F65" s="24" t="str">
        <v>Low</v>
      </c>
      <c r="G65" s="24">
        <v>0</v>
      </c>
      <c r="H65" s="24">
        <v>315</v>
      </c>
      <c r="I65" s="23">
        <v>159.66</v>
      </c>
      <c r="J65" s="24" cm="1">
        <f t="array" ref="J65">SUMPRODUCT(
    (Transactions_and_Customer_Information_Joined[Customer ID]='V1-Based Churn Model (Step 3)'!$A65)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65" s="24">
        <f>SUMIF(Transactions_and_Customer_Information_Joined[Customer ID], 'V1-Based Churn Model (Step 3)'!$A65, Transactions_and_Customer_Information_Joined[Gross Revenue])</f>
        <v>103.96</v>
      </c>
      <c r="L65" s="3">
        <f t="shared" si="0"/>
        <v>0</v>
      </c>
      <c r="M65" s="21">
        <v>0</v>
      </c>
      <c r="N65" s="21" cm="1">
        <f t="array" ref="N65">SUMPRODUCT(
    (Transactions_and_Customer_Information_Joined[Customer ID]=$A65)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65" s="21" cm="1">
        <f t="array" ref="O65">IFERROR(
    SUMPRODUCT(
        (Transactions_and_Customer_Information_Joined[Customer ID]=$A65)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$J65,
0)</f>
        <v>0</v>
      </c>
      <c r="P65" s="5" cm="1">
        <f t="array" ref="P65">_xlfn.IFS(B65="At-Risk Churner",$B$2,$B65="Dormant",$B$3,$B65="Deal Hunter",$B$4,$B65="New Customer",$B$5,$B65="Occasional Buyer",$B$6,$B65="Loyal High-Value",$B$7)</f>
        <v>65</v>
      </c>
      <c r="Q65" s="9" cm="1">
        <f t="array" ref="Q65">_xlfn.IFS($B65 = "At-Risk Churner", $B$8, $B65="Dormant",$B$9, $B65="Deal Hunter", $B$10, $B65="New Customer", $B$11, $B65="Occasional Buyer", $B$12, $B65 = "Loyal High-Value",$B$13)</f>
        <v>0.6</v>
      </c>
      <c r="R65" s="5">
        <v>-5</v>
      </c>
      <c r="S65" s="5">
        <v>10</v>
      </c>
      <c r="T65" s="5">
        <v>15</v>
      </c>
      <c r="U65" s="5">
        <f t="shared" si="1"/>
        <v>0</v>
      </c>
      <c r="V65" s="5">
        <f t="shared" si="2"/>
        <v>0</v>
      </c>
      <c r="W65" s="43">
        <f t="shared" si="3"/>
        <v>85.65</v>
      </c>
      <c r="X65" s="5" t="str" cm="1">
        <f t="array" ref="X65">_xlfn.IFS($W65 &lt;= 30, "Low", $W65 &lt;=50, "Medium", $W65 &lt;= 70, "High", $W65 &gt; 70, "Critical")</f>
        <v>Critical</v>
      </c>
      <c r="Y65" s="9">
        <f t="shared" si="4"/>
        <v>0.5834890196799345</v>
      </c>
      <c r="Z65" s="22">
        <f t="shared" si="5"/>
        <v>93.159856882098339</v>
      </c>
    </row>
    <row r="66" spans="1:26">
      <c r="A66" s="24" t="str">
        <v>CUST-4915</v>
      </c>
      <c r="B66" s="24" t="str">
        <v>Loyal High-Value</v>
      </c>
      <c r="C66" s="24" t="str">
        <v>Referral</v>
      </c>
      <c r="D66" s="24" t="str">
        <v>Southwest</v>
      </c>
      <c r="E66" s="24" t="str">
        <v>35-44</v>
      </c>
      <c r="F66" s="24" t="str">
        <v>High</v>
      </c>
      <c r="G66" s="24">
        <v>10</v>
      </c>
      <c r="H66" s="24">
        <v>327</v>
      </c>
      <c r="I66" s="23">
        <v>1469.98</v>
      </c>
      <c r="J66" s="24" cm="1">
        <f t="array" ref="J66">SUMPRODUCT(
    (Transactions_and_Customer_Information_Joined[Customer ID]='V1-Based Churn Model (Step 3)'!$A66) *
    (IFERROR(_xlfn.XLOOKUP(Transactions_and_Customer_Information_Joined[SKU], 'V1 Pricing Model (Step 2)'!$A$22:$A$71, 'V1 Pricing Model (Step 2)'!$AL$22:$AL$71), "Exclude")&lt;&gt;"Exclude") *
    Transactions_and_Customer_Information_Joined[Gross Revenue])</f>
        <v>281.64</v>
      </c>
      <c r="K66" s="24">
        <f>SUMIF(Transactions_and_Customer_Information_Joined[Customer ID], 'V1-Based Churn Model (Step 3)'!$A66, Transactions_and_Customer_Information_Joined[Gross Revenue])</f>
        <v>281.64</v>
      </c>
      <c r="L66" s="3">
        <f t="shared" si="0"/>
        <v>1</v>
      </c>
      <c r="M66" s="21">
        <v>0.10702390858761081</v>
      </c>
      <c r="N66" s="21" cm="1">
        <f t="array" ref="N66">SUMPRODUCT(
    (Transactions_and_Customer_Information_Joined[Customer ID]=$A66)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66" s="21" cm="1">
        <f t="array" ref="O66">IFERROR(
    SUMPRODUCT(
        (Transactions_and_Customer_Information_Joined[Customer ID]=$A66)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$J66,
0)</f>
        <v>0.10702390858761081</v>
      </c>
      <c r="P66" s="5" cm="1">
        <f t="array" ref="P66">_xlfn.IFS(B66="At-Risk Churner",$B$2,$B66="Dormant",$B$3,$B66="Deal Hunter",$B$4,$B66="New Customer",$B$5,$B66="Occasional Buyer",$B$6,$B66="Loyal High-Value",$B$7)</f>
        <v>15</v>
      </c>
      <c r="Q66" s="9" cm="1">
        <f t="array" ref="Q66">_xlfn.IFS($B66 = "At-Risk Churner", $B$8, $B66="Dormant",$B$9, $B66="Deal Hunter", $B$10, $B66="New Customer", $B$11, $B66="Occasional Buyer", $B$12, $B66 = "Loyal High-Value",$B$13)</f>
        <v>0.05</v>
      </c>
      <c r="R66" s="5">
        <v>15</v>
      </c>
      <c r="S66" s="5">
        <v>-8</v>
      </c>
      <c r="T66" s="5">
        <v>15</v>
      </c>
      <c r="U66" s="5">
        <f t="shared" si="1"/>
        <v>15</v>
      </c>
      <c r="V66" s="5">
        <f t="shared" si="2"/>
        <v>4.2809563435044327</v>
      </c>
      <c r="W66" s="43">
        <f t="shared" si="3"/>
        <v>56.498456343504436</v>
      </c>
      <c r="X66" s="5" t="str" cm="1">
        <f t="array" ref="X66">_xlfn.IFS($W66 &lt;= 30, "Low", $W66 &lt;=50, "Medium", $W66 &lt;= 70, "High", $W66 &gt; 70, "Critical")</f>
        <v>High</v>
      </c>
      <c r="Y66" s="9">
        <f t="shared" si="4"/>
        <v>3.2848783794204882E-2</v>
      </c>
      <c r="Z66" s="22">
        <f t="shared" si="5"/>
        <v>332.62564416144426</v>
      </c>
    </row>
    <row r="67" spans="1:26">
      <c r="A67" s="24" t="str">
        <v>CUST-1986</v>
      </c>
      <c r="B67" s="24" t="str">
        <v>Dormant</v>
      </c>
      <c r="C67" s="24" t="str">
        <v>Direct</v>
      </c>
      <c r="D67" s="24" t="str">
        <v>UK</v>
      </c>
      <c r="E67" s="24" t="str">
        <v>45-54</v>
      </c>
      <c r="F67" s="24" t="str">
        <v>Low</v>
      </c>
      <c r="G67" s="24">
        <v>9</v>
      </c>
      <c r="H67" s="24">
        <v>359</v>
      </c>
      <c r="I67" s="23">
        <v>169.34</v>
      </c>
      <c r="J67" s="24" cm="1">
        <f t="array" ref="J67">SUMPRODUCT(
    (Transactions_and_Customer_Information_Joined[Customer ID]='V1-Based Churn Model (Step 3)'!$A67) *
    (IFERROR(_xlfn.XLOOKUP(Transactions_and_Customer_Information_Joined[SKU], 'V1 Pricing Model (Step 2)'!$A$22:$A$71, 'V1 Pricing Model (Step 2)'!$AL$22:$AL$71), "Exclude")&lt;&gt;"Exclude") *
    Transactions_and_Customer_Information_Joined[Gross Revenue])</f>
        <v>759.96</v>
      </c>
      <c r="K67" s="24">
        <f>SUMIF(Transactions_and_Customer_Information_Joined[Customer ID], 'V1-Based Churn Model (Step 3)'!$A67, Transactions_and_Customer_Information_Joined[Gross Revenue])</f>
        <v>759.96</v>
      </c>
      <c r="L67" s="3">
        <f t="shared" si="0"/>
        <v>1</v>
      </c>
      <c r="M67" s="21">
        <v>0.22185784964769206</v>
      </c>
      <c r="N67" s="21" cm="1">
        <f t="array" ref="N67">SUMPRODUCT(
    (Transactions_and_Customer_Information_Joined[Customer ID]=$A67)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67" s="21" cm="1">
        <f t="array" ref="O67">IFERROR(
    SUMPRODUCT(
        (Transactions_and_Customer_Information_Joined[Customer ID]=$A67)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$J67,
0)</f>
        <v>0.22185784964769206</v>
      </c>
      <c r="P67" s="5" cm="1">
        <f t="array" ref="P67">_xlfn.IFS(B67="At-Risk Churner",$B$2,$B67="Dormant",$B$3,$B67="Deal Hunter",$B$4,$B67="New Customer",$B$5,$B67="Occasional Buyer",$B$6,$B67="Loyal High-Value",$B$7)</f>
        <v>65</v>
      </c>
      <c r="Q67" s="9" cm="1">
        <f t="array" ref="Q67">_xlfn.IFS($B67 = "At-Risk Churner", $B$8, $B67="Dormant",$B$9, $B67="Deal Hunter", $B$10, $B67="New Customer", $B$11, $B67="Occasional Buyer", $B$12, $B67 = "Loyal High-Value",$B$13)</f>
        <v>0.6</v>
      </c>
      <c r="R67" s="5">
        <v>-5</v>
      </c>
      <c r="S67" s="5">
        <v>-8</v>
      </c>
      <c r="T67" s="5">
        <v>15</v>
      </c>
      <c r="U67" s="5">
        <f t="shared" si="1"/>
        <v>15</v>
      </c>
      <c r="V67" s="5">
        <f t="shared" si="2"/>
        <v>8.8743139859076834</v>
      </c>
      <c r="W67" s="43">
        <f t="shared" si="3"/>
        <v>90.241813985907697</v>
      </c>
      <c r="X67" s="5" t="str" cm="1">
        <f t="array" ref="X67">_xlfn.IFS($W67 &lt;= 30, "Low", $W67 &lt;=50, "Medium", $W67 &lt;= 70, "High", $W67 &gt; 70, "Critical")</f>
        <v>Critical</v>
      </c>
      <c r="Y67" s="9">
        <f t="shared" si="4"/>
        <v>0.58946157463041748</v>
      </c>
      <c r="Z67" s="22">
        <f t="shared" si="5"/>
        <v>99.819423047914896</v>
      </c>
    </row>
    <row r="68" spans="1:26">
      <c r="A68" s="24" t="str">
        <v>CUST-4246</v>
      </c>
      <c r="B68" s="24" t="str">
        <v>Dormant</v>
      </c>
      <c r="C68" s="24" t="str">
        <v>Email Campaign</v>
      </c>
      <c r="D68" s="24" t="str">
        <v>Northeast</v>
      </c>
      <c r="E68" s="24" t="str">
        <v>35-44</v>
      </c>
      <c r="F68" s="24" t="str">
        <v>Medium</v>
      </c>
      <c r="G68" s="24">
        <v>4</v>
      </c>
      <c r="H68" s="24">
        <v>231</v>
      </c>
      <c r="I68" s="23">
        <v>162.56</v>
      </c>
      <c r="J68" s="24" cm="1">
        <f t="array" ref="J68">SUMPRODUCT(
    (Transactions_and_Customer_Information_Joined[Customer ID]='V1-Based Churn Model (Step 3)'!$A68)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68" s="24">
        <f>SUMIF(Transactions_and_Customer_Information_Joined[Customer ID], 'V1-Based Churn Model (Step 3)'!$A68, Transactions_and_Customer_Information_Joined[Gross Revenue])</f>
        <v>207.92</v>
      </c>
      <c r="L68" s="3">
        <f t="shared" si="0"/>
        <v>0</v>
      </c>
      <c r="M68" s="21">
        <v>0</v>
      </c>
      <c r="N68" s="21" cm="1">
        <f t="array" ref="N68">SUMPRODUCT(
    (Transactions_and_Customer_Information_Joined[Customer ID]=$A68)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68" s="21" cm="1">
        <f t="array" ref="O68">IFERROR(
    SUMPRODUCT(
        (Transactions_and_Customer_Information_Joined[Customer ID]=$A68)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$J68,
0)</f>
        <v>0</v>
      </c>
      <c r="P68" s="5" cm="1">
        <f t="array" ref="P68">_xlfn.IFS(B68="At-Risk Churner",$B$2,$B68="Dormant",$B$3,$B68="Deal Hunter",$B$4,$B68="New Customer",$B$5,$B68="Occasional Buyer",$B$6,$B68="Loyal High-Value",$B$7)</f>
        <v>65</v>
      </c>
      <c r="Q68" s="9" cm="1">
        <f t="array" ref="Q68">_xlfn.IFS($B68 = "At-Risk Churner", $B$8, $B68="Dormant",$B$9, $B68="Deal Hunter", $B$10, $B68="New Customer", $B$11, $B68="Occasional Buyer", $B$12, $B68 = "Loyal High-Value",$B$13)</f>
        <v>0.6</v>
      </c>
      <c r="R68" s="5">
        <v>5</v>
      </c>
      <c r="S68" s="5">
        <v>0</v>
      </c>
      <c r="T68" s="5">
        <v>8</v>
      </c>
      <c r="U68" s="5">
        <f t="shared" si="1"/>
        <v>0</v>
      </c>
      <c r="V68" s="5">
        <f t="shared" si="2"/>
        <v>0</v>
      </c>
      <c r="W68" s="43">
        <f t="shared" si="3"/>
        <v>78</v>
      </c>
      <c r="X68" s="5" t="str" cm="1">
        <f t="array" ref="X68">_xlfn.IFS($W68 &lt;= 30, "Low", $W68 &lt;=50, "Medium", $W68 &lt;= 70, "High", $W68 &gt; 70, "Critical")</f>
        <v>Critical</v>
      </c>
      <c r="Y68" s="9">
        <f t="shared" si="4"/>
        <v>0.56560549446067876</v>
      </c>
      <c r="Z68" s="22">
        <f t="shared" si="5"/>
        <v>91.944829179527943</v>
      </c>
    </row>
    <row r="69" spans="1:26">
      <c r="A69" s="24" t="str">
        <v>CUST-4810</v>
      </c>
      <c r="B69" s="24" t="str">
        <v>Deal Hunter</v>
      </c>
      <c r="C69" s="24" t="str">
        <v>Direct</v>
      </c>
      <c r="D69" s="24" t="str">
        <v>Canada</v>
      </c>
      <c r="E69" s="24" t="str">
        <v>25-34</v>
      </c>
      <c r="F69" s="24" t="str">
        <v>Low</v>
      </c>
      <c r="G69" s="24">
        <v>6</v>
      </c>
      <c r="H69" s="24">
        <v>22</v>
      </c>
      <c r="I69" s="23">
        <v>240.35</v>
      </c>
      <c r="J69" s="24" cm="1">
        <f t="array" ref="J69">SUMPRODUCT(
    (Transactions_and_Customer_Information_Joined[Customer ID]='V1-Based Churn Model (Step 3)'!$A69) *
    (IFERROR(_xlfn.XLOOKUP(Transactions_and_Customer_Information_Joined[SKU], 'V1 Pricing Model (Step 2)'!$A$22:$A$71, 'V1 Pricing Model (Step 2)'!$AL$22:$AL$71), "Exclude")&lt;&gt;"Exclude") *
    Transactions_and_Customer_Information_Joined[Gross Revenue])</f>
        <v>254.85000000000002</v>
      </c>
      <c r="K69" s="24">
        <f>SUMIF(Transactions_and_Customer_Information_Joined[Customer ID], 'V1-Based Churn Model (Step 3)'!$A69, Transactions_and_Customer_Information_Joined[Gross Revenue])</f>
        <v>665.65000000000009</v>
      </c>
      <c r="L69" s="3">
        <f t="shared" si="0"/>
        <v>0.38285885976113571</v>
      </c>
      <c r="M69" s="21">
        <v>0</v>
      </c>
      <c r="N69" s="21" cm="1">
        <f t="array" ref="N69">SUMPRODUCT(
    (Transactions_and_Customer_Information_Joined[Customer ID]=$A69)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69" s="21" cm="1">
        <f t="array" ref="O69">IFERROR(
    SUMPRODUCT(
        (Transactions_and_Customer_Information_Joined[Customer ID]=$A69)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$J69,
0)</f>
        <v>0</v>
      </c>
      <c r="P69" s="5" cm="1">
        <f t="array" ref="P69">_xlfn.IFS(B69="At-Risk Churner",$B$2,$B69="Dormant",$B$3,$B69="Deal Hunter",$B$4,$B69="New Customer",$B$5,$B69="Occasional Buyer",$B$6,$B69="Loyal High-Value",$B$7)</f>
        <v>45</v>
      </c>
      <c r="Q69" s="9" cm="1">
        <f t="array" ref="Q69">_xlfn.IFS($B69 = "At-Risk Churner", $B$8, $B69="Dormant",$B$9, $B69="Deal Hunter", $B$10, $B69="New Customer", $B$11, $B69="Occasional Buyer", $B$12, $B69 = "Loyal High-Value",$B$13)</f>
        <v>0.25</v>
      </c>
      <c r="R69" s="5">
        <v>-5</v>
      </c>
      <c r="S69" s="5">
        <v>0</v>
      </c>
      <c r="T69" s="5">
        <v>-5</v>
      </c>
      <c r="U69" s="5">
        <f t="shared" si="1"/>
        <v>9.5714714940283923</v>
      </c>
      <c r="V69" s="5">
        <f t="shared" si="2"/>
        <v>0</v>
      </c>
      <c r="W69" s="43">
        <f t="shared" si="3"/>
        <v>44.499685457823183</v>
      </c>
      <c r="X69" s="5" t="str" cm="1">
        <f t="array" ref="X69">_xlfn.IFS($W69 &lt;= 30, "Low", $W69 &lt;=50, "Medium", $W69 &lt;= 70, "High", $W69 &gt; 70, "Critical")</f>
        <v>Medium</v>
      </c>
      <c r="Y69" s="9">
        <f t="shared" si="4"/>
        <v>9.1464277850268907E-2</v>
      </c>
      <c r="Z69" s="22">
        <f t="shared" si="5"/>
        <v>65.656751345049713</v>
      </c>
    </row>
    <row r="70" spans="1:26">
      <c r="A70" s="24" t="str">
        <v>CUST-2240</v>
      </c>
      <c r="B70" s="24" t="str">
        <v>Occasional Buyer</v>
      </c>
      <c r="C70" s="24" t="str">
        <v>Organic Search</v>
      </c>
      <c r="D70" s="24" t="str">
        <v>West</v>
      </c>
      <c r="E70" s="24" t="str">
        <v>18-24</v>
      </c>
      <c r="F70" s="24" t="str">
        <v>Medium</v>
      </c>
      <c r="G70" s="24">
        <v>0</v>
      </c>
      <c r="H70" s="24">
        <v>187</v>
      </c>
      <c r="I70" s="23">
        <v>349.79</v>
      </c>
      <c r="J70" s="24" cm="1">
        <f t="array" ref="J70">SUMPRODUCT(
    (Transactions_and_Customer_Information_Joined[Customer ID]='V1-Based Churn Model (Step 3)'!$A70) *
    (IFERROR(_xlfn.XLOOKUP(Transactions_and_Customer_Information_Joined[SKU], 'V1 Pricing Model (Step 2)'!$A$22:$A$71, 'V1 Pricing Model (Step 2)'!$AL$22:$AL$71), "Exclude")&lt;&gt;"Exclude") *
    Transactions_and_Customer_Information_Joined[Gross Revenue])</f>
        <v>109.05000000000001</v>
      </c>
      <c r="K70" s="24">
        <f>SUMIF(Transactions_and_Customer_Information_Joined[Customer ID], 'V1-Based Churn Model (Step 3)'!$A70, Transactions_and_Customer_Information_Joined[Gross Revenue])</f>
        <v>109.05000000000001</v>
      </c>
      <c r="L70" s="3">
        <f t="shared" si="0"/>
        <v>1</v>
      </c>
      <c r="M70" s="21">
        <v>6.4419042005321461E-2</v>
      </c>
      <c r="N70" s="21" cm="1">
        <f t="array" ref="N70">SUMPRODUCT(
    (Transactions_and_Customer_Information_Joined[Customer ID]=$A70)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70" s="21" cm="1">
        <f t="array" ref="O70">IFERROR(
    SUMPRODUCT(
        (Transactions_and_Customer_Information_Joined[Customer ID]=$A70)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$J70,
0)</f>
        <v>6.4419042005321461E-2</v>
      </c>
      <c r="P70" s="5" cm="1">
        <f t="array" ref="P70">_xlfn.IFS(B70="At-Risk Churner",$B$2,$B70="Dormant",$B$3,$B70="Deal Hunter",$B$4,$B70="New Customer",$B$5,$B70="Occasional Buyer",$B$6,$B70="Loyal High-Value",$B$7)</f>
        <v>25</v>
      </c>
      <c r="Q70" s="9" cm="1">
        <f t="array" ref="Q70">_xlfn.IFS($B70 = "At-Risk Churner", $B$8, $B70="Dormant",$B$9, $B70="Deal Hunter", $B$10, $B70="New Customer", $B$11, $B70="Occasional Buyer", $B$12, $B70 = "Loyal High-Value",$B$13)</f>
        <v>0.18</v>
      </c>
      <c r="R70" s="5">
        <v>5</v>
      </c>
      <c r="S70" s="5">
        <v>10</v>
      </c>
      <c r="T70" s="5">
        <v>8</v>
      </c>
      <c r="U70" s="5">
        <f t="shared" si="1"/>
        <v>15</v>
      </c>
      <c r="V70" s="5">
        <f t="shared" si="2"/>
        <v>2.5767616802128583</v>
      </c>
      <c r="W70" s="43">
        <f t="shared" si="3"/>
        <v>65.939261680212852</v>
      </c>
      <c r="X70" s="5" t="str" cm="1">
        <f t="array" ref="X70">_xlfn.IFS($W70 &lt;= 30, "Low", $W70 &lt;=50, "Medium", $W70 &lt;= 70, "High", $W70 &gt; 70, "Critical")</f>
        <v>High</v>
      </c>
      <c r="Y70" s="9">
        <f t="shared" si="4"/>
        <v>0.14961019870627928</v>
      </c>
      <c r="Z70" s="22">
        <f t="shared" si="5"/>
        <v>111.82372112437557</v>
      </c>
    </row>
    <row r="71" spans="1:26">
      <c r="A71" s="24" t="str">
        <v>CUST-1499</v>
      </c>
      <c r="B71" s="24" t="str">
        <v>New Customer</v>
      </c>
      <c r="C71" s="24" t="str">
        <v>Referral</v>
      </c>
      <c r="D71" s="24" t="str">
        <v>Canada</v>
      </c>
      <c r="E71" s="24" t="str">
        <v>55+</v>
      </c>
      <c r="F71" s="24" t="str">
        <v>Low</v>
      </c>
      <c r="G71" s="24">
        <v>5</v>
      </c>
      <c r="H71" s="24">
        <v>206</v>
      </c>
      <c r="I71" s="23">
        <v>131.4</v>
      </c>
      <c r="J71" s="24" cm="1">
        <f t="array" ref="J71">SUMPRODUCT(
    (Transactions_and_Customer_Information_Joined[Customer ID]='V1-Based Churn Model (Step 3)'!$A71) *
    (IFERROR(_xlfn.XLOOKUP(Transactions_and_Customer_Information_Joined[SKU], 'V1 Pricing Model (Step 2)'!$A$22:$A$71, 'V1 Pricing Model (Step 2)'!$AL$22:$AL$71), "Exclude")&lt;&gt;"Exclude") *
    Transactions_and_Customer_Information_Joined[Gross Revenue])</f>
        <v>215.88</v>
      </c>
      <c r="K71" s="24">
        <f>SUMIF(Transactions_and_Customer_Information_Joined[Customer ID], 'V1-Based Churn Model (Step 3)'!$A71, Transactions_and_Customer_Information_Joined[Gross Revenue])</f>
        <v>215.88</v>
      </c>
      <c r="L71" s="3">
        <f t="shared" si="0"/>
        <v>1</v>
      </c>
      <c r="M71" s="21">
        <v>8.081096121299744E-2</v>
      </c>
      <c r="N71" s="21" cm="1">
        <f t="array" ref="N71">SUMPRODUCT(
    (Transactions_and_Customer_Information_Joined[Customer ID]=$A71)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71" s="21" cm="1">
        <f t="array" ref="O71">IFERROR(
    SUMPRODUCT(
        (Transactions_and_Customer_Information_Joined[Customer ID]=$A71)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$J71,
0)</f>
        <v>5.9810892081771032E-2</v>
      </c>
      <c r="P71" s="5" cm="1">
        <f t="array" ref="P71">_xlfn.IFS(B71="At-Risk Churner",$B$2,$B71="Dormant",$B$3,$B71="Deal Hunter",$B$4,$B71="New Customer",$B$5,$B71="Occasional Buyer",$B$6,$B71="Loyal High-Value",$B$7)</f>
        <v>35</v>
      </c>
      <c r="Q71" s="9" cm="1">
        <f t="array" ref="Q71">_xlfn.IFS($B71 = "At-Risk Churner", $B$8, $B71="Dormant",$B$9, $B71="Deal Hunter", $B$10, $B71="New Customer", $B$11, $B71="Occasional Buyer", $B$12, $B71 = "Loyal High-Value",$B$13)</f>
        <v>0.35</v>
      </c>
      <c r="R71" s="5">
        <v>-5</v>
      </c>
      <c r="S71" s="5">
        <v>0</v>
      </c>
      <c r="T71" s="5">
        <v>8</v>
      </c>
      <c r="U71" s="5">
        <f t="shared" si="1"/>
        <v>15</v>
      </c>
      <c r="V71" s="5">
        <f t="shared" si="2"/>
        <v>2.8124370658953692</v>
      </c>
      <c r="W71" s="43">
        <f t="shared" si="3"/>
        <v>55.699937065895369</v>
      </c>
      <c r="X71" s="5" t="str" cm="1">
        <f t="array" ref="X71">_xlfn.IFS($W71 &lt;= 30, "Low", $W71 &lt;=50, "Medium", $W71 &lt;= 70, "High", $W71 &gt; 70, "Critical")</f>
        <v>High</v>
      </c>
      <c r="Y71" s="9">
        <f t="shared" si="4"/>
        <v>0.22356660304158366</v>
      </c>
      <c r="Z71" s="22">
        <f t="shared" si="5"/>
        <v>49.781321311731276</v>
      </c>
    </row>
    <row r="72" spans="1:26">
      <c r="A72" s="24" t="str">
        <v>CUST-1775</v>
      </c>
      <c r="B72" s="24" t="str">
        <v>At-Risk Churner</v>
      </c>
      <c r="C72" s="24" t="str">
        <v>Direct</v>
      </c>
      <c r="D72" s="24" t="str">
        <v>Southeast</v>
      </c>
      <c r="E72" s="24" t="str">
        <v>45-54</v>
      </c>
      <c r="F72" s="24" t="str">
        <v>High</v>
      </c>
      <c r="G72" s="24">
        <v>2</v>
      </c>
      <c r="H72" s="24">
        <v>357</v>
      </c>
      <c r="I72" s="23">
        <v>237.81</v>
      </c>
      <c r="J72" s="24" cm="1">
        <f t="array" ref="J72">SUMPRODUCT(
    (Transactions_and_Customer_Information_Joined[Customer ID]='V1-Based Churn Model (Step 3)'!$A72) *
    (IFERROR(_xlfn.XLOOKUP(Transactions_and_Customer_Information_Joined[SKU], 'V1 Pricing Model (Step 2)'!$A$22:$A$71, 'V1 Pricing Model (Step 2)'!$AL$22:$AL$71), "Exclude")&lt;&gt;"Exclude") *
    Transactions_and_Customer_Information_Joined[Gross Revenue])</f>
        <v>254.85000000000002</v>
      </c>
      <c r="K72" s="24">
        <f>SUMIF(Transactions_and_Customer_Information_Joined[Customer ID], 'V1-Based Churn Model (Step 3)'!$A72, Transactions_and_Customer_Information_Joined[Gross Revenue])</f>
        <v>254.85000000000002</v>
      </c>
      <c r="L72" s="3">
        <f t="shared" si="0"/>
        <v>1</v>
      </c>
      <c r="M72" s="21">
        <v>0</v>
      </c>
      <c r="N72" s="21" cm="1">
        <f t="array" ref="N72">SUMPRODUCT(
    (Transactions_and_Customer_Information_Joined[Customer ID]=$A72)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72" s="21" cm="1">
        <f t="array" ref="O72">IFERROR(
    SUMPRODUCT(
        (Transactions_and_Customer_Information_Joined[Customer ID]=$A72)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$J72,
0)</f>
        <v>0</v>
      </c>
      <c r="P72" s="5" cm="1">
        <f t="array" ref="P72">_xlfn.IFS(B72="At-Risk Churner",$B$2,$B72="Dormant",$B$3,$B72="Deal Hunter",$B$4,$B72="New Customer",$B$5,$B72="Occasional Buyer",$B$6,$B72="Loyal High-Value",$B$7)</f>
        <v>70</v>
      </c>
      <c r="Q72" s="9" cm="1">
        <f t="array" ref="Q72">_xlfn.IFS($B72 = "At-Risk Churner", $B$8, $B72="Dormant",$B$9, $B72="Deal Hunter", $B$10, $B72="New Customer", $B$11, $B72="Occasional Buyer", $B$12, $B72 = "Loyal High-Value",$B$13)</f>
        <v>0.45</v>
      </c>
      <c r="R72" s="5">
        <v>15</v>
      </c>
      <c r="S72" s="5">
        <v>10</v>
      </c>
      <c r="T72" s="5">
        <v>15</v>
      </c>
      <c r="U72" s="5">
        <f t="shared" si="1"/>
        <v>15</v>
      </c>
      <c r="V72" s="5">
        <f t="shared" si="2"/>
        <v>0</v>
      </c>
      <c r="W72" s="43">
        <f t="shared" si="3"/>
        <v>100</v>
      </c>
      <c r="X72" s="5" t="str" cm="1">
        <f t="array" ref="X72">_xlfn.IFS($W72 &lt;= 30, "Low", $W72 &lt;=50, "Medium", $W72 &lt;= 70, "High", $W72 &gt; 70, "Critical")</f>
        <v>Critical</v>
      </c>
      <c r="Y72" s="9">
        <f t="shared" si="4"/>
        <v>0.44698821708407188</v>
      </c>
      <c r="Z72" s="22">
        <f t="shared" si="5"/>
        <v>106.29826790476314</v>
      </c>
    </row>
    <row r="73" spans="1:26">
      <c r="A73" s="24" t="str">
        <v>CUST-1016</v>
      </c>
      <c r="B73" s="24" t="str">
        <v>Deal Hunter</v>
      </c>
      <c r="C73" s="24" t="str">
        <v>Organic Search</v>
      </c>
      <c r="D73" s="24" t="str">
        <v>Canada</v>
      </c>
      <c r="E73" s="24" t="str">
        <v>18-24</v>
      </c>
      <c r="F73" s="24" t="str">
        <v>Low</v>
      </c>
      <c r="G73" s="24">
        <v>0</v>
      </c>
      <c r="H73" s="24">
        <v>279</v>
      </c>
      <c r="I73" s="23">
        <v>177.11</v>
      </c>
      <c r="J73" s="24" cm="1">
        <f t="array" ref="J73">SUMPRODUCT(
    (Transactions_and_Customer_Information_Joined[Customer ID]='V1-Based Churn Model (Step 3)'!$A73) *
    (IFERROR(_xlfn.XLOOKUP(Transactions_and_Customer_Information_Joined[SKU], 'V1 Pricing Model (Step 2)'!$A$22:$A$71, 'V1 Pricing Model (Step 2)'!$AL$22:$AL$71), "Exclude")&lt;&gt;"Exclude") *
    Transactions_and_Customer_Information_Joined[Gross Revenue])</f>
        <v>49.8</v>
      </c>
      <c r="K73" s="24">
        <f>SUMIF(Transactions_and_Customer_Information_Joined[Customer ID], 'V1-Based Churn Model (Step 3)'!$A73, Transactions_and_Customer_Information_Joined[Gross Revenue])</f>
        <v>49.8</v>
      </c>
      <c r="L73" s="3">
        <f t="shared" si="0"/>
        <v>1</v>
      </c>
      <c r="M73" s="21">
        <v>-0.13274948234794526</v>
      </c>
      <c r="N73" s="21" cm="1">
        <f t="array" ref="N73">SUMPRODUCT(
    (Transactions_and_Customer_Information_Joined[Customer ID]=$A73)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73" s="21" cm="1">
        <f t="array" ref="O73">IFERROR(
    SUMPRODUCT(
        (Transactions_and_Customer_Information_Joined[Customer ID]=$A73)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$J73,
0)</f>
        <v>-0.13274948234794526</v>
      </c>
      <c r="P73" s="5" cm="1">
        <f t="array" ref="P73">_xlfn.IFS(B73="At-Risk Churner",$B$2,$B73="Dormant",$B$3,$B73="Deal Hunter",$B$4,$B73="New Customer",$B$5,$B73="Occasional Buyer",$B$6,$B73="Loyal High-Value",$B$7)</f>
        <v>45</v>
      </c>
      <c r="Q73" s="9" cm="1">
        <f t="array" ref="Q73">_xlfn.IFS($B73 = "At-Risk Churner", $B$8, $B73="Dormant",$B$9, $B73="Deal Hunter", $B$10, $B73="New Customer", $B$11, $B73="Occasional Buyer", $B$12, $B73 = "Loyal High-Value",$B$13)</f>
        <v>0.25</v>
      </c>
      <c r="R73" s="5">
        <v>-5</v>
      </c>
      <c r="S73" s="5">
        <v>10</v>
      </c>
      <c r="T73" s="5">
        <v>8</v>
      </c>
      <c r="U73" s="5">
        <f t="shared" si="1"/>
        <v>15</v>
      </c>
      <c r="V73" s="5">
        <f t="shared" si="2"/>
        <v>5.3099792939178103</v>
      </c>
      <c r="W73" s="43">
        <f t="shared" si="3"/>
        <v>78.647479293917812</v>
      </c>
      <c r="X73" s="5" t="str" cm="1">
        <f t="array" ref="X73">_xlfn.IFS($W73 &lt;= 30, "Low", $W73 &lt;=50, "Medium", $W73 &lt;= 70, "High", $W73 &gt; 70, "Critical")</f>
        <v>Critical</v>
      </c>
      <c r="Y73" s="9">
        <f t="shared" si="4"/>
        <v>0.23651900858512231</v>
      </c>
      <c r="Z73" s="22">
        <f t="shared" si="5"/>
        <v>41.889881610511019</v>
      </c>
    </row>
    <row r="74" spans="1:26">
      <c r="A74" s="24" t="str">
        <v>CUST-3024</v>
      </c>
      <c r="B74" s="24" t="str">
        <v>At-Risk Churner</v>
      </c>
      <c r="C74" s="24" t="str">
        <v>Email Campaign</v>
      </c>
      <c r="D74" s="24" t="str">
        <v>UK</v>
      </c>
      <c r="E74" s="24" t="str">
        <v>55+</v>
      </c>
      <c r="F74" s="24" t="str">
        <v>Medium</v>
      </c>
      <c r="G74" s="24">
        <v>3</v>
      </c>
      <c r="H74" s="24">
        <v>175</v>
      </c>
      <c r="I74" s="23">
        <v>189.97</v>
      </c>
      <c r="J74" s="24" cm="1">
        <f t="array" ref="J74">SUMPRODUCT(
    (Transactions_and_Customer_Information_Joined[Customer ID]='V1-Based Churn Model (Step 3)'!$A74) *
    (IFERROR(_xlfn.XLOOKUP(Transactions_and_Customer_Information_Joined[SKU], 'V1 Pricing Model (Step 2)'!$A$22:$A$71, 'V1 Pricing Model (Step 2)'!$AL$22:$AL$71), "Exclude")&lt;&gt;"Exclude") *
    Transactions_and_Customer_Information_Joined[Gross Revenue])</f>
        <v>358.48</v>
      </c>
      <c r="K74" s="24">
        <f>SUMIF(Transactions_and_Customer_Information_Joined[Customer ID], 'V1-Based Churn Model (Step 3)'!$A74, Transactions_and_Customer_Information_Joined[Gross Revenue])</f>
        <v>358.48</v>
      </c>
      <c r="L74" s="3">
        <f t="shared" si="0"/>
        <v>1</v>
      </c>
      <c r="M74" s="21">
        <v>0.10710868403533827</v>
      </c>
      <c r="N74" s="21" cm="1">
        <f t="array" ref="N74">SUMPRODUCT(
    (Transactions_and_Customer_Information_Joined[Customer ID]=$A74)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74" s="21" cm="1">
        <f t="array" ref="O74">IFERROR(
    SUMPRODUCT(
        (Transactions_and_Customer_Information_Joined[Customer ID]=$A74)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$J74,
0)</f>
        <v>0.10710868403533827</v>
      </c>
      <c r="P74" s="5" cm="1">
        <f t="array" ref="P74">_xlfn.IFS(B74="At-Risk Churner",$B$2,$B74="Dormant",$B$3,$B74="Deal Hunter",$B$4,$B74="New Customer",$B$5,$B74="Occasional Buyer",$B$6,$B74="Loyal High-Value",$B$7)</f>
        <v>70</v>
      </c>
      <c r="Q74" s="9" cm="1">
        <f t="array" ref="Q74">_xlfn.IFS($B74 = "At-Risk Churner", $B$8, $B74="Dormant",$B$9, $B74="Deal Hunter", $B$10, $B74="New Customer", $B$11, $B74="Occasional Buyer", $B$12, $B74 = "Loyal High-Value",$B$13)</f>
        <v>0.45</v>
      </c>
      <c r="R74" s="5">
        <v>5</v>
      </c>
      <c r="S74" s="5">
        <v>10</v>
      </c>
      <c r="T74" s="5">
        <v>0</v>
      </c>
      <c r="U74" s="5">
        <f t="shared" si="1"/>
        <v>15</v>
      </c>
      <c r="V74" s="5">
        <f t="shared" si="2"/>
        <v>4.2843473614135306</v>
      </c>
      <c r="W74" s="43">
        <f t="shared" si="3"/>
        <v>100</v>
      </c>
      <c r="X74" s="5" t="str" cm="1">
        <f t="array" ref="X74">_xlfn.IFS($W74 &lt;= 30, "Low", $W74 &lt;=50, "Medium", $W74 &lt;= 70, "High", $W74 &gt; 70, "Critical")</f>
        <v>Critical</v>
      </c>
      <c r="Y74" s="9">
        <f t="shared" si="4"/>
        <v>0.44698821708407188</v>
      </c>
      <c r="Z74" s="22">
        <f t="shared" si="5"/>
        <v>84.914351599461128</v>
      </c>
    </row>
    <row r="75" spans="1:26">
      <c r="A75" s="24" t="str">
        <v>CUST-3411</v>
      </c>
      <c r="B75" s="24" t="str">
        <v>Loyal High-Value</v>
      </c>
      <c r="C75" s="24" t="str">
        <v>Referral</v>
      </c>
      <c r="D75" s="24" t="str">
        <v>Midwest</v>
      </c>
      <c r="E75" s="24" t="str">
        <v>35-44</v>
      </c>
      <c r="F75" s="24" t="str">
        <v>High</v>
      </c>
      <c r="G75" s="24">
        <v>7</v>
      </c>
      <c r="H75" s="24">
        <v>60</v>
      </c>
      <c r="I75" s="23">
        <v>2828.35</v>
      </c>
      <c r="J75" s="24" cm="1">
        <f t="array" ref="J75">SUMPRODUCT(
    (Transactions_and_Customer_Information_Joined[Customer ID]='V1-Based Churn Model (Step 3)'!$A75) *
    (IFERROR(_xlfn.XLOOKUP(Transactions_and_Customer_Information_Joined[SKU], 'V1 Pricing Model (Step 2)'!$A$22:$A$71, 'V1 Pricing Model (Step 2)'!$AL$22:$AL$71), "Exclude")&lt;&gt;"Exclude") *
    Transactions_and_Customer_Information_Joined[Gross Revenue])</f>
        <v>249.54</v>
      </c>
      <c r="K75" s="24">
        <f>SUMIF(Transactions_and_Customer_Information_Joined[Customer ID], 'V1-Based Churn Model (Step 3)'!$A75, Transactions_and_Customer_Information_Joined[Gross Revenue])</f>
        <v>331.14</v>
      </c>
      <c r="L75" s="3">
        <f t="shared" si="0"/>
        <v>0.75357854683819536</v>
      </c>
      <c r="M75" s="21">
        <v>0.1130897018443069</v>
      </c>
      <c r="N75" s="21" cm="1">
        <f t="array" ref="N75">SUMPRODUCT(
    (Transactions_and_Customer_Information_Joined[Customer ID]=$A75)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75" s="21" cm="1">
        <f t="array" ref="O75">IFERROR(
    SUMPRODUCT(
        (Transactions_and_Customer_Information_Joined[Customer ID]=$A75)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$J75,
0)</f>
        <v>0.1130897018443069</v>
      </c>
      <c r="P75" s="5" cm="1">
        <f t="array" ref="P75">_xlfn.IFS(B75="At-Risk Churner",$B$2,$B75="Dormant",$B$3,$B75="Deal Hunter",$B$4,$B75="New Customer",$B$5,$B75="Occasional Buyer",$B$6,$B75="Loyal High-Value",$B$7)</f>
        <v>15</v>
      </c>
      <c r="Q75" s="9" cm="1">
        <f t="array" ref="Q75">_xlfn.IFS($B75 = "At-Risk Churner", $B$8, $B75="Dormant",$B$9, $B75="Deal Hunter", $B$10, $B75="New Customer", $B$11, $B75="Occasional Buyer", $B$12, $B75 = "Loyal High-Value",$B$13)</f>
        <v>0.05</v>
      </c>
      <c r="R75" s="5">
        <v>15</v>
      </c>
      <c r="S75" s="5">
        <v>-8</v>
      </c>
      <c r="T75" s="5">
        <v>0</v>
      </c>
      <c r="U75" s="5">
        <f t="shared" si="1"/>
        <v>15</v>
      </c>
      <c r="V75" s="5">
        <f t="shared" si="2"/>
        <v>4.5235880737722765</v>
      </c>
      <c r="W75" s="43">
        <f t="shared" si="3"/>
        <v>41.741088073772275</v>
      </c>
      <c r="X75" s="5" t="str" cm="1">
        <f t="array" ref="X75">_xlfn.IFS($W75 &lt;= 30, "Low", $W75 &lt;=50, "Medium", $W75 &lt;= 70, "High", $W75 &gt; 70, "Critical")</f>
        <v>Medium</v>
      </c>
      <c r="Y75" s="9">
        <f t="shared" si="4"/>
        <v>1.5225727807734839E-2</v>
      </c>
      <c r="Z75" s="22">
        <f t="shared" si="5"/>
        <v>600.12094979600556</v>
      </c>
    </row>
    <row r="76" spans="1:26">
      <c r="A76" s="24" t="str">
        <v>CUST-2439</v>
      </c>
      <c r="B76" s="24" t="str">
        <v>New Customer</v>
      </c>
      <c r="C76" s="24" t="str">
        <v>Organic Search</v>
      </c>
      <c r="D76" s="24" t="str">
        <v>UK</v>
      </c>
      <c r="E76" s="24" t="str">
        <v>55+</v>
      </c>
      <c r="F76" s="24" t="str">
        <v>Medium</v>
      </c>
      <c r="G76" s="24">
        <v>9</v>
      </c>
      <c r="H76" s="24">
        <v>146</v>
      </c>
      <c r="I76" s="23">
        <v>149.88</v>
      </c>
      <c r="J76" s="24" cm="1">
        <f t="array" ref="J76">SUMPRODUCT(
    (Transactions_and_Customer_Information_Joined[Customer ID]='V1-Based Churn Model (Step 3)'!$A76) *
    (IFERROR(_xlfn.XLOOKUP(Transactions_and_Customer_Information_Joined[SKU], 'V1 Pricing Model (Step 2)'!$A$22:$A$71, 'V1 Pricing Model (Step 2)'!$AL$22:$AL$71), "Exclude")&lt;&gt;"Exclude") *
    Transactions_and_Customer_Information_Joined[Gross Revenue])</f>
        <v>364.77</v>
      </c>
      <c r="K76" s="24">
        <f>SUMIF(Transactions_and_Customer_Information_Joined[Customer ID], 'V1-Based Churn Model (Step 3)'!$A76, Transactions_and_Customer_Information_Joined[Gross Revenue])</f>
        <v>364.77</v>
      </c>
      <c r="L76" s="3">
        <f t="shared" si="0"/>
        <v>1</v>
      </c>
      <c r="M76" s="21">
        <v>0.14790650353694867</v>
      </c>
      <c r="N76" s="21" cm="1">
        <f t="array" ref="N76">SUMPRODUCT(
    (Transactions_and_Customer_Information_Joined[Customer ID]=$A76)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2</v>
      </c>
      <c r="O76" s="21" cm="1">
        <f t="array" ref="O76">IFERROR(
    SUMPRODUCT(
        (Transactions_and_Customer_Information_Joined[Customer ID]=$A76)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$J76,
0)</f>
        <v>7.9015654643323718E-2</v>
      </c>
      <c r="P76" s="5" cm="1">
        <f t="array" ref="P76">_xlfn.IFS(B76="At-Risk Churner",$B$2,$B76="Dormant",$B$3,$B76="Deal Hunter",$B$4,$B76="New Customer",$B$5,$B76="Occasional Buyer",$B$6,$B76="Loyal High-Value",$B$7)</f>
        <v>35</v>
      </c>
      <c r="Q76" s="9" cm="1">
        <f t="array" ref="Q76">_xlfn.IFS($B76 = "At-Risk Churner", $B$8, $B76="Dormant",$B$9, $B76="Deal Hunter", $B$10, $B76="New Customer", $B$11, $B76="Occasional Buyer", $B$12, $B76 = "Loyal High-Value",$B$13)</f>
        <v>0.35</v>
      </c>
      <c r="R76" s="5">
        <v>5</v>
      </c>
      <c r="S76" s="5">
        <v>-8</v>
      </c>
      <c r="T76" s="5">
        <v>0</v>
      </c>
      <c r="U76" s="5">
        <f t="shared" si="1"/>
        <v>15</v>
      </c>
      <c r="V76" s="5">
        <f t="shared" si="2"/>
        <v>4.5384431636054483</v>
      </c>
      <c r="W76" s="43">
        <f t="shared" si="3"/>
        <v>51.370943163605446</v>
      </c>
      <c r="X76" s="5" t="str" cm="1">
        <f t="array" ref="X76">_xlfn.IFS($W76 &lt;= 30, "Low", $W76 &lt;=50, "Medium", $W76 &lt;= 70, "High", $W76 &gt; 70, "Critical")</f>
        <v>High</v>
      </c>
      <c r="Y76" s="9">
        <f t="shared" si="4"/>
        <v>0.18697699972738985</v>
      </c>
      <c r="Z76" s="22">
        <f t="shared" si="5"/>
        <v>52.395290175312951</v>
      </c>
    </row>
    <row r="77" spans="1:26">
      <c r="A77" s="24" t="str">
        <v>CUST-3611</v>
      </c>
      <c r="B77" s="24" t="str">
        <v>New Customer</v>
      </c>
      <c r="C77" s="24" t="str">
        <v>Paid Social</v>
      </c>
      <c r="D77" s="24" t="str">
        <v>Southwest</v>
      </c>
      <c r="E77" s="24" t="str">
        <v>25-34</v>
      </c>
      <c r="F77" s="24" t="str">
        <v>High</v>
      </c>
      <c r="G77" s="24">
        <v>8</v>
      </c>
      <c r="H77" s="24">
        <v>260</v>
      </c>
      <c r="I77" s="23">
        <v>29.14</v>
      </c>
      <c r="J77" s="24" cm="1">
        <f t="array" ref="J77">SUMPRODUCT(
    (Transactions_and_Customer_Information_Joined[Customer ID]='V1-Based Churn Model (Step 3)'!$A77) *
    (IFERROR(_xlfn.XLOOKUP(Transactions_and_Customer_Information_Joined[SKU], 'V1 Pricing Model (Step 2)'!$A$22:$A$71, 'V1 Pricing Model (Step 2)'!$AL$22:$AL$71), "Exclude")&lt;&gt;"Exclude") *
    Transactions_and_Customer_Information_Joined[Gross Revenue])</f>
        <v>18.7</v>
      </c>
      <c r="K77" s="24">
        <f>SUMIF(Transactions_and_Customer_Information_Joined[Customer ID], 'V1-Based Churn Model (Step 3)'!$A77, Transactions_and_Customer_Information_Joined[Gross Revenue])</f>
        <v>18.7</v>
      </c>
      <c r="L77" s="3">
        <f t="shared" si="0"/>
        <v>1</v>
      </c>
      <c r="M77" s="21">
        <v>0</v>
      </c>
      <c r="N77" s="21" cm="1">
        <f t="array" ref="N77">SUMPRODUCT(
    (Transactions_and_Customer_Information_Joined[Customer ID]=$A77)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77" s="21" cm="1">
        <f t="array" ref="O77">IFERROR(
    SUMPRODUCT(
        (Transactions_and_Customer_Information_Joined[Customer ID]=$A77)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$J77,
0)</f>
        <v>0</v>
      </c>
      <c r="P77" s="5" cm="1">
        <f t="array" ref="P77">_xlfn.IFS(B77="At-Risk Churner",$B$2,$B77="Dormant",$B$3,$B77="Deal Hunter",$B$4,$B77="New Customer",$B$5,$B77="Occasional Buyer",$B$6,$B77="Loyal High-Value",$B$7)</f>
        <v>35</v>
      </c>
      <c r="Q77" s="9" cm="1">
        <f t="array" ref="Q77">_xlfn.IFS($B77 = "At-Risk Churner", $B$8, $B77="Dormant",$B$9, $B77="Deal Hunter", $B$10, $B77="New Customer", $B$11, $B77="Occasional Buyer", $B$12, $B77 = "Loyal High-Value",$B$13)</f>
        <v>0.35</v>
      </c>
      <c r="R77" s="5">
        <v>15</v>
      </c>
      <c r="S77" s="5">
        <v>-8</v>
      </c>
      <c r="T77" s="5">
        <v>8</v>
      </c>
      <c r="U77" s="5">
        <f t="shared" si="1"/>
        <v>15</v>
      </c>
      <c r="V77" s="5">
        <f t="shared" si="2"/>
        <v>0</v>
      </c>
      <c r="W77" s="43">
        <f t="shared" si="3"/>
        <v>65.057500000000005</v>
      </c>
      <c r="X77" s="5" t="str" cm="1">
        <f t="array" ref="X77">_xlfn.IFS($W77 &lt;= 30, "Low", $W77 &lt;=50, "Medium", $W77 &lt;= 70, "High", $W77 &gt; 70, "Critical")</f>
        <v>High</v>
      </c>
      <c r="Y77" s="9">
        <f t="shared" si="4"/>
        <v>0.28645067597453649</v>
      </c>
      <c r="Z77" s="22">
        <f t="shared" si="5"/>
        <v>12.505738158318396</v>
      </c>
    </row>
    <row r="78" spans="1:26">
      <c r="A78" s="24" t="str">
        <v>CUST-1981</v>
      </c>
      <c r="B78" s="24" t="str">
        <v>At-Risk Churner</v>
      </c>
      <c r="C78" s="24" t="str">
        <v>Paid Social</v>
      </c>
      <c r="D78" s="24" t="str">
        <v>Midwest</v>
      </c>
      <c r="E78" s="24" t="str">
        <v>25-34</v>
      </c>
      <c r="F78" s="24" t="str">
        <v>High</v>
      </c>
      <c r="G78" s="24">
        <v>2</v>
      </c>
      <c r="H78" s="24">
        <v>40</v>
      </c>
      <c r="I78" s="23">
        <v>227.59</v>
      </c>
      <c r="J78" s="24" cm="1">
        <f t="array" ref="J78">SUMPRODUCT(
    (Transactions_and_Customer_Information_Joined[Customer ID]='V1-Based Churn Model (Step 3)'!$A78)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78" s="24">
        <f>SUMIF(Transactions_and_Customer_Information_Joined[Customer ID], 'V1-Based Churn Model (Step 3)'!$A78, Transactions_and_Customer_Information_Joined[Gross Revenue])</f>
        <v>75.69</v>
      </c>
      <c r="L78" s="3">
        <f t="shared" si="0"/>
        <v>0</v>
      </c>
      <c r="M78" s="21">
        <v>0</v>
      </c>
      <c r="N78" s="21" cm="1">
        <f t="array" ref="N78">SUMPRODUCT(
    (Transactions_and_Customer_Information_Joined[Customer ID]=$A78)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78" s="21" cm="1">
        <f t="array" ref="O78">IFERROR(
    SUMPRODUCT(
        (Transactions_and_Customer_Information_Joined[Customer ID]=$A78)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$J78,
0)</f>
        <v>0</v>
      </c>
      <c r="P78" s="5" cm="1">
        <f t="array" ref="P78">_xlfn.IFS(B78="At-Risk Churner",$B$2,$B78="Dormant",$B$3,$B78="Deal Hunter",$B$4,$B78="New Customer",$B$5,$B78="Occasional Buyer",$B$6,$B78="Loyal High-Value",$B$7)</f>
        <v>70</v>
      </c>
      <c r="Q78" s="9" cm="1">
        <f t="array" ref="Q78">_xlfn.IFS($B78 = "At-Risk Churner", $B$8, $B78="Dormant",$B$9, $B78="Deal Hunter", $B$10, $B78="New Customer", $B$11, $B78="Occasional Buyer", $B$12, $B78 = "Loyal High-Value",$B$13)</f>
        <v>0.45</v>
      </c>
      <c r="R78" s="5">
        <v>15</v>
      </c>
      <c r="S78" s="5">
        <v>10</v>
      </c>
      <c r="T78" s="5">
        <v>-5</v>
      </c>
      <c r="U78" s="5">
        <f t="shared" si="1"/>
        <v>0</v>
      </c>
      <c r="V78" s="5">
        <f t="shared" si="2"/>
        <v>0</v>
      </c>
      <c r="W78" s="43">
        <f t="shared" si="3"/>
        <v>90.7</v>
      </c>
      <c r="X78" s="5" t="str" cm="1">
        <f t="array" ref="X78">_xlfn.IFS($W78 &lt;= 30, "Low", $W78 &lt;=50, "Medium", $W78 &lt;= 70, "High", $W78 &gt; 70, "Critical")</f>
        <v>Critical</v>
      </c>
      <c r="Y78" s="9">
        <f t="shared" si="4"/>
        <v>0.44244420836093379</v>
      </c>
      <c r="Z78" s="22">
        <f t="shared" si="5"/>
        <v>100.69587738086493</v>
      </c>
    </row>
    <row r="79" spans="1:26">
      <c r="A79" s="24" t="str">
        <v>CUST-1514</v>
      </c>
      <c r="B79" s="24" t="str">
        <v>Occasional Buyer</v>
      </c>
      <c r="C79" s="24" t="str">
        <v>Referral</v>
      </c>
      <c r="D79" s="24" t="str">
        <v>Canada</v>
      </c>
      <c r="E79" s="24" t="str">
        <v>25-34</v>
      </c>
      <c r="F79" s="24" t="str">
        <v>High</v>
      </c>
      <c r="G79" s="24">
        <v>9</v>
      </c>
      <c r="H79" s="24">
        <v>294</v>
      </c>
      <c r="I79" s="23">
        <v>195.85</v>
      </c>
      <c r="J79" s="24" cm="1">
        <f t="array" ref="J79">SUMPRODUCT(
    (Transactions_and_Customer_Information_Joined[Customer ID]='V1-Based Churn Model (Step 3)'!$A79) *
    (IFERROR(_xlfn.XLOOKUP(Transactions_and_Customer_Information_Joined[SKU], 'V1 Pricing Model (Step 2)'!$A$22:$A$71, 'V1 Pricing Model (Step 2)'!$AL$22:$AL$71), "Exclude")&lt;&gt;"Exclude") *
    Transactions_and_Customer_Information_Joined[Gross Revenue])</f>
        <v>401.97</v>
      </c>
      <c r="K79" s="24">
        <f>SUMIF(Transactions_and_Customer_Information_Joined[Customer ID], 'V1-Based Churn Model (Step 3)'!$A79, Transactions_and_Customer_Information_Joined[Gross Revenue])</f>
        <v>401.97</v>
      </c>
      <c r="L79" s="3">
        <f t="shared" si="0"/>
        <v>1</v>
      </c>
      <c r="M79" s="21">
        <v>0.18240919880904002</v>
      </c>
      <c r="N79" s="21" cm="1">
        <f t="array" ref="N79">SUMPRODUCT(
    (Transactions_and_Customer_Information_Joined[Customer ID]=$A79)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79" s="21" cm="1">
        <f t="array" ref="O79">IFERROR(
    SUMPRODUCT(
        (Transactions_and_Customer_Information_Joined[Customer ID]=$A79)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$J79,
0)</f>
        <v>0.18240919880904002</v>
      </c>
      <c r="P79" s="5" cm="1">
        <f t="array" ref="P79">_xlfn.IFS(B79="At-Risk Churner",$B$2,$B79="Dormant",$B$3,$B79="Deal Hunter",$B$4,$B79="New Customer",$B$5,$B79="Occasional Buyer",$B$6,$B79="Loyal High-Value",$B$7)</f>
        <v>25</v>
      </c>
      <c r="Q79" s="9" cm="1">
        <f t="array" ref="Q79">_xlfn.IFS($B79 = "At-Risk Churner", $B$8, $B79="Dormant",$B$9, $B79="Deal Hunter", $B$10, $B79="New Customer", $B$11, $B79="Occasional Buyer", $B$12, $B79 = "Loyal High-Value",$B$13)</f>
        <v>0.18</v>
      </c>
      <c r="R79" s="5">
        <v>15</v>
      </c>
      <c r="S79" s="5">
        <v>-8</v>
      </c>
      <c r="T79" s="5">
        <v>8</v>
      </c>
      <c r="U79" s="5">
        <f t="shared" si="1"/>
        <v>15</v>
      </c>
      <c r="V79" s="5">
        <f t="shared" si="2"/>
        <v>7.2963679523616012</v>
      </c>
      <c r="W79" s="43">
        <f t="shared" si="3"/>
        <v>62.433867952361595</v>
      </c>
      <c r="X79" s="5" t="str" cm="1">
        <f t="array" ref="X79">_xlfn.IFS($W79 &lt;= 30, "Low", $W79 &lt;=50, "Medium", $W79 &lt;= 70, "High", $W79 &gt; 70, "Critical")</f>
        <v>High</v>
      </c>
      <c r="Y79" s="9">
        <f t="shared" si="4"/>
        <v>0.13970753725748941</v>
      </c>
      <c r="Z79" s="22">
        <f t="shared" si="5"/>
        <v>61.059376937503444</v>
      </c>
    </row>
    <row r="80" spans="1:26">
      <c r="A80" s="24" t="str">
        <v>CUST-1198</v>
      </c>
      <c r="B80" s="24" t="str">
        <v>New Customer</v>
      </c>
      <c r="C80" s="24" t="str">
        <v>Organic Search</v>
      </c>
      <c r="D80" s="24" t="str">
        <v>Canada</v>
      </c>
      <c r="E80" s="24" t="str">
        <v>45-54</v>
      </c>
      <c r="F80" s="24" t="str">
        <v>High</v>
      </c>
      <c r="G80" s="24">
        <v>0</v>
      </c>
      <c r="H80" s="24">
        <v>295</v>
      </c>
      <c r="I80" s="23">
        <v>47.4</v>
      </c>
      <c r="J80" s="24" cm="1">
        <f t="array" ref="J80">SUMPRODUCT(
    (Transactions_and_Customer_Information_Joined[Customer ID]='V1-Based Churn Model (Step 3)'!$A80)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80" s="24">
        <f>SUMIF(Transactions_and_Customer_Information_Joined[Customer ID], 'V1-Based Churn Model (Step 3)'!$A80, Transactions_and_Customer_Information_Joined[Gross Revenue])</f>
        <v>65.430000000000007</v>
      </c>
      <c r="L80" s="3">
        <f t="shared" si="0"/>
        <v>0</v>
      </c>
      <c r="M80" s="21">
        <v>0</v>
      </c>
      <c r="N80" s="21" cm="1">
        <f t="array" ref="N80">SUMPRODUCT(
    (Transactions_and_Customer_Information_Joined[Customer ID]=$A80)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80" s="21" cm="1">
        <f t="array" ref="O80">IFERROR(
    SUMPRODUCT(
        (Transactions_and_Customer_Information_Joined[Customer ID]=$A80)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$J80,
0)</f>
        <v>0</v>
      </c>
      <c r="P80" s="5" cm="1">
        <f t="array" ref="P80">_xlfn.IFS(B80="At-Risk Churner",$B$2,$B80="Dormant",$B$3,$B80="Deal Hunter",$B$4,$B80="New Customer",$B$5,$B80="Occasional Buyer",$B$6,$B80="Loyal High-Value",$B$7)</f>
        <v>35</v>
      </c>
      <c r="Q80" s="9" cm="1">
        <f t="array" ref="Q80">_xlfn.IFS($B80 = "At-Risk Churner", $B$8, $B80="Dormant",$B$9, $B80="Deal Hunter", $B$10, $B80="New Customer", $B$11, $B80="Occasional Buyer", $B$12, $B80 = "Loyal High-Value",$B$13)</f>
        <v>0.35</v>
      </c>
      <c r="R80" s="5">
        <v>15</v>
      </c>
      <c r="S80" s="5">
        <v>10</v>
      </c>
      <c r="T80" s="5">
        <v>8</v>
      </c>
      <c r="U80" s="5">
        <f t="shared" si="1"/>
        <v>0</v>
      </c>
      <c r="V80" s="5">
        <f t="shared" si="2"/>
        <v>0</v>
      </c>
      <c r="W80" s="43">
        <f t="shared" si="3"/>
        <v>68.349999999999994</v>
      </c>
      <c r="X80" s="5" t="str" cm="1">
        <f t="array" ref="X80">_xlfn.IFS($W80 &lt;= 30, "Low", $W80 &lt;=50, "Medium", $W80 &lt;= 70, "High", $W80 &gt; 70, "Critical")</f>
        <v>High</v>
      </c>
      <c r="Y80" s="9">
        <f t="shared" si="4"/>
        <v>0.30182470233947628</v>
      </c>
      <c r="Z80" s="22">
        <f t="shared" si="5"/>
        <v>20.925192712712942</v>
      </c>
    </row>
    <row r="81" spans="1:26">
      <c r="A81" s="24" t="str">
        <v>CUST-4153</v>
      </c>
      <c r="B81" s="24" t="str">
        <v>Occasional Buyer</v>
      </c>
      <c r="C81" s="24" t="str">
        <v>Referral</v>
      </c>
      <c r="D81" s="24" t="str">
        <v>West</v>
      </c>
      <c r="E81" s="24" t="str">
        <v>55+</v>
      </c>
      <c r="F81" s="24" t="str">
        <v>High</v>
      </c>
      <c r="G81" s="24">
        <v>5</v>
      </c>
      <c r="H81" s="24">
        <v>146</v>
      </c>
      <c r="I81" s="23">
        <v>231.49</v>
      </c>
      <c r="J81" s="24" cm="1">
        <f t="array" ref="J81">SUMPRODUCT(
    (Transactions_and_Customer_Information_Joined[Customer ID]='V1-Based Churn Model (Step 3)'!$A81) *
    (IFERROR(_xlfn.XLOOKUP(Transactions_and_Customer_Information_Joined[SKU], 'V1 Pricing Model (Step 2)'!$A$22:$A$71, 'V1 Pricing Model (Step 2)'!$AL$22:$AL$71), "Exclude")&lt;&gt;"Exclude") *
    Transactions_and_Customer_Information_Joined[Gross Revenue])</f>
        <v>358.48</v>
      </c>
      <c r="K81" s="24">
        <f>SUMIF(Transactions_and_Customer_Information_Joined[Customer ID], 'V1-Based Churn Model (Step 3)'!$A81, Transactions_and_Customer_Information_Joined[Gross Revenue])</f>
        <v>358.48</v>
      </c>
      <c r="L81" s="3">
        <f t="shared" si="0"/>
        <v>1</v>
      </c>
      <c r="M81" s="21">
        <v>0.10710868403533827</v>
      </c>
      <c r="N81" s="21" cm="1">
        <f t="array" ref="N81">SUMPRODUCT(
    (Transactions_and_Customer_Information_Joined[Customer ID]=$A81)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81" s="21" cm="1">
        <f t="array" ref="O81">IFERROR(
    SUMPRODUCT(
        (Transactions_and_Customer_Information_Joined[Customer ID]=$A81)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$J81,
0)</f>
        <v>0.10710868403533827</v>
      </c>
      <c r="P81" s="5" cm="1">
        <f t="array" ref="P81">_xlfn.IFS(B81="At-Risk Churner",$B$2,$B81="Dormant",$B$3,$B81="Deal Hunter",$B$4,$B81="New Customer",$B$5,$B81="Occasional Buyer",$B$6,$B81="Loyal High-Value",$B$7)</f>
        <v>25</v>
      </c>
      <c r="Q81" s="9" cm="1">
        <f t="array" ref="Q81">_xlfn.IFS($B81 = "At-Risk Churner", $B$8, $B81="Dormant",$B$9, $B81="Deal Hunter", $B$10, $B81="New Customer", $B$11, $B81="Occasional Buyer", $B$12, $B81 = "Loyal High-Value",$B$13)</f>
        <v>0.18</v>
      </c>
      <c r="R81" s="5">
        <v>15</v>
      </c>
      <c r="S81" s="5">
        <v>0</v>
      </c>
      <c r="T81" s="5">
        <v>0</v>
      </c>
      <c r="U81" s="5">
        <f t="shared" si="1"/>
        <v>15</v>
      </c>
      <c r="V81" s="5">
        <f t="shared" si="2"/>
        <v>4.2843473614135306</v>
      </c>
      <c r="W81" s="43">
        <f t="shared" si="3"/>
        <v>59.621847361413529</v>
      </c>
      <c r="X81" s="5" t="str" cm="1">
        <f t="array" ref="X81">_xlfn.IFS($W81 &lt;= 30, "Low", $W81 &lt;=50, "Medium", $W81 &lt;= 70, "High", $W81 &gt; 70, "Critical")</f>
        <v>High</v>
      </c>
      <c r="Y81" s="9">
        <f t="shared" si="4"/>
        <v>0.1302406222323256</v>
      </c>
      <c r="Z81" s="22">
        <f t="shared" si="5"/>
        <v>70.417521312448855</v>
      </c>
    </row>
    <row r="82" spans="1:26">
      <c r="A82" s="24" t="str">
        <v>CUST-1192</v>
      </c>
      <c r="B82" s="24" t="str">
        <v>At-Risk Churner</v>
      </c>
      <c r="C82" s="24" t="str">
        <v>Direct</v>
      </c>
      <c r="D82" s="24" t="str">
        <v>UK</v>
      </c>
      <c r="E82" s="24" t="str">
        <v>18-24</v>
      </c>
      <c r="F82" s="24" t="str">
        <v>High</v>
      </c>
      <c r="G82" s="24">
        <v>1</v>
      </c>
      <c r="H82" s="24">
        <v>110</v>
      </c>
      <c r="I82" s="23">
        <v>171.84</v>
      </c>
      <c r="J82" s="24" cm="1">
        <f t="array" ref="J82">SUMPRODUCT(
    (Transactions_and_Customer_Information_Joined[Customer ID]='V1-Based Churn Model (Step 3)'!$A82) *
    (IFERROR(_xlfn.XLOOKUP(Transactions_and_Customer_Information_Joined[SKU], 'V1 Pricing Model (Step 2)'!$A$22:$A$71, 'V1 Pricing Model (Step 2)'!$AL$22:$AL$71), "Exclude")&lt;&gt;"Exclude") *
    Transactions_and_Customer_Information_Joined[Gross Revenue])</f>
        <v>395.5</v>
      </c>
      <c r="K82" s="24">
        <f>SUMIF(Transactions_and_Customer_Information_Joined[Customer ID], 'V1-Based Churn Model (Step 3)'!$A82, Transactions_and_Customer_Information_Joined[Gross Revenue])</f>
        <v>551.43999999999994</v>
      </c>
      <c r="L82" s="3">
        <f t="shared" si="0"/>
        <v>0.71721311475409844</v>
      </c>
      <c r="M82" s="21">
        <v>0.13680891237597953</v>
      </c>
      <c r="N82" s="21" cm="1">
        <f t="array" ref="N82">SUMPRODUCT(
    (Transactions_and_Customer_Information_Joined[Customer ID]=$A82)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82" s="21" cm="1">
        <f t="array" ref="O82">IFERROR(
    SUMPRODUCT(
        (Transactions_and_Customer_Information_Joined[Customer ID]=$A82)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$J82,
0)</f>
        <v>0.11093455928944787</v>
      </c>
      <c r="P82" s="5" cm="1">
        <f t="array" ref="P82">_xlfn.IFS(B82="At-Risk Churner",$B$2,$B82="Dormant",$B$3,$B82="Deal Hunter",$B$4,$B82="New Customer",$B$5,$B82="Occasional Buyer",$B$6,$B82="Loyal High-Value",$B$7)</f>
        <v>70</v>
      </c>
      <c r="Q82" s="9" cm="1">
        <f t="array" ref="Q82">_xlfn.IFS($B82 = "At-Risk Churner", $B$8, $B82="Dormant",$B$9, $B82="Deal Hunter", $B$10, $B82="New Customer", $B$11, $B82="Occasional Buyer", $B$12, $B82 = "Loyal High-Value",$B$13)</f>
        <v>0.45</v>
      </c>
      <c r="R82" s="5">
        <v>15</v>
      </c>
      <c r="S82" s="5">
        <v>10</v>
      </c>
      <c r="T82" s="5">
        <v>0</v>
      </c>
      <c r="U82" s="5">
        <f t="shared" si="1"/>
        <v>15</v>
      </c>
      <c r="V82" s="5">
        <f t="shared" si="2"/>
        <v>4.9548694333085477</v>
      </c>
      <c r="W82" s="43">
        <f t="shared" si="3"/>
        <v>100</v>
      </c>
      <c r="X82" s="5" t="str" cm="1">
        <f t="array" ref="X82">_xlfn.IFS($W82 &lt;= 30, "Low", $W82 &lt;=50, "Medium", $W82 &lt;= 70, "High", $W82 &gt; 70, "Critical")</f>
        <v>Critical</v>
      </c>
      <c r="Y82" s="9">
        <f t="shared" si="4"/>
        <v>0.44698821708407188</v>
      </c>
      <c r="Z82" s="22">
        <f t="shared" si="5"/>
        <v>76.810455223726919</v>
      </c>
    </row>
    <row r="83" spans="1:26">
      <c r="A83" s="24" t="str">
        <v>CUST-3737</v>
      </c>
      <c r="B83" s="24" t="str">
        <v>At-Risk Churner</v>
      </c>
      <c r="C83" s="24" t="str">
        <v>Influencer</v>
      </c>
      <c r="D83" s="24" t="str">
        <v>UK</v>
      </c>
      <c r="E83" s="24" t="str">
        <v>45-54</v>
      </c>
      <c r="F83" s="24" t="str">
        <v>Low</v>
      </c>
      <c r="G83" s="24">
        <v>4</v>
      </c>
      <c r="H83" s="24">
        <v>89</v>
      </c>
      <c r="I83" s="23">
        <v>219.73</v>
      </c>
      <c r="J83" s="24" cm="1">
        <f t="array" ref="J83">SUMPRODUCT(
    (Transactions_and_Customer_Information_Joined[Customer ID]='V1-Based Churn Model (Step 3)'!$A83)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83" s="24">
        <f>SUMIF(Transactions_and_Customer_Information_Joined[Customer ID], 'V1-Based Churn Model (Step 3)'!$A83, Transactions_and_Customer_Information_Joined[Gross Revenue])</f>
        <v>207.92</v>
      </c>
      <c r="L83" s="3">
        <f t="shared" si="0"/>
        <v>0</v>
      </c>
      <c r="M83" s="21">
        <v>0</v>
      </c>
      <c r="N83" s="21" cm="1">
        <f t="array" ref="N83">SUMPRODUCT(
    (Transactions_and_Customer_Information_Joined[Customer ID]=$A83)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83" s="21" cm="1">
        <f t="array" ref="O83">IFERROR(
    SUMPRODUCT(
        (Transactions_and_Customer_Information_Joined[Customer ID]=$A83)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$J83,
0)</f>
        <v>0</v>
      </c>
      <c r="P83" s="5" cm="1">
        <f t="array" ref="P83">_xlfn.IFS(B83="At-Risk Churner",$B$2,$B83="Dormant",$B$3,$B83="Deal Hunter",$B$4,$B83="New Customer",$B$5,$B83="Occasional Buyer",$B$6,$B83="Loyal High-Value",$B$7)</f>
        <v>70</v>
      </c>
      <c r="Q83" s="9" cm="1">
        <f t="array" ref="Q83">_xlfn.IFS($B83 = "At-Risk Churner", $B$8, $B83="Dormant",$B$9, $B83="Deal Hunter", $B$10, $B83="New Customer", $B$11, $B83="Occasional Buyer", $B$12, $B83 = "Loyal High-Value",$B$13)</f>
        <v>0.45</v>
      </c>
      <c r="R83" s="5">
        <v>-5</v>
      </c>
      <c r="S83" s="5">
        <v>0</v>
      </c>
      <c r="T83" s="5">
        <v>0</v>
      </c>
      <c r="U83" s="5">
        <f t="shared" si="1"/>
        <v>0</v>
      </c>
      <c r="V83" s="5">
        <f t="shared" si="2"/>
        <v>0</v>
      </c>
      <c r="W83" s="43">
        <f t="shared" si="3"/>
        <v>65</v>
      </c>
      <c r="X83" s="5" t="str" cm="1">
        <f t="array" ref="X83">_xlfn.IFS($W83 &lt;= 30, "Low", $W83 &lt;=50, "Medium", $W83 &lt;= 70, "High", $W83 &gt; 70, "Critical")</f>
        <v>High</v>
      </c>
      <c r="Y83" s="9">
        <f t="shared" si="4"/>
        <v>0.36790851428713967</v>
      </c>
      <c r="Z83" s="22">
        <f t="shared" si="5"/>
        <v>108.61843027545055</v>
      </c>
    </row>
    <row r="84" spans="1:26">
      <c r="A84" s="24" t="str">
        <v>CUST-3412</v>
      </c>
      <c r="B84" s="24" t="str">
        <v>Occasional Buyer</v>
      </c>
      <c r="C84" s="24" t="str">
        <v>Organic Search</v>
      </c>
      <c r="D84" s="24" t="str">
        <v>Southeast</v>
      </c>
      <c r="E84" s="24" t="str">
        <v>25-34</v>
      </c>
      <c r="F84" s="24" t="str">
        <v>Medium</v>
      </c>
      <c r="G84" s="24">
        <v>3</v>
      </c>
      <c r="H84" s="24">
        <v>120</v>
      </c>
      <c r="I84" s="23">
        <v>194.93</v>
      </c>
      <c r="J84" s="24" cm="1">
        <f t="array" ref="J84">SUMPRODUCT(
    (Transactions_and_Customer_Information_Joined[Customer ID]='V1-Based Churn Model (Step 3)'!$A84) *
    (IFERROR(_xlfn.XLOOKUP(Transactions_and_Customer_Information_Joined[SKU], 'V1 Pricing Model (Step 2)'!$A$22:$A$71, 'V1 Pricing Model (Step 2)'!$AL$22:$AL$71), "Exclude")&lt;&gt;"Exclude") *
    Transactions_and_Customer_Information_Joined[Gross Revenue])</f>
        <v>202.68</v>
      </c>
      <c r="K84" s="24">
        <f>SUMIF(Transactions_and_Customer_Information_Joined[Customer ID], 'V1-Based Churn Model (Step 3)'!$A84, Transactions_and_Customer_Information_Joined[Gross Revenue])</f>
        <v>202.68</v>
      </c>
      <c r="L84" s="3">
        <f t="shared" si="0"/>
        <v>1</v>
      </c>
      <c r="M84" s="21">
        <v>0.10788177153562864</v>
      </c>
      <c r="N84" s="21" cm="1">
        <f t="array" ref="N84">SUMPRODUCT(
    (Transactions_and_Customer_Information_Joined[Customer ID]=$A84)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84" s="21" cm="1">
        <f t="array" ref="O84">IFERROR(
    SUMPRODUCT(
        (Transactions_and_Customer_Information_Joined[Customer ID]=$A84)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$J84,
0)</f>
        <v>0.10788177153562864</v>
      </c>
      <c r="P84" s="5" cm="1">
        <f t="array" ref="P84">_xlfn.IFS(B84="At-Risk Churner",$B$2,$B84="Dormant",$B$3,$B84="Deal Hunter",$B$4,$B84="New Customer",$B$5,$B84="Occasional Buyer",$B$6,$B84="Loyal High-Value",$B$7)</f>
        <v>25</v>
      </c>
      <c r="Q84" s="9" cm="1">
        <f t="array" ref="Q84">_xlfn.IFS($B84 = "At-Risk Churner", $B$8, $B84="Dormant",$B$9, $B84="Deal Hunter", $B$10, $B84="New Customer", $B$11, $B84="Occasional Buyer", $B$12, $B84 = "Loyal High-Value",$B$13)</f>
        <v>0.18</v>
      </c>
      <c r="R84" s="5">
        <v>5</v>
      </c>
      <c r="S84" s="5">
        <v>10</v>
      </c>
      <c r="T84" s="5">
        <v>0</v>
      </c>
      <c r="U84" s="5">
        <f t="shared" si="1"/>
        <v>15</v>
      </c>
      <c r="V84" s="5">
        <f t="shared" si="2"/>
        <v>4.3152708614251454</v>
      </c>
      <c r="W84" s="43">
        <f t="shared" si="3"/>
        <v>59.677770861425145</v>
      </c>
      <c r="X84" s="5" t="str" cm="1">
        <f t="array" ref="X84">_xlfn.IFS($W84 &lt;= 30, "Low", $W84 &lt;=50, "Medium", $W84 &lt;= 70, "High", $W84 &gt; 70, "Critical")</f>
        <v>High</v>
      </c>
      <c r="Y84" s="9">
        <f t="shared" si="4"/>
        <v>0.13044171640576399</v>
      </c>
      <c r="Z84" s="22">
        <f t="shared" si="5"/>
        <v>59.327603023180465</v>
      </c>
    </row>
    <row r="85" spans="1:26">
      <c r="A85" s="24" t="str">
        <v>CUST-4245</v>
      </c>
      <c r="B85" s="24" t="str">
        <v>Loyal High-Value</v>
      </c>
      <c r="C85" s="24" t="str">
        <v>Influencer</v>
      </c>
      <c r="D85" s="24" t="str">
        <v>Midwest</v>
      </c>
      <c r="E85" s="24" t="str">
        <v>45-54</v>
      </c>
      <c r="F85" s="24" t="str">
        <v>Medium</v>
      </c>
      <c r="G85" s="24">
        <v>6</v>
      </c>
      <c r="H85" s="24">
        <v>153</v>
      </c>
      <c r="I85" s="23">
        <v>2129.88</v>
      </c>
      <c r="J85" s="24" cm="1">
        <f t="array" ref="J85">SUMPRODUCT(
    (Transactions_and_Customer_Information_Joined[Customer ID]='V1-Based Churn Model (Step 3)'!$A85) *
    (IFERROR(_xlfn.XLOOKUP(Transactions_and_Customer_Information_Joined[SKU], 'V1 Pricing Model (Step 2)'!$A$22:$A$71, 'V1 Pricing Model (Step 2)'!$AL$22:$AL$71), "Exclude")&lt;&gt;"Exclude") *
    Transactions_and_Customer_Information_Joined[Gross Revenue])</f>
        <v>379.04</v>
      </c>
      <c r="K85" s="24">
        <f>SUMIF(Transactions_and_Customer_Information_Joined[Customer ID], 'V1-Based Churn Model (Step 3)'!$A85, Transactions_and_Customer_Information_Joined[Gross Revenue])</f>
        <v>379.04</v>
      </c>
      <c r="L85" s="3">
        <f t="shared" si="0"/>
        <v>1</v>
      </c>
      <c r="M85" s="21">
        <v>1.2225679304209092E-2</v>
      </c>
      <c r="N85" s="21" cm="1">
        <f t="array" ref="N85">SUMPRODUCT(
    (Transactions_and_Customer_Information_Joined[Customer ID]=$A85)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85" s="21" cm="1">
        <f t="array" ref="O85">IFERROR(
    SUMPRODUCT(
        (Transactions_and_Customer_Information_Joined[Customer ID]=$A85)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$J85,
0)</f>
        <v>1.2225679304209092E-2</v>
      </c>
      <c r="P85" s="5" cm="1">
        <f t="array" ref="P85">_xlfn.IFS(B85="At-Risk Churner",$B$2,$B85="Dormant",$B$3,$B85="Deal Hunter",$B$4,$B85="New Customer",$B$5,$B85="Occasional Buyer",$B$6,$B85="Loyal High-Value",$B$7)</f>
        <v>15</v>
      </c>
      <c r="Q85" s="9" cm="1">
        <f t="array" ref="Q85">_xlfn.IFS($B85 = "At-Risk Churner", $B$8, $B85="Dormant",$B$9, $B85="Deal Hunter", $B$10, $B85="New Customer", $B$11, $B85="Occasional Buyer", $B$12, $B85 = "Loyal High-Value",$B$13)</f>
        <v>0.05</v>
      </c>
      <c r="R85" s="5">
        <v>5</v>
      </c>
      <c r="S85" s="5">
        <v>0</v>
      </c>
      <c r="T85" s="5">
        <v>0</v>
      </c>
      <c r="U85" s="5">
        <f t="shared" si="1"/>
        <v>15</v>
      </c>
      <c r="V85" s="5">
        <f t="shared" si="2"/>
        <v>0.48902717216836367</v>
      </c>
      <c r="W85" s="43">
        <f t="shared" si="3"/>
        <v>35.60152717216836</v>
      </c>
      <c r="X85" s="5" t="str" cm="1">
        <f t="array" ref="X85">_xlfn.IFS($W85 &lt;= 30, "Low", $W85 &lt;=50, "Medium", $W85 &lt;= 70, "High", $W85 &gt; 70, "Critical")</f>
        <v>Medium</v>
      </c>
      <c r="Y85" s="9">
        <f t="shared" si="4"/>
        <v>9.5784499405645179E-3</v>
      </c>
      <c r="Z85" s="22">
        <f t="shared" si="5"/>
        <v>442.29675916752768</v>
      </c>
    </row>
    <row r="86" spans="1:26">
      <c r="A86" s="24" t="str">
        <v>CUST-1868</v>
      </c>
      <c r="B86" s="24" t="str">
        <v>Deal Hunter</v>
      </c>
      <c r="C86" s="24" t="str">
        <v>Referral</v>
      </c>
      <c r="D86" s="24" t="str">
        <v>Canada</v>
      </c>
      <c r="E86" s="24" t="str">
        <v>45-54</v>
      </c>
      <c r="F86" s="24" t="str">
        <v>High</v>
      </c>
      <c r="G86" s="24">
        <v>5</v>
      </c>
      <c r="H86" s="24">
        <v>181</v>
      </c>
      <c r="I86" s="23">
        <v>447.75</v>
      </c>
      <c r="J86" s="24" cm="1">
        <f t="array" ref="J86">SUMPRODUCT(
    (Transactions_and_Customer_Information_Joined[Customer ID]='V1-Based Churn Model (Step 3)'!$A86)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86" s="24">
        <f>SUMIF(Transactions_and_Customer_Information_Joined[Customer ID], 'V1-Based Churn Model (Step 3)'!$A86, Transactions_and_Customer_Information_Joined[Gross Revenue])</f>
        <v>497.04</v>
      </c>
      <c r="L86" s="3">
        <f t="shared" si="0"/>
        <v>0</v>
      </c>
      <c r="M86" s="21">
        <v>0</v>
      </c>
      <c r="N86" s="21" cm="1">
        <f t="array" ref="N86">SUMPRODUCT(
    (Transactions_and_Customer_Information_Joined[Customer ID]=$A86)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86" s="21" cm="1">
        <f t="array" ref="O86">IFERROR(
    SUMPRODUCT(
        (Transactions_and_Customer_Information_Joined[Customer ID]=$A86)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$J86,
0)</f>
        <v>0</v>
      </c>
      <c r="P86" s="5" cm="1">
        <f t="array" ref="P86">_xlfn.IFS(B86="At-Risk Churner",$B$2,$B86="Dormant",$B$3,$B86="Deal Hunter",$B$4,$B86="New Customer",$B$5,$B86="Occasional Buyer",$B$6,$B86="Loyal High-Value",$B$7)</f>
        <v>45</v>
      </c>
      <c r="Q86" s="9" cm="1">
        <f t="array" ref="Q86">_xlfn.IFS($B86 = "At-Risk Churner", $B$8, $B86="Dormant",$B$9, $B86="Deal Hunter", $B$10, $B86="New Customer", $B$11, $B86="Occasional Buyer", $B$12, $B86 = "Loyal High-Value",$B$13)</f>
        <v>0.25</v>
      </c>
      <c r="R86" s="5">
        <v>15</v>
      </c>
      <c r="S86" s="5">
        <v>0</v>
      </c>
      <c r="T86" s="5">
        <v>8</v>
      </c>
      <c r="U86" s="5">
        <f t="shared" si="1"/>
        <v>0</v>
      </c>
      <c r="V86" s="5">
        <f t="shared" si="2"/>
        <v>0</v>
      </c>
      <c r="W86" s="43">
        <f t="shared" si="3"/>
        <v>68</v>
      </c>
      <c r="X86" s="5" t="str" cm="1">
        <f t="array" ref="X86">_xlfn.IFS($W86 &lt;= 30, "Low", $W86 &lt;=50, "Medium", $W86 &lt;= 70, "High", $W86 &gt; 70, "Critical")</f>
        <v>High</v>
      </c>
      <c r="Y86" s="9">
        <f t="shared" si="4"/>
        <v>0.21453723377487807</v>
      </c>
      <c r="Z86" s="22">
        <f t="shared" si="5"/>
        <v>166.39723713816133</v>
      </c>
    </row>
    <row r="87" spans="1:26">
      <c r="A87" s="24" t="str">
        <v>CUST-1782</v>
      </c>
      <c r="B87" s="24" t="str">
        <v>Occasional Buyer</v>
      </c>
      <c r="C87" s="24" t="str">
        <v>Influencer</v>
      </c>
      <c r="D87" s="24" t="str">
        <v>Midwest</v>
      </c>
      <c r="E87" s="24" t="str">
        <v>35-44</v>
      </c>
      <c r="F87" s="24" t="str">
        <v>Low</v>
      </c>
      <c r="G87" s="24">
        <v>3</v>
      </c>
      <c r="H87" s="24">
        <v>250</v>
      </c>
      <c r="I87" s="23">
        <v>341.75</v>
      </c>
      <c r="J87" s="24" cm="1">
        <f t="array" ref="J87">SUMPRODUCT(
    (Transactions_and_Customer_Information_Joined[Customer ID]='V1-Based Churn Model (Step 3)'!$A87) *
    (IFERROR(_xlfn.XLOOKUP(Transactions_and_Customer_Information_Joined[SKU], 'V1 Pricing Model (Step 2)'!$A$22:$A$71, 'V1 Pricing Model (Step 2)'!$AL$22:$AL$71), "Exclude")&lt;&gt;"Exclude") *
    Transactions_and_Customer_Information_Joined[Gross Revenue])</f>
        <v>262.5</v>
      </c>
      <c r="K87" s="24">
        <f>SUMIF(Transactions_and_Customer_Information_Joined[Customer ID], 'V1-Based Churn Model (Step 3)'!$A87, Transactions_and_Customer_Information_Joined[Gross Revenue])</f>
        <v>262.5</v>
      </c>
      <c r="L87" s="3">
        <f t="shared" si="0"/>
        <v>1</v>
      </c>
      <c r="M87" s="21">
        <v>0.24833629343146826</v>
      </c>
      <c r="N87" s="21" cm="1">
        <f t="array" ref="N87">SUMPRODUCT(
    (Transactions_and_Customer_Information_Joined[Customer ID]=$A87)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2</v>
      </c>
      <c r="O87" s="21" cm="1">
        <f t="array" ref="O87">IFERROR(
    SUMPRODUCT(
        (Transactions_and_Customer_Information_Joined[Customer ID]=$A87)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$J87,
0)</f>
        <v>0.15507537226394774</v>
      </c>
      <c r="P87" s="5" cm="1">
        <f t="array" ref="P87">_xlfn.IFS(B87="At-Risk Churner",$B$2,$B87="Dormant",$B$3,$B87="Deal Hunter",$B$4,$B87="New Customer",$B$5,$B87="Occasional Buyer",$B$6,$B87="Loyal High-Value",$B$7)</f>
        <v>25</v>
      </c>
      <c r="Q87" s="9" cm="1">
        <f t="array" ref="Q87">_xlfn.IFS($B87 = "At-Risk Churner", $B$8, $B87="Dormant",$B$9, $B87="Deal Hunter", $B$10, $B87="New Customer", $B$11, $B87="Occasional Buyer", $B$12, $B87 = "Loyal High-Value",$B$13)</f>
        <v>0.18</v>
      </c>
      <c r="R87" s="5">
        <v>-5</v>
      </c>
      <c r="S87" s="5">
        <v>10</v>
      </c>
      <c r="T87" s="5">
        <v>8</v>
      </c>
      <c r="U87" s="5">
        <f t="shared" si="1"/>
        <v>15</v>
      </c>
      <c r="V87" s="5">
        <f t="shared" si="2"/>
        <v>8.0682333139083191</v>
      </c>
      <c r="W87" s="43">
        <f t="shared" si="3"/>
        <v>61.205733313908325</v>
      </c>
      <c r="X87" s="5" t="str" cm="1">
        <f t="array" ref="X87">_xlfn.IFS($W87 &lt;= 30, "Low", $W87 &lt;=50, "Medium", $W87 &lt;= 70, "High", $W87 &gt; 70, "Critical")</f>
        <v>High</v>
      </c>
      <c r="Y87" s="9">
        <f t="shared" si="4"/>
        <v>0.13573710864864799</v>
      </c>
      <c r="Z87" s="22">
        <f t="shared" si="5"/>
        <v>105.46052550454037</v>
      </c>
    </row>
    <row r="88" spans="1:26">
      <c r="A88" s="24" t="str">
        <v>CUST-3103</v>
      </c>
      <c r="B88" s="24" t="str">
        <v>At-Risk Churner</v>
      </c>
      <c r="C88" s="24" t="str">
        <v>Direct</v>
      </c>
      <c r="D88" s="24" t="str">
        <v>UK</v>
      </c>
      <c r="E88" s="24" t="str">
        <v>18-24</v>
      </c>
      <c r="F88" s="24" t="str">
        <v>Low</v>
      </c>
      <c r="G88" s="24">
        <v>0</v>
      </c>
      <c r="H88" s="24">
        <v>257</v>
      </c>
      <c r="I88" s="23">
        <v>233.61</v>
      </c>
      <c r="J88" s="24" cm="1">
        <f t="array" ref="J88">SUMPRODUCT(
    (Transactions_and_Customer_Information_Joined[Customer ID]='V1-Based Churn Model (Step 3)'!$A88) *
    (IFERROR(_xlfn.XLOOKUP(Transactions_and_Customer_Information_Joined[SKU], 'V1 Pricing Model (Step 2)'!$A$22:$A$71, 'V1 Pricing Model (Step 2)'!$AL$22:$AL$71), "Exclude")&lt;&gt;"Exclude") *
    Transactions_and_Customer_Information_Joined[Gross Revenue])</f>
        <v>69.87</v>
      </c>
      <c r="K88" s="24">
        <f>SUMIF(Transactions_and_Customer_Information_Joined[Customer ID], 'V1-Based Churn Model (Step 3)'!$A88, Transactions_and_Customer_Information_Joined[Gross Revenue])</f>
        <v>69.87</v>
      </c>
      <c r="L88" s="3">
        <f t="shared" si="0"/>
        <v>1</v>
      </c>
      <c r="M88" s="21">
        <v>-7.0269238925823692E-3</v>
      </c>
      <c r="N88" s="21" cm="1">
        <f t="array" ref="N88">SUMPRODUCT(
    (Transactions_and_Customer_Information_Joined[Customer ID]=$A88)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2</v>
      </c>
      <c r="O88" s="21" cm="1">
        <f t="array" ref="O88">IFERROR(
    SUMPRODUCT(
        (Transactions_and_Customer_Information_Joined[Customer ID]=$A88)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$J88,
0)</f>
        <v>-3.6527099637910038E-2</v>
      </c>
      <c r="P88" s="5" cm="1">
        <f t="array" ref="P88">_xlfn.IFS(B88="At-Risk Churner",$B$2,$B88="Dormant",$B$3,$B88="Deal Hunter",$B$4,$B88="New Customer",$B$5,$B88="Occasional Buyer",$B$6,$B88="Loyal High-Value",$B$7)</f>
        <v>70</v>
      </c>
      <c r="Q88" s="9" cm="1">
        <f t="array" ref="Q88">_xlfn.IFS($B88 = "At-Risk Churner", $B$8, $B88="Dormant",$B$9, $B88="Deal Hunter", $B$10, $B88="New Customer", $B$11, $B88="Occasional Buyer", $B$12, $B88 = "Loyal High-Value",$B$13)</f>
        <v>0.45</v>
      </c>
      <c r="R88" s="5">
        <v>-5</v>
      </c>
      <c r="S88" s="5">
        <v>10</v>
      </c>
      <c r="T88" s="5">
        <v>8</v>
      </c>
      <c r="U88" s="5">
        <f t="shared" si="1"/>
        <v>15</v>
      </c>
      <c r="V88" s="5">
        <f t="shared" si="2"/>
        <v>0.87108047060984817</v>
      </c>
      <c r="W88" s="43">
        <f t="shared" si="3"/>
        <v>99.45858047060986</v>
      </c>
      <c r="X88" s="5" t="str" cm="1">
        <f t="array" ref="X88">_xlfn.IFS($W88 &lt;= 30, "Low", $W88 &lt;=50, "Medium", $W88 &lt;= 70, "High", $W88 &gt; 70, "Critical")</f>
        <v>Critical</v>
      </c>
      <c r="Y88" s="9">
        <f t="shared" si="4"/>
        <v>0.44682184161921651</v>
      </c>
      <c r="Z88" s="22">
        <f t="shared" si="5"/>
        <v>104.38205042066518</v>
      </c>
    </row>
    <row r="89" spans="1:26">
      <c r="A89" s="24" t="str">
        <v>CUST-2488</v>
      </c>
      <c r="B89" s="24" t="str">
        <v>Loyal High-Value</v>
      </c>
      <c r="C89" s="24" t="str">
        <v>Organic Search</v>
      </c>
      <c r="D89" s="24" t="str">
        <v>Southwest</v>
      </c>
      <c r="E89" s="24" t="str">
        <v>18-24</v>
      </c>
      <c r="F89" s="24" t="str">
        <v>Medium</v>
      </c>
      <c r="G89" s="24">
        <v>8</v>
      </c>
      <c r="H89" s="24">
        <v>156</v>
      </c>
      <c r="I89" s="23">
        <v>2338.6999999999998</v>
      </c>
      <c r="J89" s="24" cm="1">
        <f t="array" ref="J89">SUMPRODUCT(
    (Transactions_and_Customer_Information_Joined[Customer ID]='V1-Based Churn Model (Step 3)'!$A89) *
    (IFERROR(_xlfn.XLOOKUP(Transactions_and_Customer_Information_Joined[SKU], 'V1 Pricing Model (Step 2)'!$A$22:$A$71, 'V1 Pricing Model (Step 2)'!$AL$22:$AL$71), "Exclude")&lt;&gt;"Exclude") *
    Transactions_and_Customer_Information_Joined[Gross Revenue])</f>
        <v>394.04</v>
      </c>
      <c r="K89" s="24">
        <f>SUMIF(Transactions_and_Customer_Information_Joined[Customer ID], 'V1-Based Churn Model (Step 3)'!$A89, Transactions_and_Customer_Information_Joined[Gross Revenue])</f>
        <v>394.04</v>
      </c>
      <c r="L89" s="3">
        <f t="shared" si="0"/>
        <v>1</v>
      </c>
      <c r="M89" s="21">
        <v>0.17380489413507264</v>
      </c>
      <c r="N89" s="21" cm="1">
        <f t="array" ref="N89">SUMPRODUCT(
    (Transactions_and_Customer_Information_Joined[Customer ID]=$A89)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89" s="21" cm="1">
        <f t="array" ref="O89">IFERROR(
    SUMPRODUCT(
        (Transactions_and_Customer_Information_Joined[Customer ID]=$A89)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$J89,
0)</f>
        <v>0.17380489413507264</v>
      </c>
      <c r="P89" s="5" cm="1">
        <f t="array" ref="P89">_xlfn.IFS(B89="At-Risk Churner",$B$2,$B89="Dormant",$B$3,$B89="Deal Hunter",$B$4,$B89="New Customer",$B$5,$B89="Occasional Buyer",$B$6,$B89="Loyal High-Value",$B$7)</f>
        <v>15</v>
      </c>
      <c r="Q89" s="9" cm="1">
        <f t="array" ref="Q89">_xlfn.IFS($B89 = "At-Risk Churner", $B$8, $B89="Dormant",$B$9, $B89="Deal Hunter", $B$10, $B89="New Customer", $B$11, $B89="Occasional Buyer", $B$12, $B89 = "Loyal High-Value",$B$13)</f>
        <v>0.05</v>
      </c>
      <c r="R89" s="5">
        <v>5</v>
      </c>
      <c r="S89" s="5">
        <v>-8</v>
      </c>
      <c r="T89" s="5">
        <v>0</v>
      </c>
      <c r="U89" s="5">
        <f t="shared" si="1"/>
        <v>15</v>
      </c>
      <c r="V89" s="5">
        <f t="shared" si="2"/>
        <v>6.9521957654029052</v>
      </c>
      <c r="W89" s="43">
        <f t="shared" si="3"/>
        <v>33.944695765402905</v>
      </c>
      <c r="X89" s="5" t="str" cm="1">
        <f t="array" ref="X89">_xlfn.IFS($W89 &lt;= 30, "Low", $W89 &lt;=50, "Medium", $W89 &lt;= 70, "High", $W89 &gt; 70, "Critical")</f>
        <v>Medium</v>
      </c>
      <c r="Y89" s="9">
        <f t="shared" si="4"/>
        <v>8.3605040285927509E-3</v>
      </c>
      <c r="Z89" s="22">
        <f t="shared" si="5"/>
        <v>483.38216861733588</v>
      </c>
    </row>
    <row r="90" spans="1:26">
      <c r="A90" s="24" t="str">
        <v>CUST-1405</v>
      </c>
      <c r="B90" s="24" t="str">
        <v>New Customer</v>
      </c>
      <c r="C90" s="24" t="str">
        <v>Email Campaign</v>
      </c>
      <c r="D90" s="24" t="str">
        <v>Northeast</v>
      </c>
      <c r="E90" s="24" t="str">
        <v>45-54</v>
      </c>
      <c r="F90" s="24" t="str">
        <v>Medium</v>
      </c>
      <c r="G90" s="24">
        <v>4</v>
      </c>
      <c r="H90" s="24">
        <v>275</v>
      </c>
      <c r="I90" s="23">
        <v>128.59</v>
      </c>
      <c r="J90" s="24" cm="1">
        <f t="array" ref="J90">SUMPRODUCT(
    (Transactions_and_Customer_Information_Joined[Customer ID]='V1-Based Churn Model (Step 3)'!$A90) *
    (IFERROR(_xlfn.XLOOKUP(Transactions_and_Customer_Information_Joined[SKU], 'V1 Pricing Model (Step 2)'!$A$22:$A$71, 'V1 Pricing Model (Step 2)'!$AL$22:$AL$71), "Exclude")&lt;&gt;"Exclude") *
    Transactions_and_Customer_Information_Joined[Gross Revenue])</f>
        <v>53.22</v>
      </c>
      <c r="K90" s="24">
        <f>SUMIF(Transactions_and_Customer_Information_Joined[Customer ID], 'V1-Based Churn Model (Step 3)'!$A90, Transactions_and_Customer_Information_Joined[Gross Revenue])</f>
        <v>53.22</v>
      </c>
      <c r="L90" s="3">
        <f t="shared" si="0"/>
        <v>1</v>
      </c>
      <c r="M90" s="21">
        <v>0.10709640328514787</v>
      </c>
      <c r="N90" s="21" cm="1">
        <f t="array" ref="N90">SUMPRODUCT(
    (Transactions_and_Customer_Information_Joined[Customer ID]=$A90)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90" s="21" cm="1">
        <f t="array" ref="O90">IFERROR(
    SUMPRODUCT(
        (Transactions_and_Customer_Information_Joined[Customer ID]=$A90)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$J90,
0)</f>
        <v>0.10709640328514787</v>
      </c>
      <c r="P90" s="5" cm="1">
        <f t="array" ref="P90">_xlfn.IFS(B90="At-Risk Churner",$B$2,$B90="Dormant",$B$3,$B90="Deal Hunter",$B$4,$B90="New Customer",$B$5,$B90="Occasional Buyer",$B$6,$B90="Loyal High-Value",$B$7)</f>
        <v>35</v>
      </c>
      <c r="Q90" s="9" cm="1">
        <f t="array" ref="Q90">_xlfn.IFS($B90 = "At-Risk Churner", $B$8, $B90="Dormant",$B$9, $B90="Deal Hunter", $B$10, $B90="New Customer", $B$11, $B90="Occasional Buyer", $B$12, $B90 = "Loyal High-Value",$B$13)</f>
        <v>0.35</v>
      </c>
      <c r="R90" s="5">
        <v>5</v>
      </c>
      <c r="S90" s="5">
        <v>0</v>
      </c>
      <c r="T90" s="5">
        <v>8</v>
      </c>
      <c r="U90" s="5">
        <f t="shared" si="1"/>
        <v>15</v>
      </c>
      <c r="V90" s="5">
        <f t="shared" si="2"/>
        <v>4.2838561314059147</v>
      </c>
      <c r="W90" s="43">
        <f t="shared" si="3"/>
        <v>67.396356131405909</v>
      </c>
      <c r="X90" s="5" t="str" cm="1">
        <f t="array" ref="X90">_xlfn.IFS($W90 &lt;= 30, "Low", $W90 &lt;=50, "Medium", $W90 &lt;= 70, "High", $W90 &gt; 70, "Critical")</f>
        <v>High</v>
      </c>
      <c r="Y90" s="9">
        <f t="shared" si="4"/>
        <v>0.29772427147829328</v>
      </c>
      <c r="Z90" s="22">
        <f t="shared" si="5"/>
        <v>56.345491255514986</v>
      </c>
    </row>
    <row r="91" spans="1:26">
      <c r="A91" s="24" t="str">
        <v>CUST-4972</v>
      </c>
      <c r="B91" s="24" t="str">
        <v>New Customer</v>
      </c>
      <c r="C91" s="24" t="str">
        <v>Paid Social</v>
      </c>
      <c r="D91" s="24" t="str">
        <v>Canada</v>
      </c>
      <c r="E91" s="24" t="str">
        <v>55+</v>
      </c>
      <c r="F91" s="24" t="str">
        <v>Low</v>
      </c>
      <c r="G91" s="24">
        <v>3</v>
      </c>
      <c r="H91" s="24">
        <v>257</v>
      </c>
      <c r="I91" s="23">
        <v>146.9</v>
      </c>
      <c r="J91" s="24" cm="1">
        <f t="array" ref="J91">SUMPRODUCT(
    (Transactions_and_Customer_Information_Joined[Customer ID]='V1-Based Churn Model (Step 3)'!$A91) *
    (IFERROR(_xlfn.XLOOKUP(Transactions_and_Customer_Information_Joined[SKU], 'V1 Pricing Model (Step 2)'!$A$22:$A$71, 'V1 Pricing Model (Step 2)'!$AL$22:$AL$71), "Exclude")&lt;&gt;"Exclude") *
    Transactions_and_Customer_Information_Joined[Gross Revenue])</f>
        <v>153.06</v>
      </c>
      <c r="K91" s="24">
        <f>SUMIF(Transactions_and_Customer_Information_Joined[Customer ID], 'V1-Based Churn Model (Step 3)'!$A91, Transactions_and_Customer_Information_Joined[Gross Revenue])</f>
        <v>153.06</v>
      </c>
      <c r="L91" s="3">
        <f t="shared" si="0"/>
        <v>1</v>
      </c>
      <c r="M91" s="21">
        <v>5.3264377873214752E-2</v>
      </c>
      <c r="N91" s="21" cm="1">
        <f t="array" ref="N91">SUMPRODUCT(
    (Transactions_and_Customer_Information_Joined[Customer ID]=$A91)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91" s="21" cm="1">
        <f t="array" ref="O91">IFERROR(
    SUMPRODUCT(
        (Transactions_and_Customer_Information_Joined[Customer ID]=$A91)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$J91,
0)</f>
        <v>5.3264377873214752E-2</v>
      </c>
      <c r="P91" s="5" cm="1">
        <f t="array" ref="P91">_xlfn.IFS(B91="At-Risk Churner",$B$2,$B91="Dormant",$B$3,$B91="Deal Hunter",$B$4,$B91="New Customer",$B$5,$B91="Occasional Buyer",$B$6,$B91="Loyal High-Value",$B$7)</f>
        <v>35</v>
      </c>
      <c r="Q91" s="9" cm="1">
        <f t="array" ref="Q91">_xlfn.IFS($B91 = "At-Risk Churner", $B$8, $B91="Dormant",$B$9, $B91="Deal Hunter", $B$10, $B91="New Customer", $B$11, $B91="Occasional Buyer", $B$12, $B91 = "Loyal High-Value",$B$13)</f>
        <v>0.35</v>
      </c>
      <c r="R91" s="5">
        <v>-5</v>
      </c>
      <c r="S91" s="5">
        <v>10</v>
      </c>
      <c r="T91" s="5">
        <v>8</v>
      </c>
      <c r="U91" s="5">
        <f t="shared" si="1"/>
        <v>15</v>
      </c>
      <c r="V91" s="5">
        <f t="shared" si="2"/>
        <v>2.1305751149285901</v>
      </c>
      <c r="W91" s="43">
        <f t="shared" si="3"/>
        <v>65.368075114928587</v>
      </c>
      <c r="X91" s="5" t="str" cm="1">
        <f t="array" ref="X91">_xlfn.IFS($W91 &lt;= 30, "Low", $W91 &lt;=50, "Medium", $W91 &lt;= 70, "High", $W91 &gt; 70, "Critical")</f>
        <v>High</v>
      </c>
      <c r="Y91" s="9">
        <f t="shared" si="4"/>
        <v>0.28805005319704524</v>
      </c>
      <c r="Z91" s="22">
        <f t="shared" si="5"/>
        <v>63.231642251716764</v>
      </c>
    </row>
    <row r="92" spans="1:26">
      <c r="A92" s="24" t="str">
        <v>CUST-1072</v>
      </c>
      <c r="B92" s="24" t="str">
        <v>New Customer</v>
      </c>
      <c r="C92" s="24" t="str">
        <v>Referral</v>
      </c>
      <c r="D92" s="24" t="str">
        <v>Midwest</v>
      </c>
      <c r="E92" s="24" t="str">
        <v>45-54</v>
      </c>
      <c r="F92" s="24" t="str">
        <v>Low</v>
      </c>
      <c r="G92" s="24">
        <v>1</v>
      </c>
      <c r="H92" s="24">
        <v>114</v>
      </c>
      <c r="I92" s="23">
        <v>88.36</v>
      </c>
      <c r="J92" s="24" cm="1">
        <f t="array" ref="J92">SUMPRODUCT(
    (Transactions_and_Customer_Information_Joined[Customer ID]='V1-Based Churn Model (Step 3)'!$A92) *
    (IFERROR(_xlfn.XLOOKUP(Transactions_and_Customer_Information_Joined[SKU], 'V1 Pricing Model (Step 2)'!$A$22:$A$71, 'V1 Pricing Model (Step 2)'!$AL$22:$AL$71), "Exclude")&lt;&gt;"Exclude") *
    Transactions_and_Customer_Information_Joined[Gross Revenue])</f>
        <v>24.9</v>
      </c>
      <c r="K92" s="24">
        <f>SUMIF(Transactions_and_Customer_Information_Joined[Customer ID], 'V1-Based Churn Model (Step 3)'!$A92, Transactions_and_Customer_Information_Joined[Gross Revenue])</f>
        <v>24.9</v>
      </c>
      <c r="L92" s="3">
        <f t="shared" si="0"/>
        <v>1</v>
      </c>
      <c r="M92" s="21">
        <v>-0.13274948234794526</v>
      </c>
      <c r="N92" s="21" cm="1">
        <f t="array" ref="N92">SUMPRODUCT(
    (Transactions_and_Customer_Information_Joined[Customer ID]=$A92)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92" s="21" cm="1">
        <f t="array" ref="O92">IFERROR(
    SUMPRODUCT(
        (Transactions_and_Customer_Information_Joined[Customer ID]=$A92)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$J92,
0)</f>
        <v>-0.13274948234794526</v>
      </c>
      <c r="P92" s="5" cm="1">
        <f t="array" ref="P92">_xlfn.IFS(B92="At-Risk Churner",$B$2,$B92="Dormant",$B$3,$B92="Deal Hunter",$B$4,$B92="New Customer",$B$5,$B92="Occasional Buyer",$B$6,$B92="Loyal High-Value",$B$7)</f>
        <v>35</v>
      </c>
      <c r="Q92" s="9" cm="1">
        <f t="array" ref="Q92">_xlfn.IFS($B92 = "At-Risk Churner", $B$8, $B92="Dormant",$B$9, $B92="Deal Hunter", $B$10, $B92="New Customer", $B$11, $B92="Occasional Buyer", $B$12, $B92 = "Loyal High-Value",$B$13)</f>
        <v>0.35</v>
      </c>
      <c r="R92" s="5">
        <v>-5</v>
      </c>
      <c r="S92" s="5">
        <v>10</v>
      </c>
      <c r="T92" s="5">
        <v>0</v>
      </c>
      <c r="U92" s="5">
        <f t="shared" si="1"/>
        <v>15</v>
      </c>
      <c r="V92" s="5">
        <f t="shared" si="2"/>
        <v>5.3099792939178103</v>
      </c>
      <c r="W92" s="43">
        <f t="shared" si="3"/>
        <v>60.547479293917817</v>
      </c>
      <c r="X92" s="5" t="str" cm="1">
        <f t="array" ref="X92">_xlfn.IFS($W92 &lt;= 30, "Low", $W92 &lt;=50, "Medium", $W92 &lt;= 70, "High", $W92 &gt; 70, "Critical")</f>
        <v>High</v>
      </c>
      <c r="Y92" s="9">
        <f t="shared" si="4"/>
        <v>0.25958995620278202</v>
      </c>
      <c r="Z92" s="22">
        <f t="shared" si="5"/>
        <v>36.021894824062258</v>
      </c>
    </row>
    <row r="93" spans="1:26">
      <c r="A93" s="24" t="str">
        <v>CUST-1788</v>
      </c>
      <c r="B93" s="24" t="str">
        <v>Dormant</v>
      </c>
      <c r="C93" s="24" t="str">
        <v>Paid Social</v>
      </c>
      <c r="D93" s="24" t="str">
        <v>West</v>
      </c>
      <c r="E93" s="24" t="str">
        <v>18-24</v>
      </c>
      <c r="F93" s="24" t="str">
        <v>High</v>
      </c>
      <c r="G93" s="24">
        <v>9</v>
      </c>
      <c r="H93" s="24">
        <v>247</v>
      </c>
      <c r="I93" s="23">
        <v>38.979999999999997</v>
      </c>
      <c r="J93" s="24" cm="1">
        <f t="array" ref="J93">SUMPRODUCT(
    (Transactions_and_Customer_Information_Joined[Customer ID]='V1-Based Churn Model (Step 3)'!$A93) *
    (IFERROR(_xlfn.XLOOKUP(Transactions_and_Customer_Information_Joined[SKU], 'V1 Pricing Model (Step 2)'!$A$22:$A$71, 'V1 Pricing Model (Step 2)'!$AL$22:$AL$71), "Exclude")&lt;&gt;"Exclude") *
    Transactions_and_Customer_Information_Joined[Gross Revenue])</f>
        <v>230.34</v>
      </c>
      <c r="K93" s="24">
        <f>SUMIF(Transactions_and_Customer_Information_Joined[Customer ID], 'V1-Based Churn Model (Step 3)'!$A93, Transactions_and_Customer_Information_Joined[Gross Revenue])</f>
        <v>230.34</v>
      </c>
      <c r="L93" s="3">
        <f t="shared" si="0"/>
        <v>1</v>
      </c>
      <c r="M93" s="21">
        <v>0.26791845407776477</v>
      </c>
      <c r="N93" s="21" cm="1">
        <f t="array" ref="N93">SUMPRODUCT(
    (Transactions_and_Customer_Information_Joined[Customer ID]=$A93)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93" s="21" cm="1">
        <f t="array" ref="O93">IFERROR(
    SUMPRODUCT(
        (Transactions_and_Customer_Information_Joined[Customer ID]=$A93)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$J93,
0)</f>
        <v>0.26791845407776477</v>
      </c>
      <c r="P93" s="5" cm="1">
        <f t="array" ref="P93">_xlfn.IFS(B93="At-Risk Churner",$B$2,$B93="Dormant",$B$3,$B93="Deal Hunter",$B$4,$B93="New Customer",$B$5,$B93="Occasional Buyer",$B$6,$B93="Loyal High-Value",$B$7)</f>
        <v>65</v>
      </c>
      <c r="Q93" s="9" cm="1">
        <f t="array" ref="Q93">_xlfn.IFS($B93 = "At-Risk Churner", $B$8, $B93="Dormant",$B$9, $B93="Deal Hunter", $B$10, $B93="New Customer", $B$11, $B93="Occasional Buyer", $B$12, $B93 = "Loyal High-Value",$B$13)</f>
        <v>0.6</v>
      </c>
      <c r="R93" s="5">
        <v>15</v>
      </c>
      <c r="S93" s="5">
        <v>-8</v>
      </c>
      <c r="T93" s="5">
        <v>8</v>
      </c>
      <c r="U93" s="5">
        <f t="shared" si="1"/>
        <v>15</v>
      </c>
      <c r="V93" s="5">
        <f t="shared" si="2"/>
        <v>10.716738163110591</v>
      </c>
      <c r="W93" s="43">
        <f t="shared" si="3"/>
        <v>100</v>
      </c>
      <c r="X93" s="5" t="str" cm="1">
        <f t="array" ref="X93">_xlfn.IFS($W93 &lt;= 30, "Low", $W93 &lt;=50, "Medium", $W93 &lt;= 70, "High", $W93 &gt; 70, "Critical")</f>
        <v>Critical</v>
      </c>
      <c r="Y93" s="9">
        <f t="shared" si="4"/>
        <v>0.59598428944542914</v>
      </c>
      <c r="Z93" s="22">
        <f t="shared" si="5"/>
        <v>23.231467602582825</v>
      </c>
    </row>
    <row r="94" spans="1:26">
      <c r="A94" s="24" t="str">
        <v>CUST-1816</v>
      </c>
      <c r="B94" s="24" t="str">
        <v>New Customer</v>
      </c>
      <c r="C94" s="24" t="str">
        <v>Email Campaign</v>
      </c>
      <c r="D94" s="24" t="str">
        <v>Canada</v>
      </c>
      <c r="E94" s="24" t="str">
        <v>55+</v>
      </c>
      <c r="F94" s="24" t="str">
        <v>Low</v>
      </c>
      <c r="G94" s="24">
        <v>8</v>
      </c>
      <c r="H94" s="24">
        <v>326</v>
      </c>
      <c r="I94" s="23">
        <v>99.27</v>
      </c>
      <c r="J94" s="24" cm="1">
        <f t="array" ref="J94">SUMPRODUCT(
    (Transactions_and_Customer_Information_Joined[Customer ID]='V1-Based Churn Model (Step 3)'!$A94) *
    (IFERROR(_xlfn.XLOOKUP(Transactions_and_Customer_Information_Joined[SKU], 'V1 Pricing Model (Step 2)'!$A$22:$A$71, 'V1 Pricing Model (Step 2)'!$AL$22:$AL$71), "Exclude")&lt;&gt;"Exclude") *
    Transactions_and_Customer_Information_Joined[Gross Revenue])</f>
        <v>424.24</v>
      </c>
      <c r="K94" s="24">
        <f>SUMIF(Transactions_and_Customer_Information_Joined[Customer ID], 'V1-Based Churn Model (Step 3)'!$A94, Transactions_and_Customer_Information_Joined[Gross Revenue])</f>
        <v>424.24</v>
      </c>
      <c r="L94" s="3">
        <f t="shared" si="0"/>
        <v>1</v>
      </c>
      <c r="M94" s="21">
        <v>0.18762795201583557</v>
      </c>
      <c r="N94" s="21" cm="1">
        <f t="array" ref="N94">SUMPRODUCT(
    (Transactions_and_Customer_Information_Joined[Customer ID]=$A94)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94" s="21" cm="1">
        <f t="array" ref="O94">IFERROR(
    SUMPRODUCT(
        (Transactions_and_Customer_Information_Joined[Customer ID]=$A94)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$J94,
0)</f>
        <v>0.18762795201583557</v>
      </c>
      <c r="P94" s="5" cm="1">
        <f t="array" ref="P94">_xlfn.IFS(B94="At-Risk Churner",$B$2,$B94="Dormant",$B$3,$B94="Deal Hunter",$B$4,$B94="New Customer",$B$5,$B94="Occasional Buyer",$B$6,$B94="Loyal High-Value",$B$7)</f>
        <v>35</v>
      </c>
      <c r="Q94" s="9" cm="1">
        <f t="array" ref="Q94">_xlfn.IFS($B94 = "At-Risk Churner", $B$8, $B94="Dormant",$B$9, $B94="Deal Hunter", $B$10, $B94="New Customer", $B$11, $B94="Occasional Buyer", $B$12, $B94 = "Loyal High-Value",$B$13)</f>
        <v>0.35</v>
      </c>
      <c r="R94" s="5">
        <v>-5</v>
      </c>
      <c r="S94" s="5">
        <v>-8</v>
      </c>
      <c r="T94" s="5">
        <v>15</v>
      </c>
      <c r="U94" s="5">
        <f t="shared" si="1"/>
        <v>15</v>
      </c>
      <c r="V94" s="5">
        <f t="shared" si="2"/>
        <v>7.505118080633423</v>
      </c>
      <c r="W94" s="43">
        <f t="shared" si="3"/>
        <v>59.112618080633425</v>
      </c>
      <c r="X94" s="5" t="str" cm="1">
        <f t="array" ref="X94">_xlfn.IFS($W94 &lt;= 30, "Low", $W94 &lt;=50, "Medium", $W94 &lt;= 70, "High", $W94 &gt; 70, "Critical")</f>
        <v>High</v>
      </c>
      <c r="Y94" s="9">
        <f t="shared" si="4"/>
        <v>0.249640404404466</v>
      </c>
      <c r="Z94" s="22">
        <f t="shared" si="5"/>
        <v>39.679442356185071</v>
      </c>
    </row>
    <row r="95" spans="1:26">
      <c r="A95" s="24" t="str">
        <v>CUST-3431</v>
      </c>
      <c r="B95" s="24" t="str">
        <v>At-Risk Churner</v>
      </c>
      <c r="C95" s="24" t="str">
        <v>Paid Social</v>
      </c>
      <c r="D95" s="24" t="str">
        <v>Southeast</v>
      </c>
      <c r="E95" s="24" t="str">
        <v>55+</v>
      </c>
      <c r="F95" s="24" t="str">
        <v>Low</v>
      </c>
      <c r="G95" s="24">
        <v>3</v>
      </c>
      <c r="H95" s="24">
        <v>213</v>
      </c>
      <c r="I95" s="23">
        <v>387.18</v>
      </c>
      <c r="J95" s="24" cm="1">
        <f t="array" ref="J95">SUMPRODUCT(
    (Transactions_and_Customer_Information_Joined[Customer ID]='V1-Based Churn Model (Step 3)'!$A95) *
    (IFERROR(_xlfn.XLOOKUP(Transactions_and_Customer_Information_Joined[SKU], 'V1 Pricing Model (Step 2)'!$A$22:$A$71, 'V1 Pricing Model (Step 2)'!$AL$22:$AL$71), "Exclude")&lt;&gt;"Exclude") *
    Transactions_and_Customer_Information_Joined[Gross Revenue])</f>
        <v>67.56</v>
      </c>
      <c r="K95" s="24">
        <f>SUMIF(Transactions_and_Customer_Information_Joined[Customer ID], 'V1-Based Churn Model (Step 3)'!$A95, Transactions_and_Customer_Information_Joined[Gross Revenue])</f>
        <v>67.56</v>
      </c>
      <c r="L95" s="3">
        <f t="shared" si="0"/>
        <v>1</v>
      </c>
      <c r="M95" s="21">
        <v>0.10788177153562864</v>
      </c>
      <c r="N95" s="21" cm="1">
        <f t="array" ref="N95">SUMPRODUCT(
    (Transactions_and_Customer_Information_Joined[Customer ID]=$A95)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95" s="21" cm="1">
        <f t="array" ref="O95">IFERROR(
    SUMPRODUCT(
        (Transactions_and_Customer_Information_Joined[Customer ID]=$A95)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$J95,
0)</f>
        <v>0.10788177153562864</v>
      </c>
      <c r="P95" s="5" cm="1">
        <f t="array" ref="P95">_xlfn.IFS(B95="At-Risk Churner",$B$2,$B95="Dormant",$B$3,$B95="Deal Hunter",$B$4,$B95="New Customer",$B$5,$B95="Occasional Buyer",$B$6,$B95="Loyal High-Value",$B$7)</f>
        <v>70</v>
      </c>
      <c r="Q95" s="9" cm="1">
        <f t="array" ref="Q95">_xlfn.IFS($B95 = "At-Risk Churner", $B$8, $B95="Dormant",$B$9, $B95="Deal Hunter", $B$10, $B95="New Customer", $B$11, $B95="Occasional Buyer", $B$12, $B95 = "Loyal High-Value",$B$13)</f>
        <v>0.45</v>
      </c>
      <c r="R95" s="5">
        <v>-5</v>
      </c>
      <c r="S95" s="5">
        <v>10</v>
      </c>
      <c r="T95" s="5">
        <v>8</v>
      </c>
      <c r="U95" s="5">
        <f t="shared" si="1"/>
        <v>15</v>
      </c>
      <c r="V95" s="5">
        <f t="shared" si="2"/>
        <v>4.3152708614251454</v>
      </c>
      <c r="W95" s="43">
        <f t="shared" si="3"/>
        <v>100</v>
      </c>
      <c r="X95" s="5" t="str" cm="1">
        <f t="array" ref="X95">_xlfn.IFS($W95 &lt;= 30, "Low", $W95 &lt;=50, "Medium", $W95 &lt;= 70, "High", $W95 &gt; 70, "Critical")</f>
        <v>Critical</v>
      </c>
      <c r="Y95" s="9">
        <f t="shared" si="4"/>
        <v>0.44698821708407188</v>
      </c>
      <c r="Z95" s="22">
        <f t="shared" si="5"/>
        <v>173.06489789061095</v>
      </c>
    </row>
    <row r="96" spans="1:26">
      <c r="A96" s="24" t="str">
        <v>CUST-1281</v>
      </c>
      <c r="B96" s="24" t="str">
        <v>New Customer</v>
      </c>
      <c r="C96" s="24" t="str">
        <v>Email Campaign</v>
      </c>
      <c r="D96" s="24" t="str">
        <v>West</v>
      </c>
      <c r="E96" s="24" t="str">
        <v>35-44</v>
      </c>
      <c r="F96" s="24" t="str">
        <v>Medium</v>
      </c>
      <c r="G96" s="24">
        <v>7</v>
      </c>
      <c r="H96" s="24">
        <v>6</v>
      </c>
      <c r="I96" s="23">
        <v>60.21</v>
      </c>
      <c r="J96" s="24" cm="1">
        <f t="array" ref="J96">SUMPRODUCT(
    (Transactions_and_Customer_Information_Joined[Customer ID]='V1-Based Churn Model (Step 3)'!$A96)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96" s="24">
        <f>SUMIF(Transactions_and_Customer_Information_Joined[Customer ID], 'V1-Based Churn Model (Step 3)'!$A96, Transactions_and_Customer_Information_Joined[Gross Revenue])</f>
        <v>462.09000000000003</v>
      </c>
      <c r="L96" s="3">
        <f t="shared" si="0"/>
        <v>0</v>
      </c>
      <c r="M96" s="21">
        <v>0</v>
      </c>
      <c r="N96" s="21" cm="1">
        <f t="array" ref="N96">SUMPRODUCT(
    (Transactions_and_Customer_Information_Joined[Customer ID]=$A96)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96" s="21" cm="1">
        <f t="array" ref="O96">IFERROR(
    SUMPRODUCT(
        (Transactions_and_Customer_Information_Joined[Customer ID]=$A96)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$J96,
0)</f>
        <v>0</v>
      </c>
      <c r="P96" s="5" cm="1">
        <f t="array" ref="P96">_xlfn.IFS(B96="At-Risk Churner",$B$2,$B96="Dormant",$B$3,$B96="Deal Hunter",$B$4,$B96="New Customer",$B$5,$B96="Occasional Buyer",$B$6,$B96="Loyal High-Value",$B$7)</f>
        <v>35</v>
      </c>
      <c r="Q96" s="9" cm="1">
        <f t="array" ref="Q96">_xlfn.IFS($B96 = "At-Risk Churner", $B$8, $B96="Dormant",$B$9, $B96="Deal Hunter", $B$10, $B96="New Customer", $B$11, $B96="Occasional Buyer", $B$12, $B96 = "Loyal High-Value",$B$13)</f>
        <v>0.35</v>
      </c>
      <c r="R96" s="5">
        <v>5</v>
      </c>
      <c r="S96" s="5">
        <v>-8</v>
      </c>
      <c r="T96" s="5">
        <v>-5</v>
      </c>
      <c r="U96" s="5">
        <f t="shared" si="1"/>
        <v>0</v>
      </c>
      <c r="V96" s="5">
        <f t="shared" si="2"/>
        <v>0</v>
      </c>
      <c r="W96" s="43">
        <f t="shared" si="3"/>
        <v>26.72</v>
      </c>
      <c r="X96" s="5" t="str" cm="1">
        <f t="array" ref="X96">_xlfn.IFS($W96 &lt;= 30, "Low", $W96 &lt;=50, "Medium", $W96 &lt;= 70, "High", $W96 &gt; 70, "Critical")</f>
        <v>Low</v>
      </c>
      <c r="Y96" s="9">
        <f t="shared" si="4"/>
        <v>3.109064326413364E-2</v>
      </c>
      <c r="Z96" s="22">
        <f t="shared" si="5"/>
        <v>1.8719676309334865</v>
      </c>
    </row>
    <row r="97" spans="1:26">
      <c r="A97" s="24" t="str">
        <v>CUST-2583</v>
      </c>
      <c r="B97" s="24" t="str">
        <v>Loyal High-Value</v>
      </c>
      <c r="C97" s="24" t="str">
        <v>Email Campaign</v>
      </c>
      <c r="D97" s="24" t="str">
        <v>Midwest</v>
      </c>
      <c r="E97" s="24" t="str">
        <v>18-24</v>
      </c>
      <c r="F97" s="24" t="str">
        <v>High</v>
      </c>
      <c r="G97" s="24">
        <v>5</v>
      </c>
      <c r="H97" s="24">
        <v>85</v>
      </c>
      <c r="I97" s="23">
        <v>2137.2800000000002</v>
      </c>
      <c r="J97" s="24" cm="1">
        <f t="array" ref="J97">SUMPRODUCT(
    (Transactions_and_Customer_Information_Joined[Customer ID]='V1-Based Churn Model (Step 3)'!$A97) *
    (IFERROR(_xlfn.XLOOKUP(Transactions_and_Customer_Information_Joined[SKU], 'V1 Pricing Model (Step 2)'!$A$22:$A$71, 'V1 Pricing Model (Step 2)'!$AL$22:$AL$71), "Exclude")&lt;&gt;"Exclude") *
    Transactions_and_Customer_Information_Joined[Gross Revenue])</f>
        <v>113.18</v>
      </c>
      <c r="K97" s="24">
        <f>SUMIF(Transactions_and_Customer_Information_Joined[Customer ID], 'V1-Based Churn Model (Step 3)'!$A97, Transactions_and_Customer_Information_Joined[Gross Revenue])</f>
        <v>113.18</v>
      </c>
      <c r="L97" s="3">
        <f t="shared" si="0"/>
        <v>1</v>
      </c>
      <c r="M97" s="21">
        <v>7.8578478868305213E-2</v>
      </c>
      <c r="N97" s="21" cm="1">
        <f t="array" ref="N97">SUMPRODUCT(
    (Transactions_and_Customer_Information_Joined[Customer ID]=$A97)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97" s="21" cm="1">
        <f t="array" ref="O97">IFERROR(
    SUMPRODUCT(
        (Transactions_and_Customer_Information_Joined[Customer ID]=$A97)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$J97,
0)</f>
        <v>7.8578478868305213E-2</v>
      </c>
      <c r="P97" s="5" cm="1">
        <f t="array" ref="P97">_xlfn.IFS(B97="At-Risk Churner",$B$2,$B97="Dormant",$B$3,$B97="Deal Hunter",$B$4,$B97="New Customer",$B$5,$B97="Occasional Buyer",$B$6,$B97="Loyal High-Value",$B$7)</f>
        <v>15</v>
      </c>
      <c r="Q97" s="9" cm="1">
        <f t="array" ref="Q97">_xlfn.IFS($B97 = "At-Risk Churner", $B$8, $B97="Dormant",$B$9, $B97="Deal Hunter", $B$10, $B97="New Customer", $B$11, $B97="Occasional Buyer", $B$12, $B97 = "Loyal High-Value",$B$13)</f>
        <v>0.05</v>
      </c>
      <c r="R97" s="5">
        <v>15</v>
      </c>
      <c r="S97" s="5">
        <v>0</v>
      </c>
      <c r="T97" s="5">
        <v>0</v>
      </c>
      <c r="U97" s="5">
        <f t="shared" si="1"/>
        <v>15</v>
      </c>
      <c r="V97" s="5">
        <f t="shared" si="2"/>
        <v>3.1431391547322085</v>
      </c>
      <c r="W97" s="43">
        <f t="shared" si="3"/>
        <v>48.480639154732209</v>
      </c>
      <c r="X97" s="5" t="str" cm="1">
        <f t="array" ref="X97">_xlfn.IFS($W97 &lt;= 30, "Low", $W97 &lt;=50, "Medium", $W97 &lt;= 70, "High", $W97 &gt; 70, "Critical")</f>
        <v>Medium</v>
      </c>
      <c r="Y97" s="9">
        <f t="shared" si="4"/>
        <v>2.3104444049650424E-2</v>
      </c>
      <c r="Z97" s="22">
        <f t="shared" si="5"/>
        <v>466.96053294274952</v>
      </c>
    </row>
    <row r="98" spans="1:26">
      <c r="A98" s="24" t="str">
        <v>CUST-2489</v>
      </c>
      <c r="B98" s="24" t="str">
        <v>New Customer</v>
      </c>
      <c r="C98" s="24" t="str">
        <v>Referral</v>
      </c>
      <c r="D98" s="24" t="str">
        <v>UK</v>
      </c>
      <c r="E98" s="24" t="str">
        <v>18-24</v>
      </c>
      <c r="F98" s="24" t="str">
        <v>Low</v>
      </c>
      <c r="G98" s="24">
        <v>5</v>
      </c>
      <c r="H98" s="24">
        <v>150</v>
      </c>
      <c r="I98" s="23">
        <v>58.52</v>
      </c>
      <c r="J98" s="24" cm="1">
        <f t="array" ref="J98">SUMPRODUCT(
    (Transactions_and_Customer_Information_Joined[Customer ID]='V1-Based Churn Model (Step 3)'!$A98) *
    (IFERROR(_xlfn.XLOOKUP(Transactions_and_Customer_Information_Joined[SKU], 'V1 Pricing Model (Step 2)'!$A$22:$A$71, 'V1 Pricing Model (Step 2)'!$AL$22:$AL$71), "Exclude")&lt;&gt;"Exclude") *
    Transactions_and_Customer_Information_Joined[Gross Revenue])</f>
        <v>99.34</v>
      </c>
      <c r="K98" s="24">
        <f>SUMIF(Transactions_and_Customer_Information_Joined[Customer ID], 'V1-Based Churn Model (Step 3)'!$A98, Transactions_and_Customer_Information_Joined[Gross Revenue])</f>
        <v>99.34</v>
      </c>
      <c r="L98" s="3">
        <f t="shared" si="0"/>
        <v>1</v>
      </c>
      <c r="M98" s="21">
        <v>1.4049546680818285E-2</v>
      </c>
      <c r="N98" s="21" cm="1">
        <f t="array" ref="N98">SUMPRODUCT(
    (Transactions_and_Customer_Information_Joined[Customer ID]=$A98)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98" s="21" cm="1">
        <f t="array" ref="O98">IFERROR(
    SUMPRODUCT(
        (Transactions_and_Customer_Information_Joined[Customer ID]=$A98)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$J98,
0)</f>
        <v>1.4049546680818285E-2</v>
      </c>
      <c r="P98" s="5" cm="1">
        <f t="array" ref="P98">_xlfn.IFS(B98="At-Risk Churner",$B$2,$B98="Dormant",$B$3,$B98="Deal Hunter",$B$4,$B98="New Customer",$B$5,$B98="Occasional Buyer",$B$6,$B98="Loyal High-Value",$B$7)</f>
        <v>35</v>
      </c>
      <c r="Q98" s="9" cm="1">
        <f t="array" ref="Q98">_xlfn.IFS($B98 = "At-Risk Churner", $B$8, $B98="Dormant",$B$9, $B98="Deal Hunter", $B$10, $B98="New Customer", $B$11, $B98="Occasional Buyer", $B$12, $B98 = "Loyal High-Value",$B$13)</f>
        <v>0.35</v>
      </c>
      <c r="R98" s="5">
        <v>-5</v>
      </c>
      <c r="S98" s="5">
        <v>0</v>
      </c>
      <c r="T98" s="5">
        <v>0</v>
      </c>
      <c r="U98" s="5">
        <f t="shared" si="1"/>
        <v>15</v>
      </c>
      <c r="V98" s="5">
        <f t="shared" si="2"/>
        <v>0.56198186723273136</v>
      </c>
      <c r="W98" s="43">
        <f t="shared" si="3"/>
        <v>45.449481867232734</v>
      </c>
      <c r="X98" s="5" t="str" cm="1">
        <f t="array" ref="X98">_xlfn.IFS($W98 &lt;= 30, "Low", $W98 &lt;=50, "Medium", $W98 &lt;= 70, "High", $W98 &gt; 70, "Critical")</f>
        <v>Medium</v>
      </c>
      <c r="Y98" s="9">
        <f t="shared" si="4"/>
        <v>0.13585611399292963</v>
      </c>
      <c r="Z98" s="22">
        <f t="shared" si="5"/>
        <v>18.064239832692994</v>
      </c>
    </row>
    <row r="99" spans="1:26">
      <c r="A99" s="24" t="str">
        <v>CUST-3288</v>
      </c>
      <c r="B99" s="24" t="str">
        <v>Occasional Buyer</v>
      </c>
      <c r="C99" s="24" t="str">
        <v>Direct</v>
      </c>
      <c r="D99" s="24" t="str">
        <v>UK</v>
      </c>
      <c r="E99" s="24" t="str">
        <v>25-34</v>
      </c>
      <c r="F99" s="24" t="str">
        <v>Medium</v>
      </c>
      <c r="G99" s="24">
        <v>9</v>
      </c>
      <c r="H99" s="24">
        <v>85</v>
      </c>
      <c r="I99" s="23">
        <v>472.15</v>
      </c>
      <c r="J99" s="24" cm="1">
        <f t="array" ref="J99">SUMPRODUCT(
    (Transactions_and_Customer_Information_Joined[Customer ID]='V1-Based Churn Model (Step 3)'!$A99) *
    (IFERROR(_xlfn.XLOOKUP(Transactions_and_Customer_Information_Joined[SKU], 'V1 Pricing Model (Step 2)'!$A$22:$A$71, 'V1 Pricing Model (Step 2)'!$AL$22:$AL$71), "Exclude")&lt;&gt;"Exclude") *
    Transactions_and_Customer_Information_Joined[Gross Revenue])</f>
        <v>161.85000000000002</v>
      </c>
      <c r="K99" s="24">
        <f>SUMIF(Transactions_and_Customer_Information_Joined[Customer ID], 'V1-Based Churn Model (Step 3)'!$A99, Transactions_and_Customer_Information_Joined[Gross Revenue])</f>
        <v>161.85000000000002</v>
      </c>
      <c r="L99" s="3">
        <f t="shared" si="0"/>
        <v>1</v>
      </c>
      <c r="M99" s="21">
        <v>-6.3633334648082567E-3</v>
      </c>
      <c r="N99" s="21" cm="1">
        <f t="array" ref="N99">SUMPRODUCT(
    (Transactions_and_Customer_Information_Joined[Customer ID]=$A99)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99" s="21" cm="1">
        <f t="array" ref="O99">IFERROR(
    SUMPRODUCT(
        (Transactions_and_Customer_Information_Joined[Customer ID]=$A99)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$J99,
0)</f>
        <v>-6.3633334648082567E-3</v>
      </c>
      <c r="P99" s="5" cm="1">
        <f t="array" ref="P99">_xlfn.IFS(B99="At-Risk Churner",$B$2,$B99="Dormant",$B$3,$B99="Deal Hunter",$B$4,$B99="New Customer",$B$5,$B99="Occasional Buyer",$B$6,$B99="Loyal High-Value",$B$7)</f>
        <v>25</v>
      </c>
      <c r="Q99" s="9" cm="1">
        <f t="array" ref="Q99">_xlfn.IFS($B99 = "At-Risk Churner", $B$8, $B99="Dormant",$B$9, $B99="Deal Hunter", $B$10, $B99="New Customer", $B$11, $B99="Occasional Buyer", $B$12, $B99 = "Loyal High-Value",$B$13)</f>
        <v>0.18</v>
      </c>
      <c r="R99" s="5">
        <v>5</v>
      </c>
      <c r="S99" s="5">
        <v>-8</v>
      </c>
      <c r="T99" s="5">
        <v>0</v>
      </c>
      <c r="U99" s="5">
        <f t="shared" si="1"/>
        <v>15</v>
      </c>
      <c r="V99" s="5">
        <f t="shared" si="2"/>
        <v>0.25453333859233029</v>
      </c>
      <c r="W99" s="43">
        <f t="shared" si="3"/>
        <v>37.167033338592326</v>
      </c>
      <c r="X99" s="5" t="str" cm="1">
        <f t="array" ref="X99">_xlfn.IFS($W99 &lt;= 30, "Low", $W99 &lt;=50, "Medium", $W99 &lt;= 70, "High", $W99 &gt; 70, "Critical")</f>
        <v>Medium</v>
      </c>
      <c r="Y99" s="9">
        <f t="shared" si="4"/>
        <v>3.9058124510027527E-2</v>
      </c>
      <c r="Z99" s="22">
        <f t="shared" si="5"/>
        <v>109.18303478992759</v>
      </c>
    </row>
    <row r="100" spans="1:26">
      <c r="A100" s="24" t="str">
        <v>CUST-2491</v>
      </c>
      <c r="B100" s="24" t="str">
        <v>New Customer</v>
      </c>
      <c r="C100" s="24" t="str">
        <v>Influencer</v>
      </c>
      <c r="D100" s="24" t="str">
        <v>Southeast</v>
      </c>
      <c r="E100" s="24" t="str">
        <v>25-34</v>
      </c>
      <c r="F100" s="24" t="str">
        <v>Low</v>
      </c>
      <c r="G100" s="24">
        <v>5</v>
      </c>
      <c r="H100" s="24">
        <v>188</v>
      </c>
      <c r="I100" s="23">
        <v>125.17</v>
      </c>
      <c r="J100" s="24" cm="1">
        <f t="array" ref="J100">SUMPRODUCT(
    (Transactions_and_Customer_Information_Joined[Customer ID]='V1-Based Churn Model (Step 3)'!$A100) *
    (IFERROR(_xlfn.XLOOKUP(Transactions_and_Customer_Information_Joined[SKU], 'V1 Pricing Model (Step 2)'!$A$22:$A$71, 'V1 Pricing Model (Step 2)'!$AL$22:$AL$71), "Exclude")&lt;&gt;"Exclude") *
    Transactions_and_Customer_Information_Joined[Gross Revenue])</f>
        <v>197.52</v>
      </c>
      <c r="K100" s="24">
        <f>SUMIF(Transactions_and_Customer_Information_Joined[Customer ID], 'V1-Based Churn Model (Step 3)'!$A100, Transactions_and_Customer_Information_Joined[Gross Revenue])</f>
        <v>197.52</v>
      </c>
      <c r="L100" s="3">
        <f t="shared" si="0"/>
        <v>1</v>
      </c>
      <c r="M100" s="21">
        <v>5.4598129129915428E-2</v>
      </c>
      <c r="N100" s="21" cm="1">
        <f t="array" ref="N100">SUMPRODUCT(
    (Transactions_and_Customer_Information_Joined[Customer ID]=$A100)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00" s="21" cm="1">
        <f t="array" ref="O100">IFERROR(
    SUMPRODUCT(
        (Transactions_and_Customer_Information_Joined[Customer ID]=$A100)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$J100,
0)</f>
        <v>5.4598129129915428E-2</v>
      </c>
      <c r="P100" s="5" cm="1">
        <f t="array" ref="P100">_xlfn.IFS(B100="At-Risk Churner",$B$2,$B100="Dormant",$B$3,$B100="Deal Hunter",$B$4,$B100="New Customer",$B$5,$B100="Occasional Buyer",$B$6,$B100="Loyal High-Value",$B$7)</f>
        <v>35</v>
      </c>
      <c r="Q100" s="9" cm="1">
        <f t="array" ref="Q100">_xlfn.IFS($B100 = "At-Risk Churner", $B$8, $B100="Dormant",$B$9, $B100="Deal Hunter", $B$10, $B100="New Customer", $B$11, $B100="Occasional Buyer", $B$12, $B100 = "Loyal High-Value",$B$13)</f>
        <v>0.35</v>
      </c>
      <c r="R100" s="5">
        <v>-5</v>
      </c>
      <c r="S100" s="5">
        <v>0</v>
      </c>
      <c r="T100" s="5">
        <v>8</v>
      </c>
      <c r="U100" s="5">
        <f t="shared" si="1"/>
        <v>15</v>
      </c>
      <c r="V100" s="5">
        <f t="shared" si="2"/>
        <v>2.1839251651966172</v>
      </c>
      <c r="W100" s="43">
        <f t="shared" si="3"/>
        <v>55.071425165196622</v>
      </c>
      <c r="X100" s="5" t="str" cm="1">
        <f t="array" ref="X100">_xlfn.IFS($W100 &lt;= 30, "Low", $W100 &lt;=50, "Medium", $W100 &lt;= 70, "High", $W100 &gt; 70, "Critical")</f>
        <v>High</v>
      </c>
      <c r="Y100" s="9">
        <f t="shared" si="4"/>
        <v>0.21844773128938635</v>
      </c>
      <c r="Z100" s="22">
        <f t="shared" si="5"/>
        <v>46.90848202039399</v>
      </c>
    </row>
    <row r="101" spans="1:26">
      <c r="A101" s="24" t="str">
        <v>CUST-2469</v>
      </c>
      <c r="B101" s="24" t="str">
        <v>Dormant</v>
      </c>
      <c r="C101" s="24" t="str">
        <v>Paid Social</v>
      </c>
      <c r="D101" s="24" t="str">
        <v>UK</v>
      </c>
      <c r="E101" s="24" t="str">
        <v>18-24</v>
      </c>
      <c r="F101" s="24" t="str">
        <v>Medium</v>
      </c>
      <c r="G101" s="24">
        <v>4</v>
      </c>
      <c r="H101" s="24">
        <v>337</v>
      </c>
      <c r="I101" s="23">
        <v>88.23</v>
      </c>
      <c r="J101" s="24" cm="1">
        <f t="array" ref="J101">SUMPRODUCT(
    (Transactions_and_Customer_Information_Joined[Customer ID]='V1-Based Churn Model (Step 3)'!$A101) *
    (IFERROR(_xlfn.XLOOKUP(Transactions_and_Customer_Information_Joined[SKU], 'V1 Pricing Model (Step 2)'!$A$22:$A$71, 'V1 Pricing Model (Step 2)'!$AL$22:$AL$71), "Exclude")&lt;&gt;"Exclude") *
    Transactions_and_Customer_Information_Joined[Gross Revenue])</f>
        <v>281.64</v>
      </c>
      <c r="K101" s="24">
        <f>SUMIF(Transactions_and_Customer_Information_Joined[Customer ID], 'V1-Based Churn Model (Step 3)'!$A101, Transactions_and_Customer_Information_Joined[Gross Revenue])</f>
        <v>281.64</v>
      </c>
      <c r="L101" s="3">
        <f t="shared" si="0"/>
        <v>1</v>
      </c>
      <c r="M101" s="21">
        <v>0.10702390858761081</v>
      </c>
      <c r="N101" s="21" cm="1">
        <f t="array" ref="N101">SUMPRODUCT(
    (Transactions_and_Customer_Information_Joined[Customer ID]=$A101)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01" s="21" cm="1">
        <f t="array" ref="O101">IFERROR(
    SUMPRODUCT(
        (Transactions_and_Customer_Information_Joined[Customer ID]=$A101)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$J101,
0)</f>
        <v>0.10702390858761081</v>
      </c>
      <c r="P101" s="5" cm="1">
        <f t="array" ref="P101">_xlfn.IFS(B101="At-Risk Churner",$B$2,$B101="Dormant",$B$3,$B101="Deal Hunter",$B$4,$B101="New Customer",$B$5,$B101="Occasional Buyer",$B$6,$B101="Loyal High-Value",$B$7)</f>
        <v>65</v>
      </c>
      <c r="Q101" s="9" cm="1">
        <f t="array" ref="Q101">_xlfn.IFS($B101 = "At-Risk Churner", $B$8, $B101="Dormant",$B$9, $B101="Deal Hunter", $B$10, $B101="New Customer", $B$11, $B101="Occasional Buyer", $B$12, $B101 = "Loyal High-Value",$B$13)</f>
        <v>0.6</v>
      </c>
      <c r="R101" s="5">
        <v>5</v>
      </c>
      <c r="S101" s="5">
        <v>0</v>
      </c>
      <c r="T101" s="5">
        <v>15</v>
      </c>
      <c r="U101" s="5">
        <f t="shared" si="1"/>
        <v>15</v>
      </c>
      <c r="V101" s="5">
        <f t="shared" si="2"/>
        <v>4.2809563435044327</v>
      </c>
      <c r="W101" s="43">
        <f t="shared" si="3"/>
        <v>100</v>
      </c>
      <c r="X101" s="5" t="str" cm="1">
        <f t="array" ref="X101">_xlfn.IFS($W101 &lt;= 30, "Low", $W101 &lt;=50, "Medium", $W101 &lt;= 70, "High", $W101 &gt; 70, "Critical")</f>
        <v>Critical</v>
      </c>
      <c r="Y101" s="9">
        <f t="shared" si="4"/>
        <v>0.59598428944542914</v>
      </c>
      <c r="Z101" s="22">
        <f t="shared" si="5"/>
        <v>52.583693857770214</v>
      </c>
    </row>
    <row r="102" spans="1:26">
      <c r="A102" s="24" t="str">
        <v>CUST-1161</v>
      </c>
      <c r="B102" s="24" t="str">
        <v>Dormant</v>
      </c>
      <c r="C102" s="24" t="str">
        <v>Direct</v>
      </c>
      <c r="D102" s="24" t="str">
        <v>Canada</v>
      </c>
      <c r="E102" s="24" t="str">
        <v>45-54</v>
      </c>
      <c r="F102" s="24" t="str">
        <v>Medium</v>
      </c>
      <c r="G102" s="24">
        <v>8</v>
      </c>
      <c r="H102" s="24">
        <v>16</v>
      </c>
      <c r="I102" s="23">
        <v>50.19</v>
      </c>
      <c r="J102" s="24" cm="1">
        <f t="array" ref="J102">SUMPRODUCT(
    (Transactions_and_Customer_Information_Joined[Customer ID]='V1-Based Churn Model (Step 3)'!$A102) *
    (IFERROR(_xlfn.XLOOKUP(Transactions_and_Customer_Information_Joined[SKU], 'V1 Pricing Model (Step 2)'!$A$22:$A$71, 'V1 Pricing Model (Step 2)'!$AL$22:$AL$71), "Exclude")&lt;&gt;"Exclude") *
    Transactions_and_Customer_Information_Joined[Gross Revenue])</f>
        <v>18.7</v>
      </c>
      <c r="K102" s="24">
        <f>SUMIF(Transactions_and_Customer_Information_Joined[Customer ID], 'V1-Based Churn Model (Step 3)'!$A102, Transactions_and_Customer_Information_Joined[Gross Revenue])</f>
        <v>18.7</v>
      </c>
      <c r="L102" s="3">
        <f t="shared" si="0"/>
        <v>1</v>
      </c>
      <c r="M102" s="21">
        <v>0</v>
      </c>
      <c r="N102" s="21" cm="1">
        <f t="array" ref="N102">SUMPRODUCT(
    (Transactions_and_Customer_Information_Joined[Customer ID]=$A102)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02" s="21" cm="1">
        <f t="array" ref="O102">IFERROR(
    SUMPRODUCT(
        (Transactions_and_Customer_Information_Joined[Customer ID]=$A102)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$J102,
0)</f>
        <v>0</v>
      </c>
      <c r="P102" s="5" cm="1">
        <f t="array" ref="P102">_xlfn.IFS(B102="At-Risk Churner",$B$2,$B102="Dormant",$B$3,$B102="Deal Hunter",$B$4,$B102="New Customer",$B$5,$B102="Occasional Buyer",$B$6,$B102="Loyal High-Value",$B$7)</f>
        <v>65</v>
      </c>
      <c r="Q102" s="9" cm="1">
        <f t="array" ref="Q102">_xlfn.IFS($B102 = "At-Risk Churner", $B$8, $B102="Dormant",$B$9, $B102="Deal Hunter", $B$10, $B102="New Customer", $B$11, $B102="Occasional Buyer", $B$12, $B102 = "Loyal High-Value",$B$13)</f>
        <v>0.6</v>
      </c>
      <c r="R102" s="5">
        <v>5</v>
      </c>
      <c r="S102" s="5">
        <v>-8</v>
      </c>
      <c r="T102" s="5">
        <v>-5</v>
      </c>
      <c r="U102" s="5">
        <f t="shared" si="1"/>
        <v>15</v>
      </c>
      <c r="V102" s="5">
        <f t="shared" si="2"/>
        <v>0</v>
      </c>
      <c r="W102" s="43">
        <f t="shared" si="3"/>
        <v>71.592500000000001</v>
      </c>
      <c r="X102" s="5" t="str" cm="1">
        <f t="array" ref="X102">_xlfn.IFS($W102 &lt;= 30, "Low", $W102 &lt;=50, "Medium", $W102 &lt;= 70, "High", $W102 &gt; 70, "Critical")</f>
        <v>Critical</v>
      </c>
      <c r="Y102" s="9">
        <f t="shared" si="4"/>
        <v>0.53791799775488114</v>
      </c>
      <c r="Z102" s="22">
        <f t="shared" si="5"/>
        <v>26.998104307317483</v>
      </c>
    </row>
    <row r="103" spans="1:26">
      <c r="A103" s="24" t="str">
        <v>CUST-3484</v>
      </c>
      <c r="B103" s="24" t="str">
        <v>Deal Hunter</v>
      </c>
      <c r="C103" s="24" t="str">
        <v>Organic Search</v>
      </c>
      <c r="D103" s="24" t="str">
        <v>Southeast</v>
      </c>
      <c r="E103" s="24" t="str">
        <v>35-44</v>
      </c>
      <c r="F103" s="24" t="str">
        <v>High</v>
      </c>
      <c r="G103" s="24">
        <v>7</v>
      </c>
      <c r="H103" s="24">
        <v>3</v>
      </c>
      <c r="I103" s="23">
        <v>387.21</v>
      </c>
      <c r="J103" s="24" cm="1">
        <f t="array" ref="J103">SUMPRODUCT(
    (Transactions_and_Customer_Information_Joined[Customer ID]='V1-Based Churn Model (Step 3)'!$A103) *
    (IFERROR(_xlfn.XLOOKUP(Transactions_and_Customer_Information_Joined[SKU], 'V1 Pricing Model (Step 2)'!$A$22:$A$71, 'V1 Pricing Model (Step 2)'!$AL$22:$AL$71), "Exclude")&lt;&gt;"Exclude") *
    Transactions_and_Customer_Information_Joined[Gross Revenue])</f>
        <v>98.58</v>
      </c>
      <c r="K103" s="24">
        <f>SUMIF(Transactions_and_Customer_Information_Joined[Customer ID], 'V1-Based Churn Model (Step 3)'!$A103, Transactions_and_Customer_Information_Joined[Gross Revenue])</f>
        <v>98.58</v>
      </c>
      <c r="L103" s="3">
        <f t="shared" ref="L103:L166" si="6">IFERROR($J103/$K103, 0)</f>
        <v>1</v>
      </c>
      <c r="M103" s="21">
        <v>0</v>
      </c>
      <c r="N103" s="21" cm="1">
        <f t="array" ref="N103">SUMPRODUCT(
    (Transactions_and_Customer_Information_Joined[Customer ID]=$A103)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03" s="21" cm="1">
        <f t="array" ref="O103">IFERROR(
    SUMPRODUCT(
        (Transactions_and_Customer_Information_Joined[Customer ID]=$A103)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$J103,
0)</f>
        <v>0</v>
      </c>
      <c r="P103" s="5" cm="1">
        <f t="array" ref="P103">_xlfn.IFS(B103="At-Risk Churner",$B$2,$B103="Dormant",$B$3,$B103="Deal Hunter",$B$4,$B103="New Customer",$B$5,$B103="Occasional Buyer",$B$6,$B103="Loyal High-Value",$B$7)</f>
        <v>45</v>
      </c>
      <c r="Q103" s="9" cm="1">
        <f t="array" ref="Q103">_xlfn.IFS($B103 = "At-Risk Churner", $B$8, $B103="Dormant",$B$9, $B103="Deal Hunter", $B$10, $B103="New Customer", $B$11, $B103="Occasional Buyer", $B$12, $B103 = "Loyal High-Value",$B$13)</f>
        <v>0.25</v>
      </c>
      <c r="R103" s="5">
        <v>15</v>
      </c>
      <c r="S103" s="5">
        <v>-8</v>
      </c>
      <c r="T103" s="5">
        <v>-5</v>
      </c>
      <c r="U103" s="5">
        <f t="shared" si="1"/>
        <v>15</v>
      </c>
      <c r="V103" s="5">
        <f t="shared" si="2"/>
        <v>0</v>
      </c>
      <c r="W103" s="43">
        <f t="shared" si="3"/>
        <v>61.977499999999999</v>
      </c>
      <c r="X103" s="5" t="str" cm="1">
        <f t="array" ref="X103">_xlfn.IFS($W103 &lt;= 30, "Low", $W103 &lt;=50, "Medium", $W103 &lt;= 70, "High", $W103 &gt; 70, "Critical")</f>
        <v>High</v>
      </c>
      <c r="Y103" s="9">
        <f t="shared" si="4"/>
        <v>0.19203106979988294</v>
      </c>
      <c r="Z103" s="22">
        <f t="shared" si="5"/>
        <v>136.92708042977011</v>
      </c>
    </row>
    <row r="104" spans="1:26">
      <c r="A104" s="24" t="str">
        <v>CUST-2158</v>
      </c>
      <c r="B104" s="24" t="str">
        <v>At-Risk Churner</v>
      </c>
      <c r="C104" s="24" t="str">
        <v>Direct</v>
      </c>
      <c r="D104" s="24" t="str">
        <v>Southeast</v>
      </c>
      <c r="E104" s="24" t="str">
        <v>25-34</v>
      </c>
      <c r="F104" s="24" t="str">
        <v>Low</v>
      </c>
      <c r="G104" s="24">
        <v>2</v>
      </c>
      <c r="H104" s="24">
        <v>203</v>
      </c>
      <c r="I104" s="23">
        <v>160.58000000000001</v>
      </c>
      <c r="J104" s="24" cm="1">
        <f t="array" ref="J104">SUMPRODUCT(
    (Transactions_and_Customer_Information_Joined[Customer ID]='V1-Based Churn Model (Step 3)'!$A104) *
    (IFERROR(_xlfn.XLOOKUP(Transactions_and_Customer_Information_Joined[SKU], 'V1 Pricing Model (Step 2)'!$A$22:$A$71, 'V1 Pricing Model (Step 2)'!$AL$22:$AL$71), "Exclude")&lt;&gt;"Exclude") *
    Transactions_and_Customer_Information_Joined[Gross Revenue])</f>
        <v>84.95</v>
      </c>
      <c r="K104" s="24">
        <f>SUMIF(Transactions_and_Customer_Information_Joined[Customer ID], 'V1-Based Churn Model (Step 3)'!$A104, Transactions_and_Customer_Information_Joined[Gross Revenue])</f>
        <v>84.95</v>
      </c>
      <c r="L104" s="3">
        <f t="shared" si="6"/>
        <v>1</v>
      </c>
      <c r="M104" s="21">
        <v>0</v>
      </c>
      <c r="N104" s="21" cm="1">
        <f t="array" ref="N104">SUMPRODUCT(
    (Transactions_and_Customer_Information_Joined[Customer ID]=$A104)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04" s="21" cm="1">
        <f t="array" ref="O104">IFERROR(
    SUMPRODUCT(
        (Transactions_and_Customer_Information_Joined[Customer ID]=$A104)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$J104,
0)</f>
        <v>0</v>
      </c>
      <c r="P104" s="5" cm="1">
        <f t="array" ref="P104">_xlfn.IFS(B104="At-Risk Churner",$B$2,$B104="Dormant",$B$3,$B104="Deal Hunter",$B$4,$B104="New Customer",$B$5,$B104="Occasional Buyer",$B$6,$B104="Loyal High-Value",$B$7)</f>
        <v>70</v>
      </c>
      <c r="Q104" s="9" cm="1">
        <f t="array" ref="Q104">_xlfn.IFS($B104 = "At-Risk Churner", $B$8, $B104="Dormant",$B$9, $B104="Deal Hunter", $B$10, $B104="New Customer", $B$11, $B104="Occasional Buyer", $B$12, $B104 = "Loyal High-Value",$B$13)</f>
        <v>0.45</v>
      </c>
      <c r="R104" s="5">
        <v>-5</v>
      </c>
      <c r="S104" s="5">
        <v>10</v>
      </c>
      <c r="T104" s="5">
        <v>8</v>
      </c>
      <c r="U104" s="5">
        <f t="shared" ref="U104:U167" si="7">MIN(
    $L104 * $B$26 * (1 + $B$28 * LN(MAX($N104, 1))),
    $B$27
)</f>
        <v>15</v>
      </c>
      <c r="V104" s="5">
        <f t="shared" ref="V104:V167" si="8">MIN(
    $B$29 * ABS($O104) + $B$30 * ABS($M104),
    $B$31
)</f>
        <v>0</v>
      </c>
      <c r="W104" s="43">
        <f t="shared" ref="W104:W167" si="9">MIN(MAX(
    $P104 + $R104 + $S104 + $T104 + $U104 + $V104
    + $B$32 * ($R104 * $U104) / 100
    + $B$33 * ($P104 * $S104) / 100,
0), 100)</f>
        <v>98.587500000000006</v>
      </c>
      <c r="X104" s="5" t="str" cm="1">
        <f t="array" ref="X104">_xlfn.IFS($W104 &lt;= 30, "Low", $W104 &lt;=50, "Medium", $W104 &lt;= 70, "High", $W104 &gt; 70, "Critical")</f>
        <v>Critical</v>
      </c>
      <c r="Y104" s="9">
        <f t="shared" ref="Y104:Y167" si="10">$Q104 * (1 / (1 + EXP(-($W104 - 50) / $B$34)))</f>
        <v>0.44653481036444592</v>
      </c>
      <c r="Z104" s="22">
        <f t="shared" ref="Z104:Z167" si="11">_xlfn.LET(
    _xlpm.full_churn, $Y104 * $I104,
    _xlpm.partial_rate, IF(OR($X104="Medium", $X104="High"), (1 - $Y104) * 0.5 * $B$35, 0),
    _xlpm.partial_churn, _xlpm.partial_rate * $I104,
    _xlpm.full_churn + _xlpm.partial_churn
)</f>
        <v>71.704559848322731</v>
      </c>
    </row>
    <row r="105" spans="1:26">
      <c r="A105" s="24" t="str">
        <v>CUST-1618</v>
      </c>
      <c r="B105" s="24" t="str">
        <v>Loyal High-Value</v>
      </c>
      <c r="C105" s="24" t="str">
        <v>Email Campaign</v>
      </c>
      <c r="D105" s="24" t="str">
        <v>Northeast</v>
      </c>
      <c r="E105" s="24" t="str">
        <v>18-24</v>
      </c>
      <c r="F105" s="24" t="str">
        <v>Low</v>
      </c>
      <c r="G105" s="24">
        <v>5</v>
      </c>
      <c r="H105" s="24">
        <v>133</v>
      </c>
      <c r="I105" s="23">
        <v>1803.08</v>
      </c>
      <c r="J105" s="24" cm="1">
        <f t="array" ref="J105">SUMPRODUCT(
    (Transactions_and_Customer_Information_Joined[Customer ID]='V1-Based Churn Model (Step 3)'!$A105) *
    (IFERROR(_xlfn.XLOOKUP(Transactions_and_Customer_Information_Joined[SKU], 'V1 Pricing Model (Step 2)'!$A$22:$A$71, 'V1 Pricing Model (Step 2)'!$AL$22:$AL$71), "Exclude")&lt;&gt;"Exclude") *
    Transactions_and_Customer_Information_Joined[Gross Revenue])</f>
        <v>78.84</v>
      </c>
      <c r="K105" s="24">
        <f>SUMIF(Transactions_and_Customer_Information_Joined[Customer ID], 'V1-Based Churn Model (Step 3)'!$A105, Transactions_and_Customer_Information_Joined[Gross Revenue])</f>
        <v>78.84</v>
      </c>
      <c r="L105" s="3">
        <f t="shared" si="6"/>
        <v>1</v>
      </c>
      <c r="M105" s="21">
        <v>9.1108129362620652E-2</v>
      </c>
      <c r="N105" s="21" cm="1">
        <f t="array" ref="N105">SUMPRODUCT(
    (Transactions_and_Customer_Information_Joined[Customer ID]=$A105)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05" s="21" cm="1">
        <f t="array" ref="O105">IFERROR(
    SUMPRODUCT(
        (Transactions_and_Customer_Information_Joined[Customer ID]=$A105)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$J105,
0)</f>
        <v>9.1108129362620652E-2</v>
      </c>
      <c r="P105" s="5" cm="1">
        <f t="array" ref="P105">_xlfn.IFS(B105="At-Risk Churner",$B$2,$B105="Dormant",$B$3,$B105="Deal Hunter",$B$4,$B105="New Customer",$B$5,$B105="Occasional Buyer",$B$6,$B105="Loyal High-Value",$B$7)</f>
        <v>15</v>
      </c>
      <c r="Q105" s="9" cm="1">
        <f t="array" ref="Q105">_xlfn.IFS($B105 = "At-Risk Churner", $B$8, $B105="Dormant",$B$9, $B105="Deal Hunter", $B$10, $B105="New Customer", $B$11, $B105="Occasional Buyer", $B$12, $B105 = "Loyal High-Value",$B$13)</f>
        <v>0.05</v>
      </c>
      <c r="R105" s="5">
        <v>-5</v>
      </c>
      <c r="S105" s="5">
        <v>0</v>
      </c>
      <c r="T105" s="5">
        <v>0</v>
      </c>
      <c r="U105" s="5">
        <f t="shared" si="7"/>
        <v>15</v>
      </c>
      <c r="V105" s="5">
        <f t="shared" si="8"/>
        <v>3.644325174504826</v>
      </c>
      <c r="W105" s="43">
        <f t="shared" si="9"/>
        <v>28.531825174504824</v>
      </c>
      <c r="X105" s="5" t="str" cm="1">
        <f t="array" ref="X105">_xlfn.IFS($W105 &lt;= 30, "Low", $W105 &lt;=50, "Medium", $W105 &lt;= 70, "High", $W105 &gt; 70, "Critical")</f>
        <v>Low</v>
      </c>
      <c r="Y105" s="9">
        <f t="shared" si="10"/>
        <v>5.2314496023874108E-3</v>
      </c>
      <c r="Z105" s="22">
        <f t="shared" si="11"/>
        <v>9.432722149072692</v>
      </c>
    </row>
    <row r="106" spans="1:26">
      <c r="A106" s="24" t="str">
        <v>CUST-4029</v>
      </c>
      <c r="B106" s="24" t="str">
        <v>Loyal High-Value</v>
      </c>
      <c r="C106" s="24" t="str">
        <v>Email Campaign</v>
      </c>
      <c r="D106" s="24" t="str">
        <v>Northeast</v>
      </c>
      <c r="E106" s="24" t="str">
        <v>55+</v>
      </c>
      <c r="F106" s="24" t="str">
        <v>Medium</v>
      </c>
      <c r="G106" s="24">
        <v>5</v>
      </c>
      <c r="H106" s="24">
        <v>163</v>
      </c>
      <c r="I106" s="23">
        <v>1317.27</v>
      </c>
      <c r="J106" s="24" cm="1">
        <f t="array" ref="J106">SUMPRODUCT(
    (Transactions_and_Customer_Information_Joined[Customer ID]='V1-Based Churn Model (Step 3)'!$A106)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106" s="24">
        <f>SUMIF(Transactions_and_Customer_Information_Joined[Customer ID], 'V1-Based Churn Model (Step 3)'!$A106, Transactions_and_Customer_Information_Joined[Gross Revenue])</f>
        <v>821.6</v>
      </c>
      <c r="L106" s="3">
        <f t="shared" si="6"/>
        <v>0</v>
      </c>
      <c r="M106" s="21">
        <v>0</v>
      </c>
      <c r="N106" s="21" cm="1">
        <f t="array" ref="N106">SUMPRODUCT(
    (Transactions_and_Customer_Information_Joined[Customer ID]=$A106)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106" s="21" cm="1">
        <f t="array" ref="O106">IFERROR(
    SUMPRODUCT(
        (Transactions_and_Customer_Information_Joined[Customer ID]=$A106)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$J106,
0)</f>
        <v>0</v>
      </c>
      <c r="P106" s="5" cm="1">
        <f t="array" ref="P106">_xlfn.IFS(B106="At-Risk Churner",$B$2,$B106="Dormant",$B$3,$B106="Deal Hunter",$B$4,$B106="New Customer",$B$5,$B106="Occasional Buyer",$B$6,$B106="Loyal High-Value",$B$7)</f>
        <v>15</v>
      </c>
      <c r="Q106" s="9" cm="1">
        <f t="array" ref="Q106">_xlfn.IFS($B106 = "At-Risk Churner", $B$8, $B106="Dormant",$B$9, $B106="Deal Hunter", $B$10, $B106="New Customer", $B$11, $B106="Occasional Buyer", $B$12, $B106 = "Loyal High-Value",$B$13)</f>
        <v>0.05</v>
      </c>
      <c r="R106" s="5">
        <v>5</v>
      </c>
      <c r="S106" s="5">
        <v>0</v>
      </c>
      <c r="T106" s="5">
        <v>0</v>
      </c>
      <c r="U106" s="5">
        <f t="shared" si="7"/>
        <v>0</v>
      </c>
      <c r="V106" s="5">
        <f t="shared" si="8"/>
        <v>0</v>
      </c>
      <c r="W106" s="43">
        <f t="shared" si="9"/>
        <v>20</v>
      </c>
      <c r="X106" s="5" t="str" cm="1">
        <f t="array" ref="X106">_xlfn.IFS($W106 &lt;= 30, "Low", $W106 &lt;=50, "Medium", $W106 &lt;= 70, "High", $W106 &gt; 70, "Critical")</f>
        <v>Low</v>
      </c>
      <c r="Y106" s="9">
        <f t="shared" si="10"/>
        <v>2.3712936588783391E-3</v>
      </c>
      <c r="Z106" s="22">
        <f t="shared" si="11"/>
        <v>3.1236339980306695</v>
      </c>
    </row>
    <row r="107" spans="1:26">
      <c r="A107" s="24" t="str">
        <v>CUST-1824</v>
      </c>
      <c r="B107" s="24" t="str">
        <v>Dormant</v>
      </c>
      <c r="C107" s="24" t="str">
        <v>Paid Social</v>
      </c>
      <c r="D107" s="24" t="str">
        <v>Northeast</v>
      </c>
      <c r="E107" s="24" t="str">
        <v>25-34</v>
      </c>
      <c r="F107" s="24" t="str">
        <v>Medium</v>
      </c>
      <c r="G107" s="24">
        <v>0</v>
      </c>
      <c r="H107" s="24">
        <v>47</v>
      </c>
      <c r="I107" s="23">
        <v>102.16</v>
      </c>
      <c r="J107" s="24" cm="1">
        <f t="array" ref="J107">SUMPRODUCT(
    (Transactions_and_Customer_Information_Joined[Customer ID]='V1-Based Churn Model (Step 3)'!$A107) *
    (IFERROR(_xlfn.XLOOKUP(Transactions_and_Customer_Information_Joined[SKU], 'V1 Pricing Model (Step 2)'!$A$22:$A$71, 'V1 Pricing Model (Step 2)'!$AL$22:$AL$71), "Exclude")&lt;&gt;"Exclude") *
    Transactions_and_Customer_Information_Joined[Gross Revenue])</f>
        <v>53.4</v>
      </c>
      <c r="K107" s="24">
        <f>SUMIF(Transactions_and_Customer_Information_Joined[Customer ID], 'V1-Based Churn Model (Step 3)'!$A107, Transactions_and_Customer_Information_Joined[Gross Revenue])</f>
        <v>53.4</v>
      </c>
      <c r="L107" s="3">
        <f t="shared" si="6"/>
        <v>1</v>
      </c>
      <c r="M107" s="21">
        <v>7.5818801139291682E-3</v>
      </c>
      <c r="N107" s="21" cm="1">
        <f t="array" ref="N107">SUMPRODUCT(
    (Transactions_and_Customer_Information_Joined[Customer ID]=$A107)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07" s="21" cm="1">
        <f t="array" ref="O107">IFERROR(
    SUMPRODUCT(
        (Transactions_and_Customer_Information_Joined[Customer ID]=$A107)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$J107,
0)</f>
        <v>7.5818801139291682E-3</v>
      </c>
      <c r="P107" s="5" cm="1">
        <f t="array" ref="P107">_xlfn.IFS(B107="At-Risk Churner",$B$2,$B107="Dormant",$B$3,$B107="Deal Hunter",$B$4,$B107="New Customer",$B$5,$B107="Occasional Buyer",$B$6,$B107="Loyal High-Value",$B$7)</f>
        <v>65</v>
      </c>
      <c r="Q107" s="9" cm="1">
        <f t="array" ref="Q107">_xlfn.IFS($B107 = "At-Risk Churner", $B$8, $B107="Dormant",$B$9, $B107="Deal Hunter", $B$10, $B107="New Customer", $B$11, $B107="Occasional Buyer", $B$12, $B107 = "Loyal High-Value",$B$13)</f>
        <v>0.6</v>
      </c>
      <c r="R107" s="5">
        <v>5</v>
      </c>
      <c r="S107" s="5">
        <v>10</v>
      </c>
      <c r="T107" s="5">
        <v>-5</v>
      </c>
      <c r="U107" s="5">
        <f t="shared" si="7"/>
        <v>15</v>
      </c>
      <c r="V107" s="5">
        <f t="shared" si="8"/>
        <v>0.30327520455716672</v>
      </c>
      <c r="W107" s="43">
        <f t="shared" si="9"/>
        <v>91.06577520455717</v>
      </c>
      <c r="X107" s="5" t="str" cm="1">
        <f t="array" ref="X107">_xlfn.IFS($W107 &lt;= 30, "Low", $W107 &lt;=50, "Medium", $W107 &lt;= 70, "High", $W107 &gt; 70, "Critical")</f>
        <v>Critical</v>
      </c>
      <c r="Y107" s="9">
        <f t="shared" si="10"/>
        <v>0.5902815885760988</v>
      </c>
      <c r="Z107" s="22">
        <f t="shared" si="11"/>
        <v>60.303167088934252</v>
      </c>
    </row>
    <row r="108" spans="1:26">
      <c r="A108" s="24" t="str">
        <v>CUST-1003</v>
      </c>
      <c r="B108" s="24" t="str">
        <v>Occasional Buyer</v>
      </c>
      <c r="C108" s="24" t="str">
        <v>Paid Social</v>
      </c>
      <c r="D108" s="24" t="str">
        <v>Midwest</v>
      </c>
      <c r="E108" s="24" t="str">
        <v>55+</v>
      </c>
      <c r="F108" s="24" t="str">
        <v>Medium</v>
      </c>
      <c r="G108" s="24">
        <v>1</v>
      </c>
      <c r="H108" s="24">
        <v>148</v>
      </c>
      <c r="I108" s="23">
        <v>688.48</v>
      </c>
      <c r="J108" s="24" cm="1">
        <f t="array" ref="J108">SUMPRODUCT(
    (Transactions_and_Customer_Information_Joined[Customer ID]='V1-Based Churn Model (Step 3)'!$A108) *
    (IFERROR(_xlfn.XLOOKUP(Transactions_and_Customer_Information_Joined[SKU], 'V1 Pricing Model (Step 2)'!$A$22:$A$71, 'V1 Pricing Model (Step 2)'!$AL$22:$AL$71), "Exclude")&lt;&gt;"Exclude") *
    Transactions_and_Customer_Information_Joined[Gross Revenue])</f>
        <v>460.68</v>
      </c>
      <c r="K108" s="24">
        <f>SUMIF(Transactions_and_Customer_Information_Joined[Customer ID], 'V1-Based Churn Model (Step 3)'!$A108, Transactions_and_Customer_Information_Joined[Gross Revenue])</f>
        <v>460.68</v>
      </c>
      <c r="L108" s="3">
        <f t="shared" si="6"/>
        <v>1</v>
      </c>
      <c r="M108" s="21">
        <v>0.26791845407776477</v>
      </c>
      <c r="N108" s="21" cm="1">
        <f t="array" ref="N108">SUMPRODUCT(
    (Transactions_and_Customer_Information_Joined[Customer ID]=$A108)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08" s="21" cm="1">
        <f t="array" ref="O108">IFERROR(
    SUMPRODUCT(
        (Transactions_and_Customer_Information_Joined[Customer ID]=$A108)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$J108,
0)</f>
        <v>0.26791845407776477</v>
      </c>
      <c r="P108" s="5" cm="1">
        <f t="array" ref="P108">_xlfn.IFS(B108="At-Risk Churner",$B$2,$B108="Dormant",$B$3,$B108="Deal Hunter",$B$4,$B108="New Customer",$B$5,$B108="Occasional Buyer",$B$6,$B108="Loyal High-Value",$B$7)</f>
        <v>25</v>
      </c>
      <c r="Q108" s="9" cm="1">
        <f t="array" ref="Q108">_xlfn.IFS($B108 = "At-Risk Churner", $B$8, $B108="Dormant",$B$9, $B108="Deal Hunter", $B$10, $B108="New Customer", $B$11, $B108="Occasional Buyer", $B$12, $B108 = "Loyal High-Value",$B$13)</f>
        <v>0.18</v>
      </c>
      <c r="R108" s="5">
        <v>5</v>
      </c>
      <c r="S108" s="5">
        <v>10</v>
      </c>
      <c r="T108" s="5">
        <v>0</v>
      </c>
      <c r="U108" s="5">
        <f t="shared" si="7"/>
        <v>15</v>
      </c>
      <c r="V108" s="5">
        <f t="shared" si="8"/>
        <v>10.716738163110591</v>
      </c>
      <c r="W108" s="43">
        <f t="shared" si="9"/>
        <v>66.079238163110588</v>
      </c>
      <c r="X108" s="5" t="str" cm="1">
        <f t="array" ref="X108">_xlfn.IFS($W108 &lt;= 30, "Low", $W108 &lt;=50, "Medium", $W108 &lt;= 70, "High", $W108 &gt; 70, "Critical")</f>
        <v>High</v>
      </c>
      <c r="Y108" s="9">
        <f t="shared" si="10"/>
        <v>0.14996212849045704</v>
      </c>
      <c r="Z108" s="22">
        <f t="shared" si="11"/>
        <v>220.2927409784879</v>
      </c>
    </row>
    <row r="109" spans="1:26">
      <c r="A109" s="24" t="str">
        <v>CUST-3072</v>
      </c>
      <c r="B109" s="24" t="str">
        <v>New Customer</v>
      </c>
      <c r="C109" s="24" t="str">
        <v>Referral</v>
      </c>
      <c r="D109" s="24" t="str">
        <v>Southeast</v>
      </c>
      <c r="E109" s="24" t="str">
        <v>35-44</v>
      </c>
      <c r="F109" s="24" t="str">
        <v>Low</v>
      </c>
      <c r="G109" s="24">
        <v>0</v>
      </c>
      <c r="H109" s="24">
        <v>207</v>
      </c>
      <c r="I109" s="23">
        <v>50.8</v>
      </c>
      <c r="J109" s="24" cm="1">
        <f t="array" ref="J109">SUMPRODUCT(
    (Transactions_and_Customer_Information_Joined[Customer ID]='V1-Based Churn Model (Step 3)'!$A109) *
    (IFERROR(_xlfn.XLOOKUP(Transactions_and_Customer_Information_Joined[SKU], 'V1 Pricing Model (Step 2)'!$A$22:$A$71, 'V1 Pricing Model (Step 2)'!$AL$22:$AL$71), "Exclude")&lt;&gt;"Exclude") *
    Transactions_and_Customer_Information_Joined[Gross Revenue])</f>
        <v>215.8</v>
      </c>
      <c r="K109" s="24">
        <f>SUMIF(Transactions_and_Customer_Information_Joined[Customer ID], 'V1-Based Churn Model (Step 3)'!$A109, Transactions_and_Customer_Information_Joined[Gross Revenue])</f>
        <v>215.8</v>
      </c>
      <c r="L109" s="3">
        <f t="shared" si="6"/>
        <v>1</v>
      </c>
      <c r="M109" s="21">
        <v>-6.3633334648082567E-3</v>
      </c>
      <c r="N109" s="21" cm="1">
        <f t="array" ref="N109">SUMPRODUCT(
    (Transactions_and_Customer_Information_Joined[Customer ID]=$A109)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09" s="21" cm="1">
        <f t="array" ref="O109">IFERROR(
    SUMPRODUCT(
        (Transactions_and_Customer_Information_Joined[Customer ID]=$A109)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$J109,
0)</f>
        <v>-6.3633334648082575E-3</v>
      </c>
      <c r="P109" s="5" cm="1">
        <f t="array" ref="P109">_xlfn.IFS(B109="At-Risk Churner",$B$2,$B109="Dormant",$B$3,$B109="Deal Hunter",$B$4,$B109="New Customer",$B$5,$B109="Occasional Buyer",$B$6,$B109="Loyal High-Value",$B$7)</f>
        <v>35</v>
      </c>
      <c r="Q109" s="9" cm="1">
        <f t="array" ref="Q109">_xlfn.IFS($B109 = "At-Risk Churner", $B$8, $B109="Dormant",$B$9, $B109="Deal Hunter", $B$10, $B109="New Customer", $B$11, $B109="Occasional Buyer", $B$12, $B109 = "Loyal High-Value",$B$13)</f>
        <v>0.35</v>
      </c>
      <c r="R109" s="5">
        <v>-5</v>
      </c>
      <c r="S109" s="5">
        <v>10</v>
      </c>
      <c r="T109" s="5">
        <v>8</v>
      </c>
      <c r="U109" s="5">
        <f t="shared" si="7"/>
        <v>15</v>
      </c>
      <c r="V109" s="5">
        <f t="shared" si="8"/>
        <v>0.25453333859233029</v>
      </c>
      <c r="W109" s="43">
        <f t="shared" si="9"/>
        <v>63.492033338592336</v>
      </c>
      <c r="X109" s="5" t="str" cm="1">
        <f t="array" ref="X109">_xlfn.IFS($W109 &lt;= 30, "Low", $W109 &lt;=50, "Medium", $W109 &lt;= 70, "High", $W109 &gt; 70, "Critical")</f>
        <v>High</v>
      </c>
      <c r="Y109" s="9">
        <f t="shared" si="10"/>
        <v>0.27789977338027466</v>
      </c>
      <c r="Z109" s="22">
        <f t="shared" si="11"/>
        <v>21.453846790174364</v>
      </c>
    </row>
    <row r="110" spans="1:26">
      <c r="A110" s="24" t="str">
        <v>CUST-2135</v>
      </c>
      <c r="B110" s="24" t="str">
        <v>New Customer</v>
      </c>
      <c r="C110" s="24" t="str">
        <v>Organic Search</v>
      </c>
      <c r="D110" s="24" t="str">
        <v>UK</v>
      </c>
      <c r="E110" s="24" t="str">
        <v>35-44</v>
      </c>
      <c r="F110" s="24" t="str">
        <v>High</v>
      </c>
      <c r="G110" s="24">
        <v>6</v>
      </c>
      <c r="H110" s="24">
        <v>360</v>
      </c>
      <c r="I110" s="23">
        <v>131.69</v>
      </c>
      <c r="J110" s="24" cm="1">
        <f t="array" ref="J110">SUMPRODUCT(
    (Transactions_and_Customer_Information_Joined[Customer ID]='V1-Based Churn Model (Step 3)'!$A110)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110" s="24">
        <f>SUMIF(Transactions_and_Customer_Information_Joined[Customer ID], 'V1-Based Churn Model (Step 3)'!$A110, Transactions_and_Customer_Information_Joined[Gross Revenue])</f>
        <v>410.8</v>
      </c>
      <c r="L110" s="3">
        <f t="shared" si="6"/>
        <v>0</v>
      </c>
      <c r="M110" s="21">
        <v>0</v>
      </c>
      <c r="N110" s="21" cm="1">
        <f t="array" ref="N110">SUMPRODUCT(
    (Transactions_and_Customer_Information_Joined[Customer ID]=$A110)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110" s="21" cm="1">
        <f t="array" ref="O110">IFERROR(
    SUMPRODUCT(
        (Transactions_and_Customer_Information_Joined[Customer ID]=$A110)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$J110,
0)</f>
        <v>0</v>
      </c>
      <c r="P110" s="5" cm="1">
        <f t="array" ref="P110">_xlfn.IFS(B110="At-Risk Churner",$B$2,$B110="Dormant",$B$3,$B110="Deal Hunter",$B$4,$B110="New Customer",$B$5,$B110="Occasional Buyer",$B$6,$B110="Loyal High-Value",$B$7)</f>
        <v>35</v>
      </c>
      <c r="Q110" s="9" cm="1">
        <f t="array" ref="Q110">_xlfn.IFS($B110 = "At-Risk Churner", $B$8, $B110="Dormant",$B$9, $B110="Deal Hunter", $B$10, $B110="New Customer", $B$11, $B110="Occasional Buyer", $B$12, $B110 = "Loyal High-Value",$B$13)</f>
        <v>0.35</v>
      </c>
      <c r="R110" s="5">
        <v>15</v>
      </c>
      <c r="S110" s="5">
        <v>0</v>
      </c>
      <c r="T110" s="5">
        <v>15</v>
      </c>
      <c r="U110" s="5">
        <f t="shared" si="7"/>
        <v>0</v>
      </c>
      <c r="V110" s="5">
        <f t="shared" si="8"/>
        <v>0</v>
      </c>
      <c r="W110" s="43">
        <f t="shared" si="9"/>
        <v>65</v>
      </c>
      <c r="X110" s="5" t="str" cm="1">
        <f t="array" ref="X110">_xlfn.IFS($W110 &lt;= 30, "Low", $W110 &lt;=50, "Medium", $W110 &lt;= 70, "High", $W110 &gt; 70, "Critical")</f>
        <v>High</v>
      </c>
      <c r="Y110" s="9">
        <f t="shared" si="10"/>
        <v>0.28615106666777523</v>
      </c>
      <c r="Z110" s="22">
        <f t="shared" si="11"/>
        <v>56.484587175583457</v>
      </c>
    </row>
    <row r="111" spans="1:26">
      <c r="A111" s="24" t="str">
        <v>CUST-4735</v>
      </c>
      <c r="B111" s="24" t="str">
        <v>Loyal High-Value</v>
      </c>
      <c r="C111" s="24" t="str">
        <v>Email Campaign</v>
      </c>
      <c r="D111" s="24" t="str">
        <v>Northeast</v>
      </c>
      <c r="E111" s="24" t="str">
        <v>35-44</v>
      </c>
      <c r="F111" s="24" t="str">
        <v>Medium</v>
      </c>
      <c r="G111" s="24">
        <v>5</v>
      </c>
      <c r="H111" s="24">
        <v>132</v>
      </c>
      <c r="I111" s="23">
        <v>2282.35</v>
      </c>
      <c r="J111" s="24" cm="1">
        <f t="array" ref="J111">SUMPRODUCT(
    (Transactions_and_Customer_Information_Joined[Customer ID]='V1-Based Churn Model (Step 3)'!$A111) *
    (IFERROR(_xlfn.XLOOKUP(Transactions_and_Customer_Information_Joined[SKU], 'V1 Pricing Model (Step 2)'!$A$22:$A$71, 'V1 Pricing Model (Step 2)'!$AL$22:$AL$71), "Exclude")&lt;&gt;"Exclude") *
    Transactions_and_Customer_Information_Joined[Gross Revenue])</f>
        <v>168.99</v>
      </c>
      <c r="K111" s="24">
        <f>SUMIF(Transactions_and_Customer_Information_Joined[Customer ID], 'V1-Based Churn Model (Step 3)'!$A111, Transactions_and_Customer_Information_Joined[Gross Revenue])</f>
        <v>168.99</v>
      </c>
      <c r="L111" s="3">
        <f t="shared" si="6"/>
        <v>1</v>
      </c>
      <c r="M111" s="21">
        <v>1.5146952408836394E-2</v>
      </c>
      <c r="N111" s="21" cm="1">
        <f t="array" ref="N111">SUMPRODUCT(
    (Transactions_and_Customer_Information_Joined[Customer ID]=$A111)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11" s="21" cm="1">
        <f t="array" ref="O111">IFERROR(
    SUMPRODUCT(
        (Transactions_and_Customer_Information_Joined[Customer ID]=$A111)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$J111,
0)</f>
        <v>1.5146952408836395E-2</v>
      </c>
      <c r="P111" s="5" cm="1">
        <f t="array" ref="P111">_xlfn.IFS(B111="At-Risk Churner",$B$2,$B111="Dormant",$B$3,$B111="Deal Hunter",$B$4,$B111="New Customer",$B$5,$B111="Occasional Buyer",$B$6,$B111="Loyal High-Value",$B$7)</f>
        <v>15</v>
      </c>
      <c r="Q111" s="9" cm="1">
        <f t="array" ref="Q111">_xlfn.IFS($B111 = "At-Risk Churner", $B$8, $B111="Dormant",$B$9, $B111="Deal Hunter", $B$10, $B111="New Customer", $B$11, $B111="Occasional Buyer", $B$12, $B111 = "Loyal High-Value",$B$13)</f>
        <v>0.05</v>
      </c>
      <c r="R111" s="5">
        <v>5</v>
      </c>
      <c r="S111" s="5">
        <v>0</v>
      </c>
      <c r="T111" s="5">
        <v>0</v>
      </c>
      <c r="U111" s="5">
        <f t="shared" si="7"/>
        <v>15</v>
      </c>
      <c r="V111" s="5">
        <f t="shared" si="8"/>
        <v>0.6058780963534558</v>
      </c>
      <c r="W111" s="43">
        <f t="shared" si="9"/>
        <v>35.718378096353455</v>
      </c>
      <c r="X111" s="5" t="str" cm="1">
        <f t="array" ref="X111">_xlfn.IFS($W111 &lt;= 30, "Low", $W111 &lt;=50, "Medium", $W111 &lt;= 70, "High", $W111 &gt; 70, "Critical")</f>
        <v>Medium</v>
      </c>
      <c r="Y111" s="9">
        <f t="shared" si="10"/>
        <v>9.669259889055877E-3</v>
      </c>
      <c r="Z111" s="22">
        <f t="shared" si="11"/>
        <v>474.12490824622932</v>
      </c>
    </row>
    <row r="112" spans="1:26">
      <c r="A112" s="24" t="str">
        <v>CUST-4950</v>
      </c>
      <c r="B112" s="24" t="str">
        <v>Deal Hunter</v>
      </c>
      <c r="C112" s="24" t="str">
        <v>Direct</v>
      </c>
      <c r="D112" s="24" t="str">
        <v>Northeast</v>
      </c>
      <c r="E112" s="24" t="str">
        <v>25-34</v>
      </c>
      <c r="F112" s="24" t="str">
        <v>Low</v>
      </c>
      <c r="G112" s="24">
        <v>5</v>
      </c>
      <c r="H112" s="24">
        <v>49</v>
      </c>
      <c r="I112" s="23">
        <v>344.64</v>
      </c>
      <c r="J112" s="24" cm="1">
        <f t="array" ref="J112">SUMPRODUCT(
    (Transactions_and_Customer_Information_Joined[Customer ID]='V1-Based Churn Model (Step 3)'!$A112) *
    (IFERROR(_xlfn.XLOOKUP(Transactions_and_Customer_Information_Joined[SKU], 'V1 Pricing Model (Step 2)'!$A$22:$A$71, 'V1 Pricing Model (Step 2)'!$AL$22:$AL$71), "Exclude")&lt;&gt;"Exclude") *
    Transactions_and_Customer_Information_Joined[Gross Revenue])</f>
        <v>419.58000000000004</v>
      </c>
      <c r="K112" s="24">
        <f>SUMIF(Transactions_and_Customer_Information_Joined[Customer ID], 'V1-Based Churn Model (Step 3)'!$A112, Transactions_and_Customer_Information_Joined[Gross Revenue])</f>
        <v>419.58000000000004</v>
      </c>
      <c r="L112" s="3">
        <f t="shared" si="6"/>
        <v>1</v>
      </c>
      <c r="M112" s="21">
        <v>0.22185784964769206</v>
      </c>
      <c r="N112" s="21" cm="1">
        <f t="array" ref="N112">SUMPRODUCT(
    (Transactions_and_Customer_Information_Joined[Customer ID]=$A112)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2</v>
      </c>
      <c r="O112" s="21" cm="1">
        <f t="array" ref="O112">IFERROR(
    SUMPRODUCT(
        (Transactions_and_Customer_Information_Joined[Customer ID]=$A112)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$J112,
0)</f>
        <v>0.12960517987148193</v>
      </c>
      <c r="P112" s="5" cm="1">
        <f t="array" ref="P112">_xlfn.IFS(B112="At-Risk Churner",$B$2,$B112="Dormant",$B$3,$B112="Deal Hunter",$B$4,$B112="New Customer",$B$5,$B112="Occasional Buyer",$B$6,$B112="Loyal High-Value",$B$7)</f>
        <v>45</v>
      </c>
      <c r="Q112" s="9" cm="1">
        <f t="array" ref="Q112">_xlfn.IFS($B112 = "At-Risk Churner", $B$8, $B112="Dormant",$B$9, $B112="Deal Hunter", $B$10, $B112="New Customer", $B$11, $B112="Occasional Buyer", $B$12, $B112 = "Loyal High-Value",$B$13)</f>
        <v>0.25</v>
      </c>
      <c r="R112" s="5">
        <v>-5</v>
      </c>
      <c r="S112" s="5">
        <v>0</v>
      </c>
      <c r="T112" s="5">
        <v>-5</v>
      </c>
      <c r="U112" s="5">
        <f t="shared" si="7"/>
        <v>15</v>
      </c>
      <c r="V112" s="5">
        <f t="shared" si="8"/>
        <v>7.0292605903834797</v>
      </c>
      <c r="W112" s="43">
        <f t="shared" si="9"/>
        <v>56.916760590383483</v>
      </c>
      <c r="X112" s="5" t="str" cm="1">
        <f t="array" ref="X112">_xlfn.IFS($W112 &lt;= 30, "Low", $W112 &lt;=50, "Medium", $W112 &lt;= 70, "High", $W112 &gt; 70, "Critical")</f>
        <v>High</v>
      </c>
      <c r="Y112" s="9">
        <f t="shared" si="10"/>
        <v>0.16658491766420189</v>
      </c>
      <c r="Z112" s="22">
        <f t="shared" si="11"/>
        <v>114.85746081903244</v>
      </c>
    </row>
    <row r="113" spans="1:26">
      <c r="A113" s="24" t="str">
        <v>CUST-3651</v>
      </c>
      <c r="B113" s="24" t="str">
        <v>At-Risk Churner</v>
      </c>
      <c r="C113" s="24" t="str">
        <v>Email Campaign</v>
      </c>
      <c r="D113" s="24" t="str">
        <v>West</v>
      </c>
      <c r="E113" s="24" t="str">
        <v>18-24</v>
      </c>
      <c r="F113" s="24" t="str">
        <v>High</v>
      </c>
      <c r="G113" s="24">
        <v>10</v>
      </c>
      <c r="H113" s="24">
        <v>112</v>
      </c>
      <c r="I113" s="23">
        <v>89.68</v>
      </c>
      <c r="J113" s="24" cm="1">
        <f t="array" ref="J113">SUMPRODUCT(
    (Transactions_and_Customer_Information_Joined[Customer ID]='V1-Based Churn Model (Step 3)'!$A113) *
    (IFERROR(_xlfn.XLOOKUP(Transactions_and_Customer_Information_Joined[SKU], 'V1 Pricing Model (Step 2)'!$A$22:$A$71, 'V1 Pricing Model (Step 2)'!$AL$22:$AL$71), "Exclude")&lt;&gt;"Exclude") *
    Transactions_and_Customer_Information_Joined[Gross Revenue])</f>
        <v>93.88</v>
      </c>
      <c r="K113" s="24">
        <f>SUMIF(Transactions_and_Customer_Information_Joined[Customer ID], 'V1-Based Churn Model (Step 3)'!$A113, Transactions_and_Customer_Information_Joined[Gross Revenue])</f>
        <v>93.88</v>
      </c>
      <c r="L113" s="3">
        <f t="shared" si="6"/>
        <v>1</v>
      </c>
      <c r="M113" s="21">
        <v>0.10702390858761081</v>
      </c>
      <c r="N113" s="21" cm="1">
        <f t="array" ref="N113">SUMPRODUCT(
    (Transactions_and_Customer_Information_Joined[Customer ID]=$A113)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13" s="21" cm="1">
        <f t="array" ref="O113">IFERROR(
    SUMPRODUCT(
        (Transactions_and_Customer_Information_Joined[Customer ID]=$A113)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$J113,
0)</f>
        <v>0.10702390858761079</v>
      </c>
      <c r="P113" s="5" cm="1">
        <f t="array" ref="P113">_xlfn.IFS(B113="At-Risk Churner",$B$2,$B113="Dormant",$B$3,$B113="Deal Hunter",$B$4,$B113="New Customer",$B$5,$B113="Occasional Buyer",$B$6,$B113="Loyal High-Value",$B$7)</f>
        <v>70</v>
      </c>
      <c r="Q113" s="9" cm="1">
        <f t="array" ref="Q113">_xlfn.IFS($B113 = "At-Risk Churner", $B$8, $B113="Dormant",$B$9, $B113="Deal Hunter", $B$10, $B113="New Customer", $B$11, $B113="Occasional Buyer", $B$12, $B113 = "Loyal High-Value",$B$13)</f>
        <v>0.45</v>
      </c>
      <c r="R113" s="5">
        <v>15</v>
      </c>
      <c r="S113" s="5">
        <v>-8</v>
      </c>
      <c r="T113" s="5">
        <v>0</v>
      </c>
      <c r="U113" s="5">
        <f t="shared" si="7"/>
        <v>15</v>
      </c>
      <c r="V113" s="5">
        <f t="shared" si="8"/>
        <v>4.2809563435044318</v>
      </c>
      <c r="W113" s="43">
        <f t="shared" si="9"/>
        <v>96.058456343504432</v>
      </c>
      <c r="X113" s="5" t="str" cm="1">
        <f t="array" ref="X113">_xlfn.IFS($W113 &lt;= 30, "Low", $W113 &lt;=50, "Medium", $W113 &lt;= 70, "High", $W113 &gt; 70, "Critical")</f>
        <v>Critical</v>
      </c>
      <c r="Y113" s="9">
        <f t="shared" si="10"/>
        <v>0.44554753309641854</v>
      </c>
      <c r="Z113" s="22">
        <f t="shared" si="11"/>
        <v>39.956702768086821</v>
      </c>
    </row>
    <row r="114" spans="1:26">
      <c r="A114" s="24" t="str">
        <v>CUST-3508</v>
      </c>
      <c r="B114" s="24" t="str">
        <v>Deal Hunter</v>
      </c>
      <c r="C114" s="24" t="str">
        <v>Referral</v>
      </c>
      <c r="D114" s="24" t="str">
        <v>UK</v>
      </c>
      <c r="E114" s="24" t="str">
        <v>35-44</v>
      </c>
      <c r="F114" s="24" t="str">
        <v>Medium</v>
      </c>
      <c r="G114" s="24">
        <v>8</v>
      </c>
      <c r="H114" s="24">
        <v>250</v>
      </c>
      <c r="I114" s="23">
        <v>380.09</v>
      </c>
      <c r="J114" s="24" cm="1">
        <f t="array" ref="J114">SUMPRODUCT(
    (Transactions_and_Customer_Information_Joined[Customer ID]='V1-Based Churn Model (Step 3)'!$A114) *
    (IFERROR(_xlfn.XLOOKUP(Transactions_and_Customer_Information_Joined[SKU], 'V1 Pricing Model (Step 2)'!$A$22:$A$71, 'V1 Pricing Model (Step 2)'!$AL$22:$AL$71), "Exclude")&lt;&gt;"Exclude") *
    Transactions_and_Customer_Information_Joined[Gross Revenue])</f>
        <v>453.46000000000004</v>
      </c>
      <c r="K114" s="24">
        <f>SUMIF(Transactions_and_Customer_Information_Joined[Customer ID], 'V1-Based Churn Model (Step 3)'!$A114, Transactions_and_Customer_Information_Joined[Gross Revenue])</f>
        <v>453.46000000000004</v>
      </c>
      <c r="L114" s="3">
        <f t="shared" si="6"/>
        <v>1</v>
      </c>
      <c r="M114" s="21">
        <v>1.4049546680818285E-2</v>
      </c>
      <c r="N114" s="21" cm="1">
        <f t="array" ref="N114">SUMPRODUCT(
    (Transactions_and_Customer_Information_Joined[Customer ID]=$A114)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14" s="21" cm="1">
        <f t="array" ref="O114">IFERROR(
    SUMPRODUCT(
        (Transactions_and_Customer_Information_Joined[Customer ID]=$A114)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$J114,
0)</f>
        <v>1.2311400937436497E-2</v>
      </c>
      <c r="P114" s="5" cm="1">
        <f t="array" ref="P114">_xlfn.IFS(B114="At-Risk Churner",$B$2,$B114="Dormant",$B$3,$B114="Deal Hunter",$B$4,$B114="New Customer",$B$5,$B114="Occasional Buyer",$B$6,$B114="Loyal High-Value",$B$7)</f>
        <v>45</v>
      </c>
      <c r="Q114" s="9" cm="1">
        <f t="array" ref="Q114">_xlfn.IFS($B114 = "At-Risk Churner", $B$8, $B114="Dormant",$B$9, $B114="Deal Hunter", $B$10, $B114="New Customer", $B$11, $B114="Occasional Buyer", $B$12, $B114 = "Loyal High-Value",$B$13)</f>
        <v>0.25</v>
      </c>
      <c r="R114" s="5">
        <v>5</v>
      </c>
      <c r="S114" s="5">
        <v>-8</v>
      </c>
      <c r="T114" s="5">
        <v>8</v>
      </c>
      <c r="U114" s="5">
        <f t="shared" si="7"/>
        <v>15</v>
      </c>
      <c r="V114" s="5">
        <f t="shared" si="8"/>
        <v>0.52721895236509564</v>
      </c>
      <c r="W114" s="43">
        <f t="shared" si="9"/>
        <v>65.279718952365087</v>
      </c>
      <c r="X114" s="5" t="str" cm="1">
        <f t="array" ref="X114">_xlfn.IFS($W114 &lt;= 30, "Low", $W114 &lt;=50, "Medium", $W114 &lt;= 70, "High", $W114 &gt; 70, "Critical")</f>
        <v>High</v>
      </c>
      <c r="Y114" s="9">
        <f t="shared" si="10"/>
        <v>0.20542734611808433</v>
      </c>
      <c r="Z114" s="22">
        <f t="shared" si="11"/>
        <v>138.48270398881812</v>
      </c>
    </row>
    <row r="115" spans="1:26">
      <c r="A115" s="24" t="str">
        <v>CUST-2566</v>
      </c>
      <c r="B115" s="24" t="str">
        <v>Deal Hunter</v>
      </c>
      <c r="C115" s="24" t="str">
        <v>Direct</v>
      </c>
      <c r="D115" s="24" t="str">
        <v>Northeast</v>
      </c>
      <c r="E115" s="24" t="str">
        <v>55+</v>
      </c>
      <c r="F115" s="24" t="str">
        <v>Medium</v>
      </c>
      <c r="G115" s="24">
        <v>3</v>
      </c>
      <c r="H115" s="24">
        <v>58</v>
      </c>
      <c r="I115" s="23">
        <v>283.02999999999997</v>
      </c>
      <c r="J115" s="24" cm="1">
        <f t="array" ref="J115">SUMPRODUCT(
    (Transactions_and_Customer_Information_Joined[Customer ID]='V1-Based Churn Model (Step 3)'!$A115)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115" s="24">
        <f>SUMIF(Transactions_and_Customer_Information_Joined[Customer ID], 'V1-Based Churn Model (Step 3)'!$A115, Transactions_and_Customer_Information_Joined[Gross Revenue])</f>
        <v>75.69</v>
      </c>
      <c r="L115" s="3">
        <f t="shared" si="6"/>
        <v>0</v>
      </c>
      <c r="M115" s="21">
        <v>0</v>
      </c>
      <c r="N115" s="21" cm="1">
        <f t="array" ref="N115">SUMPRODUCT(
    (Transactions_and_Customer_Information_Joined[Customer ID]=$A115)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115" s="21" cm="1">
        <f t="array" ref="O115">IFERROR(
    SUMPRODUCT(
        (Transactions_and_Customer_Information_Joined[Customer ID]=$A115)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$J115,
0)</f>
        <v>0</v>
      </c>
      <c r="P115" s="5" cm="1">
        <f t="array" ref="P115">_xlfn.IFS(B115="At-Risk Churner",$B$2,$B115="Dormant",$B$3,$B115="Deal Hunter",$B$4,$B115="New Customer",$B$5,$B115="Occasional Buyer",$B$6,$B115="Loyal High-Value",$B$7)</f>
        <v>45</v>
      </c>
      <c r="Q115" s="9" cm="1">
        <f t="array" ref="Q115">_xlfn.IFS($B115 = "At-Risk Churner", $B$8, $B115="Dormant",$B$9, $B115="Deal Hunter", $B$10, $B115="New Customer", $B$11, $B115="Occasional Buyer", $B$12, $B115 = "Loyal High-Value",$B$13)</f>
        <v>0.25</v>
      </c>
      <c r="R115" s="5">
        <v>5</v>
      </c>
      <c r="S115" s="5">
        <v>10</v>
      </c>
      <c r="T115" s="5">
        <v>-5</v>
      </c>
      <c r="U115" s="5">
        <f t="shared" si="7"/>
        <v>0</v>
      </c>
      <c r="V115" s="5">
        <f t="shared" si="8"/>
        <v>0</v>
      </c>
      <c r="W115" s="43">
        <f t="shared" si="9"/>
        <v>55.45</v>
      </c>
      <c r="X115" s="5" t="str" cm="1">
        <f t="array" ref="X115">_xlfn.IFS($W115 &lt;= 30, "Low", $W115 &lt;=50, "Medium", $W115 &lt;= 70, "High", $W115 &gt; 70, "Critical")</f>
        <v>High</v>
      </c>
      <c r="Y115" s="9">
        <f t="shared" si="10"/>
        <v>0.15824369417011516</v>
      </c>
      <c r="Z115" s="22">
        <f t="shared" si="11"/>
        <v>92.436170208774158</v>
      </c>
    </row>
    <row r="116" spans="1:26">
      <c r="A116" s="24" t="str">
        <v>CUST-3953</v>
      </c>
      <c r="B116" s="24" t="str">
        <v>Dormant</v>
      </c>
      <c r="C116" s="24" t="str">
        <v>Paid Social</v>
      </c>
      <c r="D116" s="24" t="str">
        <v>UK</v>
      </c>
      <c r="E116" s="24" t="str">
        <v>25-34</v>
      </c>
      <c r="F116" s="24" t="str">
        <v>Medium</v>
      </c>
      <c r="G116" s="24">
        <v>0</v>
      </c>
      <c r="H116" s="24">
        <v>252</v>
      </c>
      <c r="I116" s="23">
        <v>122.77</v>
      </c>
      <c r="J116" s="24" cm="1">
        <f t="array" ref="J116">SUMPRODUCT(
    (Transactions_and_Customer_Information_Joined[Customer ID]='V1-Based Churn Model (Step 3)'!$A116) *
    (IFERROR(_xlfn.XLOOKUP(Transactions_and_Customer_Information_Joined[SKU], 'V1 Pricing Model (Step 2)'!$A$22:$A$71, 'V1 Pricing Model (Step 2)'!$AL$22:$AL$71), "Exclude")&lt;&gt;"Exclude") *
    Transactions_and_Customer_Information_Joined[Gross Revenue])</f>
        <v>109.28</v>
      </c>
      <c r="K116" s="24">
        <f>SUMIF(Transactions_and_Customer_Information_Joined[Customer ID], 'V1-Based Churn Model (Step 3)'!$A116, Transactions_and_Customer_Information_Joined[Gross Revenue])</f>
        <v>109.28</v>
      </c>
      <c r="L116" s="3">
        <f t="shared" si="6"/>
        <v>1</v>
      </c>
      <c r="M116" s="21">
        <v>0.24833629343146826</v>
      </c>
      <c r="N116" s="21" cm="1">
        <f t="array" ref="N116">SUMPRODUCT(
    (Transactions_and_Customer_Information_Joined[Customer ID]=$A116)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16" s="21" cm="1">
        <f t="array" ref="O116">IFERROR(
    SUMPRODUCT(
        (Transactions_and_Customer_Information_Joined[Customer ID]=$A116)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$J116,
0)</f>
        <v>0.24833629343146826</v>
      </c>
      <c r="P116" s="5" cm="1">
        <f t="array" ref="P116">_xlfn.IFS(B116="At-Risk Churner",$B$2,$B116="Dormant",$B$3,$B116="Deal Hunter",$B$4,$B116="New Customer",$B$5,$B116="Occasional Buyer",$B$6,$B116="Loyal High-Value",$B$7)</f>
        <v>65</v>
      </c>
      <c r="Q116" s="9" cm="1">
        <f t="array" ref="Q116">_xlfn.IFS($B116 = "At-Risk Churner", $B$8, $B116="Dormant",$B$9, $B116="Deal Hunter", $B$10, $B116="New Customer", $B$11, $B116="Occasional Buyer", $B$12, $B116 = "Loyal High-Value",$B$13)</f>
        <v>0.6</v>
      </c>
      <c r="R116" s="5">
        <v>5</v>
      </c>
      <c r="S116" s="5">
        <v>10</v>
      </c>
      <c r="T116" s="5">
        <v>8</v>
      </c>
      <c r="U116" s="5">
        <f t="shared" si="7"/>
        <v>15</v>
      </c>
      <c r="V116" s="5">
        <f t="shared" si="8"/>
        <v>9.9334517372587303</v>
      </c>
      <c r="W116" s="43">
        <f t="shared" si="9"/>
        <v>100</v>
      </c>
      <c r="X116" s="5" t="str" cm="1">
        <f t="array" ref="X116">_xlfn.IFS($W116 &lt;= 30, "Low", $W116 &lt;=50, "Medium", $W116 &lt;= 70, "High", $W116 &gt; 70, "Critical")</f>
        <v>Critical</v>
      </c>
      <c r="Y116" s="9">
        <f t="shared" si="10"/>
        <v>0.59598428944542914</v>
      </c>
      <c r="Z116" s="22">
        <f t="shared" si="11"/>
        <v>73.168991215215328</v>
      </c>
    </row>
    <row r="117" spans="1:26">
      <c r="A117" s="24" t="str">
        <v>CUST-2744</v>
      </c>
      <c r="B117" s="24" t="str">
        <v>Loyal High-Value</v>
      </c>
      <c r="C117" s="24" t="str">
        <v>Paid Social</v>
      </c>
      <c r="D117" s="24" t="str">
        <v>Southeast</v>
      </c>
      <c r="E117" s="24" t="str">
        <v>25-34</v>
      </c>
      <c r="F117" s="24" t="str">
        <v>Low</v>
      </c>
      <c r="G117" s="24">
        <v>9</v>
      </c>
      <c r="H117" s="24">
        <v>38</v>
      </c>
      <c r="I117" s="23">
        <v>2240.4299999999998</v>
      </c>
      <c r="J117" s="24" cm="1">
        <f t="array" ref="J117">SUMPRODUCT(
    (Transactions_and_Customer_Information_Joined[Customer ID]='V1-Based Churn Model (Step 3)'!$A117) *
    (IFERROR(_xlfn.XLOOKUP(Transactions_and_Customer_Information_Joined[SKU], 'V1 Pricing Model (Step 2)'!$A$22:$A$71, 'V1 Pricing Model (Step 2)'!$AL$22:$AL$71), "Exclude")&lt;&gt;"Exclude") *
    Transactions_and_Customer_Information_Joined[Gross Revenue])</f>
        <v>379.98</v>
      </c>
      <c r="K117" s="24">
        <f>SUMIF(Transactions_and_Customer_Information_Joined[Customer ID], 'V1-Based Churn Model (Step 3)'!$A117, Transactions_and_Customer_Information_Joined[Gross Revenue])</f>
        <v>379.98</v>
      </c>
      <c r="L117" s="3">
        <f t="shared" si="6"/>
        <v>1</v>
      </c>
      <c r="M117" s="21">
        <v>0.22185784964769206</v>
      </c>
      <c r="N117" s="21" cm="1">
        <f t="array" ref="N117">SUMPRODUCT(
    (Transactions_and_Customer_Information_Joined[Customer ID]=$A117)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17" s="21" cm="1">
        <f t="array" ref="O117">IFERROR(
    SUMPRODUCT(
        (Transactions_and_Customer_Information_Joined[Customer ID]=$A117)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$J117,
0)</f>
        <v>0.22185784964769206</v>
      </c>
      <c r="P117" s="5" cm="1">
        <f t="array" ref="P117">_xlfn.IFS(B117="At-Risk Churner",$B$2,$B117="Dormant",$B$3,$B117="Deal Hunter",$B$4,$B117="New Customer",$B$5,$B117="Occasional Buyer",$B$6,$B117="Loyal High-Value",$B$7)</f>
        <v>15</v>
      </c>
      <c r="Q117" s="9" cm="1">
        <f t="array" ref="Q117">_xlfn.IFS($B117 = "At-Risk Churner", $B$8, $B117="Dormant",$B$9, $B117="Deal Hunter", $B$10, $B117="New Customer", $B$11, $B117="Occasional Buyer", $B$12, $B117 = "Loyal High-Value",$B$13)</f>
        <v>0.05</v>
      </c>
      <c r="R117" s="5">
        <v>-5</v>
      </c>
      <c r="S117" s="5">
        <v>-8</v>
      </c>
      <c r="T117" s="5">
        <v>-5</v>
      </c>
      <c r="U117" s="5">
        <f t="shared" si="7"/>
        <v>15</v>
      </c>
      <c r="V117" s="5">
        <f t="shared" si="8"/>
        <v>8.8743139859076834</v>
      </c>
      <c r="W117" s="43">
        <f t="shared" si="9"/>
        <v>20.641813985907682</v>
      </c>
      <c r="X117" s="5" t="str" cm="1">
        <f t="array" ref="X117">_xlfn.IFS($W117 &lt;= 30, "Low", $W117 &lt;=50, "Medium", $W117 &lt;= 70, "High", $W117 &gt; 70, "Critical")</f>
        <v>Low</v>
      </c>
      <c r="Y117" s="9">
        <f t="shared" si="10"/>
        <v>2.5205529984724155E-3</v>
      </c>
      <c r="Z117" s="22">
        <f t="shared" si="11"/>
        <v>5.6471225543675532</v>
      </c>
    </row>
    <row r="118" spans="1:26">
      <c r="A118" s="24" t="str">
        <v>CUST-3099</v>
      </c>
      <c r="B118" s="24" t="str">
        <v>New Customer</v>
      </c>
      <c r="C118" s="24" t="str">
        <v>Direct</v>
      </c>
      <c r="D118" s="24" t="str">
        <v>West</v>
      </c>
      <c r="E118" s="24" t="str">
        <v>25-34</v>
      </c>
      <c r="F118" s="24" t="str">
        <v>High</v>
      </c>
      <c r="G118" s="24">
        <v>4</v>
      </c>
      <c r="H118" s="24">
        <v>252</v>
      </c>
      <c r="I118" s="23">
        <v>117.95</v>
      </c>
      <c r="J118" s="24" cm="1">
        <f t="array" ref="J118">SUMPRODUCT(
    (Transactions_and_Customer_Information_Joined[Customer ID]='V1-Based Churn Model (Step 3)'!$A118) *
    (IFERROR(_xlfn.XLOOKUP(Transactions_and_Customer_Information_Joined[SKU], 'V1 Pricing Model (Step 2)'!$A$22:$A$71, 'V1 Pricing Model (Step 2)'!$AL$22:$AL$71), "Exclude")&lt;&gt;"Exclude") *
    Transactions_and_Customer_Information_Joined[Gross Revenue])</f>
        <v>79.92</v>
      </c>
      <c r="K118" s="24">
        <f>SUMIF(Transactions_and_Customer_Information_Joined[Customer ID], 'V1-Based Churn Model (Step 3)'!$A118, Transactions_and_Customer_Information_Joined[Gross Revenue])</f>
        <v>79.92</v>
      </c>
      <c r="L118" s="3">
        <f t="shared" si="6"/>
        <v>1</v>
      </c>
      <c r="M118" s="21">
        <v>0.10709640328514787</v>
      </c>
      <c r="N118" s="21" cm="1">
        <f t="array" ref="N118">SUMPRODUCT(
    (Transactions_and_Customer_Information_Joined[Customer ID]=$A118)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18" s="21" cm="1">
        <f t="array" ref="O118">IFERROR(
    SUMPRODUCT(
        (Transactions_and_Customer_Information_Joined[Customer ID]=$A118)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$J118,
0)</f>
        <v>7.3850184958426907E-2</v>
      </c>
      <c r="P118" s="5" cm="1">
        <f t="array" ref="P118">_xlfn.IFS(B118="At-Risk Churner",$B$2,$B118="Dormant",$B$3,$B118="Deal Hunter",$B$4,$B118="New Customer",$B$5,$B118="Occasional Buyer",$B$6,$B118="Loyal High-Value",$B$7)</f>
        <v>35</v>
      </c>
      <c r="Q118" s="9" cm="1">
        <f t="array" ref="Q118">_xlfn.IFS($B118 = "At-Risk Churner", $B$8, $B118="Dormant",$B$9, $B118="Deal Hunter", $B$10, $B118="New Customer", $B$11, $B118="Occasional Buyer", $B$12, $B118 = "Loyal High-Value",$B$13)</f>
        <v>0.35</v>
      </c>
      <c r="R118" s="5">
        <v>15</v>
      </c>
      <c r="S118" s="5">
        <v>0</v>
      </c>
      <c r="T118" s="5">
        <v>8</v>
      </c>
      <c r="U118" s="5">
        <f t="shared" si="7"/>
        <v>15</v>
      </c>
      <c r="V118" s="5">
        <f t="shared" si="8"/>
        <v>3.6189317648714954</v>
      </c>
      <c r="W118" s="43">
        <f t="shared" si="9"/>
        <v>76.956431764871496</v>
      </c>
      <c r="X118" s="5" t="str" cm="1">
        <f t="array" ref="X118">_xlfn.IFS($W118 &lt;= 30, "Low", $W118 &lt;=50, "Medium", $W118 &lt;= 70, "High", $W118 &gt; 70, "Critical")</f>
        <v>Critical</v>
      </c>
      <c r="Y118" s="9">
        <f t="shared" si="10"/>
        <v>0.32786917370332314</v>
      </c>
      <c r="Z118" s="22">
        <f t="shared" si="11"/>
        <v>38.672169038306961</v>
      </c>
    </row>
    <row r="119" spans="1:26">
      <c r="A119" s="24" t="str">
        <v>CUST-2251</v>
      </c>
      <c r="B119" s="24" t="str">
        <v>At-Risk Churner</v>
      </c>
      <c r="C119" s="24" t="str">
        <v>Referral</v>
      </c>
      <c r="D119" s="24" t="str">
        <v>West</v>
      </c>
      <c r="E119" s="24" t="str">
        <v>35-44</v>
      </c>
      <c r="F119" s="24" t="str">
        <v>High</v>
      </c>
      <c r="G119" s="24">
        <v>3</v>
      </c>
      <c r="H119" s="24">
        <v>227</v>
      </c>
      <c r="I119" s="23">
        <v>112.78</v>
      </c>
      <c r="J119" s="24" cm="1">
        <f t="array" ref="J119">SUMPRODUCT(
    (Transactions_and_Customer_Information_Joined[Customer ID]='V1-Based Churn Model (Step 3)'!$A119) *
    (IFERROR(_xlfn.XLOOKUP(Transactions_and_Customer_Information_Joined[SKU], 'V1 Pricing Model (Step 2)'!$A$22:$A$71, 'V1 Pricing Model (Step 2)'!$AL$22:$AL$71), "Exclude")&lt;&gt;"Exclude") *
    Transactions_and_Customer_Information_Joined[Gross Revenue])</f>
        <v>306.12</v>
      </c>
      <c r="K119" s="24">
        <f>SUMIF(Transactions_and_Customer_Information_Joined[Customer ID], 'V1-Based Churn Model (Step 3)'!$A119, Transactions_and_Customer_Information_Joined[Gross Revenue])</f>
        <v>306.12</v>
      </c>
      <c r="L119" s="3">
        <f t="shared" si="6"/>
        <v>1</v>
      </c>
      <c r="M119" s="21">
        <v>5.3264377873214752E-2</v>
      </c>
      <c r="N119" s="21" cm="1">
        <f t="array" ref="N119">SUMPRODUCT(
    (Transactions_and_Customer_Information_Joined[Customer ID]=$A119)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19" s="21" cm="1">
        <f t="array" ref="O119">IFERROR(
    SUMPRODUCT(
        (Transactions_and_Customer_Information_Joined[Customer ID]=$A119)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$J119,
0)</f>
        <v>5.3264377873214752E-2</v>
      </c>
      <c r="P119" s="5" cm="1">
        <f t="array" ref="P119">_xlfn.IFS(B119="At-Risk Churner",$B$2,$B119="Dormant",$B$3,$B119="Deal Hunter",$B$4,$B119="New Customer",$B$5,$B119="Occasional Buyer",$B$6,$B119="Loyal High-Value",$B$7)</f>
        <v>70</v>
      </c>
      <c r="Q119" s="9" cm="1">
        <f t="array" ref="Q119">_xlfn.IFS($B119 = "At-Risk Churner", $B$8, $B119="Dormant",$B$9, $B119="Deal Hunter", $B$10, $B119="New Customer", $B$11, $B119="Occasional Buyer", $B$12, $B119 = "Loyal High-Value",$B$13)</f>
        <v>0.45</v>
      </c>
      <c r="R119" s="5">
        <v>15</v>
      </c>
      <c r="S119" s="5">
        <v>10</v>
      </c>
      <c r="T119" s="5">
        <v>8</v>
      </c>
      <c r="U119" s="5">
        <f t="shared" si="7"/>
        <v>15</v>
      </c>
      <c r="V119" s="5">
        <f t="shared" si="8"/>
        <v>2.1305751149285901</v>
      </c>
      <c r="W119" s="43">
        <f t="shared" si="9"/>
        <v>100</v>
      </c>
      <c r="X119" s="5" t="str" cm="1">
        <f t="array" ref="X119">_xlfn.IFS($W119 &lt;= 30, "Low", $W119 &lt;=50, "Medium", $W119 &lt;= 70, "High", $W119 &gt; 70, "Critical")</f>
        <v>Critical</v>
      </c>
      <c r="Y119" s="9">
        <f t="shared" si="10"/>
        <v>0.44698821708407188</v>
      </c>
      <c r="Z119" s="22">
        <f t="shared" si="11"/>
        <v>50.411331122741629</v>
      </c>
    </row>
    <row r="120" spans="1:26">
      <c r="A120" s="24" t="str">
        <v>CUST-1313</v>
      </c>
      <c r="B120" s="24" t="str">
        <v>At-Risk Churner</v>
      </c>
      <c r="C120" s="24" t="str">
        <v>Organic Search</v>
      </c>
      <c r="D120" s="24" t="str">
        <v>Midwest</v>
      </c>
      <c r="E120" s="24" t="str">
        <v>18-24</v>
      </c>
      <c r="F120" s="24" t="str">
        <v>Medium</v>
      </c>
      <c r="G120" s="24">
        <v>3</v>
      </c>
      <c r="H120" s="24">
        <v>350</v>
      </c>
      <c r="I120" s="23">
        <v>379.82</v>
      </c>
      <c r="J120" s="24" cm="1">
        <f t="array" ref="J120">SUMPRODUCT(
    (Transactions_and_Customer_Information_Joined[Customer ID]='V1-Based Churn Model (Step 3)'!$A120) *
    (IFERROR(_xlfn.XLOOKUP(Transactions_and_Customer_Information_Joined[SKU], 'V1 Pricing Model (Step 2)'!$A$22:$A$71, 'V1 Pricing Model (Step 2)'!$AL$22:$AL$71), "Exclude")&lt;&gt;"Exclude") *
    Transactions_and_Customer_Information_Joined[Gross Revenue])</f>
        <v>392.56</v>
      </c>
      <c r="K120" s="24">
        <f>SUMIF(Transactions_and_Customer_Information_Joined[Customer ID], 'V1-Based Churn Model (Step 3)'!$A120, Transactions_and_Customer_Information_Joined[Gross Revenue])</f>
        <v>392.56</v>
      </c>
      <c r="L120" s="3">
        <f t="shared" si="6"/>
        <v>1</v>
      </c>
      <c r="M120" s="21">
        <v>0.16615780750618397</v>
      </c>
      <c r="N120" s="21" cm="1">
        <f t="array" ref="N120">SUMPRODUCT(
    (Transactions_and_Customer_Information_Joined[Customer ID]=$A120)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20" s="21" cm="1">
        <f t="array" ref="O120">IFERROR(
    SUMPRODUCT(
        (Transactions_and_Customer_Information_Joined[Customer ID]=$A120)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$J120,
0)</f>
        <v>0.16615780750618397</v>
      </c>
      <c r="P120" s="5" cm="1">
        <f t="array" ref="P120">_xlfn.IFS(B120="At-Risk Churner",$B$2,$B120="Dormant",$B$3,$B120="Deal Hunter",$B$4,$B120="New Customer",$B$5,$B120="Occasional Buyer",$B$6,$B120="Loyal High-Value",$B$7)</f>
        <v>70</v>
      </c>
      <c r="Q120" s="9" cm="1">
        <f t="array" ref="Q120">_xlfn.IFS($B120 = "At-Risk Churner", $B$8, $B120="Dormant",$B$9, $B120="Deal Hunter", $B$10, $B120="New Customer", $B$11, $B120="Occasional Buyer", $B$12, $B120 = "Loyal High-Value",$B$13)</f>
        <v>0.45</v>
      </c>
      <c r="R120" s="5">
        <v>5</v>
      </c>
      <c r="S120" s="5">
        <v>10</v>
      </c>
      <c r="T120" s="5">
        <v>15</v>
      </c>
      <c r="U120" s="5">
        <f t="shared" si="7"/>
        <v>15</v>
      </c>
      <c r="V120" s="5">
        <f t="shared" si="8"/>
        <v>6.6463123002473594</v>
      </c>
      <c r="W120" s="43">
        <f t="shared" si="9"/>
        <v>100</v>
      </c>
      <c r="X120" s="5" t="str" cm="1">
        <f t="array" ref="X120">_xlfn.IFS($W120 &lt;= 30, "Low", $W120 &lt;=50, "Medium", $W120 &lt;= 70, "High", $W120 &gt; 70, "Critical")</f>
        <v>Critical</v>
      </c>
      <c r="Y120" s="9">
        <f t="shared" si="10"/>
        <v>0.44698821708407188</v>
      </c>
      <c r="Z120" s="22">
        <f t="shared" si="11"/>
        <v>169.77506461287217</v>
      </c>
    </row>
    <row r="121" spans="1:26">
      <c r="A121" s="24" t="str">
        <v>CUST-1245</v>
      </c>
      <c r="B121" s="24" t="str">
        <v>Loyal High-Value</v>
      </c>
      <c r="C121" s="24" t="str">
        <v>Paid Social</v>
      </c>
      <c r="D121" s="24" t="str">
        <v>Northeast</v>
      </c>
      <c r="E121" s="24" t="str">
        <v>35-44</v>
      </c>
      <c r="F121" s="24" t="str">
        <v>Low</v>
      </c>
      <c r="G121" s="24">
        <v>3</v>
      </c>
      <c r="H121" s="24">
        <v>103</v>
      </c>
      <c r="I121" s="23">
        <v>2133.44</v>
      </c>
      <c r="J121" s="24" cm="1">
        <f t="array" ref="J121">SUMPRODUCT(
    (Transactions_and_Customer_Information_Joined[Customer ID]='V1-Based Churn Model (Step 3)'!$A121) *
    (IFERROR(_xlfn.XLOOKUP(Transactions_and_Customer_Information_Joined[SKU], 'V1 Pricing Model (Step 2)'!$A$22:$A$71, 'V1 Pricing Model (Step 2)'!$AL$22:$AL$71), "Exclude")&lt;&gt;"Exclude") *
    Transactions_and_Customer_Information_Joined[Gross Revenue])</f>
        <v>358.48</v>
      </c>
      <c r="K121" s="24">
        <f>SUMIF(Transactions_and_Customer_Information_Joined[Customer ID], 'V1-Based Churn Model (Step 3)'!$A121, Transactions_and_Customer_Information_Joined[Gross Revenue])</f>
        <v>358.48</v>
      </c>
      <c r="L121" s="3">
        <f t="shared" si="6"/>
        <v>1</v>
      </c>
      <c r="M121" s="21">
        <v>0.10710868403533827</v>
      </c>
      <c r="N121" s="21" cm="1">
        <f t="array" ref="N121">SUMPRODUCT(
    (Transactions_and_Customer_Information_Joined[Customer ID]=$A121)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21" s="21" cm="1">
        <f t="array" ref="O121">IFERROR(
    SUMPRODUCT(
        (Transactions_and_Customer_Information_Joined[Customer ID]=$A121)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$J121,
0)</f>
        <v>0.10710868403533827</v>
      </c>
      <c r="P121" s="5" cm="1">
        <f t="array" ref="P121">_xlfn.IFS(B121="At-Risk Churner",$B$2,$B121="Dormant",$B$3,$B121="Deal Hunter",$B$4,$B121="New Customer",$B$5,$B121="Occasional Buyer",$B$6,$B121="Loyal High-Value",$B$7)</f>
        <v>15</v>
      </c>
      <c r="Q121" s="9" cm="1">
        <f t="array" ref="Q121">_xlfn.IFS($B121 = "At-Risk Churner", $B$8, $B121="Dormant",$B$9, $B121="Deal Hunter", $B$10, $B121="New Customer", $B$11, $B121="Occasional Buyer", $B$12, $B121 = "Loyal High-Value",$B$13)</f>
        <v>0.05</v>
      </c>
      <c r="R121" s="5">
        <v>-5</v>
      </c>
      <c r="S121" s="5">
        <v>10</v>
      </c>
      <c r="T121" s="5">
        <v>0</v>
      </c>
      <c r="U121" s="5">
        <f t="shared" si="7"/>
        <v>15</v>
      </c>
      <c r="V121" s="5">
        <f t="shared" si="8"/>
        <v>4.2843473614135306</v>
      </c>
      <c r="W121" s="43">
        <f t="shared" si="9"/>
        <v>39.321847361413532</v>
      </c>
      <c r="X121" s="5" t="str" cm="1">
        <f t="array" ref="X121">_xlfn.IFS($W121 &lt;= 30, "Low", $W121 &lt;=50, "Medium", $W121 &lt;= 70, "High", $W121 &gt; 70, "Critical")</f>
        <v>Medium</v>
      </c>
      <c r="Y121" s="9">
        <f t="shared" si="10"/>
        <v>1.2790939127570025E-2</v>
      </c>
      <c r="Z121" s="22">
        <f t="shared" si="11"/>
        <v>448.51896093785842</v>
      </c>
    </row>
    <row r="122" spans="1:26">
      <c r="A122" s="24" t="str">
        <v>CUST-3872</v>
      </c>
      <c r="B122" s="24" t="str">
        <v>At-Risk Churner</v>
      </c>
      <c r="C122" s="24" t="str">
        <v>Referral</v>
      </c>
      <c r="D122" s="24" t="str">
        <v>West</v>
      </c>
      <c r="E122" s="24" t="str">
        <v>45-54</v>
      </c>
      <c r="F122" s="24" t="str">
        <v>High</v>
      </c>
      <c r="G122" s="24">
        <v>4</v>
      </c>
      <c r="H122" s="24">
        <v>7</v>
      </c>
      <c r="I122" s="23">
        <v>350.61</v>
      </c>
      <c r="J122" s="24" cm="1">
        <f t="array" ref="J122">SUMPRODUCT(
    (Transactions_and_Customer_Information_Joined[Customer ID]='V1-Based Churn Model (Step 3)'!$A122) *
    (IFERROR(_xlfn.XLOOKUP(Transactions_and_Customer_Information_Joined[SKU], 'V1 Pricing Model (Step 2)'!$A$22:$A$71, 'V1 Pricing Model (Step 2)'!$AL$22:$AL$71), "Exclude")&lt;&gt;"Exclude") *
    Transactions_and_Customer_Information_Joined[Gross Revenue])</f>
        <v>790.08</v>
      </c>
      <c r="K122" s="24">
        <f>SUMIF(Transactions_and_Customer_Information_Joined[Customer ID], 'V1-Based Churn Model (Step 3)'!$A122, Transactions_and_Customer_Information_Joined[Gross Revenue])</f>
        <v>790.08</v>
      </c>
      <c r="L122" s="3">
        <f t="shared" si="6"/>
        <v>1</v>
      </c>
      <c r="M122" s="21">
        <v>5.4598129129915428E-2</v>
      </c>
      <c r="N122" s="21" cm="1">
        <f t="array" ref="N122">SUMPRODUCT(
    (Transactions_and_Customer_Information_Joined[Customer ID]=$A122)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22" s="21" cm="1">
        <f t="array" ref="O122">IFERROR(
    SUMPRODUCT(
        (Transactions_and_Customer_Information_Joined[Customer ID]=$A122)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$J122,
0)</f>
        <v>5.4598129129915428E-2</v>
      </c>
      <c r="P122" s="5" cm="1">
        <f t="array" ref="P122">_xlfn.IFS(B122="At-Risk Churner",$B$2,$B122="Dormant",$B$3,$B122="Deal Hunter",$B$4,$B122="New Customer",$B$5,$B122="Occasional Buyer",$B$6,$B122="Loyal High-Value",$B$7)</f>
        <v>70</v>
      </c>
      <c r="Q122" s="9" cm="1">
        <f t="array" ref="Q122">_xlfn.IFS($B122 = "At-Risk Churner", $B$8, $B122="Dormant",$B$9, $B122="Deal Hunter", $B$10, $B122="New Customer", $B$11, $B122="Occasional Buyer", $B$12, $B122 = "Loyal High-Value",$B$13)</f>
        <v>0.45</v>
      </c>
      <c r="R122" s="5">
        <v>15</v>
      </c>
      <c r="S122" s="5">
        <v>0</v>
      </c>
      <c r="T122" s="5">
        <v>-5</v>
      </c>
      <c r="U122" s="5">
        <f t="shared" si="7"/>
        <v>15</v>
      </c>
      <c r="V122" s="5">
        <f t="shared" si="8"/>
        <v>2.1839251651966172</v>
      </c>
      <c r="W122" s="43">
        <f t="shared" si="9"/>
        <v>97.521425165196618</v>
      </c>
      <c r="X122" s="5" t="str" cm="1">
        <f t="array" ref="X122">_xlfn.IFS($W122 &lt;= 30, "Low", $W122 &lt;=50, "Medium", $W122 &lt;= 70, "High", $W122 &gt; 70, "Critical")</f>
        <v>Critical</v>
      </c>
      <c r="Y122" s="9">
        <f t="shared" si="10"/>
        <v>0.44614832183484282</v>
      </c>
      <c r="Z122" s="22">
        <f t="shared" si="11"/>
        <v>156.42406311851425</v>
      </c>
    </row>
    <row r="123" spans="1:26">
      <c r="A123" s="24" t="str">
        <v>CUST-3292</v>
      </c>
      <c r="B123" s="24" t="str">
        <v>At-Risk Churner</v>
      </c>
      <c r="C123" s="24" t="str">
        <v>Email Campaign</v>
      </c>
      <c r="D123" s="24" t="str">
        <v>West</v>
      </c>
      <c r="E123" s="24" t="str">
        <v>18-24</v>
      </c>
      <c r="F123" s="24" t="str">
        <v>Medium</v>
      </c>
      <c r="G123" s="24">
        <v>2</v>
      </c>
      <c r="H123" s="24">
        <v>228</v>
      </c>
      <c r="I123" s="23">
        <v>81.56</v>
      </c>
      <c r="J123" s="24" cm="1">
        <f t="array" ref="J123">SUMPRODUCT(
    (Transactions_and_Customer_Information_Joined[Customer ID]='V1-Based Churn Model (Step 3)'!$A123) *
    (IFERROR(_xlfn.XLOOKUP(Transactions_and_Customer_Information_Joined[SKU], 'V1 Pricing Model (Step 2)'!$A$22:$A$71, 'V1 Pricing Model (Step 2)'!$AL$22:$AL$71), "Exclude")&lt;&gt;"Exclude") *
    Transactions_and_Customer_Information_Joined[Gross Revenue])</f>
        <v>56.33</v>
      </c>
      <c r="K123" s="24">
        <f>SUMIF(Transactions_and_Customer_Information_Joined[Customer ID], 'V1-Based Churn Model (Step 3)'!$A123, Transactions_and_Customer_Information_Joined[Gross Revenue])</f>
        <v>56.33</v>
      </c>
      <c r="L123" s="3">
        <f t="shared" si="6"/>
        <v>1</v>
      </c>
      <c r="M123" s="21">
        <v>1.5146952408836394E-2</v>
      </c>
      <c r="N123" s="21" cm="1">
        <f t="array" ref="N123">SUMPRODUCT(
    (Transactions_and_Customer_Information_Joined[Customer ID]=$A123)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23" s="21" cm="1">
        <f t="array" ref="O123">IFERROR(
    SUMPRODUCT(
        (Transactions_and_Customer_Information_Joined[Customer ID]=$A123)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$J123,
0)</f>
        <v>1.5146952408836394E-2</v>
      </c>
      <c r="P123" s="5" cm="1">
        <f t="array" ref="P123">_xlfn.IFS(B123="At-Risk Churner",$B$2,$B123="Dormant",$B$3,$B123="Deal Hunter",$B$4,$B123="New Customer",$B$5,$B123="Occasional Buyer",$B$6,$B123="Loyal High-Value",$B$7)</f>
        <v>70</v>
      </c>
      <c r="Q123" s="9" cm="1">
        <f t="array" ref="Q123">_xlfn.IFS($B123 = "At-Risk Churner", $B$8, $B123="Dormant",$B$9, $B123="Deal Hunter", $B$10, $B123="New Customer", $B$11, $B123="Occasional Buyer", $B$12, $B123 = "Loyal High-Value",$B$13)</f>
        <v>0.45</v>
      </c>
      <c r="R123" s="5">
        <v>5</v>
      </c>
      <c r="S123" s="5">
        <v>10</v>
      </c>
      <c r="T123" s="5">
        <v>8</v>
      </c>
      <c r="U123" s="5">
        <f t="shared" si="7"/>
        <v>15</v>
      </c>
      <c r="V123" s="5">
        <f t="shared" si="8"/>
        <v>0.6058780963534558</v>
      </c>
      <c r="W123" s="43">
        <f t="shared" si="9"/>
        <v>100</v>
      </c>
      <c r="X123" s="5" t="str" cm="1">
        <f t="array" ref="X123">_xlfn.IFS($W123 &lt;= 30, "Low", $W123 &lt;=50, "Medium", $W123 &lt;= 70, "High", $W123 &gt; 70, "Critical")</f>
        <v>Critical</v>
      </c>
      <c r="Y123" s="9">
        <f t="shared" si="10"/>
        <v>0.44698821708407188</v>
      </c>
      <c r="Z123" s="22">
        <f t="shared" si="11"/>
        <v>36.456358985376902</v>
      </c>
    </row>
    <row r="124" spans="1:26">
      <c r="A124" s="24" t="str">
        <v>CUST-2098</v>
      </c>
      <c r="B124" s="24" t="str">
        <v>Occasional Buyer</v>
      </c>
      <c r="C124" s="24" t="str">
        <v>Paid Social</v>
      </c>
      <c r="D124" s="24" t="str">
        <v>West</v>
      </c>
      <c r="E124" s="24" t="str">
        <v>25-34</v>
      </c>
      <c r="F124" s="24" t="str">
        <v>High</v>
      </c>
      <c r="G124" s="24">
        <v>9</v>
      </c>
      <c r="H124" s="24">
        <v>139</v>
      </c>
      <c r="I124" s="23">
        <v>259.83</v>
      </c>
      <c r="J124" s="24" cm="1">
        <f t="array" ref="J124">SUMPRODUCT(
    (Transactions_and_Customer_Information_Joined[Customer ID]='V1-Based Churn Model (Step 3)'!$A124) *
    (IFERROR(_xlfn.XLOOKUP(Transactions_and_Customer_Information_Joined[SKU], 'V1 Pricing Model (Step 2)'!$A$22:$A$71, 'V1 Pricing Model (Step 2)'!$AL$22:$AL$71), "Exclude")&lt;&gt;"Exclude") *
    Transactions_and_Customer_Information_Joined[Gross Revenue])</f>
        <v>295.53000000000003</v>
      </c>
      <c r="K124" s="24">
        <f>SUMIF(Transactions_and_Customer_Information_Joined[Customer ID], 'V1-Based Churn Model (Step 3)'!$A124, Transactions_and_Customer_Information_Joined[Gross Revenue])</f>
        <v>295.53000000000003</v>
      </c>
      <c r="L124" s="3">
        <f t="shared" si="6"/>
        <v>1</v>
      </c>
      <c r="M124" s="21">
        <v>0.17380489413507264</v>
      </c>
      <c r="N124" s="21" cm="1">
        <f t="array" ref="N124">SUMPRODUCT(
    (Transactions_and_Customer_Information_Joined[Customer ID]=$A124)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24" s="21" cm="1">
        <f t="array" ref="O124">IFERROR(
    SUMPRODUCT(
        (Transactions_and_Customer_Information_Joined[Customer ID]=$A124)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$J124,
0)</f>
        <v>0.17380489413507264</v>
      </c>
      <c r="P124" s="5" cm="1">
        <f t="array" ref="P124">_xlfn.IFS(B124="At-Risk Churner",$B$2,$B124="Dormant",$B$3,$B124="Deal Hunter",$B$4,$B124="New Customer",$B$5,$B124="Occasional Buyer",$B$6,$B124="Loyal High-Value",$B$7)</f>
        <v>25</v>
      </c>
      <c r="Q124" s="9" cm="1">
        <f t="array" ref="Q124">_xlfn.IFS($B124 = "At-Risk Churner", $B$8, $B124="Dormant",$B$9, $B124="Deal Hunter", $B$10, $B124="New Customer", $B$11, $B124="Occasional Buyer", $B$12, $B124 = "Loyal High-Value",$B$13)</f>
        <v>0.18</v>
      </c>
      <c r="R124" s="5">
        <v>15</v>
      </c>
      <c r="S124" s="5">
        <v>-8</v>
      </c>
      <c r="T124" s="5">
        <v>0</v>
      </c>
      <c r="U124" s="5">
        <f t="shared" si="7"/>
        <v>15</v>
      </c>
      <c r="V124" s="5">
        <f t="shared" si="8"/>
        <v>6.9521957654029052</v>
      </c>
      <c r="W124" s="43">
        <f t="shared" si="9"/>
        <v>54.089695765402901</v>
      </c>
      <c r="X124" s="5" t="str" cm="1">
        <f t="array" ref="X124">_xlfn.IFS($W124 &lt;= 30, "Low", $W124 &lt;=50, "Medium", $W124 &lt;= 70, "High", $W124 &gt; 70, "Critical")</f>
        <v>High</v>
      </c>
      <c r="Y124" s="9">
        <f t="shared" si="10"/>
        <v>0.1081513398448095</v>
      </c>
      <c r="Z124" s="22">
        <f t="shared" si="11"/>
        <v>74.446770105501486</v>
      </c>
    </row>
    <row r="125" spans="1:26">
      <c r="A125" s="24" t="str">
        <v>CUST-2507</v>
      </c>
      <c r="B125" s="24" t="str">
        <v>New Customer</v>
      </c>
      <c r="C125" s="24" t="str">
        <v>Organic Search</v>
      </c>
      <c r="D125" s="24" t="str">
        <v>Southeast</v>
      </c>
      <c r="E125" s="24" t="str">
        <v>45-54</v>
      </c>
      <c r="F125" s="24" t="str">
        <v>Medium</v>
      </c>
      <c r="G125" s="24">
        <v>0</v>
      </c>
      <c r="H125" s="24">
        <v>139</v>
      </c>
      <c r="I125" s="23">
        <v>140.72</v>
      </c>
      <c r="J125" s="24" cm="1">
        <f t="array" ref="J125">SUMPRODUCT(
    (Transactions_and_Customer_Information_Joined[Customer ID]='V1-Based Churn Model (Step 3)'!$A125) *
    (IFERROR(_xlfn.XLOOKUP(Transactions_and_Customer_Information_Joined[SKU], 'V1 Pricing Model (Step 2)'!$A$22:$A$71, 'V1 Pricing Model (Step 2)'!$AL$22:$AL$71), "Exclude")&lt;&gt;"Exclude") *
    Transactions_and_Customer_Information_Joined[Gross Revenue])</f>
        <v>163.92000000000002</v>
      </c>
      <c r="K125" s="24">
        <f>SUMIF(Transactions_and_Customer_Information_Joined[Customer ID], 'V1-Based Churn Model (Step 3)'!$A125, Transactions_and_Customer_Information_Joined[Gross Revenue])</f>
        <v>163.92000000000002</v>
      </c>
      <c r="L125" s="3">
        <f t="shared" si="6"/>
        <v>1</v>
      </c>
      <c r="M125" s="21">
        <v>0.24833629343146826</v>
      </c>
      <c r="N125" s="21" cm="1">
        <f t="array" ref="N125">SUMPRODUCT(
    (Transactions_and_Customer_Information_Joined[Customer ID]=$A125)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25" s="21" cm="1">
        <f t="array" ref="O125">IFERROR(
    SUMPRODUCT(
        (Transactions_and_Customer_Information_Joined[Customer ID]=$A125)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$J125,
0)</f>
        <v>0.24833629343146826</v>
      </c>
      <c r="P125" s="5" cm="1">
        <f t="array" ref="P125">_xlfn.IFS(B125="At-Risk Churner",$B$2,$B125="Dormant",$B$3,$B125="Deal Hunter",$B$4,$B125="New Customer",$B$5,$B125="Occasional Buyer",$B$6,$B125="Loyal High-Value",$B$7)</f>
        <v>35</v>
      </c>
      <c r="Q125" s="9" cm="1">
        <f t="array" ref="Q125">_xlfn.IFS($B125 = "At-Risk Churner", $B$8, $B125="Dormant",$B$9, $B125="Deal Hunter", $B$10, $B125="New Customer", $B$11, $B125="Occasional Buyer", $B$12, $B125 = "Loyal High-Value",$B$13)</f>
        <v>0.35</v>
      </c>
      <c r="R125" s="5">
        <v>5</v>
      </c>
      <c r="S125" s="5">
        <v>10</v>
      </c>
      <c r="T125" s="5">
        <v>0</v>
      </c>
      <c r="U125" s="5">
        <f t="shared" si="7"/>
        <v>15</v>
      </c>
      <c r="V125" s="5">
        <f t="shared" si="8"/>
        <v>9.9334517372587303</v>
      </c>
      <c r="W125" s="43">
        <f t="shared" si="9"/>
        <v>75.395951737258727</v>
      </c>
      <c r="X125" s="5" t="str" cm="1">
        <f t="array" ref="X125">_xlfn.IFS($W125 &lt;= 30, "Low", $W125 &lt;=50, "Medium", $W125 &lt;= 70, "High", $W125 &gt; 70, "Critical")</f>
        <v>Critical</v>
      </c>
      <c r="Y125" s="9">
        <f t="shared" si="10"/>
        <v>0.32440498715248367</v>
      </c>
      <c r="Z125" s="22">
        <f t="shared" si="11"/>
        <v>45.650269792097504</v>
      </c>
    </row>
    <row r="126" spans="1:26">
      <c r="A126" s="24" t="str">
        <v>CUST-1187</v>
      </c>
      <c r="B126" s="24" t="str">
        <v>Dormant</v>
      </c>
      <c r="C126" s="24" t="str">
        <v>Paid Social</v>
      </c>
      <c r="D126" s="24" t="str">
        <v>Southeast</v>
      </c>
      <c r="E126" s="24" t="str">
        <v>18-24</v>
      </c>
      <c r="F126" s="24" t="str">
        <v>Medium</v>
      </c>
      <c r="G126" s="24">
        <v>2</v>
      </c>
      <c r="H126" s="24">
        <v>138</v>
      </c>
      <c r="I126" s="23">
        <v>64.39</v>
      </c>
      <c r="J126" s="24" cm="1">
        <f t="array" ref="J126">SUMPRODUCT(
    (Transactions_and_Customer_Information_Joined[Customer ID]='V1-Based Churn Model (Step 3)'!$A126) *
    (IFERROR(_xlfn.XLOOKUP(Transactions_and_Customer_Information_Joined[SKU], 'V1 Pricing Model (Step 2)'!$A$22:$A$71, 'V1 Pricing Model (Step 2)'!$AL$22:$AL$71), "Exclude")&lt;&gt;"Exclude") *
    Transactions_and_Customer_Information_Joined[Gross Revenue])</f>
        <v>93.41</v>
      </c>
      <c r="K126" s="24">
        <f>SUMIF(Transactions_and_Customer_Information_Joined[Customer ID], 'V1-Based Churn Model (Step 3)'!$A126, Transactions_and_Customer_Information_Joined[Gross Revenue])</f>
        <v>93.41</v>
      </c>
      <c r="L126" s="3">
        <f t="shared" si="6"/>
        <v>1</v>
      </c>
      <c r="M126" s="21">
        <v>-6.1928730463004879E-2</v>
      </c>
      <c r="N126" s="21" cm="1">
        <f t="array" ref="N126">SUMPRODUCT(
    (Transactions_and_Customer_Information_Joined[Customer ID]=$A126)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26" s="21" cm="1">
        <f t="array" ref="O126">IFERROR(
    SUMPRODUCT(
        (Transactions_and_Customer_Information_Joined[Customer ID]=$A126)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$J126,
0)</f>
        <v>-6.1928730463004872E-2</v>
      </c>
      <c r="P126" s="5" cm="1">
        <f t="array" ref="P126">_xlfn.IFS(B126="At-Risk Churner",$B$2,$B126="Dormant",$B$3,$B126="Deal Hunter",$B$4,$B126="New Customer",$B$5,$B126="Occasional Buyer",$B$6,$B126="Loyal High-Value",$B$7)</f>
        <v>65</v>
      </c>
      <c r="Q126" s="9" cm="1">
        <f t="array" ref="Q126">_xlfn.IFS($B126 = "At-Risk Churner", $B$8, $B126="Dormant",$B$9, $B126="Deal Hunter", $B$10, $B126="New Customer", $B$11, $B126="Occasional Buyer", $B$12, $B126 = "Loyal High-Value",$B$13)</f>
        <v>0.6</v>
      </c>
      <c r="R126" s="5">
        <v>5</v>
      </c>
      <c r="S126" s="5">
        <v>10</v>
      </c>
      <c r="T126" s="5">
        <v>0</v>
      </c>
      <c r="U126" s="5">
        <f t="shared" si="7"/>
        <v>15</v>
      </c>
      <c r="V126" s="5">
        <f t="shared" si="8"/>
        <v>2.4771492185201947</v>
      </c>
      <c r="W126" s="43">
        <f t="shared" si="9"/>
        <v>98.239649218520199</v>
      </c>
      <c r="X126" s="5" t="str" cm="1">
        <f t="array" ref="X126">_xlfn.IFS($W126 &lt;= 30, "Low", $W126 &lt;=50, "Medium", $W126 &lt;= 70, "High", $W126 &gt; 70, "Critical")</f>
        <v>Critical</v>
      </c>
      <c r="Y126" s="9">
        <f t="shared" si="10"/>
        <v>0.59521750692306918</v>
      </c>
      <c r="Z126" s="22">
        <f t="shared" si="11"/>
        <v>38.326055270776422</v>
      </c>
    </row>
    <row r="127" spans="1:26">
      <c r="A127" s="24" t="str">
        <v>CUST-3367</v>
      </c>
      <c r="B127" s="24" t="str">
        <v>Occasional Buyer</v>
      </c>
      <c r="C127" s="24" t="str">
        <v>Referral</v>
      </c>
      <c r="D127" s="24" t="str">
        <v>Midwest</v>
      </c>
      <c r="E127" s="24" t="str">
        <v>35-44</v>
      </c>
      <c r="F127" s="24" t="str">
        <v>Low</v>
      </c>
      <c r="G127" s="24">
        <v>8</v>
      </c>
      <c r="H127" s="24">
        <v>27</v>
      </c>
      <c r="I127" s="23">
        <v>235.16</v>
      </c>
      <c r="J127" s="24" cm="1">
        <f t="array" ref="J127">SUMPRODUCT(
    (Transactions_and_Customer_Information_Joined[Customer ID]='V1-Based Churn Model (Step 3)'!$A127) *
    (IFERROR(_xlfn.XLOOKUP(Transactions_and_Customer_Information_Joined[SKU], 'V1 Pricing Model (Step 2)'!$A$22:$A$71, 'V1 Pricing Model (Step 2)'!$AL$22:$AL$71), "Exclude")&lt;&gt;"Exclude") *
    Transactions_and_Customer_Information_Joined[Gross Revenue])</f>
        <v>833.36999999999989</v>
      </c>
      <c r="K127" s="24">
        <f>SUMIF(Transactions_and_Customer_Information_Joined[Customer ID], 'V1-Based Churn Model (Step 3)'!$A127, Transactions_and_Customer_Information_Joined[Gross Revenue])</f>
        <v>833.36999999999989</v>
      </c>
      <c r="L127" s="3">
        <f t="shared" si="6"/>
        <v>1</v>
      </c>
      <c r="M127" s="21">
        <v>5.8348079685156623E-2</v>
      </c>
      <c r="N127" s="21" cm="1">
        <f t="array" ref="N127">SUMPRODUCT(
    (Transactions_and_Customer_Information_Joined[Customer ID]=$A127)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2</v>
      </c>
      <c r="O127" s="21" cm="1">
        <f t="array" ref="O127">IFERROR(
    SUMPRODUCT(
        (Transactions_and_Customer_Information_Joined[Customer ID]=$A127)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$J127,
0)</f>
        <v>3.699960329170382E-2</v>
      </c>
      <c r="P127" s="5" cm="1">
        <f t="array" ref="P127">_xlfn.IFS(B127="At-Risk Churner",$B$2,$B127="Dormant",$B$3,$B127="Deal Hunter",$B$4,$B127="New Customer",$B$5,$B127="Occasional Buyer",$B$6,$B127="Loyal High-Value",$B$7)</f>
        <v>25</v>
      </c>
      <c r="Q127" s="9" cm="1">
        <f t="array" ref="Q127">_xlfn.IFS($B127 = "At-Risk Churner", $B$8, $B127="Dormant",$B$9, $B127="Deal Hunter", $B$10, $B127="New Customer", $B$11, $B127="Occasional Buyer", $B$12, $B127 = "Loyal High-Value",$B$13)</f>
        <v>0.18</v>
      </c>
      <c r="R127" s="5">
        <v>-5</v>
      </c>
      <c r="S127" s="5">
        <v>-8</v>
      </c>
      <c r="T127" s="5">
        <v>-5</v>
      </c>
      <c r="U127" s="5">
        <f t="shared" si="7"/>
        <v>15</v>
      </c>
      <c r="V127" s="5">
        <f t="shared" si="8"/>
        <v>1.906953659537209</v>
      </c>
      <c r="W127" s="43">
        <f t="shared" si="9"/>
        <v>23.594453659537209</v>
      </c>
      <c r="X127" s="5" t="str" cm="1">
        <f t="array" ref="X127">_xlfn.IFS($W127 &lt;= 30, "Low", $W127 &lt;=50, "Medium", $W127 &lt;= 70, "High", $W127 &gt; 70, "Critical")</f>
        <v>Low</v>
      </c>
      <c r="Y127" s="9">
        <f t="shared" si="10"/>
        <v>1.1983241067234109E-2</v>
      </c>
      <c r="Z127" s="22">
        <f t="shared" si="11"/>
        <v>2.8179789693707731</v>
      </c>
    </row>
    <row r="128" spans="1:26">
      <c r="A128" s="24" t="str">
        <v>CUST-1021</v>
      </c>
      <c r="B128" s="24" t="str">
        <v>At-Risk Churner</v>
      </c>
      <c r="C128" s="24" t="str">
        <v>Referral</v>
      </c>
      <c r="D128" s="24" t="str">
        <v>Northeast</v>
      </c>
      <c r="E128" s="24" t="str">
        <v>18-24</v>
      </c>
      <c r="F128" s="24" t="str">
        <v>High</v>
      </c>
      <c r="G128" s="24">
        <v>2</v>
      </c>
      <c r="H128" s="24">
        <v>365</v>
      </c>
      <c r="I128" s="23">
        <v>387.63</v>
      </c>
      <c r="J128" s="24" cm="1">
        <f t="array" ref="J128">SUMPRODUCT(
    (Transactions_and_Customer_Information_Joined[Customer ID]='V1-Based Churn Model (Step 3)'!$A128) *
    (IFERROR(_xlfn.XLOOKUP(Transactions_and_Customer_Information_Joined[SKU], 'V1 Pricing Model (Step 2)'!$A$22:$A$71, 'V1 Pricing Model (Step 2)'!$AL$22:$AL$71), "Exclude")&lt;&gt;"Exclude") *
    Transactions_and_Customer_Information_Joined[Gross Revenue])</f>
        <v>315.36</v>
      </c>
      <c r="K128" s="24">
        <f>SUMIF(Transactions_and_Customer_Information_Joined[Customer ID], 'V1-Based Churn Model (Step 3)'!$A128, Transactions_and_Customer_Information_Joined[Gross Revenue])</f>
        <v>315.36</v>
      </c>
      <c r="L128" s="3">
        <f t="shared" si="6"/>
        <v>1</v>
      </c>
      <c r="M128" s="21">
        <v>9.1108129362620652E-2</v>
      </c>
      <c r="N128" s="21" cm="1">
        <f t="array" ref="N128">SUMPRODUCT(
    (Transactions_and_Customer_Information_Joined[Customer ID]=$A128)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28" s="21" cm="1">
        <f t="array" ref="O128">IFERROR(
    SUMPRODUCT(
        (Transactions_and_Customer_Information_Joined[Customer ID]=$A128)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$J128,
0)</f>
        <v>9.1108129362620652E-2</v>
      </c>
      <c r="P128" s="5" cm="1">
        <f t="array" ref="P128">_xlfn.IFS(B128="At-Risk Churner",$B$2,$B128="Dormant",$B$3,$B128="Deal Hunter",$B$4,$B128="New Customer",$B$5,$B128="Occasional Buyer",$B$6,$B128="Loyal High-Value",$B$7)</f>
        <v>70</v>
      </c>
      <c r="Q128" s="9" cm="1">
        <f t="array" ref="Q128">_xlfn.IFS($B128 = "At-Risk Churner", $B$8, $B128="Dormant",$B$9, $B128="Deal Hunter", $B$10, $B128="New Customer", $B$11, $B128="Occasional Buyer", $B$12, $B128 = "Loyal High-Value",$B$13)</f>
        <v>0.45</v>
      </c>
      <c r="R128" s="5">
        <v>15</v>
      </c>
      <c r="S128" s="5">
        <v>10</v>
      </c>
      <c r="T128" s="5">
        <v>15</v>
      </c>
      <c r="U128" s="5">
        <f t="shared" si="7"/>
        <v>15</v>
      </c>
      <c r="V128" s="5">
        <f t="shared" si="8"/>
        <v>3.644325174504826</v>
      </c>
      <c r="W128" s="43">
        <f t="shared" si="9"/>
        <v>100</v>
      </c>
      <c r="X128" s="5" t="str" cm="1">
        <f t="array" ref="X128">_xlfn.IFS($W128 &lt;= 30, "Low", $W128 &lt;=50, "Medium", $W128 &lt;= 70, "High", $W128 &gt; 70, "Critical")</f>
        <v>Critical</v>
      </c>
      <c r="Y128" s="9">
        <f t="shared" si="10"/>
        <v>0.44698821708407188</v>
      </c>
      <c r="Z128" s="22">
        <f t="shared" si="11"/>
        <v>173.26604258829877</v>
      </c>
    </row>
    <row r="129" spans="1:26">
      <c r="A129" s="24" t="str">
        <v>CUST-3687</v>
      </c>
      <c r="B129" s="24" t="str">
        <v>New Customer</v>
      </c>
      <c r="C129" s="24" t="str">
        <v>Referral</v>
      </c>
      <c r="D129" s="24" t="str">
        <v>Southwest</v>
      </c>
      <c r="E129" s="24" t="str">
        <v>35-44</v>
      </c>
      <c r="F129" s="24" t="str">
        <v>High</v>
      </c>
      <c r="G129" s="24">
        <v>2</v>
      </c>
      <c r="H129" s="24">
        <v>338</v>
      </c>
      <c r="I129" s="23">
        <v>100.68</v>
      </c>
      <c r="J129" s="24" cm="1">
        <f t="array" ref="J129">SUMPRODUCT(
    (Transactions_and_Customer_Information_Joined[Customer ID]='V1-Based Churn Model (Step 3)'!$A129) *
    (IFERROR(_xlfn.XLOOKUP(Transactions_and_Customer_Information_Joined[SKU], 'V1 Pricing Model (Step 2)'!$A$22:$A$71, 'V1 Pricing Model (Step 2)'!$AL$22:$AL$71), "Exclude")&lt;&gt;"Exclude") *
    Transactions_and_Customer_Information_Joined[Gross Revenue])</f>
        <v>487.41999999999996</v>
      </c>
      <c r="K129" s="24">
        <f>SUMIF(Transactions_and_Customer_Information_Joined[Customer ID], 'V1-Based Churn Model (Step 3)'!$A129, Transactions_and_Customer_Information_Joined[Gross Revenue])</f>
        <v>749.14</v>
      </c>
      <c r="L129" s="3">
        <f t="shared" si="6"/>
        <v>0.65063939984515573</v>
      </c>
      <c r="M129" s="21">
        <v>0.25481331848064742</v>
      </c>
      <c r="N129" s="21" cm="1">
        <f t="array" ref="N129">SUMPRODUCT(
    (Transactions_and_Customer_Information_Joined[Customer ID]=$A129)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29" s="21" cm="1">
        <f t="array" ref="O129">IFERROR(
    SUMPRODUCT(
        (Transactions_and_Customer_Information_Joined[Customer ID]=$A129)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$J129,
0)</f>
        <v>0.17367896986845141</v>
      </c>
      <c r="P129" s="5" cm="1">
        <f t="array" ref="P129">_xlfn.IFS(B129="At-Risk Churner",$B$2,$B129="Dormant",$B$3,$B129="Deal Hunter",$B$4,$B129="New Customer",$B$5,$B129="Occasional Buyer",$B$6,$B129="Loyal High-Value",$B$7)</f>
        <v>35</v>
      </c>
      <c r="Q129" s="9" cm="1">
        <f t="array" ref="Q129">_xlfn.IFS($B129 = "At-Risk Churner", $B$8, $B129="Dormant",$B$9, $B129="Deal Hunter", $B$10, $B129="New Customer", $B$11, $B129="Occasional Buyer", $B$12, $B129 = "Loyal High-Value",$B$13)</f>
        <v>0.35</v>
      </c>
      <c r="R129" s="5">
        <v>15</v>
      </c>
      <c r="S129" s="5">
        <v>10</v>
      </c>
      <c r="T129" s="5">
        <v>15</v>
      </c>
      <c r="U129" s="5">
        <f t="shared" si="7"/>
        <v>15</v>
      </c>
      <c r="V129" s="5">
        <f t="shared" si="8"/>
        <v>8.5698457669819774</v>
      </c>
      <c r="W129" s="43">
        <f t="shared" si="9"/>
        <v>99.257345766981985</v>
      </c>
      <c r="X129" s="5" t="str" cm="1">
        <f t="array" ref="X129">_xlfn.IFS($W129 &lt;= 30, "Low", $W129 &lt;=50, "Medium", $W129 &lt;= 70, "High", $W129 &gt; 70, "Critical")</f>
        <v>Critical</v>
      </c>
      <c r="Y129" s="9">
        <f t="shared" si="10"/>
        <v>0.34747821396954426</v>
      </c>
      <c r="Z129" s="22">
        <f t="shared" si="11"/>
        <v>34.98410658245372</v>
      </c>
    </row>
    <row r="130" spans="1:26">
      <c r="A130" s="24" t="str">
        <v>CUST-3802</v>
      </c>
      <c r="B130" s="24" t="str">
        <v>Dormant</v>
      </c>
      <c r="C130" s="24" t="str">
        <v>Referral</v>
      </c>
      <c r="D130" s="24" t="str">
        <v>Southeast</v>
      </c>
      <c r="E130" s="24" t="str">
        <v>45-54</v>
      </c>
      <c r="F130" s="24" t="str">
        <v>Medium</v>
      </c>
      <c r="G130" s="24">
        <v>4</v>
      </c>
      <c r="H130" s="24">
        <v>208</v>
      </c>
      <c r="I130" s="23">
        <v>63.23</v>
      </c>
      <c r="J130" s="24" cm="1">
        <f t="array" ref="J130">SUMPRODUCT(
    (Transactions_and_Customer_Information_Joined[Customer ID]='V1-Based Churn Model (Step 3)'!$A130) *
    (IFERROR(_xlfn.XLOOKUP(Transactions_and_Customer_Information_Joined[SKU], 'V1 Pricing Model (Step 2)'!$A$22:$A$71, 'V1 Pricing Model (Step 2)'!$AL$22:$AL$71), "Exclude")&lt;&gt;"Exclude") *
    Transactions_and_Customer_Information_Joined[Gross Revenue])</f>
        <v>395.04</v>
      </c>
      <c r="K130" s="24">
        <f>SUMIF(Transactions_and_Customer_Information_Joined[Customer ID], 'V1-Based Churn Model (Step 3)'!$A130, Transactions_and_Customer_Information_Joined[Gross Revenue])</f>
        <v>546.42000000000007</v>
      </c>
      <c r="L130" s="3">
        <f t="shared" si="6"/>
        <v>0.72296036016251231</v>
      </c>
      <c r="M130" s="21">
        <v>5.4598129129915428E-2</v>
      </c>
      <c r="N130" s="21" cm="1">
        <f t="array" ref="N130">SUMPRODUCT(
    (Transactions_and_Customer_Information_Joined[Customer ID]=$A130)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30" s="21" cm="1">
        <f t="array" ref="O130">IFERROR(
    SUMPRODUCT(
        (Transactions_and_Customer_Information_Joined[Customer ID]=$A130)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$J130,
0)</f>
        <v>5.4598129129915428E-2</v>
      </c>
      <c r="P130" s="5" cm="1">
        <f t="array" ref="P130">_xlfn.IFS(B130="At-Risk Churner",$B$2,$B130="Dormant",$B$3,$B130="Deal Hunter",$B$4,$B130="New Customer",$B$5,$B130="Occasional Buyer",$B$6,$B130="Loyal High-Value",$B$7)</f>
        <v>65</v>
      </c>
      <c r="Q130" s="9" cm="1">
        <f t="array" ref="Q130">_xlfn.IFS($B130 = "At-Risk Churner", $B$8, $B130="Dormant",$B$9, $B130="Deal Hunter", $B$10, $B130="New Customer", $B$11, $B130="Occasional Buyer", $B$12, $B130 = "Loyal High-Value",$B$13)</f>
        <v>0.6</v>
      </c>
      <c r="R130" s="5">
        <v>5</v>
      </c>
      <c r="S130" s="5">
        <v>0</v>
      </c>
      <c r="T130" s="5">
        <v>8</v>
      </c>
      <c r="U130" s="5">
        <f t="shared" si="7"/>
        <v>15</v>
      </c>
      <c r="V130" s="5">
        <f t="shared" si="8"/>
        <v>2.1839251651966172</v>
      </c>
      <c r="W130" s="43">
        <f t="shared" si="9"/>
        <v>95.296425165196609</v>
      </c>
      <c r="X130" s="5" t="str" cm="1">
        <f t="array" ref="X130">_xlfn.IFS($W130 &lt;= 30, "Low", $W130 &lt;=50, "Medium", $W130 &lt;= 70, "High", $W130 &gt; 70, "Critical")</f>
        <v>Critical</v>
      </c>
      <c r="Y130" s="9">
        <f t="shared" si="10"/>
        <v>0.5935983207015969</v>
      </c>
      <c r="Z130" s="22">
        <f t="shared" si="11"/>
        <v>37.533221817961973</v>
      </c>
    </row>
    <row r="131" spans="1:26">
      <c r="A131" s="24" t="str">
        <v>CUST-3635</v>
      </c>
      <c r="B131" s="24" t="str">
        <v>At-Risk Churner</v>
      </c>
      <c r="C131" s="24" t="str">
        <v>Organic Search</v>
      </c>
      <c r="D131" s="24" t="str">
        <v>Southeast</v>
      </c>
      <c r="E131" s="24" t="str">
        <v>25-34</v>
      </c>
      <c r="F131" s="24" t="str">
        <v>Medium</v>
      </c>
      <c r="G131" s="24">
        <v>0</v>
      </c>
      <c r="H131" s="24">
        <v>357</v>
      </c>
      <c r="I131" s="23">
        <v>212.62</v>
      </c>
      <c r="J131" s="24" cm="1">
        <f t="array" ref="J131">SUMPRODUCT(
    (Transactions_and_Customer_Information_Joined[Customer ID]='V1-Based Churn Model (Step 3)'!$A131) *
    (IFERROR(_xlfn.XLOOKUP(Transactions_and_Customer_Information_Joined[SKU], 'V1 Pricing Model (Step 2)'!$A$22:$A$71, 'V1 Pricing Model (Step 2)'!$AL$22:$AL$71), "Exclude")&lt;&gt;"Exclude") *
    Transactions_and_Customer_Information_Joined[Gross Revenue])</f>
        <v>535.96</v>
      </c>
      <c r="K131" s="24">
        <f>SUMIF(Transactions_and_Customer_Information_Joined[Customer ID], 'V1-Based Churn Model (Step 3)'!$A131, Transactions_and_Customer_Information_Joined[Gross Revenue])</f>
        <v>535.96</v>
      </c>
      <c r="L131" s="3">
        <f t="shared" si="6"/>
        <v>1</v>
      </c>
      <c r="M131" s="21">
        <v>0.18240919880904002</v>
      </c>
      <c r="N131" s="21" cm="1">
        <f t="array" ref="N131">SUMPRODUCT(
    (Transactions_and_Customer_Information_Joined[Customer ID]=$A131)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31" s="21" cm="1">
        <f t="array" ref="O131">IFERROR(
    SUMPRODUCT(
        (Transactions_and_Customer_Information_Joined[Customer ID]=$A131)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$J131,
0)</f>
        <v>0.18240919880904002</v>
      </c>
      <c r="P131" s="5" cm="1">
        <f t="array" ref="P131">_xlfn.IFS(B131="At-Risk Churner",$B$2,$B131="Dormant",$B$3,$B131="Deal Hunter",$B$4,$B131="New Customer",$B$5,$B131="Occasional Buyer",$B$6,$B131="Loyal High-Value",$B$7)</f>
        <v>70</v>
      </c>
      <c r="Q131" s="9" cm="1">
        <f t="array" ref="Q131">_xlfn.IFS($B131 = "At-Risk Churner", $B$8, $B131="Dormant",$B$9, $B131="Deal Hunter", $B$10, $B131="New Customer", $B$11, $B131="Occasional Buyer", $B$12, $B131 = "Loyal High-Value",$B$13)</f>
        <v>0.45</v>
      </c>
      <c r="R131" s="5">
        <v>5</v>
      </c>
      <c r="S131" s="5">
        <v>10</v>
      </c>
      <c r="T131" s="5">
        <v>15</v>
      </c>
      <c r="U131" s="5">
        <f t="shared" si="7"/>
        <v>15</v>
      </c>
      <c r="V131" s="5">
        <f t="shared" si="8"/>
        <v>7.2963679523616012</v>
      </c>
      <c r="W131" s="43">
        <f t="shared" si="9"/>
        <v>100</v>
      </c>
      <c r="X131" s="5" t="str" cm="1">
        <f t="array" ref="X131">_xlfn.IFS($W131 &lt;= 30, "Low", $W131 &lt;=50, "Medium", $W131 &lt;= 70, "High", $W131 &gt; 70, "Critical")</f>
        <v>Critical</v>
      </c>
      <c r="Y131" s="9">
        <f t="shared" si="10"/>
        <v>0.44698821708407188</v>
      </c>
      <c r="Z131" s="22">
        <f t="shared" si="11"/>
        <v>95.038634716415359</v>
      </c>
    </row>
    <row r="132" spans="1:26">
      <c r="A132" s="24" t="str">
        <v>CUST-1904</v>
      </c>
      <c r="B132" s="24" t="str">
        <v>At-Risk Churner</v>
      </c>
      <c r="C132" s="24" t="str">
        <v>Paid Social</v>
      </c>
      <c r="D132" s="24" t="str">
        <v>West</v>
      </c>
      <c r="E132" s="24" t="str">
        <v>25-34</v>
      </c>
      <c r="F132" s="24" t="str">
        <v>High</v>
      </c>
      <c r="G132" s="24">
        <v>0</v>
      </c>
      <c r="H132" s="24">
        <v>315</v>
      </c>
      <c r="I132" s="23">
        <v>121.81</v>
      </c>
      <c r="J132" s="24" cm="1">
        <f t="array" ref="J132">SUMPRODUCT(
    (Transactions_and_Customer_Information_Joined[Customer ID]='V1-Based Churn Model (Step 3)'!$A132) *
    (IFERROR(_xlfn.XLOOKUP(Transactions_and_Customer_Information_Joined[SKU], 'V1 Pricing Model (Step 2)'!$A$22:$A$71, 'V1 Pricing Model (Step 2)'!$AL$22:$AL$71), "Exclude")&lt;&gt;"Exclude") *
    Transactions_and_Customer_Information_Joined[Gross Revenue])</f>
        <v>202.68</v>
      </c>
      <c r="K132" s="24">
        <f>SUMIF(Transactions_and_Customer_Information_Joined[Customer ID], 'V1-Based Churn Model (Step 3)'!$A132, Transactions_and_Customer_Information_Joined[Gross Revenue])</f>
        <v>202.68</v>
      </c>
      <c r="L132" s="3">
        <f t="shared" si="6"/>
        <v>1</v>
      </c>
      <c r="M132" s="21">
        <v>0.10788177153562864</v>
      </c>
      <c r="N132" s="21" cm="1">
        <f t="array" ref="N132">SUMPRODUCT(
    (Transactions_and_Customer_Information_Joined[Customer ID]=$A132)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32" s="21" cm="1">
        <f t="array" ref="O132">IFERROR(
    SUMPRODUCT(
        (Transactions_and_Customer_Information_Joined[Customer ID]=$A132)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$J132,
0)</f>
        <v>0.10788177153562864</v>
      </c>
      <c r="P132" s="5" cm="1">
        <f t="array" ref="P132">_xlfn.IFS(B132="At-Risk Churner",$B$2,$B132="Dormant",$B$3,$B132="Deal Hunter",$B$4,$B132="New Customer",$B$5,$B132="Occasional Buyer",$B$6,$B132="Loyal High-Value",$B$7)</f>
        <v>70</v>
      </c>
      <c r="Q132" s="9" cm="1">
        <f t="array" ref="Q132">_xlfn.IFS($B132 = "At-Risk Churner", $B$8, $B132="Dormant",$B$9, $B132="Deal Hunter", $B$10, $B132="New Customer", $B$11, $B132="Occasional Buyer", $B$12, $B132 = "Loyal High-Value",$B$13)</f>
        <v>0.45</v>
      </c>
      <c r="R132" s="5">
        <v>15</v>
      </c>
      <c r="S132" s="5">
        <v>10</v>
      </c>
      <c r="T132" s="5">
        <v>15</v>
      </c>
      <c r="U132" s="5">
        <f t="shared" si="7"/>
        <v>15</v>
      </c>
      <c r="V132" s="5">
        <f t="shared" si="8"/>
        <v>4.3152708614251454</v>
      </c>
      <c r="W132" s="43">
        <f t="shared" si="9"/>
        <v>100</v>
      </c>
      <c r="X132" s="5" t="str" cm="1">
        <f t="array" ref="X132">_xlfn.IFS($W132 &lt;= 30, "Low", $W132 &lt;=50, "Medium", $W132 &lt;= 70, "High", $W132 &gt; 70, "Critical")</f>
        <v>Critical</v>
      </c>
      <c r="Y132" s="9">
        <f t="shared" si="10"/>
        <v>0.44698821708407188</v>
      </c>
      <c r="Z132" s="22">
        <f t="shared" si="11"/>
        <v>54.4476347230108</v>
      </c>
    </row>
    <row r="133" spans="1:26">
      <c r="A133" s="24" t="str">
        <v>CUST-3777</v>
      </c>
      <c r="B133" s="24" t="str">
        <v>Occasional Buyer</v>
      </c>
      <c r="C133" s="24" t="str">
        <v>Organic Search</v>
      </c>
      <c r="D133" s="24" t="str">
        <v>Canada</v>
      </c>
      <c r="E133" s="24" t="str">
        <v>55+</v>
      </c>
      <c r="F133" s="24" t="str">
        <v>Low</v>
      </c>
      <c r="G133" s="24">
        <v>10</v>
      </c>
      <c r="H133" s="24">
        <v>235</v>
      </c>
      <c r="I133" s="23">
        <v>241.41</v>
      </c>
      <c r="J133" s="24" cm="1">
        <f t="array" ref="J133">SUMPRODUCT(
    (Transactions_and_Customer_Information_Joined[Customer ID]='V1-Based Churn Model (Step 3)'!$A133) *
    (IFERROR(_xlfn.XLOOKUP(Transactions_and_Customer_Information_Joined[SKU], 'V1 Pricing Model (Step 2)'!$A$22:$A$71, 'V1 Pricing Model (Step 2)'!$AL$22:$AL$71), "Exclude")&lt;&gt;"Exclude") *
    Transactions_and_Customer_Information_Joined[Gross Revenue])</f>
        <v>106.52</v>
      </c>
      <c r="K133" s="24">
        <f>SUMIF(Transactions_and_Customer_Information_Joined[Customer ID], 'V1-Based Churn Model (Step 3)'!$A133, Transactions_and_Customer_Information_Joined[Gross Revenue])</f>
        <v>106.52</v>
      </c>
      <c r="L133" s="3">
        <f t="shared" si="6"/>
        <v>1</v>
      </c>
      <c r="M133" s="21">
        <v>8.081096121299744E-2</v>
      </c>
      <c r="N133" s="21" cm="1">
        <f t="array" ref="N133">SUMPRODUCT(
    (Transactions_and_Customer_Information_Joined[Customer ID]=$A133)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33" s="21" cm="1">
        <f t="array" ref="O133">IFERROR(
    SUMPRODUCT(
        (Transactions_and_Customer_Information_Joined[Customer ID]=$A133)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$J133,
0)</f>
        <v>8.081096121299744E-2</v>
      </c>
      <c r="P133" s="5" cm="1">
        <f t="array" ref="P133">_xlfn.IFS(B133="At-Risk Churner",$B$2,$B133="Dormant",$B$3,$B133="Deal Hunter",$B$4,$B133="New Customer",$B$5,$B133="Occasional Buyer",$B$6,$B133="Loyal High-Value",$B$7)</f>
        <v>25</v>
      </c>
      <c r="Q133" s="9" cm="1">
        <f t="array" ref="Q133">_xlfn.IFS($B133 = "At-Risk Churner", $B$8, $B133="Dormant",$B$9, $B133="Deal Hunter", $B$10, $B133="New Customer", $B$11, $B133="Occasional Buyer", $B$12, $B133 = "Loyal High-Value",$B$13)</f>
        <v>0.18</v>
      </c>
      <c r="R133" s="5">
        <v>-5</v>
      </c>
      <c r="S133" s="5">
        <v>-8</v>
      </c>
      <c r="T133" s="5">
        <v>8</v>
      </c>
      <c r="U133" s="5">
        <f t="shared" si="7"/>
        <v>15</v>
      </c>
      <c r="V133" s="5">
        <f t="shared" si="8"/>
        <v>3.2324384485198978</v>
      </c>
      <c r="W133" s="43">
        <f t="shared" si="9"/>
        <v>37.9199384485199</v>
      </c>
      <c r="X133" s="5" t="str" cm="1">
        <f t="array" ref="X133">_xlfn.IFS($W133 &lt;= 30, "Low", $W133 &lt;=50, "Medium", $W133 &lt;= 70, "High", $W133 &gt; 70, "Critical")</f>
        <v>Medium</v>
      </c>
      <c r="Y133" s="9">
        <f t="shared" si="10"/>
        <v>4.1409725209582963E-2</v>
      </c>
      <c r="Z133" s="22">
        <f t="shared" si="11"/>
        <v>56.279377410276339</v>
      </c>
    </row>
    <row r="134" spans="1:26">
      <c r="A134" s="24" t="str">
        <v>CUST-4273</v>
      </c>
      <c r="B134" s="24" t="str">
        <v>Deal Hunter</v>
      </c>
      <c r="C134" s="24" t="str">
        <v>Referral</v>
      </c>
      <c r="D134" s="24" t="str">
        <v>Southeast</v>
      </c>
      <c r="E134" s="24" t="str">
        <v>35-44</v>
      </c>
      <c r="F134" s="24" t="str">
        <v>Medium</v>
      </c>
      <c r="G134" s="24">
        <v>3</v>
      </c>
      <c r="H134" s="24">
        <v>30</v>
      </c>
      <c r="I134" s="23">
        <v>268.32</v>
      </c>
      <c r="J134" s="24" cm="1">
        <f t="array" ref="J134">SUMPRODUCT(
    (Transactions_and_Customer_Information_Joined[Customer ID]='V1-Based Churn Model (Step 3)'!$A134) *
    (IFERROR(_xlfn.XLOOKUP(Transactions_and_Customer_Information_Joined[SKU], 'V1 Pricing Model (Step 2)'!$A$22:$A$71, 'V1 Pricing Model (Step 2)'!$AL$22:$AL$71), "Exclude")&lt;&gt;"Exclude") *
    Transactions_and_Customer_Information_Joined[Gross Revenue])</f>
        <v>113.18</v>
      </c>
      <c r="K134" s="24">
        <f>SUMIF(Transactions_and_Customer_Information_Joined[Customer ID], 'V1-Based Churn Model (Step 3)'!$A134, Transactions_and_Customer_Information_Joined[Gross Revenue])</f>
        <v>237.44</v>
      </c>
      <c r="L134" s="3">
        <f t="shared" si="6"/>
        <v>0.47666778975741242</v>
      </c>
      <c r="M134" s="21">
        <v>7.8578478868305213E-2</v>
      </c>
      <c r="N134" s="21" cm="1">
        <f t="array" ref="N134">SUMPRODUCT(
    (Transactions_and_Customer_Information_Joined[Customer ID]=$A134)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134" s="21" cm="1">
        <f t="array" ref="O134">IFERROR(
    SUMPRODUCT(
        (Transactions_and_Customer_Information_Joined[Customer ID]=$A134)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$J134,
0)</f>
        <v>7.8578478868305213E-2</v>
      </c>
      <c r="P134" s="5" cm="1">
        <f t="array" ref="P134">_xlfn.IFS(B134="At-Risk Churner",$B$2,$B134="Dormant",$B$3,$B134="Deal Hunter",$B$4,$B134="New Customer",$B$5,$B134="Occasional Buyer",$B$6,$B134="Loyal High-Value",$B$7)</f>
        <v>45</v>
      </c>
      <c r="Q134" s="9" cm="1">
        <f t="array" ref="Q134">_xlfn.IFS($B134 = "At-Risk Churner", $B$8, $B134="Dormant",$B$9, $B134="Deal Hunter", $B$10, $B134="New Customer", $B$11, $B134="Occasional Buyer", $B$12, $B134 = "Loyal High-Value",$B$13)</f>
        <v>0.25</v>
      </c>
      <c r="R134" s="5">
        <v>5</v>
      </c>
      <c r="S134" s="5">
        <v>10</v>
      </c>
      <c r="T134" s="5">
        <v>-5</v>
      </c>
      <c r="U134" s="5">
        <f t="shared" si="7"/>
        <v>11.916694743935311</v>
      </c>
      <c r="V134" s="5">
        <f t="shared" si="8"/>
        <v>3.1431391547322085</v>
      </c>
      <c r="W134" s="43">
        <f t="shared" si="9"/>
        <v>70.599209109247042</v>
      </c>
      <c r="X134" s="5" t="str" cm="1">
        <f t="array" ref="X134">_xlfn.IFS($W134 &lt;= 30, "Low", $W134 &lt;=50, "Medium", $W134 &lt;= 70, "High", $W134 &gt; 70, "Critical")</f>
        <v>Critical</v>
      </c>
      <c r="Y134" s="9">
        <f t="shared" si="10"/>
        <v>0.22173655992570113</v>
      </c>
      <c r="Z134" s="22">
        <f t="shared" si="11"/>
        <v>59.496353759264125</v>
      </c>
    </row>
    <row r="135" spans="1:26">
      <c r="A135" s="24" t="str">
        <v>CUST-2348</v>
      </c>
      <c r="B135" s="24" t="str">
        <v>New Customer</v>
      </c>
      <c r="C135" s="24" t="str">
        <v>Direct</v>
      </c>
      <c r="D135" s="24" t="str">
        <v>Canada</v>
      </c>
      <c r="E135" s="24" t="str">
        <v>45-54</v>
      </c>
      <c r="F135" s="24" t="str">
        <v>Medium</v>
      </c>
      <c r="G135" s="24">
        <v>0</v>
      </c>
      <c r="H135" s="24">
        <v>267</v>
      </c>
      <c r="I135" s="23">
        <v>143.69999999999999</v>
      </c>
      <c r="J135" s="24" cm="1">
        <f t="array" ref="J135">SUMPRODUCT(
    (Transactions_and_Customer_Information_Joined[Customer ID]='V1-Based Churn Model (Step 3)'!$A135) *
    (IFERROR(_xlfn.XLOOKUP(Transactions_and_Customer_Information_Joined[SKU], 'V1 Pricing Model (Step 2)'!$A$22:$A$71, 'V1 Pricing Model (Step 2)'!$AL$22:$AL$71), "Exclude")&lt;&gt;"Exclude") *
    Transactions_and_Customer_Information_Joined[Gross Revenue])</f>
        <v>535.96</v>
      </c>
      <c r="K135" s="24">
        <f>SUMIF(Transactions_and_Customer_Information_Joined[Customer ID], 'V1-Based Churn Model (Step 3)'!$A135, Transactions_and_Customer_Information_Joined[Gross Revenue])</f>
        <v>535.96</v>
      </c>
      <c r="L135" s="3">
        <f t="shared" si="6"/>
        <v>1</v>
      </c>
      <c r="M135" s="21">
        <v>0.18240919880904002</v>
      </c>
      <c r="N135" s="21" cm="1">
        <f t="array" ref="N135">SUMPRODUCT(
    (Transactions_and_Customer_Information_Joined[Customer ID]=$A135)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35" s="21" cm="1">
        <f t="array" ref="O135">IFERROR(
    SUMPRODUCT(
        (Transactions_and_Customer_Information_Joined[Customer ID]=$A135)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$J135,
0)</f>
        <v>0.18240919880904002</v>
      </c>
      <c r="P135" s="5" cm="1">
        <f t="array" ref="P135">_xlfn.IFS(B135="At-Risk Churner",$B$2,$B135="Dormant",$B$3,$B135="Deal Hunter",$B$4,$B135="New Customer",$B$5,$B135="Occasional Buyer",$B$6,$B135="Loyal High-Value",$B$7)</f>
        <v>35</v>
      </c>
      <c r="Q135" s="9" cm="1">
        <f t="array" ref="Q135">_xlfn.IFS($B135 = "At-Risk Churner", $B$8, $B135="Dormant",$B$9, $B135="Deal Hunter", $B$10, $B135="New Customer", $B$11, $B135="Occasional Buyer", $B$12, $B135 = "Loyal High-Value",$B$13)</f>
        <v>0.35</v>
      </c>
      <c r="R135" s="5">
        <v>5</v>
      </c>
      <c r="S135" s="5">
        <v>10</v>
      </c>
      <c r="T135" s="5">
        <v>8</v>
      </c>
      <c r="U135" s="5">
        <f t="shared" si="7"/>
        <v>15</v>
      </c>
      <c r="V135" s="5">
        <f t="shared" si="8"/>
        <v>7.2963679523616012</v>
      </c>
      <c r="W135" s="43">
        <f t="shared" si="9"/>
        <v>80.758867952361598</v>
      </c>
      <c r="X135" s="5" t="str" cm="1">
        <f t="array" ref="X135">_xlfn.IFS($W135 &lt;= 30, "Low", $W135 &lt;=50, "Medium", $W135 &lt;= 70, "High", $W135 &gt; 70, "Critical")</f>
        <v>Critical</v>
      </c>
      <c r="Y135" s="9">
        <f t="shared" si="10"/>
        <v>0.3345604738142523</v>
      </c>
      <c r="Z135" s="22">
        <f t="shared" si="11"/>
        <v>48.076340087108051</v>
      </c>
    </row>
    <row r="136" spans="1:26">
      <c r="A136" s="24" t="str">
        <v>CUST-1896</v>
      </c>
      <c r="B136" s="24" t="str">
        <v>New Customer</v>
      </c>
      <c r="C136" s="24" t="str">
        <v>Direct</v>
      </c>
      <c r="D136" s="24" t="str">
        <v>Canada</v>
      </c>
      <c r="E136" s="24" t="str">
        <v>25-34</v>
      </c>
      <c r="F136" s="24" t="str">
        <v>Low</v>
      </c>
      <c r="G136" s="24">
        <v>7</v>
      </c>
      <c r="H136" s="24">
        <v>304</v>
      </c>
      <c r="I136" s="23">
        <v>91.42</v>
      </c>
      <c r="J136" s="24" cm="1">
        <f t="array" ref="J136">SUMPRODUCT(
    (Transactions_and_Customer_Information_Joined[Customer ID]='V1-Based Churn Model (Step 3)'!$A136) *
    (IFERROR(_xlfn.XLOOKUP(Transactions_and_Customer_Information_Joined[SKU], 'V1 Pricing Model (Step 2)'!$A$22:$A$71, 'V1 Pricing Model (Step 2)'!$AL$22:$AL$71), "Exclude")&lt;&gt;"Exclude") *
    Transactions_and_Customer_Information_Joined[Gross Revenue])</f>
        <v>26.46</v>
      </c>
      <c r="K136" s="24">
        <f>SUMIF(Transactions_and_Customer_Information_Joined[Customer ID], 'V1-Based Churn Model (Step 3)'!$A136, Transactions_and_Customer_Information_Joined[Gross Revenue])</f>
        <v>26.46</v>
      </c>
      <c r="L136" s="3">
        <f t="shared" si="6"/>
        <v>1</v>
      </c>
      <c r="M136" s="21">
        <v>-4.5975852073346618E-2</v>
      </c>
      <c r="N136" s="21" cm="1">
        <f t="array" ref="N136">SUMPRODUCT(
    (Transactions_and_Customer_Information_Joined[Customer ID]=$A136)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36" s="21" cm="1">
        <f t="array" ref="O136">IFERROR(
    SUMPRODUCT(
        (Transactions_and_Customer_Information_Joined[Customer ID]=$A136)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$J136,
0)</f>
        <v>-4.5975852073346618E-2</v>
      </c>
      <c r="P136" s="5" cm="1">
        <f t="array" ref="P136">_xlfn.IFS(B136="At-Risk Churner",$B$2,$B136="Dormant",$B$3,$B136="Deal Hunter",$B$4,$B136="New Customer",$B$5,$B136="Occasional Buyer",$B$6,$B136="Loyal High-Value",$B$7)</f>
        <v>35</v>
      </c>
      <c r="Q136" s="9" cm="1">
        <f t="array" ref="Q136">_xlfn.IFS($B136 = "At-Risk Churner", $B$8, $B136="Dormant",$B$9, $B136="Deal Hunter", $B$10, $B136="New Customer", $B$11, $B136="Occasional Buyer", $B$12, $B136 = "Loyal High-Value",$B$13)</f>
        <v>0.35</v>
      </c>
      <c r="R136" s="5">
        <v>-5</v>
      </c>
      <c r="S136" s="5">
        <v>-8</v>
      </c>
      <c r="T136" s="5">
        <v>15</v>
      </c>
      <c r="U136" s="5">
        <f t="shared" si="7"/>
        <v>15</v>
      </c>
      <c r="V136" s="5">
        <f t="shared" si="8"/>
        <v>1.8390340829338647</v>
      </c>
      <c r="W136" s="43">
        <f t="shared" si="9"/>
        <v>53.446534082933866</v>
      </c>
      <c r="X136" s="5" t="str" cm="1">
        <f t="array" ref="X136">_xlfn.IFS($W136 &lt;= 30, "Low", $W136 &lt;=50, "Medium", $W136 &lt;= 70, "High", $W136 &gt; 70, "Critical")</f>
        <v>High</v>
      </c>
      <c r="Y136" s="9">
        <f t="shared" si="10"/>
        <v>0.20486215635649693</v>
      </c>
      <c r="Z136" s="22">
        <f t="shared" si="11"/>
        <v>33.266798667288761</v>
      </c>
    </row>
    <row r="137" spans="1:26">
      <c r="A137" s="24" t="str">
        <v>CUST-3458</v>
      </c>
      <c r="B137" s="24" t="str">
        <v>Dormant</v>
      </c>
      <c r="C137" s="24" t="str">
        <v>Direct</v>
      </c>
      <c r="D137" s="24" t="str">
        <v>Southwest</v>
      </c>
      <c r="E137" s="24" t="str">
        <v>45-54</v>
      </c>
      <c r="F137" s="24" t="str">
        <v>Medium</v>
      </c>
      <c r="G137" s="24">
        <v>5</v>
      </c>
      <c r="H137" s="24">
        <v>351</v>
      </c>
      <c r="I137" s="23">
        <v>99.68</v>
      </c>
      <c r="J137" s="24" cm="1">
        <f t="array" ref="J137">SUMPRODUCT(
    (Transactions_and_Customer_Information_Joined[Customer ID]='V1-Based Churn Model (Step 3)'!$A137) *
    (IFERROR(_xlfn.XLOOKUP(Transactions_and_Customer_Information_Joined[SKU], 'V1 Pricing Model (Step 2)'!$A$22:$A$71, 'V1 Pricing Model (Step 2)'!$AL$22:$AL$71), "Exclude")&lt;&gt;"Exclude") *
    Transactions_and_Customer_Information_Joined[Gross Revenue])</f>
        <v>424.24</v>
      </c>
      <c r="K137" s="24">
        <f>SUMIF(Transactions_and_Customer_Information_Joined[Customer ID], 'V1-Based Churn Model (Step 3)'!$A137, Transactions_and_Customer_Information_Joined[Gross Revenue])</f>
        <v>424.24</v>
      </c>
      <c r="L137" s="3">
        <f t="shared" si="6"/>
        <v>1</v>
      </c>
      <c r="M137" s="21">
        <v>0.18762795201583557</v>
      </c>
      <c r="N137" s="21" cm="1">
        <f t="array" ref="N137">SUMPRODUCT(
    (Transactions_and_Customer_Information_Joined[Customer ID]=$A137)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37" s="21" cm="1">
        <f t="array" ref="O137">IFERROR(
    SUMPRODUCT(
        (Transactions_and_Customer_Information_Joined[Customer ID]=$A137)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$J137,
0)</f>
        <v>0.18762795201583557</v>
      </c>
      <c r="P137" s="5" cm="1">
        <f t="array" ref="P137">_xlfn.IFS(B137="At-Risk Churner",$B$2,$B137="Dormant",$B$3,$B137="Deal Hunter",$B$4,$B137="New Customer",$B$5,$B137="Occasional Buyer",$B$6,$B137="Loyal High-Value",$B$7)</f>
        <v>65</v>
      </c>
      <c r="Q137" s="9" cm="1">
        <f t="array" ref="Q137">_xlfn.IFS($B137 = "At-Risk Churner", $B$8, $B137="Dormant",$B$9, $B137="Deal Hunter", $B$10, $B137="New Customer", $B$11, $B137="Occasional Buyer", $B$12, $B137 = "Loyal High-Value",$B$13)</f>
        <v>0.6</v>
      </c>
      <c r="R137" s="5">
        <v>5</v>
      </c>
      <c r="S137" s="5">
        <v>0</v>
      </c>
      <c r="T137" s="5">
        <v>15</v>
      </c>
      <c r="U137" s="5">
        <f t="shared" si="7"/>
        <v>15</v>
      </c>
      <c r="V137" s="5">
        <f t="shared" si="8"/>
        <v>7.505118080633423</v>
      </c>
      <c r="W137" s="43">
        <f t="shared" si="9"/>
        <v>100</v>
      </c>
      <c r="X137" s="5" t="str" cm="1">
        <f t="array" ref="X137">_xlfn.IFS($W137 &lt;= 30, "Low", $W137 &lt;=50, "Medium", $W137 &lt;= 70, "High", $W137 &gt; 70, "Critical")</f>
        <v>Critical</v>
      </c>
      <c r="Y137" s="9">
        <f t="shared" si="10"/>
        <v>0.59598428944542914</v>
      </c>
      <c r="Z137" s="22">
        <f t="shared" si="11"/>
        <v>59.40771397192038</v>
      </c>
    </row>
    <row r="138" spans="1:26">
      <c r="A138" s="24" t="str">
        <v>CUST-2732</v>
      </c>
      <c r="B138" s="24" t="str">
        <v>Loyal High-Value</v>
      </c>
      <c r="C138" s="24" t="str">
        <v>Email Campaign</v>
      </c>
      <c r="D138" s="24" t="str">
        <v>Southwest</v>
      </c>
      <c r="E138" s="24" t="str">
        <v>25-34</v>
      </c>
      <c r="F138" s="24" t="str">
        <v>Medium</v>
      </c>
      <c r="G138" s="24">
        <v>1</v>
      </c>
      <c r="H138" s="24">
        <v>192</v>
      </c>
      <c r="I138" s="23">
        <v>989.24</v>
      </c>
      <c r="J138" s="24" cm="1">
        <f t="array" ref="J138">SUMPRODUCT(
    (Transactions_and_Customer_Information_Joined[Customer ID]='V1-Based Churn Model (Step 3)'!$A138) *
    (IFERROR(_xlfn.XLOOKUP(Transactions_and_Customer_Information_Joined[SKU], 'V1 Pricing Model (Step 2)'!$A$22:$A$71, 'V1 Pricing Model (Step 2)'!$AL$22:$AL$71), "Exclude")&lt;&gt;"Exclude") *
    Transactions_and_Customer_Information_Joined[Gross Revenue])</f>
        <v>319.26</v>
      </c>
      <c r="K138" s="24">
        <f>SUMIF(Transactions_and_Customer_Information_Joined[Customer ID], 'V1-Based Churn Model (Step 3)'!$A138, Transactions_and_Customer_Information_Joined[Gross Revenue])</f>
        <v>319.26</v>
      </c>
      <c r="L138" s="3">
        <f t="shared" si="6"/>
        <v>1</v>
      </c>
      <c r="M138" s="21">
        <v>0.24833629343146826</v>
      </c>
      <c r="N138" s="21" cm="1">
        <f t="array" ref="N138">SUMPRODUCT(
    (Transactions_and_Customer_Information_Joined[Customer ID]=$A138)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2</v>
      </c>
      <c r="O138" s="21" cm="1">
        <f t="array" ref="O138">IFERROR(
    SUMPRODUCT(
        (Transactions_and_Customer_Information_Joined[Customer ID]=$A138)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$J138,
0)</f>
        <v>6.7658875770198065E-2</v>
      </c>
      <c r="P138" s="5" cm="1">
        <f t="array" ref="P138">_xlfn.IFS(B138="At-Risk Churner",$B$2,$B138="Dormant",$B$3,$B138="Deal Hunter",$B$4,$B138="New Customer",$B$5,$B138="Occasional Buyer",$B$6,$B138="Loyal High-Value",$B$7)</f>
        <v>15</v>
      </c>
      <c r="Q138" s="9" cm="1">
        <f t="array" ref="Q138">_xlfn.IFS($B138 = "At-Risk Churner", $B$8, $B138="Dormant",$B$9, $B138="Deal Hunter", $B$10, $B138="New Customer", $B$11, $B138="Occasional Buyer", $B$12, $B138 = "Loyal High-Value",$B$13)</f>
        <v>0.05</v>
      </c>
      <c r="R138" s="5">
        <v>5</v>
      </c>
      <c r="S138" s="5">
        <v>10</v>
      </c>
      <c r="T138" s="5">
        <v>8</v>
      </c>
      <c r="U138" s="5">
        <f t="shared" si="7"/>
        <v>15</v>
      </c>
      <c r="V138" s="5">
        <f t="shared" si="8"/>
        <v>6.3199033840333261</v>
      </c>
      <c r="W138" s="43">
        <f t="shared" si="9"/>
        <v>59.58240338403332</v>
      </c>
      <c r="X138" s="5" t="str" cm="1">
        <f t="array" ref="X138">_xlfn.IFS($W138 &lt;= 30, "Low", $W138 &lt;=50, "Medium", $W138 &lt;= 70, "High", $W138 &gt; 70, "Critical")</f>
        <v>High</v>
      </c>
      <c r="Y138" s="9">
        <f t="shared" si="10"/>
        <v>3.6138467663416593E-2</v>
      </c>
      <c r="Z138" s="22">
        <f t="shared" si="11"/>
        <v>226.44769420108662</v>
      </c>
    </row>
    <row r="139" spans="1:26">
      <c r="A139" s="24" t="str">
        <v>CUST-2655</v>
      </c>
      <c r="B139" s="24" t="str">
        <v>At-Risk Churner</v>
      </c>
      <c r="C139" s="24" t="str">
        <v>Referral</v>
      </c>
      <c r="D139" s="24" t="str">
        <v>Southeast</v>
      </c>
      <c r="E139" s="24" t="str">
        <v>45-54</v>
      </c>
      <c r="F139" s="24" t="str">
        <v>Medium</v>
      </c>
      <c r="G139" s="24">
        <v>3</v>
      </c>
      <c r="H139" s="24">
        <v>341</v>
      </c>
      <c r="I139" s="23">
        <v>253.83</v>
      </c>
      <c r="J139" s="24" cm="1">
        <f t="array" ref="J139">SUMPRODUCT(
    (Transactions_and_Customer_Information_Joined[Customer ID]='V1-Based Churn Model (Step 3)'!$A139) *
    (IFERROR(_xlfn.XLOOKUP(Transactions_and_Customer_Information_Joined[SKU], 'V1 Pricing Model (Step 2)'!$A$22:$A$71, 'V1 Pricing Model (Step 2)'!$AL$22:$AL$71), "Exclude")&lt;&gt;"Exclude") *
    Transactions_and_Customer_Information_Joined[Gross Revenue])</f>
        <v>157.68</v>
      </c>
      <c r="K139" s="24">
        <f>SUMIF(Transactions_and_Customer_Information_Joined[Customer ID], 'V1-Based Churn Model (Step 3)'!$A139, Transactions_and_Customer_Information_Joined[Gross Revenue])</f>
        <v>157.68</v>
      </c>
      <c r="L139" s="3">
        <f t="shared" si="6"/>
        <v>1</v>
      </c>
      <c r="M139" s="21">
        <v>9.1108129362620652E-2</v>
      </c>
      <c r="N139" s="21" cm="1">
        <f t="array" ref="N139">SUMPRODUCT(
    (Transactions_and_Customer_Information_Joined[Customer ID]=$A139)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39" s="21" cm="1">
        <f t="array" ref="O139">IFERROR(
    SUMPRODUCT(
        (Transactions_and_Customer_Information_Joined[Customer ID]=$A139)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$J139,
0)</f>
        <v>9.1108129362620652E-2</v>
      </c>
      <c r="P139" s="5" cm="1">
        <f t="array" ref="P139">_xlfn.IFS(B139="At-Risk Churner",$B$2,$B139="Dormant",$B$3,$B139="Deal Hunter",$B$4,$B139="New Customer",$B$5,$B139="Occasional Buyer",$B$6,$B139="Loyal High-Value",$B$7)</f>
        <v>70</v>
      </c>
      <c r="Q139" s="9" cm="1">
        <f t="array" ref="Q139">_xlfn.IFS($B139 = "At-Risk Churner", $B$8, $B139="Dormant",$B$9, $B139="Deal Hunter", $B$10, $B139="New Customer", $B$11, $B139="Occasional Buyer", $B$12, $B139 = "Loyal High-Value",$B$13)</f>
        <v>0.45</v>
      </c>
      <c r="R139" s="5">
        <v>5</v>
      </c>
      <c r="S139" s="5">
        <v>10</v>
      </c>
      <c r="T139" s="5">
        <v>15</v>
      </c>
      <c r="U139" s="5">
        <f t="shared" si="7"/>
        <v>15</v>
      </c>
      <c r="V139" s="5">
        <f t="shared" si="8"/>
        <v>3.644325174504826</v>
      </c>
      <c r="W139" s="43">
        <f t="shared" si="9"/>
        <v>100</v>
      </c>
      <c r="X139" s="5" t="str" cm="1">
        <f t="array" ref="X139">_xlfn.IFS($W139 &lt;= 30, "Low", $W139 &lt;=50, "Medium", $W139 &lt;= 70, "High", $W139 &gt; 70, "Critical")</f>
        <v>Critical</v>
      </c>
      <c r="Y139" s="9">
        <f t="shared" si="10"/>
        <v>0.44698821708407188</v>
      </c>
      <c r="Z139" s="22">
        <f t="shared" si="11"/>
        <v>113.45901914244997</v>
      </c>
    </row>
    <row r="140" spans="1:26">
      <c r="A140" s="24" t="str">
        <v>CUST-3091</v>
      </c>
      <c r="B140" s="24" t="str">
        <v>Occasional Buyer</v>
      </c>
      <c r="C140" s="24" t="str">
        <v>Referral</v>
      </c>
      <c r="D140" s="24" t="str">
        <v>UK</v>
      </c>
      <c r="E140" s="24" t="str">
        <v>25-34</v>
      </c>
      <c r="F140" s="24" t="str">
        <v>Medium</v>
      </c>
      <c r="G140" s="24">
        <v>2</v>
      </c>
      <c r="H140" s="24">
        <v>184</v>
      </c>
      <c r="I140" s="23">
        <v>164.16</v>
      </c>
      <c r="J140" s="24" cm="1">
        <f t="array" ref="J140">SUMPRODUCT(
    (Transactions_and_Customer_Information_Joined[Customer ID]='V1-Based Churn Model (Step 3)'!$A140) *
    (IFERROR(_xlfn.XLOOKUP(Transactions_and_Customer_Information_Joined[SKU], 'V1 Pricing Model (Step 2)'!$A$22:$A$71, 'V1 Pricing Model (Step 2)'!$AL$22:$AL$71), "Exclude")&lt;&gt;"Exclude") *
    Transactions_and_Customer_Information_Joined[Gross Revenue])</f>
        <v>16.95</v>
      </c>
      <c r="K140" s="24">
        <f>SUMIF(Transactions_and_Customer_Information_Joined[Customer ID], 'V1-Based Churn Model (Step 3)'!$A140, Transactions_and_Customer_Information_Joined[Gross Revenue])</f>
        <v>16.95</v>
      </c>
      <c r="L140" s="3">
        <f t="shared" si="6"/>
        <v>1</v>
      </c>
      <c r="M140" s="21">
        <v>-7.0269238925823692E-3</v>
      </c>
      <c r="N140" s="21" cm="1">
        <f t="array" ref="N140">SUMPRODUCT(
    (Transactions_and_Customer_Information_Joined[Customer ID]=$A140)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40" s="21" cm="1">
        <f t="array" ref="O140">IFERROR(
    SUMPRODUCT(
        (Transactions_and_Customer_Information_Joined[Customer ID]=$A140)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$J140,
0)</f>
        <v>-7.0269238925823692E-3</v>
      </c>
      <c r="P140" s="5" cm="1">
        <f t="array" ref="P140">_xlfn.IFS(B140="At-Risk Churner",$B$2,$B140="Dormant",$B$3,$B140="Deal Hunter",$B$4,$B140="New Customer",$B$5,$B140="Occasional Buyer",$B$6,$B140="Loyal High-Value",$B$7)</f>
        <v>25</v>
      </c>
      <c r="Q140" s="9" cm="1">
        <f t="array" ref="Q140">_xlfn.IFS($B140 = "At-Risk Churner", $B$8, $B140="Dormant",$B$9, $B140="Deal Hunter", $B$10, $B140="New Customer", $B$11, $B140="Occasional Buyer", $B$12, $B140 = "Loyal High-Value",$B$13)</f>
        <v>0.18</v>
      </c>
      <c r="R140" s="5">
        <v>5</v>
      </c>
      <c r="S140" s="5">
        <v>10</v>
      </c>
      <c r="T140" s="5">
        <v>8</v>
      </c>
      <c r="U140" s="5">
        <f t="shared" si="7"/>
        <v>15</v>
      </c>
      <c r="V140" s="5">
        <f t="shared" si="8"/>
        <v>0.28107695570329477</v>
      </c>
      <c r="W140" s="43">
        <f t="shared" si="9"/>
        <v>63.643576955703288</v>
      </c>
      <c r="X140" s="5" t="str" cm="1">
        <f t="array" ref="X140">_xlfn.IFS($W140 &lt;= 30, "Low", $W140 &lt;=50, "Medium", $W140 &lt;= 70, "High", $W140 &gt; 70, "Critical")</f>
        <v>High</v>
      </c>
      <c r="Y140" s="9">
        <f t="shared" si="10"/>
        <v>0.14336406444220781</v>
      </c>
      <c r="Z140" s="22">
        <f t="shared" si="11"/>
        <v>51.659715855066267</v>
      </c>
    </row>
    <row r="141" spans="1:26">
      <c r="A141" s="24" t="str">
        <v>CUST-4164</v>
      </c>
      <c r="B141" s="24" t="str">
        <v>Occasional Buyer</v>
      </c>
      <c r="C141" s="24" t="str">
        <v>Influencer</v>
      </c>
      <c r="D141" s="24" t="str">
        <v>UK</v>
      </c>
      <c r="E141" s="24" t="str">
        <v>25-34</v>
      </c>
      <c r="F141" s="24" t="str">
        <v>High</v>
      </c>
      <c r="G141" s="24">
        <v>1</v>
      </c>
      <c r="H141" s="24">
        <v>39</v>
      </c>
      <c r="I141" s="23">
        <v>756.52</v>
      </c>
      <c r="J141" s="24" cm="1">
        <f t="array" ref="J141">SUMPRODUCT(
    (Transactions_and_Customer_Information_Joined[Customer ID]='V1-Based Churn Model (Step 3)'!$A141) *
    (IFERROR(_xlfn.XLOOKUP(Transactions_and_Customer_Information_Joined[SKU], 'V1 Pricing Model (Step 2)'!$A$22:$A$71, 'V1 Pricing Model (Step 2)'!$AL$22:$AL$71), "Exclude")&lt;&gt;"Exclude") *
    Transactions_and_Customer_Information_Joined[Gross Revenue])</f>
        <v>431.40000000000003</v>
      </c>
      <c r="K141" s="24">
        <f>SUMIF(Transactions_and_Customer_Information_Joined[Customer ID], 'V1-Based Churn Model (Step 3)'!$A141, Transactions_and_Customer_Information_Joined[Gross Revenue])</f>
        <v>431.40000000000003</v>
      </c>
      <c r="L141" s="3">
        <f t="shared" si="6"/>
        <v>1</v>
      </c>
      <c r="M141" s="21">
        <v>0.22457947495613381</v>
      </c>
      <c r="N141" s="21" cm="1">
        <f t="array" ref="N141">SUMPRODUCT(
    (Transactions_and_Customer_Information_Joined[Customer ID]=$A141)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41" s="21" cm="1">
        <f t="array" ref="O141">IFERROR(
    SUMPRODUCT(
        (Transactions_and_Customer_Information_Joined[Customer ID]=$A141)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$J141,
0)</f>
        <v>0.22457947495613381</v>
      </c>
      <c r="P141" s="5" cm="1">
        <f t="array" ref="P141">_xlfn.IFS(B141="At-Risk Churner",$B$2,$B141="Dormant",$B$3,$B141="Deal Hunter",$B$4,$B141="New Customer",$B$5,$B141="Occasional Buyer",$B$6,$B141="Loyal High-Value",$B$7)</f>
        <v>25</v>
      </c>
      <c r="Q141" s="9" cm="1">
        <f t="array" ref="Q141">_xlfn.IFS($B141 = "At-Risk Churner", $B$8, $B141="Dormant",$B$9, $B141="Deal Hunter", $B$10, $B141="New Customer", $B$11, $B141="Occasional Buyer", $B$12, $B141 = "Loyal High-Value",$B$13)</f>
        <v>0.18</v>
      </c>
      <c r="R141" s="5">
        <v>15</v>
      </c>
      <c r="S141" s="5">
        <v>10</v>
      </c>
      <c r="T141" s="5">
        <v>-5</v>
      </c>
      <c r="U141" s="5">
        <f t="shared" si="7"/>
        <v>15</v>
      </c>
      <c r="V141" s="5">
        <f t="shared" si="8"/>
        <v>8.9831789982453518</v>
      </c>
      <c r="W141" s="43">
        <f t="shared" si="9"/>
        <v>69.570678998245356</v>
      </c>
      <c r="X141" s="5" t="str" cm="1">
        <f t="array" ref="X141">_xlfn.IFS($W141 &lt;= 30, "Low", $W141 &lt;=50, "Medium", $W141 &lt;= 70, "High", $W141 &gt; 70, "Critical")</f>
        <v>High</v>
      </c>
      <c r="Y141" s="9">
        <f t="shared" si="10"/>
        <v>0.15771875066180757</v>
      </c>
      <c r="Z141" s="22">
        <f t="shared" si="11"/>
        <v>246.75791140053653</v>
      </c>
    </row>
    <row r="142" spans="1:26">
      <c r="A142" s="24" t="str">
        <v>CUST-1011</v>
      </c>
      <c r="B142" s="24" t="str">
        <v>New Customer</v>
      </c>
      <c r="C142" s="24" t="str">
        <v>Referral</v>
      </c>
      <c r="D142" s="24" t="str">
        <v>Canada</v>
      </c>
      <c r="E142" s="24" t="str">
        <v>18-24</v>
      </c>
      <c r="F142" s="24" t="str">
        <v>Low</v>
      </c>
      <c r="G142" s="24">
        <v>2</v>
      </c>
      <c r="H142" s="24">
        <v>22</v>
      </c>
      <c r="I142" s="23">
        <v>137.03</v>
      </c>
      <c r="J142" s="24" cm="1">
        <f t="array" ref="J142">SUMPRODUCT(
    (Transactions_and_Customer_Information_Joined[Customer ID]='V1-Based Churn Model (Step 3)'!$A142) *
    (IFERROR(_xlfn.XLOOKUP(Transactions_and_Customer_Information_Joined[SKU], 'V1 Pricing Model (Step 2)'!$A$22:$A$71, 'V1 Pricing Model (Step 2)'!$AL$22:$AL$71), "Exclude")&lt;&gt;"Exclude") *
    Transactions_and_Customer_Information_Joined[Gross Revenue])</f>
        <v>179.24</v>
      </c>
      <c r="K142" s="24">
        <f>SUMIF(Transactions_and_Customer_Information_Joined[Customer ID], 'V1-Based Churn Model (Step 3)'!$A142, Transactions_and_Customer_Information_Joined[Gross Revenue])</f>
        <v>179.24</v>
      </c>
      <c r="L142" s="3">
        <f t="shared" si="6"/>
        <v>1</v>
      </c>
      <c r="M142" s="21">
        <v>0.10710868403533827</v>
      </c>
      <c r="N142" s="21" cm="1">
        <f t="array" ref="N142">SUMPRODUCT(
    (Transactions_and_Customer_Information_Joined[Customer ID]=$A142)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42" s="21" cm="1">
        <f t="array" ref="O142">IFERROR(
    SUMPRODUCT(
        (Transactions_and_Customer_Information_Joined[Customer ID]=$A142)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$J142,
0)</f>
        <v>0.10710868403533827</v>
      </c>
      <c r="P142" s="5" cm="1">
        <f t="array" ref="P142">_xlfn.IFS(B142="At-Risk Churner",$B$2,$B142="Dormant",$B$3,$B142="Deal Hunter",$B$4,$B142="New Customer",$B$5,$B142="Occasional Buyer",$B$6,$B142="Loyal High-Value",$B$7)</f>
        <v>35</v>
      </c>
      <c r="Q142" s="9" cm="1">
        <f t="array" ref="Q142">_xlfn.IFS($B142 = "At-Risk Churner", $B$8, $B142="Dormant",$B$9, $B142="Deal Hunter", $B$10, $B142="New Customer", $B$11, $B142="Occasional Buyer", $B$12, $B142 = "Loyal High-Value",$B$13)</f>
        <v>0.35</v>
      </c>
      <c r="R142" s="5">
        <v>-5</v>
      </c>
      <c r="S142" s="5">
        <v>10</v>
      </c>
      <c r="T142" s="5">
        <v>-5</v>
      </c>
      <c r="U142" s="5">
        <f t="shared" si="7"/>
        <v>15</v>
      </c>
      <c r="V142" s="5">
        <f t="shared" si="8"/>
        <v>4.2843473614135306</v>
      </c>
      <c r="W142" s="43">
        <f t="shared" si="9"/>
        <v>54.521847361413535</v>
      </c>
      <c r="X142" s="5" t="str" cm="1">
        <f t="array" ref="X142">_xlfn.IFS($W142 &lt;= 30, "Low", $W142 &lt;=50, "Medium", $W142 &lt;= 70, "High", $W142 &gt; 70, "Critical")</f>
        <v>High</v>
      </c>
      <c r="Y142" s="9">
        <f t="shared" si="10"/>
        <v>0.21390549208273119</v>
      </c>
      <c r="Z142" s="22">
        <f t="shared" si="11"/>
        <v>50.855175664077322</v>
      </c>
    </row>
    <row r="143" spans="1:26">
      <c r="A143" s="24" t="str">
        <v>CUST-2870</v>
      </c>
      <c r="B143" s="24" t="str">
        <v>At-Risk Churner</v>
      </c>
      <c r="C143" s="24" t="str">
        <v>Influencer</v>
      </c>
      <c r="D143" s="24" t="str">
        <v>Southeast</v>
      </c>
      <c r="E143" s="24" t="str">
        <v>35-44</v>
      </c>
      <c r="F143" s="24" t="str">
        <v>Medium</v>
      </c>
      <c r="G143" s="24">
        <v>10</v>
      </c>
      <c r="H143" s="24">
        <v>174</v>
      </c>
      <c r="I143" s="23">
        <v>340.39</v>
      </c>
      <c r="J143" s="24" cm="1">
        <f t="array" ref="J143">SUMPRODUCT(
    (Transactions_and_Customer_Information_Joined[Customer ID]='V1-Based Churn Model (Step 3)'!$A143) *
    (IFERROR(_xlfn.XLOOKUP(Transactions_and_Customer_Information_Joined[SKU], 'V1 Pricing Model (Step 2)'!$A$22:$A$71, 'V1 Pricing Model (Step 2)'!$AL$22:$AL$71), "Exclude")&lt;&gt;"Exclude") *
    Transactions_and_Customer_Information_Joined[Gross Revenue])</f>
        <v>289.89999999999998</v>
      </c>
      <c r="K143" s="24">
        <f>SUMIF(Transactions_and_Customer_Information_Joined[Customer ID], 'V1-Based Churn Model (Step 3)'!$A143, Transactions_and_Customer_Information_Joined[Gross Revenue])</f>
        <v>289.89999999999998</v>
      </c>
      <c r="L143" s="3">
        <f t="shared" si="6"/>
        <v>1</v>
      </c>
      <c r="M143" s="21">
        <v>0.25481331848064742</v>
      </c>
      <c r="N143" s="21" cm="1">
        <f t="array" ref="N143">SUMPRODUCT(
    (Transactions_and_Customer_Information_Joined[Customer ID]=$A143)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43" s="21" cm="1">
        <f t="array" ref="O143">IFERROR(
    SUMPRODUCT(
        (Transactions_and_Customer_Information_Joined[Customer ID]=$A143)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$J143,
0)</f>
        <v>0.25481331848064742</v>
      </c>
      <c r="P143" s="5" cm="1">
        <f t="array" ref="P143">_xlfn.IFS(B143="At-Risk Churner",$B$2,$B143="Dormant",$B$3,$B143="Deal Hunter",$B$4,$B143="New Customer",$B$5,$B143="Occasional Buyer",$B$6,$B143="Loyal High-Value",$B$7)</f>
        <v>70</v>
      </c>
      <c r="Q143" s="9" cm="1">
        <f t="array" ref="Q143">_xlfn.IFS($B143 = "At-Risk Churner", $B$8, $B143="Dormant",$B$9, $B143="Deal Hunter", $B$10, $B143="New Customer", $B$11, $B143="Occasional Buyer", $B$12, $B143 = "Loyal High-Value",$B$13)</f>
        <v>0.45</v>
      </c>
      <c r="R143" s="5">
        <v>5</v>
      </c>
      <c r="S143" s="5">
        <v>-8</v>
      </c>
      <c r="T143" s="5">
        <v>0</v>
      </c>
      <c r="U143" s="5">
        <f t="shared" si="7"/>
        <v>15</v>
      </c>
      <c r="V143" s="5">
        <f t="shared" si="8"/>
        <v>10.192532739225896</v>
      </c>
      <c r="W143" s="43">
        <f t="shared" si="9"/>
        <v>91.745032739225891</v>
      </c>
      <c r="X143" s="5" t="str" cm="1">
        <f t="array" ref="X143">_xlfn.IFS($W143 &lt;= 30, "Low", $W143 &lt;=50, "Medium", $W143 &lt;= 70, "High", $W143 &gt; 70, "Critical")</f>
        <v>Critical</v>
      </c>
      <c r="Y143" s="9">
        <f t="shared" si="10"/>
        <v>0.44318259709066837</v>
      </c>
      <c r="Z143" s="22">
        <f t="shared" si="11"/>
        <v>150.85492422369259</v>
      </c>
    </row>
    <row r="144" spans="1:26">
      <c r="A144" s="24" t="str">
        <v>CUST-4069</v>
      </c>
      <c r="B144" s="24" t="str">
        <v>Dormant</v>
      </c>
      <c r="C144" s="24" t="str">
        <v>Direct</v>
      </c>
      <c r="D144" s="24" t="str">
        <v>Southeast</v>
      </c>
      <c r="E144" s="24" t="str">
        <v>45-54</v>
      </c>
      <c r="F144" s="24" t="str">
        <v>High</v>
      </c>
      <c r="G144" s="24">
        <v>1</v>
      </c>
      <c r="H144" s="24">
        <v>228</v>
      </c>
      <c r="I144" s="23">
        <v>80.58</v>
      </c>
      <c r="J144" s="24" cm="1">
        <f t="array" ref="J144">SUMPRODUCT(
    (Transactions_and_Customer_Information_Joined[Customer ID]='V1-Based Churn Model (Step 3)'!$A144) *
    (IFERROR(_xlfn.XLOOKUP(Transactions_and_Customer_Information_Joined[SKU], 'V1 Pricing Model (Step 2)'!$A$22:$A$71, 'V1 Pricing Model (Step 2)'!$AL$22:$AL$71), "Exclude")&lt;&gt;"Exclude") *
    Transactions_and_Customer_Information_Joined[Gross Revenue])</f>
        <v>35.11</v>
      </c>
      <c r="K144" s="24">
        <f>SUMIF(Transactions_and_Customer_Information_Joined[Customer ID], 'V1-Based Churn Model (Step 3)'!$A144, Transactions_and_Customer_Information_Joined[Gross Revenue])</f>
        <v>35.11</v>
      </c>
      <c r="L144" s="3">
        <f t="shared" si="6"/>
        <v>1</v>
      </c>
      <c r="M144" s="21">
        <v>0.25581555939754186</v>
      </c>
      <c r="N144" s="21" cm="1">
        <f t="array" ref="N144">SUMPRODUCT(
    (Transactions_and_Customer_Information_Joined[Customer ID]=$A144)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44" s="21" cm="1">
        <f t="array" ref="O144">IFERROR(
    SUMPRODUCT(
        (Transactions_and_Customer_Information_Joined[Customer ID]=$A144)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$J144,
0)</f>
        <v>0.25581555939754186</v>
      </c>
      <c r="P144" s="5" cm="1">
        <f t="array" ref="P144">_xlfn.IFS(B144="At-Risk Churner",$B$2,$B144="Dormant",$B$3,$B144="Deal Hunter",$B$4,$B144="New Customer",$B$5,$B144="Occasional Buyer",$B$6,$B144="Loyal High-Value",$B$7)</f>
        <v>65</v>
      </c>
      <c r="Q144" s="9" cm="1">
        <f t="array" ref="Q144">_xlfn.IFS($B144 = "At-Risk Churner", $B$8, $B144="Dormant",$B$9, $B144="Deal Hunter", $B$10, $B144="New Customer", $B$11, $B144="Occasional Buyer", $B$12, $B144 = "Loyal High-Value",$B$13)</f>
        <v>0.6</v>
      </c>
      <c r="R144" s="5">
        <v>15</v>
      </c>
      <c r="S144" s="5">
        <v>10</v>
      </c>
      <c r="T144" s="5">
        <v>8</v>
      </c>
      <c r="U144" s="5">
        <f t="shared" si="7"/>
        <v>15</v>
      </c>
      <c r="V144" s="5">
        <f t="shared" si="8"/>
        <v>10.232622375901673</v>
      </c>
      <c r="W144" s="43">
        <f t="shared" si="9"/>
        <v>100</v>
      </c>
      <c r="X144" s="5" t="str" cm="1">
        <f t="array" ref="X144">_xlfn.IFS($W144 &lt;= 30, "Low", $W144 &lt;=50, "Medium", $W144 &lt;= 70, "High", $W144 &gt; 70, "Critical")</f>
        <v>Critical</v>
      </c>
      <c r="Y144" s="9">
        <f t="shared" si="10"/>
        <v>0.59598428944542914</v>
      </c>
      <c r="Z144" s="22">
        <f t="shared" si="11"/>
        <v>48.024414043512678</v>
      </c>
    </row>
    <row r="145" spans="1:26">
      <c r="A145" s="24" t="str">
        <v>CUST-4159</v>
      </c>
      <c r="B145" s="24" t="str">
        <v>Loyal High-Value</v>
      </c>
      <c r="C145" s="24" t="str">
        <v>Influencer</v>
      </c>
      <c r="D145" s="24" t="str">
        <v>Midwest</v>
      </c>
      <c r="E145" s="24" t="str">
        <v>55+</v>
      </c>
      <c r="F145" s="24" t="str">
        <v>Medium</v>
      </c>
      <c r="G145" s="24">
        <v>6</v>
      </c>
      <c r="H145" s="24">
        <v>316</v>
      </c>
      <c r="I145" s="23">
        <v>1501.58</v>
      </c>
      <c r="J145" s="24" cm="1">
        <f t="array" ref="J145">SUMPRODUCT(
    (Transactions_and_Customer_Information_Joined[Customer ID]='V1-Based Churn Model (Step 3)'!$A145) *
    (IFERROR(_xlfn.XLOOKUP(Transactions_and_Customer_Information_Joined[SKU], 'V1 Pricing Model (Step 2)'!$A$22:$A$71, 'V1 Pricing Model (Step 2)'!$AL$22:$AL$71), "Exclude")&lt;&gt;"Exclude") *
    Transactions_and_Customer_Information_Joined[Gross Revenue])</f>
        <v>18.39</v>
      </c>
      <c r="K145" s="24">
        <f>SUMIF(Transactions_and_Customer_Information_Joined[Customer ID], 'V1-Based Churn Model (Step 3)'!$A145, Transactions_and_Customer_Information_Joined[Gross Revenue])</f>
        <v>245.45999999999998</v>
      </c>
      <c r="L145" s="3">
        <f t="shared" si="6"/>
        <v>7.4920557320948433E-2</v>
      </c>
      <c r="M145" s="21">
        <v>0.10525403225213746</v>
      </c>
      <c r="N145" s="21" cm="1">
        <f t="array" ref="N145">SUMPRODUCT(
    (Transactions_and_Customer_Information_Joined[Customer ID]=$A145)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45" s="21" cm="1">
        <f t="array" ref="O145">IFERROR(
    SUMPRODUCT(
        (Transactions_and_Customer_Information_Joined[Customer ID]=$A145)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$J145,
0)</f>
        <v>0.10525403225213746</v>
      </c>
      <c r="P145" s="5" cm="1">
        <f t="array" ref="P145">_xlfn.IFS(B145="At-Risk Churner",$B$2,$B145="Dormant",$B$3,$B145="Deal Hunter",$B$4,$B145="New Customer",$B$5,$B145="Occasional Buyer",$B$6,$B145="Loyal High-Value",$B$7)</f>
        <v>15</v>
      </c>
      <c r="Q145" s="9" cm="1">
        <f t="array" ref="Q145">_xlfn.IFS($B145 = "At-Risk Churner", $B$8, $B145="Dormant",$B$9, $B145="Deal Hunter", $B$10, $B145="New Customer", $B$11, $B145="Occasional Buyer", $B$12, $B145 = "Loyal High-Value",$B$13)</f>
        <v>0.05</v>
      </c>
      <c r="R145" s="5">
        <v>5</v>
      </c>
      <c r="S145" s="5">
        <v>0</v>
      </c>
      <c r="T145" s="5">
        <v>15</v>
      </c>
      <c r="U145" s="5">
        <f t="shared" si="7"/>
        <v>1.8730139330237108</v>
      </c>
      <c r="V145" s="5">
        <f t="shared" si="8"/>
        <v>4.2101612900854981</v>
      </c>
      <c r="W145" s="43">
        <f t="shared" si="9"/>
        <v>41.097222827606885</v>
      </c>
      <c r="X145" s="5" t="str" cm="1">
        <f t="array" ref="X145">_xlfn.IFS($W145 &lt;= 30, "Low", $W145 &lt;=50, "Medium", $W145 &lt;= 70, "High", $W145 &gt; 70, "Critical")</f>
        <v>Medium</v>
      </c>
      <c r="Y145" s="9">
        <f t="shared" si="10"/>
        <v>1.4552625983482781E-2</v>
      </c>
      <c r="Z145" s="22">
        <f t="shared" si="11"/>
        <v>317.79754569942247</v>
      </c>
    </row>
    <row r="146" spans="1:26">
      <c r="A146" s="24" t="str">
        <v>CUST-1478</v>
      </c>
      <c r="B146" s="24" t="str">
        <v>New Customer</v>
      </c>
      <c r="C146" s="24" t="str">
        <v>Influencer</v>
      </c>
      <c r="D146" s="24" t="str">
        <v>Southeast</v>
      </c>
      <c r="E146" s="24" t="str">
        <v>18-24</v>
      </c>
      <c r="F146" s="24" t="str">
        <v>High</v>
      </c>
      <c r="G146" s="24">
        <v>0</v>
      </c>
      <c r="H146" s="24">
        <v>232</v>
      </c>
      <c r="I146" s="23">
        <v>62.62</v>
      </c>
      <c r="J146" s="24" cm="1">
        <f t="array" ref="J146">SUMPRODUCT(
    (Transactions_and_Customer_Information_Joined[Customer ID]='V1-Based Churn Model (Step 3)'!$A146) *
    (IFERROR(_xlfn.XLOOKUP(Transactions_and_Customer_Information_Joined[SKU], 'V1 Pricing Model (Step 2)'!$A$22:$A$71, 'V1 Pricing Model (Step 2)'!$AL$22:$AL$71), "Exclude")&lt;&gt;"Exclude") *
    Transactions_and_Customer_Information_Joined[Gross Revenue])</f>
        <v>145.4</v>
      </c>
      <c r="K146" s="24">
        <f>SUMIF(Transactions_and_Customer_Information_Joined[Customer ID], 'V1-Based Churn Model (Step 3)'!$A146, Transactions_and_Customer_Information_Joined[Gross Revenue])</f>
        <v>276.26</v>
      </c>
      <c r="L146" s="3">
        <f t="shared" si="6"/>
        <v>0.52631578947368429</v>
      </c>
      <c r="M146" s="21">
        <v>6.4419042005321461E-2</v>
      </c>
      <c r="N146" s="21" cm="1">
        <f t="array" ref="N146">SUMPRODUCT(
    (Transactions_and_Customer_Information_Joined[Customer ID]=$A146)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46" s="21" cm="1">
        <f t="array" ref="O146">IFERROR(
    SUMPRODUCT(
        (Transactions_and_Customer_Information_Joined[Customer ID]=$A146)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$J146,
0)</f>
        <v>6.4419042005321461E-2</v>
      </c>
      <c r="P146" s="5" cm="1">
        <f t="array" ref="P146">_xlfn.IFS(B146="At-Risk Churner",$B$2,$B146="Dormant",$B$3,$B146="Deal Hunter",$B$4,$B146="New Customer",$B$5,$B146="Occasional Buyer",$B$6,$B146="Loyal High-Value",$B$7)</f>
        <v>35</v>
      </c>
      <c r="Q146" s="9" cm="1">
        <f t="array" ref="Q146">_xlfn.IFS($B146 = "At-Risk Churner", $B$8, $B146="Dormant",$B$9, $B146="Deal Hunter", $B$10, $B146="New Customer", $B$11, $B146="Occasional Buyer", $B$12, $B146 = "Loyal High-Value",$B$13)</f>
        <v>0.35</v>
      </c>
      <c r="R146" s="5">
        <v>15</v>
      </c>
      <c r="S146" s="5">
        <v>10</v>
      </c>
      <c r="T146" s="5">
        <v>8</v>
      </c>
      <c r="U146" s="5">
        <f t="shared" si="7"/>
        <v>13.157894736842108</v>
      </c>
      <c r="V146" s="5">
        <f t="shared" si="8"/>
        <v>2.5767616802128583</v>
      </c>
      <c r="W146" s="43">
        <f t="shared" si="9"/>
        <v>84.380709048633904</v>
      </c>
      <c r="X146" s="5" t="str" cm="1">
        <f t="array" ref="X146">_xlfn.IFS($W146 &lt;= 30, "Low", $W146 &lt;=50, "Medium", $W146 &lt;= 70, "High", $W146 &gt; 70, "Critical")</f>
        <v>Critical</v>
      </c>
      <c r="Y146" s="9">
        <f t="shared" si="10"/>
        <v>0.33910568694689569</v>
      </c>
      <c r="Z146" s="22">
        <f t="shared" si="11"/>
        <v>21.234798116614606</v>
      </c>
    </row>
    <row r="147" spans="1:26">
      <c r="A147" s="24" t="str">
        <v>CUST-2099</v>
      </c>
      <c r="B147" s="24" t="str">
        <v>Loyal High-Value</v>
      </c>
      <c r="C147" s="24" t="str">
        <v>Email Campaign</v>
      </c>
      <c r="D147" s="24" t="str">
        <v>Southwest</v>
      </c>
      <c r="E147" s="24" t="str">
        <v>18-24</v>
      </c>
      <c r="F147" s="24" t="str">
        <v>Low</v>
      </c>
      <c r="G147" s="24">
        <v>6</v>
      </c>
      <c r="H147" s="24">
        <v>252</v>
      </c>
      <c r="I147" s="23">
        <v>1599.9</v>
      </c>
      <c r="J147" s="24" cm="1">
        <f t="array" ref="J147">SUMPRODUCT(
    (Transactions_and_Customer_Information_Joined[Customer ID]='V1-Based Churn Model (Step 3)'!$A147) *
    (IFERROR(_xlfn.XLOOKUP(Transactions_and_Customer_Information_Joined[SKU], 'V1 Pricing Model (Step 2)'!$A$22:$A$71, 'V1 Pricing Model (Step 2)'!$AL$22:$AL$71), "Exclude")&lt;&gt;"Exclude") *
    Transactions_and_Customer_Information_Joined[Gross Revenue])</f>
        <v>499.08</v>
      </c>
      <c r="K147" s="24">
        <f>SUMIF(Transactions_and_Customer_Information_Joined[Customer ID], 'V1-Based Churn Model (Step 3)'!$A147, Transactions_and_Customer_Information_Joined[Gross Revenue])</f>
        <v>499.08</v>
      </c>
      <c r="L147" s="3">
        <f t="shared" si="6"/>
        <v>1</v>
      </c>
      <c r="M147" s="21">
        <v>0.1130897018443069</v>
      </c>
      <c r="N147" s="21" cm="1">
        <f t="array" ref="N147">SUMPRODUCT(
    (Transactions_and_Customer_Information_Joined[Customer ID]=$A147)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47" s="21" cm="1">
        <f t="array" ref="O147">IFERROR(
    SUMPRODUCT(
        (Transactions_and_Customer_Information_Joined[Customer ID]=$A147)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$J147,
0)</f>
        <v>0.1130897018443069</v>
      </c>
      <c r="P147" s="5" cm="1">
        <f t="array" ref="P147">_xlfn.IFS(B147="At-Risk Churner",$B$2,$B147="Dormant",$B$3,$B147="Deal Hunter",$B$4,$B147="New Customer",$B$5,$B147="Occasional Buyer",$B$6,$B147="Loyal High-Value",$B$7)</f>
        <v>15</v>
      </c>
      <c r="Q147" s="9" cm="1">
        <f t="array" ref="Q147">_xlfn.IFS($B147 = "At-Risk Churner", $B$8, $B147="Dormant",$B$9, $B147="Deal Hunter", $B$10, $B147="New Customer", $B$11, $B147="Occasional Buyer", $B$12, $B147 = "Loyal High-Value",$B$13)</f>
        <v>0.05</v>
      </c>
      <c r="R147" s="5">
        <v>-5</v>
      </c>
      <c r="S147" s="5">
        <v>0</v>
      </c>
      <c r="T147" s="5">
        <v>8</v>
      </c>
      <c r="U147" s="5">
        <f t="shared" si="7"/>
        <v>15</v>
      </c>
      <c r="V147" s="5">
        <f t="shared" si="8"/>
        <v>4.5235880737722765</v>
      </c>
      <c r="W147" s="43">
        <f t="shared" si="9"/>
        <v>37.411088073772277</v>
      </c>
      <c r="X147" s="5" t="str" cm="1">
        <f t="array" ref="X147">_xlfn.IFS($W147 &lt;= 30, "Low", $W147 &lt;=50, "Medium", $W147 &lt;= 70, "High", $W147 &gt; 70, "Critical")</f>
        <v>Medium</v>
      </c>
      <c r="Y147" s="9">
        <f t="shared" si="10"/>
        <v>1.105824131441154E-2</v>
      </c>
      <c r="Z147" s="22">
        <f t="shared" si="11"/>
        <v>334.13366422314164</v>
      </c>
    </row>
    <row r="148" spans="1:26">
      <c r="A148" s="24" t="str">
        <v>CUST-3311</v>
      </c>
      <c r="B148" s="24" t="str">
        <v>Dormant</v>
      </c>
      <c r="C148" s="24" t="str">
        <v>Organic Search</v>
      </c>
      <c r="D148" s="24" t="str">
        <v>Midwest</v>
      </c>
      <c r="E148" s="24" t="str">
        <v>45-54</v>
      </c>
      <c r="F148" s="24" t="str">
        <v>Low</v>
      </c>
      <c r="G148" s="24">
        <v>6</v>
      </c>
      <c r="H148" s="24">
        <v>81</v>
      </c>
      <c r="I148" s="23">
        <v>176.11</v>
      </c>
      <c r="J148" s="24" cm="1">
        <f t="array" ref="J148">SUMPRODUCT(
    (Transactions_and_Customer_Information_Joined[Customer ID]='V1-Based Churn Model (Step 3)'!$A148)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148" s="24">
        <f>SUMIF(Transactions_and_Customer_Information_Joined[Customer ID], 'V1-Based Churn Model (Step 3)'!$A148, Transactions_and_Customer_Information_Joined[Gross Revenue])</f>
        <v>81.599999999999994</v>
      </c>
      <c r="L148" s="3">
        <f t="shared" si="6"/>
        <v>0</v>
      </c>
      <c r="M148" s="21">
        <v>0</v>
      </c>
      <c r="N148" s="21" cm="1">
        <f t="array" ref="N148">SUMPRODUCT(
    (Transactions_and_Customer_Information_Joined[Customer ID]=$A148)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148" s="21" cm="1">
        <f t="array" ref="O148">IFERROR(
    SUMPRODUCT(
        (Transactions_and_Customer_Information_Joined[Customer ID]=$A148)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$J148,
0)</f>
        <v>0</v>
      </c>
      <c r="P148" s="5" cm="1">
        <f t="array" ref="P148">_xlfn.IFS(B148="At-Risk Churner",$B$2,$B148="Dormant",$B$3,$B148="Deal Hunter",$B$4,$B148="New Customer",$B$5,$B148="Occasional Buyer",$B$6,$B148="Loyal High-Value",$B$7)</f>
        <v>65</v>
      </c>
      <c r="Q148" s="9" cm="1">
        <f t="array" ref="Q148">_xlfn.IFS($B148 = "At-Risk Churner", $B$8, $B148="Dormant",$B$9, $B148="Deal Hunter", $B$10, $B148="New Customer", $B$11, $B148="Occasional Buyer", $B$12, $B148 = "Loyal High-Value",$B$13)</f>
        <v>0.6</v>
      </c>
      <c r="R148" s="5">
        <v>-5</v>
      </c>
      <c r="S148" s="5">
        <v>0</v>
      </c>
      <c r="T148" s="5">
        <v>0</v>
      </c>
      <c r="U148" s="5">
        <f t="shared" si="7"/>
        <v>0</v>
      </c>
      <c r="V148" s="5">
        <f t="shared" si="8"/>
        <v>0</v>
      </c>
      <c r="W148" s="43">
        <f t="shared" si="9"/>
        <v>60</v>
      </c>
      <c r="X148" s="5" t="str" cm="1">
        <f t="array" ref="X148">_xlfn.IFS($W148 &lt;= 30, "Low", $W148 &lt;=50, "Medium", $W148 &lt;= 70, "High", $W148 &gt; 70, "Critical")</f>
        <v>High</v>
      </c>
      <c r="Y148" s="9">
        <f t="shared" si="10"/>
        <v>0.43863514717800295</v>
      </c>
      <c r="Z148" s="22">
        <f t="shared" si="11"/>
        <v>97.020428615614492</v>
      </c>
    </row>
    <row r="149" spans="1:26">
      <c r="A149" s="24" t="str">
        <v>CUST-1347</v>
      </c>
      <c r="B149" s="24" t="str">
        <v>At-Risk Churner</v>
      </c>
      <c r="C149" s="24" t="str">
        <v>Paid Social</v>
      </c>
      <c r="D149" s="24" t="str">
        <v>Canada</v>
      </c>
      <c r="E149" s="24" t="str">
        <v>35-44</v>
      </c>
      <c r="F149" s="24" t="str">
        <v>High</v>
      </c>
      <c r="G149" s="24">
        <v>3</v>
      </c>
      <c r="H149" s="24">
        <v>184</v>
      </c>
      <c r="I149" s="23">
        <v>249.38</v>
      </c>
      <c r="J149" s="24" cm="1">
        <f t="array" ref="J149">SUMPRODUCT(
    (Transactions_and_Customer_Information_Joined[Customer ID]='V1-Based Churn Model (Step 3)'!$A149) *
    (IFERROR(_xlfn.XLOOKUP(Transactions_and_Customer_Information_Joined[SKU], 'V1 Pricing Model (Step 2)'!$A$22:$A$71, 'V1 Pricing Model (Step 2)'!$AL$22:$AL$71), "Exclude")&lt;&gt;"Exclude") *
    Transactions_and_Customer_Information_Joined[Gross Revenue])</f>
        <v>202.68</v>
      </c>
      <c r="K149" s="24">
        <f>SUMIF(Transactions_and_Customer_Information_Joined[Customer ID], 'V1-Based Churn Model (Step 3)'!$A149, Transactions_and_Customer_Information_Joined[Gross Revenue])</f>
        <v>202.68</v>
      </c>
      <c r="L149" s="3">
        <f t="shared" si="6"/>
        <v>1</v>
      </c>
      <c r="M149" s="21">
        <v>0.10788177153562864</v>
      </c>
      <c r="N149" s="21" cm="1">
        <f t="array" ref="N149">SUMPRODUCT(
    (Transactions_and_Customer_Information_Joined[Customer ID]=$A149)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49" s="21" cm="1">
        <f t="array" ref="O149">IFERROR(
    SUMPRODUCT(
        (Transactions_and_Customer_Information_Joined[Customer ID]=$A149)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$J149,
0)</f>
        <v>0.10788177153562864</v>
      </c>
      <c r="P149" s="5" cm="1">
        <f t="array" ref="P149">_xlfn.IFS(B149="At-Risk Churner",$B$2,$B149="Dormant",$B$3,$B149="Deal Hunter",$B$4,$B149="New Customer",$B$5,$B149="Occasional Buyer",$B$6,$B149="Loyal High-Value",$B$7)</f>
        <v>70</v>
      </c>
      <c r="Q149" s="9" cm="1">
        <f t="array" ref="Q149">_xlfn.IFS($B149 = "At-Risk Churner", $B$8, $B149="Dormant",$B$9, $B149="Deal Hunter", $B$10, $B149="New Customer", $B$11, $B149="Occasional Buyer", $B$12, $B149 = "Loyal High-Value",$B$13)</f>
        <v>0.45</v>
      </c>
      <c r="R149" s="5">
        <v>15</v>
      </c>
      <c r="S149" s="5">
        <v>10</v>
      </c>
      <c r="T149" s="5">
        <v>8</v>
      </c>
      <c r="U149" s="5">
        <f t="shared" si="7"/>
        <v>15</v>
      </c>
      <c r="V149" s="5">
        <f t="shared" si="8"/>
        <v>4.3152708614251454</v>
      </c>
      <c r="W149" s="43">
        <f t="shared" si="9"/>
        <v>100</v>
      </c>
      <c r="X149" s="5" t="str" cm="1">
        <f t="array" ref="X149">_xlfn.IFS($W149 &lt;= 30, "Low", $W149 &lt;=50, "Medium", $W149 &lt;= 70, "High", $W149 &gt; 70, "Critical")</f>
        <v>Critical</v>
      </c>
      <c r="Y149" s="9">
        <f t="shared" si="10"/>
        <v>0.44698821708407188</v>
      </c>
      <c r="Z149" s="22">
        <f t="shared" si="11"/>
        <v>111.46992157642585</v>
      </c>
    </row>
    <row r="150" spans="1:26">
      <c r="A150" s="24" t="str">
        <v>CUST-2060</v>
      </c>
      <c r="B150" s="24" t="str">
        <v>Loyal High-Value</v>
      </c>
      <c r="C150" s="24" t="str">
        <v>Paid Social</v>
      </c>
      <c r="D150" s="24" t="str">
        <v>Southeast</v>
      </c>
      <c r="E150" s="24" t="str">
        <v>55+</v>
      </c>
      <c r="F150" s="24" t="str">
        <v>Low</v>
      </c>
      <c r="G150" s="24">
        <v>8</v>
      </c>
      <c r="H150" s="24">
        <v>121</v>
      </c>
      <c r="I150" s="23">
        <v>1011.14</v>
      </c>
      <c r="J150" s="24" cm="1">
        <f t="array" ref="J150">SUMPRODUCT(
    (Transactions_and_Customer_Information_Joined[Customer ID]='V1-Based Churn Model (Step 3)'!$A150) *
    (IFERROR(_xlfn.XLOOKUP(Transactions_and_Customer_Information_Joined[SKU], 'V1 Pricing Model (Step 2)'!$A$22:$A$71, 'V1 Pricing Model (Step 2)'!$AL$22:$AL$71), "Exclude")&lt;&gt;"Exclude") *
    Transactions_and_Customer_Information_Joined[Gross Revenue])</f>
        <v>53.95</v>
      </c>
      <c r="K150" s="24">
        <f>SUMIF(Transactions_and_Customer_Information_Joined[Customer ID], 'V1-Based Churn Model (Step 3)'!$A150, Transactions_and_Customer_Information_Joined[Gross Revenue])</f>
        <v>53.95</v>
      </c>
      <c r="L150" s="3">
        <f t="shared" si="6"/>
        <v>1</v>
      </c>
      <c r="M150" s="21">
        <v>-6.3633334648082567E-3</v>
      </c>
      <c r="N150" s="21" cm="1">
        <f t="array" ref="N150">SUMPRODUCT(
    (Transactions_and_Customer_Information_Joined[Customer ID]=$A150)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50" s="21" cm="1">
        <f t="array" ref="O150">IFERROR(
    SUMPRODUCT(
        (Transactions_and_Customer_Information_Joined[Customer ID]=$A150)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$J150,
0)</f>
        <v>-6.3633334648082575E-3</v>
      </c>
      <c r="P150" s="5" cm="1">
        <f t="array" ref="P150">_xlfn.IFS(B150="At-Risk Churner",$B$2,$B150="Dormant",$B$3,$B150="Deal Hunter",$B$4,$B150="New Customer",$B$5,$B150="Occasional Buyer",$B$6,$B150="Loyal High-Value",$B$7)</f>
        <v>15</v>
      </c>
      <c r="Q150" s="9" cm="1">
        <f t="array" ref="Q150">_xlfn.IFS($B150 = "At-Risk Churner", $B$8, $B150="Dormant",$B$9, $B150="Deal Hunter", $B$10, $B150="New Customer", $B$11, $B150="Occasional Buyer", $B$12, $B150 = "Loyal High-Value",$B$13)</f>
        <v>0.05</v>
      </c>
      <c r="R150" s="5">
        <v>-5</v>
      </c>
      <c r="S150" s="5">
        <v>-8</v>
      </c>
      <c r="T150" s="5">
        <v>0</v>
      </c>
      <c r="U150" s="5">
        <f t="shared" si="7"/>
        <v>15</v>
      </c>
      <c r="V150" s="5">
        <f t="shared" si="8"/>
        <v>0.25453333859233029</v>
      </c>
      <c r="W150" s="43">
        <f t="shared" si="9"/>
        <v>17.02203333859233</v>
      </c>
      <c r="X150" s="5" t="str" cm="1">
        <f t="array" ref="X150">_xlfn.IFS($W150 &lt;= 30, "Low", $W150 &lt;=50, "Medium", $W150 &lt;= 70, "High", $W150 &gt; 70, "Critical")</f>
        <v>Low</v>
      </c>
      <c r="Y150" s="9">
        <f t="shared" si="10"/>
        <v>1.7823426987774909E-3</v>
      </c>
      <c r="Z150" s="22">
        <f t="shared" si="11"/>
        <v>1.8021979964418722</v>
      </c>
    </row>
    <row r="151" spans="1:26">
      <c r="A151" s="24" t="str">
        <v>CUST-3966</v>
      </c>
      <c r="B151" s="24" t="str">
        <v>Loyal High-Value</v>
      </c>
      <c r="C151" s="24" t="str">
        <v>Influencer</v>
      </c>
      <c r="D151" s="24" t="str">
        <v>West</v>
      </c>
      <c r="E151" s="24" t="str">
        <v>18-24</v>
      </c>
      <c r="F151" s="24" t="str">
        <v>Low</v>
      </c>
      <c r="G151" s="24">
        <v>5</v>
      </c>
      <c r="H151" s="24">
        <v>22</v>
      </c>
      <c r="I151" s="23">
        <v>2944.11</v>
      </c>
      <c r="J151" s="24" cm="1">
        <f t="array" ref="J151">SUMPRODUCT(
    (Transactions_and_Customer_Information_Joined[Customer ID]='V1-Based Churn Model (Step 3)'!$A151)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151" s="24">
        <f>SUMIF(Transactions_and_Customer_Information_Joined[Customer ID], 'V1-Based Churn Model (Step 3)'!$A151, Transactions_and_Customer_Information_Joined[Gross Revenue])</f>
        <v>65.430000000000007</v>
      </c>
      <c r="L151" s="3">
        <f t="shared" si="6"/>
        <v>0</v>
      </c>
      <c r="M151" s="21">
        <v>0</v>
      </c>
      <c r="N151" s="21" cm="1">
        <f t="array" ref="N151">SUMPRODUCT(
    (Transactions_and_Customer_Information_Joined[Customer ID]=$A151)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151" s="21" cm="1">
        <f t="array" ref="O151">IFERROR(
    SUMPRODUCT(
        (Transactions_and_Customer_Information_Joined[Customer ID]=$A151)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$J151,
0)</f>
        <v>0</v>
      </c>
      <c r="P151" s="5" cm="1">
        <f t="array" ref="P151">_xlfn.IFS(B151="At-Risk Churner",$B$2,$B151="Dormant",$B$3,$B151="Deal Hunter",$B$4,$B151="New Customer",$B$5,$B151="Occasional Buyer",$B$6,$B151="Loyal High-Value",$B$7)</f>
        <v>15</v>
      </c>
      <c r="Q151" s="9" cm="1">
        <f t="array" ref="Q151">_xlfn.IFS($B151 = "At-Risk Churner", $B$8, $B151="Dormant",$B$9, $B151="Deal Hunter", $B$10, $B151="New Customer", $B$11, $B151="Occasional Buyer", $B$12, $B151 = "Loyal High-Value",$B$13)</f>
        <v>0.05</v>
      </c>
      <c r="R151" s="5">
        <v>-5</v>
      </c>
      <c r="S151" s="5">
        <v>0</v>
      </c>
      <c r="T151" s="5">
        <v>-5</v>
      </c>
      <c r="U151" s="5">
        <f t="shared" si="7"/>
        <v>0</v>
      </c>
      <c r="V151" s="5">
        <f t="shared" si="8"/>
        <v>0</v>
      </c>
      <c r="W151" s="43">
        <f t="shared" si="9"/>
        <v>5</v>
      </c>
      <c r="X151" s="5" t="str" cm="1">
        <f t="array" ref="X151">_xlfn.IFS($W151 &lt;= 30, "Low", $W151 &lt;=50, "Medium", $W151 &lt;= 70, "High", $W151 &gt; 70, "Critical")</f>
        <v>Low</v>
      </c>
      <c r="Y151" s="9">
        <f t="shared" si="10"/>
        <v>5.4934713152965896E-4</v>
      </c>
      <c r="Z151" s="22">
        <f t="shared" si="11"/>
        <v>1.6173383834077844</v>
      </c>
    </row>
    <row r="152" spans="1:26">
      <c r="A152" s="24" t="str">
        <v>CUST-1820</v>
      </c>
      <c r="B152" s="24" t="str">
        <v>Deal Hunter</v>
      </c>
      <c r="C152" s="24" t="str">
        <v>Referral</v>
      </c>
      <c r="D152" s="24" t="str">
        <v>Canada</v>
      </c>
      <c r="E152" s="24" t="str">
        <v>18-24</v>
      </c>
      <c r="F152" s="24" t="str">
        <v>Low</v>
      </c>
      <c r="G152" s="24">
        <v>8</v>
      </c>
      <c r="H152" s="24">
        <v>163</v>
      </c>
      <c r="I152" s="23">
        <v>489.01</v>
      </c>
      <c r="J152" s="24" cm="1">
        <f t="array" ref="J152">SUMPRODUCT(
    (Transactions_and_Customer_Information_Joined[Customer ID]='V1-Based Churn Model (Step 3)'!$A152) *
    (IFERROR(_xlfn.XLOOKUP(Transactions_and_Customer_Information_Joined[SKU], 'V1 Pricing Model (Step 2)'!$A$22:$A$71, 'V1 Pricing Model (Step 2)'!$AL$22:$AL$71), "Exclude")&lt;&gt;"Exclude") *
    Transactions_and_Customer_Information_Joined[Gross Revenue])</f>
        <v>106.8</v>
      </c>
      <c r="K152" s="24">
        <f>SUMIF(Transactions_and_Customer_Information_Joined[Customer ID], 'V1-Based Churn Model (Step 3)'!$A152, Transactions_and_Customer_Information_Joined[Gross Revenue])</f>
        <v>106.8</v>
      </c>
      <c r="L152" s="3">
        <f t="shared" si="6"/>
        <v>1</v>
      </c>
      <c r="M152" s="21">
        <v>7.5818801139291682E-3</v>
      </c>
      <c r="N152" s="21" cm="1">
        <f t="array" ref="N152">SUMPRODUCT(
    (Transactions_and_Customer_Information_Joined[Customer ID]=$A152)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52" s="21" cm="1">
        <f t="array" ref="O152">IFERROR(
    SUMPRODUCT(
        (Transactions_and_Customer_Information_Joined[Customer ID]=$A152)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$J152,
0)</f>
        <v>7.5818801139291682E-3</v>
      </c>
      <c r="P152" s="5" cm="1">
        <f t="array" ref="P152">_xlfn.IFS(B152="At-Risk Churner",$B$2,$B152="Dormant",$B$3,$B152="Deal Hunter",$B$4,$B152="New Customer",$B$5,$B152="Occasional Buyer",$B$6,$B152="Loyal High-Value",$B$7)</f>
        <v>45</v>
      </c>
      <c r="Q152" s="9" cm="1">
        <f t="array" ref="Q152">_xlfn.IFS($B152 = "At-Risk Churner", $B$8, $B152="Dormant",$B$9, $B152="Deal Hunter", $B$10, $B152="New Customer", $B$11, $B152="Occasional Buyer", $B$12, $B152 = "Loyal High-Value",$B$13)</f>
        <v>0.25</v>
      </c>
      <c r="R152" s="5">
        <v>-5</v>
      </c>
      <c r="S152" s="5">
        <v>-8</v>
      </c>
      <c r="T152" s="5">
        <v>0</v>
      </c>
      <c r="U152" s="5">
        <f t="shared" si="7"/>
        <v>15</v>
      </c>
      <c r="V152" s="5">
        <f t="shared" si="8"/>
        <v>0.30327520455716672</v>
      </c>
      <c r="W152" s="43">
        <f t="shared" si="9"/>
        <v>46.83077520455717</v>
      </c>
      <c r="X152" s="5" t="str" cm="1">
        <f t="array" ref="X152">_xlfn.IFS($W152 &lt;= 30, "Low", $W152 &lt;=50, "Medium", $W152 &lt;= 70, "High", $W152 &gt; 70, "Critical")</f>
        <v>Medium</v>
      </c>
      <c r="Y152" s="9">
        <f t="shared" si="10"/>
        <v>0.10535648642928022</v>
      </c>
      <c r="Z152" s="22">
        <f t="shared" si="11"/>
        <v>139.01830034302586</v>
      </c>
    </row>
    <row r="153" spans="1:26">
      <c r="A153" s="24" t="str">
        <v>CUST-3598</v>
      </c>
      <c r="B153" s="24" t="str">
        <v>New Customer</v>
      </c>
      <c r="C153" s="24" t="str">
        <v>Email Campaign</v>
      </c>
      <c r="D153" s="24" t="str">
        <v>Southwest</v>
      </c>
      <c r="E153" s="24" t="str">
        <v>25-34</v>
      </c>
      <c r="F153" s="24" t="str">
        <v>Low</v>
      </c>
      <c r="G153" s="24">
        <v>5</v>
      </c>
      <c r="H153" s="24">
        <v>345</v>
      </c>
      <c r="I153" s="23">
        <v>87.08</v>
      </c>
      <c r="J153" s="24" cm="1">
        <f t="array" ref="J153">SUMPRODUCT(
    (Transactions_and_Customer_Information_Joined[Customer ID]='V1-Based Churn Model (Step 3)'!$A153) *
    (IFERROR(_xlfn.XLOOKUP(Transactions_and_Customer_Information_Joined[SKU], 'V1 Pricing Model (Step 2)'!$A$22:$A$71, 'V1 Pricing Model (Step 2)'!$AL$22:$AL$71), "Exclude")&lt;&gt;"Exclude") *
    Transactions_and_Customer_Information_Joined[Gross Revenue])</f>
        <v>588.84</v>
      </c>
      <c r="K153" s="24">
        <f>SUMIF(Transactions_and_Customer_Information_Joined[Customer ID], 'V1-Based Churn Model (Step 3)'!$A153, Transactions_and_Customer_Information_Joined[Gross Revenue])</f>
        <v>588.84</v>
      </c>
      <c r="L153" s="3">
        <f t="shared" si="6"/>
        <v>1</v>
      </c>
      <c r="M153" s="21">
        <v>0.16615780750618397</v>
      </c>
      <c r="N153" s="21" cm="1">
        <f t="array" ref="N153">SUMPRODUCT(
    (Transactions_and_Customer_Information_Joined[Customer ID]=$A153)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53" s="21" cm="1">
        <f t="array" ref="O153">IFERROR(
    SUMPRODUCT(
        (Transactions_and_Customer_Information_Joined[Customer ID]=$A153)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$J153,
0)</f>
        <v>0.16615780750618397</v>
      </c>
      <c r="P153" s="5" cm="1">
        <f t="array" ref="P153">_xlfn.IFS(B153="At-Risk Churner",$B$2,$B153="Dormant",$B$3,$B153="Deal Hunter",$B$4,$B153="New Customer",$B$5,$B153="Occasional Buyer",$B$6,$B153="Loyal High-Value",$B$7)</f>
        <v>35</v>
      </c>
      <c r="Q153" s="9" cm="1">
        <f t="array" ref="Q153">_xlfn.IFS($B153 = "At-Risk Churner", $B$8, $B153="Dormant",$B$9, $B153="Deal Hunter", $B$10, $B153="New Customer", $B$11, $B153="Occasional Buyer", $B$12, $B153 = "Loyal High-Value",$B$13)</f>
        <v>0.35</v>
      </c>
      <c r="R153" s="5">
        <v>-5</v>
      </c>
      <c r="S153" s="5">
        <v>0</v>
      </c>
      <c r="T153" s="5">
        <v>15</v>
      </c>
      <c r="U153" s="5">
        <f t="shared" si="7"/>
        <v>15</v>
      </c>
      <c r="V153" s="5">
        <f t="shared" si="8"/>
        <v>6.6463123002473594</v>
      </c>
      <c r="W153" s="43">
        <f t="shared" si="9"/>
        <v>66.533812300247362</v>
      </c>
      <c r="X153" s="5" t="str" cm="1">
        <f t="array" ref="X153">_xlfn.IFS($W153 &lt;= 30, "Low", $W153 &lt;=50, "Medium", $W153 &lt;= 70, "High", $W153 &gt; 70, "Critical")</f>
        <v>High</v>
      </c>
      <c r="Y153" s="9">
        <f t="shared" si="10"/>
        <v>0.2937716284441631</v>
      </c>
      <c r="Z153" s="22">
        <f t="shared" si="11"/>
        <v>37.881306723934173</v>
      </c>
    </row>
    <row r="154" spans="1:26">
      <c r="A154" s="24" t="str">
        <v>CUST-1276</v>
      </c>
      <c r="B154" s="24" t="str">
        <v>Occasional Buyer</v>
      </c>
      <c r="C154" s="24" t="str">
        <v>Organic Search</v>
      </c>
      <c r="D154" s="24" t="str">
        <v>Southwest</v>
      </c>
      <c r="E154" s="24" t="str">
        <v>35-44</v>
      </c>
      <c r="F154" s="24" t="str">
        <v>Medium</v>
      </c>
      <c r="G154" s="24">
        <v>7</v>
      </c>
      <c r="H154" s="24">
        <v>317</v>
      </c>
      <c r="I154" s="23">
        <v>477.05</v>
      </c>
      <c r="J154" s="24" cm="1">
        <f t="array" ref="J154">SUMPRODUCT(
    (Transactions_and_Customer_Information_Joined[Customer ID]='V1-Based Churn Model (Step 3)'!$A154) *
    (IFERROR(_xlfn.XLOOKUP(Transactions_and_Customer_Information_Joined[SKU], 'V1 Pricing Model (Step 2)'!$A$22:$A$71, 'V1 Pricing Model (Step 2)'!$AL$22:$AL$71), "Exclude")&lt;&gt;"Exclude") *
    Transactions_and_Customer_Information_Joined[Gross Revenue])</f>
        <v>89.62</v>
      </c>
      <c r="K154" s="24">
        <f>SUMIF(Transactions_and_Customer_Information_Joined[Customer ID], 'V1-Based Churn Model (Step 3)'!$A154, Transactions_and_Customer_Information_Joined[Gross Revenue])</f>
        <v>89.62</v>
      </c>
      <c r="L154" s="3">
        <f t="shared" si="6"/>
        <v>1</v>
      </c>
      <c r="M154" s="21">
        <v>0.10710868403533827</v>
      </c>
      <c r="N154" s="21" cm="1">
        <f t="array" ref="N154">SUMPRODUCT(
    (Transactions_and_Customer_Information_Joined[Customer ID]=$A154)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54" s="21" cm="1">
        <f t="array" ref="O154">IFERROR(
    SUMPRODUCT(
        (Transactions_and_Customer_Information_Joined[Customer ID]=$A154)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$J154,
0)</f>
        <v>0.10710868403533827</v>
      </c>
      <c r="P154" s="5" cm="1">
        <f t="array" ref="P154">_xlfn.IFS(B154="At-Risk Churner",$B$2,$B154="Dormant",$B$3,$B154="Deal Hunter",$B$4,$B154="New Customer",$B$5,$B154="Occasional Buyer",$B$6,$B154="Loyal High-Value",$B$7)</f>
        <v>25</v>
      </c>
      <c r="Q154" s="9" cm="1">
        <f t="array" ref="Q154">_xlfn.IFS($B154 = "At-Risk Churner", $B$8, $B154="Dormant",$B$9, $B154="Deal Hunter", $B$10, $B154="New Customer", $B$11, $B154="Occasional Buyer", $B$12, $B154 = "Loyal High-Value",$B$13)</f>
        <v>0.18</v>
      </c>
      <c r="R154" s="5">
        <v>5</v>
      </c>
      <c r="S154" s="5">
        <v>-8</v>
      </c>
      <c r="T154" s="5">
        <v>15</v>
      </c>
      <c r="U154" s="5">
        <f t="shared" si="7"/>
        <v>15</v>
      </c>
      <c r="V154" s="5">
        <f t="shared" si="8"/>
        <v>4.2843473614135306</v>
      </c>
      <c r="W154" s="43">
        <f t="shared" si="9"/>
        <v>56.196847361413525</v>
      </c>
      <c r="X154" s="5" t="str" cm="1">
        <f t="array" ref="X154">_xlfn.IFS($W154 &lt;= 30, "Low", $W154 &lt;=50, "Medium", $W154 &lt;= 70, "High", $W154 &gt; 70, "Critical")</f>
        <v>High</v>
      </c>
      <c r="Y154" s="9">
        <f t="shared" si="10"/>
        <v>0.11702643180046661</v>
      </c>
      <c r="Z154" s="22">
        <f t="shared" si="11"/>
        <v>140.0719674323301</v>
      </c>
    </row>
    <row r="155" spans="1:26">
      <c r="A155" s="24" t="str">
        <v>CUST-4841</v>
      </c>
      <c r="B155" s="24" t="str">
        <v>At-Risk Churner</v>
      </c>
      <c r="C155" s="24" t="str">
        <v>Paid Social</v>
      </c>
      <c r="D155" s="24" t="str">
        <v>Southeast</v>
      </c>
      <c r="E155" s="24" t="str">
        <v>25-34</v>
      </c>
      <c r="F155" s="24" t="str">
        <v>Medium</v>
      </c>
      <c r="G155" s="24">
        <v>10</v>
      </c>
      <c r="H155" s="24">
        <v>197</v>
      </c>
      <c r="I155" s="23">
        <v>273.62</v>
      </c>
      <c r="J155" s="24" cm="1">
        <f t="array" ref="J155">SUMPRODUCT(
    (Transactions_and_Customer_Information_Joined[Customer ID]='V1-Based Churn Model (Step 3)'!$A155) *
    (IFERROR(_xlfn.XLOOKUP(Transactions_and_Customer_Information_Joined[SKU], 'V1 Pricing Model (Step 2)'!$A$22:$A$71, 'V1 Pricing Model (Step 2)'!$AL$22:$AL$71), "Exclude")&lt;&gt;"Exclude") *
    Transactions_and_Customer_Information_Joined[Gross Revenue])</f>
        <v>99.34</v>
      </c>
      <c r="K155" s="24">
        <f>SUMIF(Transactions_and_Customer_Information_Joined[Customer ID], 'V1-Based Churn Model (Step 3)'!$A155, Transactions_and_Customer_Information_Joined[Gross Revenue])</f>
        <v>99.34</v>
      </c>
      <c r="L155" s="3">
        <f t="shared" si="6"/>
        <v>1</v>
      </c>
      <c r="M155" s="21">
        <v>1.4049546680818285E-2</v>
      </c>
      <c r="N155" s="21" cm="1">
        <f t="array" ref="N155">SUMPRODUCT(
    (Transactions_and_Customer_Information_Joined[Customer ID]=$A155)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55" s="21" cm="1">
        <f t="array" ref="O155">IFERROR(
    SUMPRODUCT(
        (Transactions_and_Customer_Information_Joined[Customer ID]=$A155)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$J155,
0)</f>
        <v>1.4049546680818285E-2</v>
      </c>
      <c r="P155" s="5" cm="1">
        <f t="array" ref="P155">_xlfn.IFS(B155="At-Risk Churner",$B$2,$B155="Dormant",$B$3,$B155="Deal Hunter",$B$4,$B155="New Customer",$B$5,$B155="Occasional Buyer",$B$6,$B155="Loyal High-Value",$B$7)</f>
        <v>70</v>
      </c>
      <c r="Q155" s="9" cm="1">
        <f t="array" ref="Q155">_xlfn.IFS($B155 = "At-Risk Churner", $B$8, $B155="Dormant",$B$9, $B155="Deal Hunter", $B$10, $B155="New Customer", $B$11, $B155="Occasional Buyer", $B$12, $B155 = "Loyal High-Value",$B$13)</f>
        <v>0.45</v>
      </c>
      <c r="R155" s="5">
        <v>5</v>
      </c>
      <c r="S155" s="5">
        <v>-8</v>
      </c>
      <c r="T155" s="5">
        <v>8</v>
      </c>
      <c r="U155" s="5">
        <f t="shared" si="7"/>
        <v>15</v>
      </c>
      <c r="V155" s="5">
        <f t="shared" si="8"/>
        <v>0.56198186723273136</v>
      </c>
      <c r="W155" s="43">
        <f t="shared" si="9"/>
        <v>90.114481867232726</v>
      </c>
      <c r="X155" s="5" t="str" cm="1">
        <f t="array" ref="X155">_xlfn.IFS($W155 &lt;= 30, "Low", $W155 &lt;=50, "Medium", $W155 &lt;= 70, "High", $W155 &gt; 70, "Critical")</f>
        <v>Critical</v>
      </c>
      <c r="Y155" s="9">
        <f t="shared" si="10"/>
        <v>0.4419966978568024</v>
      </c>
      <c r="Z155" s="22">
        <f t="shared" si="11"/>
        <v>120.93913646757828</v>
      </c>
    </row>
    <row r="156" spans="1:26">
      <c r="A156" s="24" t="str">
        <v>CUST-3002</v>
      </c>
      <c r="B156" s="24" t="str">
        <v>Occasional Buyer</v>
      </c>
      <c r="C156" s="24" t="str">
        <v>Referral</v>
      </c>
      <c r="D156" s="24" t="str">
        <v>Southeast</v>
      </c>
      <c r="E156" s="24" t="str">
        <v>25-34</v>
      </c>
      <c r="F156" s="24" t="str">
        <v>Low</v>
      </c>
      <c r="G156" s="24">
        <v>4</v>
      </c>
      <c r="H156" s="24">
        <v>349</v>
      </c>
      <c r="I156" s="23">
        <v>538.1</v>
      </c>
      <c r="J156" s="24" cm="1">
        <f t="array" ref="J156">SUMPRODUCT(
    (Transactions_and_Customer_Information_Joined[Customer ID]='V1-Based Churn Model (Step 3)'!$A156) *
    (IFERROR(_xlfn.XLOOKUP(Transactions_and_Customer_Information_Joined[SKU], 'V1 Pricing Model (Step 2)'!$A$22:$A$71, 'V1 Pricing Model (Step 2)'!$AL$22:$AL$71), "Exclude")&lt;&gt;"Exclude") *
    Transactions_and_Customer_Information_Joined[Gross Revenue])</f>
        <v>189.52</v>
      </c>
      <c r="K156" s="24">
        <f>SUMIF(Transactions_and_Customer_Information_Joined[Customer ID], 'V1-Based Churn Model (Step 3)'!$A156, Transactions_and_Customer_Information_Joined[Gross Revenue])</f>
        <v>438.04</v>
      </c>
      <c r="L156" s="3">
        <f t="shared" si="6"/>
        <v>0.43265455209569903</v>
      </c>
      <c r="M156" s="21">
        <v>1.2225679304209092E-2</v>
      </c>
      <c r="N156" s="21" cm="1">
        <f t="array" ref="N156">SUMPRODUCT(
    (Transactions_and_Customer_Information_Joined[Customer ID]=$A156)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156" s="21" cm="1">
        <f t="array" ref="O156">IFERROR(
    SUMPRODUCT(
        (Transactions_and_Customer_Information_Joined[Customer ID]=$A156)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$J156,
0)</f>
        <v>1.2225679304209092E-2</v>
      </c>
      <c r="P156" s="5" cm="1">
        <f t="array" ref="P156">_xlfn.IFS(B156="At-Risk Churner",$B$2,$B156="Dormant",$B$3,$B156="Deal Hunter",$B$4,$B156="New Customer",$B$5,$B156="Occasional Buyer",$B$6,$B156="Loyal High-Value",$B$7)</f>
        <v>25</v>
      </c>
      <c r="Q156" s="9" cm="1">
        <f t="array" ref="Q156">_xlfn.IFS($B156 = "At-Risk Churner", $B$8, $B156="Dormant",$B$9, $B156="Deal Hunter", $B$10, $B156="New Customer", $B$11, $B156="Occasional Buyer", $B$12, $B156 = "Loyal High-Value",$B$13)</f>
        <v>0.18</v>
      </c>
      <c r="R156" s="5">
        <v>-5</v>
      </c>
      <c r="S156" s="5">
        <v>0</v>
      </c>
      <c r="T156" s="5">
        <v>15</v>
      </c>
      <c r="U156" s="5">
        <f t="shared" si="7"/>
        <v>10.816363802392475</v>
      </c>
      <c r="V156" s="5">
        <f t="shared" si="8"/>
        <v>0.48902717216836367</v>
      </c>
      <c r="W156" s="43">
        <f t="shared" si="9"/>
        <v>46.22426824604289</v>
      </c>
      <c r="X156" s="5" t="str" cm="1">
        <f t="array" ref="X156">_xlfn.IFS($W156 &lt;= 30, "Low", $W156 &lt;=50, "Medium", $W156 &lt;= 70, "High", $W156 &gt; 70, "Critical")</f>
        <v>Medium</v>
      </c>
      <c r="Y156" s="9">
        <f t="shared" si="10"/>
        <v>7.320822313292942E-2</v>
      </c>
      <c r="Z156" s="22">
        <f t="shared" si="11"/>
        <v>139.13467589426347</v>
      </c>
    </row>
    <row r="157" spans="1:26">
      <c r="A157" s="24" t="str">
        <v>CUST-2972</v>
      </c>
      <c r="B157" s="24" t="str">
        <v>New Customer</v>
      </c>
      <c r="C157" s="24" t="str">
        <v>Organic Search</v>
      </c>
      <c r="D157" s="24" t="str">
        <v>Southwest</v>
      </c>
      <c r="E157" s="24" t="str">
        <v>18-24</v>
      </c>
      <c r="F157" s="24" t="str">
        <v>High</v>
      </c>
      <c r="G157" s="24">
        <v>7</v>
      </c>
      <c r="H157" s="24">
        <v>72</v>
      </c>
      <c r="I157" s="23">
        <v>80.930000000000007</v>
      </c>
      <c r="J157" s="24" cm="1">
        <f t="array" ref="J157">SUMPRODUCT(
    (Transactions_and_Customer_Information_Joined[Customer ID]='V1-Based Churn Model (Step 3)'!$A157) *
    (IFERROR(_xlfn.XLOOKUP(Transactions_and_Customer_Information_Joined[SKU], 'V1 Pricing Model (Step 2)'!$A$22:$A$71, 'V1 Pricing Model (Step 2)'!$AL$22:$AL$71), "Exclude")&lt;&gt;"Exclude") *
    Transactions_and_Customer_Information_Joined[Gross Revenue])</f>
        <v>218.56</v>
      </c>
      <c r="K157" s="24">
        <f>SUMIF(Transactions_and_Customer_Information_Joined[Customer ID], 'V1-Based Churn Model (Step 3)'!$A157, Transactions_and_Customer_Information_Joined[Gross Revenue])</f>
        <v>218.56</v>
      </c>
      <c r="L157" s="3">
        <f t="shared" si="6"/>
        <v>1</v>
      </c>
      <c r="M157" s="21">
        <v>0.24833629343146826</v>
      </c>
      <c r="N157" s="21" cm="1">
        <f t="array" ref="N157">SUMPRODUCT(
    (Transactions_and_Customer_Information_Joined[Customer ID]=$A157)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57" s="21" cm="1">
        <f t="array" ref="O157">IFERROR(
    SUMPRODUCT(
        (Transactions_and_Customer_Information_Joined[Customer ID]=$A157)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$J157,
0)</f>
        <v>0.24833629343146829</v>
      </c>
      <c r="P157" s="5" cm="1">
        <f t="array" ref="P157">_xlfn.IFS(B157="At-Risk Churner",$B$2,$B157="Dormant",$B$3,$B157="Deal Hunter",$B$4,$B157="New Customer",$B$5,$B157="Occasional Buyer",$B$6,$B157="Loyal High-Value",$B$7)</f>
        <v>35</v>
      </c>
      <c r="Q157" s="9" cm="1">
        <f t="array" ref="Q157">_xlfn.IFS($B157 = "At-Risk Churner", $B$8, $B157="Dormant",$B$9, $B157="Deal Hunter", $B$10, $B157="New Customer", $B$11, $B157="Occasional Buyer", $B$12, $B157 = "Loyal High-Value",$B$13)</f>
        <v>0.35</v>
      </c>
      <c r="R157" s="5">
        <v>15</v>
      </c>
      <c r="S157" s="5">
        <v>-8</v>
      </c>
      <c r="T157" s="5">
        <v>0</v>
      </c>
      <c r="U157" s="5">
        <f t="shared" si="7"/>
        <v>15</v>
      </c>
      <c r="V157" s="5">
        <f t="shared" si="8"/>
        <v>9.9334517372587321</v>
      </c>
      <c r="W157" s="43">
        <f t="shared" si="9"/>
        <v>66.99095173725874</v>
      </c>
      <c r="X157" s="5" t="str" cm="1">
        <f t="array" ref="X157">_xlfn.IFS($W157 &lt;= 30, "Low", $W157 &lt;=50, "Medium", $W157 &lt;= 70, "High", $W157 &gt; 70, "Critical")</f>
        <v>High</v>
      </c>
      <c r="Y157" s="9">
        <f t="shared" si="10"/>
        <v>0.29589578285894419</v>
      </c>
      <c r="Z157" s="22">
        <f t="shared" si="11"/>
        <v>35.343476565419486</v>
      </c>
    </row>
    <row r="158" spans="1:26">
      <c r="A158" s="24" t="str">
        <v>CUST-2475</v>
      </c>
      <c r="B158" s="24" t="str">
        <v>New Customer</v>
      </c>
      <c r="C158" s="24" t="str">
        <v>Referral</v>
      </c>
      <c r="D158" s="24" t="str">
        <v>UK</v>
      </c>
      <c r="E158" s="24" t="str">
        <v>25-34</v>
      </c>
      <c r="F158" s="24" t="str">
        <v>High</v>
      </c>
      <c r="G158" s="24">
        <v>10</v>
      </c>
      <c r="H158" s="24">
        <v>214</v>
      </c>
      <c r="I158" s="23">
        <v>143.76</v>
      </c>
      <c r="J158" s="24" cm="1">
        <f t="array" ref="J158">SUMPRODUCT(
    (Transactions_and_Customer_Information_Joined[Customer ID]='V1-Based Churn Model (Step 3)'!$A158) *
    (IFERROR(_xlfn.XLOOKUP(Transactions_and_Customer_Information_Joined[SKU], 'V1 Pricing Model (Step 2)'!$A$22:$A$71, 'V1 Pricing Model (Step 2)'!$AL$22:$AL$71), "Exclude")&lt;&gt;"Exclude") *
    Transactions_and_Customer_Information_Joined[Gross Revenue])</f>
        <v>197.16</v>
      </c>
      <c r="K158" s="24">
        <f>SUMIF(Transactions_and_Customer_Information_Joined[Customer ID], 'V1-Based Churn Model (Step 3)'!$A158, Transactions_and_Customer_Information_Joined[Gross Revenue])</f>
        <v>197.16</v>
      </c>
      <c r="L158" s="3">
        <f t="shared" si="6"/>
        <v>1</v>
      </c>
      <c r="M158" s="21">
        <v>0</v>
      </c>
      <c r="N158" s="21" cm="1">
        <f t="array" ref="N158">SUMPRODUCT(
    (Transactions_and_Customer_Information_Joined[Customer ID]=$A158)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58" s="21" cm="1">
        <f t="array" ref="O158">IFERROR(
    SUMPRODUCT(
        (Transactions_and_Customer_Information_Joined[Customer ID]=$A158)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$J158,
0)</f>
        <v>0</v>
      </c>
      <c r="P158" s="5" cm="1">
        <f t="array" ref="P158">_xlfn.IFS(B158="At-Risk Churner",$B$2,$B158="Dormant",$B$3,$B158="Deal Hunter",$B$4,$B158="New Customer",$B$5,$B158="Occasional Buyer",$B$6,$B158="Loyal High-Value",$B$7)</f>
        <v>35</v>
      </c>
      <c r="Q158" s="9" cm="1">
        <f t="array" ref="Q158">_xlfn.IFS($B158 = "At-Risk Churner", $B$8, $B158="Dormant",$B$9, $B158="Deal Hunter", $B$10, $B158="New Customer", $B$11, $B158="Occasional Buyer", $B$12, $B158 = "Loyal High-Value",$B$13)</f>
        <v>0.35</v>
      </c>
      <c r="R158" s="5">
        <v>15</v>
      </c>
      <c r="S158" s="5">
        <v>-8</v>
      </c>
      <c r="T158" s="5">
        <v>8</v>
      </c>
      <c r="U158" s="5">
        <f t="shared" si="7"/>
        <v>15</v>
      </c>
      <c r="V158" s="5">
        <f t="shared" si="8"/>
        <v>0</v>
      </c>
      <c r="W158" s="43">
        <f t="shared" si="9"/>
        <v>65.057500000000005</v>
      </c>
      <c r="X158" s="5" t="str" cm="1">
        <f t="array" ref="X158">_xlfn.IFS($W158 &lt;= 30, "Low", $W158 &lt;=50, "Medium", $W158 &lt;= 70, "High", $W158 &gt; 70, "Critical")</f>
        <v>High</v>
      </c>
      <c r="Y158" s="9">
        <f t="shared" si="10"/>
        <v>0.28645067597453649</v>
      </c>
      <c r="Z158" s="22">
        <f t="shared" si="11"/>
        <v>61.696119342479491</v>
      </c>
    </row>
    <row r="159" spans="1:26">
      <c r="A159" s="24" t="str">
        <v>CUST-4432</v>
      </c>
      <c r="B159" s="24" t="str">
        <v>Dormant</v>
      </c>
      <c r="C159" s="24" t="str">
        <v>Influencer</v>
      </c>
      <c r="D159" s="24" t="str">
        <v>Northeast</v>
      </c>
      <c r="E159" s="24" t="str">
        <v>55+</v>
      </c>
      <c r="F159" s="24" t="str">
        <v>Medium</v>
      </c>
      <c r="G159" s="24">
        <v>7</v>
      </c>
      <c r="H159" s="24">
        <v>312</v>
      </c>
      <c r="I159" s="23">
        <v>105.32</v>
      </c>
      <c r="J159" s="24" cm="1">
        <f t="array" ref="J159">SUMPRODUCT(
    (Transactions_and_Customer_Information_Joined[Customer ID]='V1-Based Churn Model (Step 3)'!$A159) *
    (IFERROR(_xlfn.XLOOKUP(Transactions_and_Customer_Information_Joined[SKU], 'V1 Pricing Model (Step 2)'!$A$22:$A$71, 'V1 Pricing Model (Step 2)'!$AL$22:$AL$71), "Exclude")&lt;&gt;"Exclude") *
    Transactions_and_Customer_Information_Joined[Gross Revenue])</f>
        <v>133.99</v>
      </c>
      <c r="K159" s="24">
        <f>SUMIF(Transactions_and_Customer_Information_Joined[Customer ID], 'V1-Based Churn Model (Step 3)'!$A159, Transactions_and_Customer_Information_Joined[Gross Revenue])</f>
        <v>133.99</v>
      </c>
      <c r="L159" s="3">
        <f t="shared" si="6"/>
        <v>1</v>
      </c>
      <c r="M159" s="21">
        <v>0.18240919880904002</v>
      </c>
      <c r="N159" s="21" cm="1">
        <f t="array" ref="N159">SUMPRODUCT(
    (Transactions_and_Customer_Information_Joined[Customer ID]=$A159)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59" s="21" cm="1">
        <f t="array" ref="O159">IFERROR(
    SUMPRODUCT(
        (Transactions_and_Customer_Information_Joined[Customer ID]=$A159)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$J159,
0)</f>
        <v>0.18240919880904002</v>
      </c>
      <c r="P159" s="5" cm="1">
        <f t="array" ref="P159">_xlfn.IFS(B159="At-Risk Churner",$B$2,$B159="Dormant",$B$3,$B159="Deal Hunter",$B$4,$B159="New Customer",$B$5,$B159="Occasional Buyer",$B$6,$B159="Loyal High-Value",$B$7)</f>
        <v>65</v>
      </c>
      <c r="Q159" s="9" cm="1">
        <f t="array" ref="Q159">_xlfn.IFS($B159 = "At-Risk Churner", $B$8, $B159="Dormant",$B$9, $B159="Deal Hunter", $B$10, $B159="New Customer", $B$11, $B159="Occasional Buyer", $B$12, $B159 = "Loyal High-Value",$B$13)</f>
        <v>0.6</v>
      </c>
      <c r="R159" s="5">
        <v>5</v>
      </c>
      <c r="S159" s="5">
        <v>-8</v>
      </c>
      <c r="T159" s="5">
        <v>15</v>
      </c>
      <c r="U159" s="5">
        <f t="shared" si="7"/>
        <v>15</v>
      </c>
      <c r="V159" s="5">
        <f t="shared" si="8"/>
        <v>7.2963679523616012</v>
      </c>
      <c r="W159" s="43">
        <f t="shared" si="9"/>
        <v>98.888867952361608</v>
      </c>
      <c r="X159" s="5" t="str" cm="1">
        <f t="array" ref="X159">_xlfn.IFS($W159 &lt;= 30, "Low", $W159 &lt;=50, "Medium", $W159 &lt;= 70, "High", $W159 &gt; 70, "Critical")</f>
        <v>Critical</v>
      </c>
      <c r="Y159" s="9">
        <f t="shared" si="10"/>
        <v>0.59551588448087556</v>
      </c>
      <c r="Z159" s="22">
        <f t="shared" si="11"/>
        <v>62.719732953525806</v>
      </c>
    </row>
    <row r="160" spans="1:26">
      <c r="A160" s="24" t="str">
        <v>CUST-1521</v>
      </c>
      <c r="B160" s="24" t="str">
        <v>Loyal High-Value</v>
      </c>
      <c r="C160" s="24" t="str">
        <v>Referral</v>
      </c>
      <c r="D160" s="24" t="str">
        <v>Northeast</v>
      </c>
      <c r="E160" s="24" t="str">
        <v>55+</v>
      </c>
      <c r="F160" s="24" t="str">
        <v>High</v>
      </c>
      <c r="G160" s="24">
        <v>6</v>
      </c>
      <c r="H160" s="24">
        <v>76</v>
      </c>
      <c r="I160" s="23">
        <v>2617.77</v>
      </c>
      <c r="J160" s="24" cm="1">
        <f t="array" ref="J160">SUMPRODUCT(
    (Transactions_and_Customer_Information_Joined[Customer ID]='V1-Based Churn Model (Step 3)'!$A160) *
    (IFERROR(_xlfn.XLOOKUP(Transactions_and_Customer_Information_Joined[SKU], 'V1 Pricing Model (Step 2)'!$A$22:$A$71, 'V1 Pricing Model (Step 2)'!$AL$22:$AL$71), "Exclude")&lt;&gt;"Exclude") *
    Transactions_and_Customer_Information_Joined[Gross Revenue])</f>
        <v>310.68</v>
      </c>
      <c r="K160" s="24">
        <f>SUMIF(Transactions_and_Customer_Information_Joined[Customer ID], 'V1-Based Churn Model (Step 3)'!$A160, Transactions_and_Customer_Information_Joined[Gross Revenue])</f>
        <v>310.68</v>
      </c>
      <c r="L160" s="3">
        <f t="shared" si="6"/>
        <v>1</v>
      </c>
      <c r="M160" s="21">
        <v>1.0827913756041518E-3</v>
      </c>
      <c r="N160" s="21" cm="1">
        <f t="array" ref="N160">SUMPRODUCT(
    (Transactions_and_Customer_Information_Joined[Customer ID]=$A160)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60" s="21" cm="1">
        <f t="array" ref="O160">IFERROR(
    SUMPRODUCT(
        (Transactions_and_Customer_Information_Joined[Customer ID]=$A160)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$J160,
0)</f>
        <v>1.0827913756041518E-3</v>
      </c>
      <c r="P160" s="5" cm="1">
        <f t="array" ref="P160">_xlfn.IFS(B160="At-Risk Churner",$B$2,$B160="Dormant",$B$3,$B160="Deal Hunter",$B$4,$B160="New Customer",$B$5,$B160="Occasional Buyer",$B$6,$B160="Loyal High-Value",$B$7)</f>
        <v>15</v>
      </c>
      <c r="Q160" s="9" cm="1">
        <f t="array" ref="Q160">_xlfn.IFS($B160 = "At-Risk Churner", $B$8, $B160="Dormant",$B$9, $B160="Deal Hunter", $B$10, $B160="New Customer", $B$11, $B160="Occasional Buyer", $B$12, $B160 = "Loyal High-Value",$B$13)</f>
        <v>0.05</v>
      </c>
      <c r="R160" s="5">
        <v>15</v>
      </c>
      <c r="S160" s="5">
        <v>0</v>
      </c>
      <c r="T160" s="5">
        <v>0</v>
      </c>
      <c r="U160" s="5">
        <f t="shared" si="7"/>
        <v>15</v>
      </c>
      <c r="V160" s="5">
        <f t="shared" si="8"/>
        <v>4.3311655024166069E-2</v>
      </c>
      <c r="W160" s="43">
        <f t="shared" si="9"/>
        <v>45.380811655024168</v>
      </c>
      <c r="X160" s="5" t="str" cm="1">
        <f t="array" ref="X160">_xlfn.IFS($W160 &lt;= 30, "Low", $W160 &lt;=50, "Medium", $W160 &lt;= 70, "High", $W160 &gt; 70, "Critical")</f>
        <v>Medium</v>
      </c>
      <c r="Y160" s="9">
        <f t="shared" si="10"/>
        <v>1.9326536090647505E-2</v>
      </c>
      <c r="Z160" s="22">
        <f t="shared" si="11"/>
        <v>564.02794110561149</v>
      </c>
    </row>
    <row r="161" spans="1:26">
      <c r="A161" s="24" t="str">
        <v>CUST-2558</v>
      </c>
      <c r="B161" s="24" t="str">
        <v>New Customer</v>
      </c>
      <c r="C161" s="24" t="str">
        <v>Paid Social</v>
      </c>
      <c r="D161" s="24" t="str">
        <v>Canada</v>
      </c>
      <c r="E161" s="24" t="str">
        <v>18-24</v>
      </c>
      <c r="F161" s="24" t="str">
        <v>Medium</v>
      </c>
      <c r="G161" s="24">
        <v>5</v>
      </c>
      <c r="H161" s="24">
        <v>29</v>
      </c>
      <c r="I161" s="23">
        <v>116.17</v>
      </c>
      <c r="J161" s="24" cm="1">
        <f t="array" ref="J161">SUMPRODUCT(
    (Transactions_and_Customer_Information_Joined[Customer ID]='V1-Based Churn Model (Step 3)'!$A161) *
    (IFERROR(_xlfn.XLOOKUP(Transactions_and_Customer_Information_Joined[SKU], 'V1 Pricing Model (Step 2)'!$A$22:$A$71, 'V1 Pricing Model (Step 2)'!$AL$22:$AL$71), "Exclude")&lt;&gt;"Exclude") *
    Transactions_and_Customer_Information_Joined[Gross Revenue])</f>
        <v>118.07</v>
      </c>
      <c r="K161" s="24">
        <f>SUMIF(Transactions_and_Customer_Information_Joined[Customer ID], 'V1-Based Churn Model (Step 3)'!$A161, Transactions_and_Customer_Information_Joined[Gross Revenue])</f>
        <v>118.07</v>
      </c>
      <c r="L161" s="3">
        <f t="shared" si="6"/>
        <v>1</v>
      </c>
      <c r="M161" s="21">
        <v>3.7264027854690532E-2</v>
      </c>
      <c r="N161" s="21" cm="1">
        <f t="array" ref="N161">SUMPRODUCT(
    (Transactions_and_Customer_Information_Joined[Customer ID]=$A161)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61" s="21" cm="1">
        <f t="array" ref="O161">IFERROR(
    SUMPRODUCT(
        (Transactions_and_Customer_Information_Joined[Customer ID]=$A161)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$J161,
0)</f>
        <v>3.7264027854690532E-2</v>
      </c>
      <c r="P161" s="5" cm="1">
        <f t="array" ref="P161">_xlfn.IFS(B161="At-Risk Churner",$B$2,$B161="Dormant",$B$3,$B161="Deal Hunter",$B$4,$B161="New Customer",$B$5,$B161="Occasional Buyer",$B$6,$B161="Loyal High-Value",$B$7)</f>
        <v>35</v>
      </c>
      <c r="Q161" s="9" cm="1">
        <f t="array" ref="Q161">_xlfn.IFS($B161 = "At-Risk Churner", $B$8, $B161="Dormant",$B$9, $B161="Deal Hunter", $B$10, $B161="New Customer", $B$11, $B161="Occasional Buyer", $B$12, $B161 = "Loyal High-Value",$B$13)</f>
        <v>0.35</v>
      </c>
      <c r="R161" s="5">
        <v>5</v>
      </c>
      <c r="S161" s="5">
        <v>0</v>
      </c>
      <c r="T161" s="5">
        <v>-5</v>
      </c>
      <c r="U161" s="5">
        <f t="shared" si="7"/>
        <v>15</v>
      </c>
      <c r="V161" s="5">
        <f t="shared" si="8"/>
        <v>1.4905611141876212</v>
      </c>
      <c r="W161" s="43">
        <f t="shared" si="9"/>
        <v>51.603061114187618</v>
      </c>
      <c r="X161" s="5" t="str" cm="1">
        <f t="array" ref="X161">_xlfn.IFS($W161 &lt;= 30, "Low", $W161 &lt;=50, "Medium", $W161 &lt;= 70, "High", $W161 &gt; 70, "Critical")</f>
        <v>High</v>
      </c>
      <c r="Y161" s="9">
        <f t="shared" si="10"/>
        <v>0.18899682332456852</v>
      </c>
      <c r="Z161" s="22">
        <f t="shared" si="11"/>
        <v>40.798608772492102</v>
      </c>
    </row>
    <row r="162" spans="1:26">
      <c r="A162" s="24" t="str">
        <v>CUST-1951</v>
      </c>
      <c r="B162" s="24" t="str">
        <v>New Customer</v>
      </c>
      <c r="C162" s="24" t="str">
        <v>Influencer</v>
      </c>
      <c r="D162" s="24" t="str">
        <v>Midwest</v>
      </c>
      <c r="E162" s="24" t="str">
        <v>18-24</v>
      </c>
      <c r="F162" s="24" t="str">
        <v>Medium</v>
      </c>
      <c r="G162" s="24">
        <v>6</v>
      </c>
      <c r="H162" s="24">
        <v>12</v>
      </c>
      <c r="I162" s="23">
        <v>43.01</v>
      </c>
      <c r="J162" s="24" cm="1">
        <f t="array" ref="J162">SUMPRODUCT(
    (Transactions_and_Customer_Information_Joined[Customer ID]='V1-Based Churn Model (Step 3)'!$A162) *
    (IFERROR(_xlfn.XLOOKUP(Transactions_and_Customer_Information_Joined[SKU], 'V1 Pricing Model (Step 2)'!$A$22:$A$71, 'V1 Pricing Model (Step 2)'!$AL$22:$AL$71), "Exclude")&lt;&gt;"Exclude") *
    Transactions_and_Customer_Information_Joined[Gross Revenue])</f>
        <v>89.62</v>
      </c>
      <c r="K162" s="24">
        <f>SUMIF(Transactions_and_Customer_Information_Joined[Customer ID], 'V1-Based Churn Model (Step 3)'!$A162, Transactions_and_Customer_Information_Joined[Gross Revenue])</f>
        <v>89.62</v>
      </c>
      <c r="L162" s="3">
        <f t="shared" si="6"/>
        <v>1</v>
      </c>
      <c r="M162" s="21">
        <v>0.10710868403533827</v>
      </c>
      <c r="N162" s="21" cm="1">
        <f t="array" ref="N162">SUMPRODUCT(
    (Transactions_and_Customer_Information_Joined[Customer ID]=$A162)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62" s="21" cm="1">
        <f t="array" ref="O162">IFERROR(
    SUMPRODUCT(
        (Transactions_and_Customer_Information_Joined[Customer ID]=$A162)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$J162,
0)</f>
        <v>0.10710868403533827</v>
      </c>
      <c r="P162" s="5" cm="1">
        <f t="array" ref="P162">_xlfn.IFS(B162="At-Risk Churner",$B$2,$B162="Dormant",$B$3,$B162="Deal Hunter",$B$4,$B162="New Customer",$B$5,$B162="Occasional Buyer",$B$6,$B162="Loyal High-Value",$B$7)</f>
        <v>35</v>
      </c>
      <c r="Q162" s="9" cm="1">
        <f t="array" ref="Q162">_xlfn.IFS($B162 = "At-Risk Churner", $B$8, $B162="Dormant",$B$9, $B162="Deal Hunter", $B$10, $B162="New Customer", $B$11, $B162="Occasional Buyer", $B$12, $B162 = "Loyal High-Value",$B$13)</f>
        <v>0.35</v>
      </c>
      <c r="R162" s="5">
        <v>5</v>
      </c>
      <c r="S162" s="5">
        <v>0</v>
      </c>
      <c r="T162" s="5">
        <v>-5</v>
      </c>
      <c r="U162" s="5">
        <f t="shared" si="7"/>
        <v>15</v>
      </c>
      <c r="V162" s="5">
        <f t="shared" si="8"/>
        <v>4.2843473614135306</v>
      </c>
      <c r="W162" s="43">
        <f t="shared" si="9"/>
        <v>54.396847361413528</v>
      </c>
      <c r="X162" s="5" t="str" cm="1">
        <f t="array" ref="X162">_xlfn.IFS($W162 &lt;= 30, "Low", $W162 &lt;=50, "Medium", $W162 &lt;= 70, "High", $W162 &gt; 70, "Critical")</f>
        <v>High</v>
      </c>
      <c r="Y162" s="9">
        <f t="shared" si="10"/>
        <v>0.21286436749077811</v>
      </c>
      <c r="Z162" s="22">
        <f t="shared" si="11"/>
        <v>15.926237156622694</v>
      </c>
    </row>
    <row r="163" spans="1:26">
      <c r="A163" s="24" t="str">
        <v>CUST-1400</v>
      </c>
      <c r="B163" s="24" t="str">
        <v>At-Risk Churner</v>
      </c>
      <c r="C163" s="24" t="str">
        <v>Direct</v>
      </c>
      <c r="D163" s="24" t="str">
        <v>Southeast</v>
      </c>
      <c r="E163" s="24" t="str">
        <v>35-44</v>
      </c>
      <c r="F163" s="24" t="str">
        <v>Low</v>
      </c>
      <c r="G163" s="24">
        <v>8</v>
      </c>
      <c r="H163" s="24">
        <v>24</v>
      </c>
      <c r="I163" s="23">
        <v>380.97</v>
      </c>
      <c r="J163" s="24" cm="1">
        <f t="array" ref="J163">SUMPRODUCT(
    (Transactions_and_Customer_Information_Joined[Customer ID]='V1-Based Churn Model (Step 3)'!$A163) *
    (IFERROR(_xlfn.XLOOKUP(Transactions_and_Customer_Information_Joined[SKU], 'V1 Pricing Model (Step 2)'!$A$22:$A$71, 'V1 Pricing Model (Step 2)'!$AL$22:$AL$71), "Exclude")&lt;&gt;"Exclude") *
    Transactions_and_Customer_Information_Joined[Gross Revenue])</f>
        <v>472.28</v>
      </c>
      <c r="K163" s="24">
        <f>SUMIF(Transactions_and_Customer_Information_Joined[Customer ID], 'V1-Based Churn Model (Step 3)'!$A163, Transactions_and_Customer_Information_Joined[Gross Revenue])</f>
        <v>472.28</v>
      </c>
      <c r="L163" s="3">
        <f t="shared" si="6"/>
        <v>1</v>
      </c>
      <c r="M163" s="21">
        <v>3.7264027854690532E-2</v>
      </c>
      <c r="N163" s="21" cm="1">
        <f t="array" ref="N163">SUMPRODUCT(
    (Transactions_and_Customer_Information_Joined[Customer ID]=$A163)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63" s="21" cm="1">
        <f t="array" ref="O163">IFERROR(
    SUMPRODUCT(
        (Transactions_and_Customer_Information_Joined[Customer ID]=$A163)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$J163,
0)</f>
        <v>3.7264027854690532E-2</v>
      </c>
      <c r="P163" s="5" cm="1">
        <f t="array" ref="P163">_xlfn.IFS(B163="At-Risk Churner",$B$2,$B163="Dormant",$B$3,$B163="Deal Hunter",$B$4,$B163="New Customer",$B$5,$B163="Occasional Buyer",$B$6,$B163="Loyal High-Value",$B$7)</f>
        <v>70</v>
      </c>
      <c r="Q163" s="9" cm="1">
        <f t="array" ref="Q163">_xlfn.IFS($B163 = "At-Risk Churner", $B$8, $B163="Dormant",$B$9, $B163="Deal Hunter", $B$10, $B163="New Customer", $B$11, $B163="Occasional Buyer", $B$12, $B163 = "Loyal High-Value",$B$13)</f>
        <v>0.45</v>
      </c>
      <c r="R163" s="5">
        <v>-5</v>
      </c>
      <c r="S163" s="5">
        <v>-8</v>
      </c>
      <c r="T163" s="5">
        <v>-5</v>
      </c>
      <c r="U163" s="5">
        <f t="shared" si="7"/>
        <v>15</v>
      </c>
      <c r="V163" s="5">
        <f t="shared" si="8"/>
        <v>1.4905611141876212</v>
      </c>
      <c r="W163" s="43">
        <f t="shared" si="9"/>
        <v>67.818061114187628</v>
      </c>
      <c r="X163" s="5" t="str" cm="1">
        <f t="array" ref="X163">_xlfn.IFS($W163 &lt;= 30, "Low", $W163 &lt;=50, "Medium", $W163 &lt;= 70, "High", $W163 &gt; 70, "Critical")</f>
        <v>High</v>
      </c>
      <c r="Y163" s="9">
        <f t="shared" si="10"/>
        <v>0.38516388337593443</v>
      </c>
      <c r="Z163" s="22">
        <f t="shared" si="11"/>
        <v>193.5827077197838</v>
      </c>
    </row>
    <row r="164" spans="1:26">
      <c r="A164" s="24" t="str">
        <v>CUST-2706</v>
      </c>
      <c r="B164" s="24" t="str">
        <v>Dormant</v>
      </c>
      <c r="C164" s="24" t="str">
        <v>Referral</v>
      </c>
      <c r="D164" s="24" t="str">
        <v>Southwest</v>
      </c>
      <c r="E164" s="24" t="str">
        <v>45-54</v>
      </c>
      <c r="F164" s="24" t="str">
        <v>Medium</v>
      </c>
      <c r="G164" s="24">
        <v>8</v>
      </c>
      <c r="H164" s="24">
        <v>313</v>
      </c>
      <c r="I164" s="23">
        <v>139.79</v>
      </c>
      <c r="J164" s="24" cm="1">
        <f t="array" ref="J164">SUMPRODUCT(
    (Transactions_and_Customer_Information_Joined[Customer ID]='V1-Based Churn Model (Step 3)'!$A164) *
    (IFERROR(_xlfn.XLOOKUP(Transactions_and_Customer_Information_Joined[SKU], 'V1 Pricing Model (Step 2)'!$A$22:$A$71, 'V1 Pricing Model (Step 2)'!$AL$22:$AL$71), "Exclude")&lt;&gt;"Exclude") *
    Transactions_and_Customer_Information_Joined[Gross Revenue])</f>
        <v>186.82</v>
      </c>
      <c r="K164" s="24">
        <f>SUMIF(Transactions_and_Customer_Information_Joined[Customer ID], 'V1-Based Churn Model (Step 3)'!$A164, Transactions_and_Customer_Information_Joined[Gross Revenue])</f>
        <v>186.82</v>
      </c>
      <c r="L164" s="3">
        <f t="shared" si="6"/>
        <v>1</v>
      </c>
      <c r="M164" s="21">
        <v>-6.1928730463004879E-2</v>
      </c>
      <c r="N164" s="21" cm="1">
        <f t="array" ref="N164">SUMPRODUCT(
    (Transactions_and_Customer_Information_Joined[Customer ID]=$A164)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64" s="21" cm="1">
        <f t="array" ref="O164">IFERROR(
    SUMPRODUCT(
        (Transactions_and_Customer_Information_Joined[Customer ID]=$A164)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$J164,
0)</f>
        <v>-6.1928730463004872E-2</v>
      </c>
      <c r="P164" s="5" cm="1">
        <f t="array" ref="P164">_xlfn.IFS(B164="At-Risk Churner",$B$2,$B164="Dormant",$B$3,$B164="Deal Hunter",$B$4,$B164="New Customer",$B$5,$B164="Occasional Buyer",$B$6,$B164="Loyal High-Value",$B$7)</f>
        <v>65</v>
      </c>
      <c r="Q164" s="9" cm="1">
        <f t="array" ref="Q164">_xlfn.IFS($B164 = "At-Risk Churner", $B$8, $B164="Dormant",$B$9, $B164="Deal Hunter", $B$10, $B164="New Customer", $B$11, $B164="Occasional Buyer", $B$12, $B164 = "Loyal High-Value",$B$13)</f>
        <v>0.6</v>
      </c>
      <c r="R164" s="5">
        <v>5</v>
      </c>
      <c r="S164" s="5">
        <v>-8</v>
      </c>
      <c r="T164" s="5">
        <v>15</v>
      </c>
      <c r="U164" s="5">
        <f t="shared" si="7"/>
        <v>15</v>
      </c>
      <c r="V164" s="5">
        <f t="shared" si="8"/>
        <v>2.4771492185201947</v>
      </c>
      <c r="W164" s="43">
        <f t="shared" si="9"/>
        <v>94.069649218520198</v>
      </c>
      <c r="X164" s="5" t="str" cm="1">
        <f t="array" ref="X164">_xlfn.IFS($W164 &lt;= 30, "Low", $W164 &lt;=50, "Medium", $W164 &lt;= 70, "High", $W164 &gt; 70, "Critical")</f>
        <v>Critical</v>
      </c>
      <c r="Y164" s="9">
        <f t="shared" si="10"/>
        <v>0.59277283869078978</v>
      </c>
      <c r="Z164" s="22">
        <f t="shared" si="11"/>
        <v>82.863715120585496</v>
      </c>
    </row>
    <row r="165" spans="1:26">
      <c r="A165" s="24" t="str">
        <v>CUST-4060</v>
      </c>
      <c r="B165" s="24" t="str">
        <v>At-Risk Churner</v>
      </c>
      <c r="C165" s="24" t="str">
        <v>Referral</v>
      </c>
      <c r="D165" s="24" t="str">
        <v>Canada</v>
      </c>
      <c r="E165" s="24" t="str">
        <v>35-44</v>
      </c>
      <c r="F165" s="24" t="str">
        <v>Medium</v>
      </c>
      <c r="G165" s="24">
        <v>2</v>
      </c>
      <c r="H165" s="24">
        <v>307</v>
      </c>
      <c r="I165" s="23">
        <v>353.11</v>
      </c>
      <c r="J165" s="24" cm="1">
        <f t="array" ref="J165">SUMPRODUCT(
    (Transactions_and_Customer_Information_Joined[Customer ID]='V1-Based Churn Model (Step 3)'!$A165) *
    (IFERROR(_xlfn.XLOOKUP(Transactions_and_Customer_Information_Joined[SKU], 'V1 Pricing Model (Step 2)'!$A$22:$A$71, 'V1 Pricing Model (Step 2)'!$AL$22:$AL$71), "Exclude")&lt;&gt;"Exclude") *
    Transactions_and_Customer_Information_Joined[Gross Revenue])</f>
        <v>220.26999999999998</v>
      </c>
      <c r="K165" s="24">
        <f>SUMIF(Transactions_and_Customer_Information_Joined[Customer ID], 'V1-Based Churn Model (Step 3)'!$A165, Transactions_and_Customer_Information_Joined[Gross Revenue])</f>
        <v>220.26999999999998</v>
      </c>
      <c r="L165" s="3">
        <f t="shared" si="6"/>
        <v>1</v>
      </c>
      <c r="M165" s="21">
        <v>0.25581555939754186</v>
      </c>
      <c r="N165" s="21" cm="1">
        <f t="array" ref="N165">SUMPRODUCT(
    (Transactions_and_Customer_Information_Joined[Customer ID]=$A165)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2</v>
      </c>
      <c r="O165" s="21" cm="1">
        <f t="array" ref="O165">IFERROR(
    SUMPRODUCT(
        (Transactions_and_Customer_Information_Joined[Customer ID]=$A165)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$J165,
0)</f>
        <v>0.20191693392674506</v>
      </c>
      <c r="P165" s="5" cm="1">
        <f t="array" ref="P165">_xlfn.IFS(B165="At-Risk Churner",$B$2,$B165="Dormant",$B$3,$B165="Deal Hunter",$B$4,$B165="New Customer",$B$5,$B165="Occasional Buyer",$B$6,$B165="Loyal High-Value",$B$7)</f>
        <v>70</v>
      </c>
      <c r="Q165" s="9" cm="1">
        <f t="array" ref="Q165">_xlfn.IFS($B165 = "At-Risk Churner", $B$8, $B165="Dormant",$B$9, $B165="Deal Hunter", $B$10, $B165="New Customer", $B$11, $B165="Occasional Buyer", $B$12, $B165 = "Loyal High-Value",$B$13)</f>
        <v>0.45</v>
      </c>
      <c r="R165" s="5">
        <v>5</v>
      </c>
      <c r="S165" s="5">
        <v>10</v>
      </c>
      <c r="T165" s="5">
        <v>15</v>
      </c>
      <c r="U165" s="5">
        <f t="shared" si="7"/>
        <v>15</v>
      </c>
      <c r="V165" s="5">
        <f t="shared" si="8"/>
        <v>9.1546498664857374</v>
      </c>
      <c r="W165" s="43">
        <f t="shared" si="9"/>
        <v>100</v>
      </c>
      <c r="X165" s="5" t="str" cm="1">
        <f t="array" ref="X165">_xlfn.IFS($W165 &lt;= 30, "Low", $W165 &lt;=50, "Medium", $W165 &lt;= 70, "High", $W165 &gt; 70, "Critical")</f>
        <v>Critical</v>
      </c>
      <c r="Y165" s="9">
        <f t="shared" si="10"/>
        <v>0.44698821708407188</v>
      </c>
      <c r="Z165" s="22">
        <f t="shared" si="11"/>
        <v>157.83600933455662</v>
      </c>
    </row>
    <row r="166" spans="1:26">
      <c r="A166" s="24" t="str">
        <v>CUST-1803</v>
      </c>
      <c r="B166" s="24" t="str">
        <v>Occasional Buyer</v>
      </c>
      <c r="C166" s="24" t="str">
        <v>Influencer</v>
      </c>
      <c r="D166" s="24" t="str">
        <v>Northeast</v>
      </c>
      <c r="E166" s="24" t="str">
        <v>25-34</v>
      </c>
      <c r="F166" s="24" t="str">
        <v>Medium</v>
      </c>
      <c r="G166" s="24">
        <v>2</v>
      </c>
      <c r="H166" s="24">
        <v>98</v>
      </c>
      <c r="I166" s="23">
        <v>552.4</v>
      </c>
      <c r="J166" s="24" cm="1">
        <f t="array" ref="J166">SUMPRODUCT(
    (Transactions_and_Customer_Information_Joined[Customer ID]='V1-Based Churn Model (Step 3)'!$A166) *
    (IFERROR(_xlfn.XLOOKUP(Transactions_and_Customer_Information_Joined[SKU], 'V1 Pricing Model (Step 2)'!$A$22:$A$71, 'V1 Pricing Model (Step 2)'!$AL$22:$AL$71), "Exclude")&lt;&gt;"Exclude") *
    Transactions_and_Customer_Information_Joined[Gross Revenue])</f>
        <v>1315.68</v>
      </c>
      <c r="K166" s="24">
        <f>SUMIF(Transactions_and_Customer_Information_Joined[Customer ID], 'V1-Based Churn Model (Step 3)'!$A166, Transactions_and_Customer_Information_Joined[Gross Revenue])</f>
        <v>1315.68</v>
      </c>
      <c r="L166" s="3">
        <f t="shared" si="6"/>
        <v>1</v>
      </c>
      <c r="M166" s="21">
        <v>0.26791845407776477</v>
      </c>
      <c r="N166" s="21" cm="1">
        <f t="array" ref="N166">SUMPRODUCT(
    (Transactions_and_Customer_Information_Joined[Customer ID]=$A166)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66" s="21" cm="1">
        <f t="array" ref="O166">IFERROR(
    SUMPRODUCT(
        (Transactions_and_Customer_Information_Joined[Customer ID]=$A166)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$J166,
0)</f>
        <v>0.18762111368196624</v>
      </c>
      <c r="P166" s="5" cm="1">
        <f t="array" ref="P166">_xlfn.IFS(B166="At-Risk Churner",$B$2,$B166="Dormant",$B$3,$B166="Deal Hunter",$B$4,$B166="New Customer",$B$5,$B166="Occasional Buyer",$B$6,$B166="Loyal High-Value",$B$7)</f>
        <v>25</v>
      </c>
      <c r="Q166" s="9" cm="1">
        <f t="array" ref="Q166">_xlfn.IFS($B166 = "At-Risk Churner", $B$8, $B166="Dormant",$B$9, $B166="Deal Hunter", $B$10, $B166="New Customer", $B$11, $B166="Occasional Buyer", $B$12, $B166 = "Loyal High-Value",$B$13)</f>
        <v>0.18</v>
      </c>
      <c r="R166" s="5">
        <v>5</v>
      </c>
      <c r="S166" s="5">
        <v>10</v>
      </c>
      <c r="T166" s="5">
        <v>0</v>
      </c>
      <c r="U166" s="5">
        <f t="shared" si="7"/>
        <v>15</v>
      </c>
      <c r="V166" s="5">
        <f t="shared" si="8"/>
        <v>9.1107913551946211</v>
      </c>
      <c r="W166" s="43">
        <f t="shared" si="9"/>
        <v>64.473291355194618</v>
      </c>
      <c r="X166" s="5" t="str" cm="1">
        <f t="array" ref="X166">_xlfn.IFS($W166 &lt;= 30, "Low", $W166 &lt;=50, "Medium", $W166 &lt;= 70, "High", $W166 &gt; 70, "Critical")</f>
        <v>High</v>
      </c>
      <c r="Y166" s="9">
        <f t="shared" si="10"/>
        <v>0.1457256680959074</v>
      </c>
      <c r="Z166" s="22">
        <f t="shared" si="11"/>
        <v>174.87908724494338</v>
      </c>
    </row>
    <row r="167" spans="1:26">
      <c r="A167" s="24" t="str">
        <v>CUST-3980</v>
      </c>
      <c r="B167" s="24" t="str">
        <v>At-Risk Churner</v>
      </c>
      <c r="C167" s="24" t="str">
        <v>Influencer</v>
      </c>
      <c r="D167" s="24" t="str">
        <v>West</v>
      </c>
      <c r="E167" s="24" t="str">
        <v>45-54</v>
      </c>
      <c r="F167" s="24" t="str">
        <v>Medium</v>
      </c>
      <c r="G167" s="24">
        <v>5</v>
      </c>
      <c r="H167" s="24">
        <v>331</v>
      </c>
      <c r="I167" s="23">
        <v>264.3</v>
      </c>
      <c r="J167" s="24" cm="1">
        <f t="array" ref="J167">SUMPRODUCT(
    (Transactions_and_Customer_Information_Joined[Customer ID]='V1-Based Churn Model (Step 3)'!$A167)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167" s="24">
        <f>SUMIF(Transactions_and_Customer_Information_Joined[Customer ID], 'V1-Based Churn Model (Step 3)'!$A167, Transactions_and_Customer_Information_Joined[Gross Revenue])</f>
        <v>65.430000000000007</v>
      </c>
      <c r="L167" s="3">
        <f t="shared" ref="L167:L230" si="12">IFERROR($J167/$K167, 0)</f>
        <v>0</v>
      </c>
      <c r="M167" s="21">
        <v>0</v>
      </c>
      <c r="N167" s="21" cm="1">
        <f t="array" ref="N167">SUMPRODUCT(
    (Transactions_and_Customer_Information_Joined[Customer ID]=$A167)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167" s="21" cm="1">
        <f t="array" ref="O167">IFERROR(
    SUMPRODUCT(
        (Transactions_and_Customer_Information_Joined[Customer ID]=$A167)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$J167,
0)</f>
        <v>0</v>
      </c>
      <c r="P167" s="5" cm="1">
        <f t="array" ref="P167">_xlfn.IFS(B167="At-Risk Churner",$B$2,$B167="Dormant",$B$3,$B167="Deal Hunter",$B$4,$B167="New Customer",$B$5,$B167="Occasional Buyer",$B$6,$B167="Loyal High-Value",$B$7)</f>
        <v>70</v>
      </c>
      <c r="Q167" s="9" cm="1">
        <f t="array" ref="Q167">_xlfn.IFS($B167 = "At-Risk Churner", $B$8, $B167="Dormant",$B$9, $B167="Deal Hunter", $B$10, $B167="New Customer", $B$11, $B167="Occasional Buyer", $B$12, $B167 = "Loyal High-Value",$B$13)</f>
        <v>0.45</v>
      </c>
      <c r="R167" s="5">
        <v>5</v>
      </c>
      <c r="S167" s="5">
        <v>0</v>
      </c>
      <c r="T167" s="5">
        <v>15</v>
      </c>
      <c r="U167" s="5">
        <f t="shared" si="7"/>
        <v>0</v>
      </c>
      <c r="V167" s="5">
        <f t="shared" si="8"/>
        <v>0</v>
      </c>
      <c r="W167" s="43">
        <f t="shared" si="9"/>
        <v>90</v>
      </c>
      <c r="X167" s="5" t="str" cm="1">
        <f t="array" ref="X167">_xlfn.IFS($W167 &lt;= 30, "Low", $W167 &lt;=50, "Medium", $W167 &lt;= 70, "High", $W167 &gt; 70, "Critical")</f>
        <v>Critical</v>
      </c>
      <c r="Y167" s="9">
        <f t="shared" si="10"/>
        <v>0.44190620551705884</v>
      </c>
      <c r="Z167" s="22">
        <f t="shared" si="11"/>
        <v>116.79581011815866</v>
      </c>
    </row>
    <row r="168" spans="1:26">
      <c r="A168" s="24" t="str">
        <v>CUST-4413</v>
      </c>
      <c r="B168" s="24" t="str">
        <v>Loyal High-Value</v>
      </c>
      <c r="C168" s="24" t="str">
        <v>Direct</v>
      </c>
      <c r="D168" s="24" t="str">
        <v>Canada</v>
      </c>
      <c r="E168" s="24" t="str">
        <v>45-54</v>
      </c>
      <c r="F168" s="24" t="str">
        <v>Medium</v>
      </c>
      <c r="G168" s="24">
        <v>8</v>
      </c>
      <c r="H168" s="24">
        <v>208</v>
      </c>
      <c r="I168" s="23">
        <v>895.34</v>
      </c>
      <c r="J168" s="24" cm="1">
        <f t="array" ref="J168">SUMPRODUCT(
    (Transactions_and_Customer_Information_Joined[Customer ID]='V1-Based Churn Model (Step 3)'!$A168) *
    (IFERROR(_xlfn.XLOOKUP(Transactions_and_Customer_Information_Joined[SKU], 'V1 Pricing Model (Step 2)'!$A$22:$A$71, 'V1 Pricing Model (Step 2)'!$AL$22:$AL$71), "Exclude")&lt;&gt;"Exclude") *
    Transactions_and_Customer_Information_Joined[Gross Revenue])</f>
        <v>197.02</v>
      </c>
      <c r="K168" s="24">
        <f>SUMIF(Transactions_and_Customer_Information_Joined[Customer ID], 'V1-Based Churn Model (Step 3)'!$A168, Transactions_and_Customer_Information_Joined[Gross Revenue])</f>
        <v>197.02</v>
      </c>
      <c r="L168" s="3">
        <f t="shared" si="12"/>
        <v>1</v>
      </c>
      <c r="M168" s="21">
        <v>0.17380489413507264</v>
      </c>
      <c r="N168" s="21" cm="1">
        <f t="array" ref="N168">SUMPRODUCT(
    (Transactions_and_Customer_Information_Joined[Customer ID]=$A168)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68" s="21" cm="1">
        <f t="array" ref="O168">IFERROR(
    SUMPRODUCT(
        (Transactions_and_Customer_Information_Joined[Customer ID]=$A168)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$J168,
0)</f>
        <v>0.17380489413507264</v>
      </c>
      <c r="P168" s="5" cm="1">
        <f t="array" ref="P168">_xlfn.IFS(B168="At-Risk Churner",$B$2,$B168="Dormant",$B$3,$B168="Deal Hunter",$B$4,$B168="New Customer",$B$5,$B168="Occasional Buyer",$B$6,$B168="Loyal High-Value",$B$7)</f>
        <v>15</v>
      </c>
      <c r="Q168" s="9" cm="1">
        <f t="array" ref="Q168">_xlfn.IFS($B168 = "At-Risk Churner", $B$8, $B168="Dormant",$B$9, $B168="Deal Hunter", $B$10, $B168="New Customer", $B$11, $B168="Occasional Buyer", $B$12, $B168 = "Loyal High-Value",$B$13)</f>
        <v>0.05</v>
      </c>
      <c r="R168" s="5">
        <v>5</v>
      </c>
      <c r="S168" s="5">
        <v>-8</v>
      </c>
      <c r="T168" s="5">
        <v>8</v>
      </c>
      <c r="U168" s="5">
        <f t="shared" ref="U168:U231" si="13">MIN(
    $L168 * $B$26 * (1 + $B$28 * LN(MAX($N168, 1))),
    $B$27
)</f>
        <v>15</v>
      </c>
      <c r="V168" s="5">
        <f t="shared" ref="V168:V231" si="14">MIN(
    $B$29 * ABS($O168) + $B$30 * ABS($M168),
    $B$31
)</f>
        <v>6.9521957654029052</v>
      </c>
      <c r="W168" s="43">
        <f t="shared" ref="W168:W231" si="15">MIN(MAX(
    $P168 + $R168 + $S168 + $T168 + $U168 + $V168
    + $B$32 * ($R168 * $U168) / 100
    + $B$33 * ($P168 * $S168) / 100,
0), 100)</f>
        <v>41.944695765402905</v>
      </c>
      <c r="X168" s="5" t="str" cm="1">
        <f t="array" ref="X168">_xlfn.IFS($W168 &lt;= 30, "Low", $W168 &lt;=50, "Medium", $W168 &lt;= 70, "High", $W168 &gt; 70, "Critical")</f>
        <v>Medium</v>
      </c>
      <c r="Y168" s="9">
        <f t="shared" ref="Y168:Y231" si="16">$Q168 * (1 / (1 + EXP(-($W168 - 50) / $B$34)))</f>
        <v>1.544218761455109E-2</v>
      </c>
      <c r="Z168" s="22">
        <f t="shared" ref="Z168:Z231" si="17">_xlfn.LET(
    _xlpm.full_churn, $Y168 * $I168,
    _xlpm.partial_rate, IF(OR($X168="Medium", $X168="High"), (1 - $Y168) * 0.5 * $B$35, 0),
    _xlpm.partial_churn, _xlpm.partial_rate * $I168,
    _xlpm.full_churn + _xlpm.partial_churn
)</f>
        <v>190.12880660704977</v>
      </c>
    </row>
    <row r="169" spans="1:26">
      <c r="A169" s="24" t="str">
        <v>CUST-1764</v>
      </c>
      <c r="B169" s="24" t="str">
        <v>Dormant</v>
      </c>
      <c r="C169" s="24" t="str">
        <v>Direct</v>
      </c>
      <c r="D169" s="24" t="str">
        <v>Canada</v>
      </c>
      <c r="E169" s="24" t="str">
        <v>25-34</v>
      </c>
      <c r="F169" s="24" t="str">
        <v>Medium</v>
      </c>
      <c r="G169" s="24">
        <v>7</v>
      </c>
      <c r="H169" s="24">
        <v>172</v>
      </c>
      <c r="I169" s="23">
        <v>177.7</v>
      </c>
      <c r="J169" s="24" cm="1">
        <f t="array" ref="J169">SUMPRODUCT(
    (Transactions_and_Customer_Information_Joined[Customer ID]='V1-Based Churn Model (Step 3)'!$A169) *
    (IFERROR(_xlfn.XLOOKUP(Transactions_and_Customer_Information_Joined[SKU], 'V1 Pricing Model (Step 2)'!$A$22:$A$71, 'V1 Pricing Model (Step 2)'!$AL$22:$AL$71), "Exclude")&lt;&gt;"Exclude") *
    Transactions_and_Customer_Information_Joined[Gross Revenue])</f>
        <v>414.24</v>
      </c>
      <c r="K169" s="24">
        <f>SUMIF(Transactions_and_Customer_Information_Joined[Customer ID], 'V1-Based Churn Model (Step 3)'!$A169, Transactions_and_Customer_Information_Joined[Gross Revenue])</f>
        <v>414.24</v>
      </c>
      <c r="L169" s="3">
        <f t="shared" si="12"/>
        <v>1</v>
      </c>
      <c r="M169" s="21">
        <v>1.0827913756041518E-3</v>
      </c>
      <c r="N169" s="21" cm="1">
        <f t="array" ref="N169">SUMPRODUCT(
    (Transactions_and_Customer_Information_Joined[Customer ID]=$A169)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69" s="21" cm="1">
        <f t="array" ref="O169">IFERROR(
    SUMPRODUCT(
        (Transactions_and_Customer_Information_Joined[Customer ID]=$A169)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$J169,
0)</f>
        <v>1.0827913756041518E-3</v>
      </c>
      <c r="P169" s="5" cm="1">
        <f t="array" ref="P169">_xlfn.IFS(B169="At-Risk Churner",$B$2,$B169="Dormant",$B$3,$B169="Deal Hunter",$B$4,$B169="New Customer",$B$5,$B169="Occasional Buyer",$B$6,$B169="Loyal High-Value",$B$7)</f>
        <v>65</v>
      </c>
      <c r="Q169" s="9" cm="1">
        <f t="array" ref="Q169">_xlfn.IFS($B169 = "At-Risk Churner", $B$8, $B169="Dormant",$B$9, $B169="Deal Hunter", $B$10, $B169="New Customer", $B$11, $B169="Occasional Buyer", $B$12, $B169 = "Loyal High-Value",$B$13)</f>
        <v>0.6</v>
      </c>
      <c r="R169" s="5">
        <v>5</v>
      </c>
      <c r="S169" s="5">
        <v>-8</v>
      </c>
      <c r="T169" s="5">
        <v>0</v>
      </c>
      <c r="U169" s="5">
        <f t="shared" si="13"/>
        <v>15</v>
      </c>
      <c r="V169" s="5">
        <f t="shared" si="14"/>
        <v>4.3311655024166069E-2</v>
      </c>
      <c r="W169" s="43">
        <f t="shared" si="15"/>
        <v>76.63581165502417</v>
      </c>
      <c r="X169" s="5" t="str" cm="1">
        <f t="array" ref="X169">_xlfn.IFS($W169 &lt;= 30, "Low", $W169 &lt;=50, "Medium", $W169 &lt;= 70, "High", $W169 &gt; 70, "Critical")</f>
        <v>Critical</v>
      </c>
      <c r="Y169" s="9">
        <f t="shared" si="16"/>
        <v>0.56090588431040522</v>
      </c>
      <c r="Z169" s="22">
        <f t="shared" si="17"/>
        <v>99.672975641958999</v>
      </c>
    </row>
    <row r="170" spans="1:26">
      <c r="A170" s="24" t="str">
        <v>CUST-1683</v>
      </c>
      <c r="B170" s="24" t="str">
        <v>At-Risk Churner</v>
      </c>
      <c r="C170" s="24" t="str">
        <v>Paid Social</v>
      </c>
      <c r="D170" s="24" t="str">
        <v>UK</v>
      </c>
      <c r="E170" s="24" t="str">
        <v>25-34</v>
      </c>
      <c r="F170" s="24" t="str">
        <v>High</v>
      </c>
      <c r="G170" s="24">
        <v>5</v>
      </c>
      <c r="H170" s="24">
        <v>244</v>
      </c>
      <c r="I170" s="23">
        <v>165.36</v>
      </c>
      <c r="J170" s="24" cm="1">
        <f t="array" ref="J170">SUMPRODUCT(
    (Transactions_and_Customer_Information_Joined[Customer ID]='V1-Based Churn Model (Step 3)'!$A170) *
    (IFERROR(_xlfn.XLOOKUP(Transactions_and_Customer_Information_Joined[SKU], 'V1 Pricing Model (Step 2)'!$A$22:$A$71, 'V1 Pricing Model (Step 2)'!$AL$22:$AL$71), "Exclude")&lt;&gt;"Exclude") *
    Transactions_and_Customer_Information_Joined[Gross Revenue])</f>
        <v>53.95</v>
      </c>
      <c r="K170" s="24">
        <f>SUMIF(Transactions_and_Customer_Information_Joined[Customer ID], 'V1-Based Churn Model (Step 3)'!$A170, Transactions_and_Customer_Information_Joined[Gross Revenue])</f>
        <v>53.95</v>
      </c>
      <c r="L170" s="3">
        <f t="shared" si="12"/>
        <v>1</v>
      </c>
      <c r="M170" s="21">
        <v>-6.3633334648082567E-3</v>
      </c>
      <c r="N170" s="21" cm="1">
        <f t="array" ref="N170">SUMPRODUCT(
    (Transactions_and_Customer_Information_Joined[Customer ID]=$A170)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70" s="21" cm="1">
        <f t="array" ref="O170">IFERROR(
    SUMPRODUCT(
        (Transactions_and_Customer_Information_Joined[Customer ID]=$A170)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$J170,
0)</f>
        <v>-6.3633334648082575E-3</v>
      </c>
      <c r="P170" s="5" cm="1">
        <f t="array" ref="P170">_xlfn.IFS(B170="At-Risk Churner",$B$2,$B170="Dormant",$B$3,$B170="Deal Hunter",$B$4,$B170="New Customer",$B$5,$B170="Occasional Buyer",$B$6,$B170="Loyal High-Value",$B$7)</f>
        <v>70</v>
      </c>
      <c r="Q170" s="9" cm="1">
        <f t="array" ref="Q170">_xlfn.IFS($B170 = "At-Risk Churner", $B$8, $B170="Dormant",$B$9, $B170="Deal Hunter", $B$10, $B170="New Customer", $B$11, $B170="Occasional Buyer", $B$12, $B170 = "Loyal High-Value",$B$13)</f>
        <v>0.45</v>
      </c>
      <c r="R170" s="5">
        <v>15</v>
      </c>
      <c r="S170" s="5">
        <v>0</v>
      </c>
      <c r="T170" s="5">
        <v>8</v>
      </c>
      <c r="U170" s="5">
        <f t="shared" si="13"/>
        <v>15</v>
      </c>
      <c r="V170" s="5">
        <f t="shared" si="14"/>
        <v>0.25453333859233029</v>
      </c>
      <c r="W170" s="43">
        <f t="shared" si="15"/>
        <v>100</v>
      </c>
      <c r="X170" s="5" t="str" cm="1">
        <f t="array" ref="X170">_xlfn.IFS($W170 &lt;= 30, "Low", $W170 &lt;=50, "Medium", $W170 &lt;= 70, "High", $W170 &gt; 70, "Critical")</f>
        <v>Critical</v>
      </c>
      <c r="Y170" s="9">
        <f t="shared" si="16"/>
        <v>0.44698821708407188</v>
      </c>
      <c r="Z170" s="22">
        <f t="shared" si="17"/>
        <v>73.913971577022139</v>
      </c>
    </row>
    <row r="171" spans="1:26">
      <c r="A171" s="24" t="str">
        <v>CUST-3057</v>
      </c>
      <c r="B171" s="24" t="str">
        <v>Loyal High-Value</v>
      </c>
      <c r="C171" s="24" t="str">
        <v>Direct</v>
      </c>
      <c r="D171" s="24" t="str">
        <v>West</v>
      </c>
      <c r="E171" s="24" t="str">
        <v>25-34</v>
      </c>
      <c r="F171" s="24" t="str">
        <v>High</v>
      </c>
      <c r="G171" s="24">
        <v>3</v>
      </c>
      <c r="H171" s="24">
        <v>152</v>
      </c>
      <c r="I171" s="23">
        <v>897.09</v>
      </c>
      <c r="J171" s="24" cm="1">
        <f t="array" ref="J171">SUMPRODUCT(
    (Transactions_and_Customer_Information_Joined[Customer ID]='V1-Based Churn Model (Step 3)'!$A171) *
    (IFERROR(_xlfn.XLOOKUP(Transactions_and_Customer_Information_Joined[SKU], 'V1 Pricing Model (Step 2)'!$A$22:$A$71, 'V1 Pricing Model (Step 2)'!$AL$22:$AL$71), "Exclude")&lt;&gt;"Exclude") *
    Transactions_and_Customer_Information_Joined[Gross Revenue])</f>
        <v>785.12</v>
      </c>
      <c r="K171" s="24">
        <f>SUMIF(Transactions_and_Customer_Information_Joined[Customer ID], 'V1-Based Churn Model (Step 3)'!$A171, Transactions_and_Customer_Information_Joined[Gross Revenue])</f>
        <v>785.12</v>
      </c>
      <c r="L171" s="3">
        <f t="shared" si="12"/>
        <v>1</v>
      </c>
      <c r="M171" s="21">
        <v>0.16615780750618397</v>
      </c>
      <c r="N171" s="21" cm="1">
        <f t="array" ref="N171">SUMPRODUCT(
    (Transactions_and_Customer_Information_Joined[Customer ID]=$A171)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71" s="21" cm="1">
        <f t="array" ref="O171">IFERROR(
    SUMPRODUCT(
        (Transactions_and_Customer_Information_Joined[Customer ID]=$A171)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$J171,
0)</f>
        <v>0.16615780750618397</v>
      </c>
      <c r="P171" s="5" cm="1">
        <f t="array" ref="P171">_xlfn.IFS(B171="At-Risk Churner",$B$2,$B171="Dormant",$B$3,$B171="Deal Hunter",$B$4,$B171="New Customer",$B$5,$B171="Occasional Buyer",$B$6,$B171="Loyal High-Value",$B$7)</f>
        <v>15</v>
      </c>
      <c r="Q171" s="9" cm="1">
        <f t="array" ref="Q171">_xlfn.IFS($B171 = "At-Risk Churner", $B$8, $B171="Dormant",$B$9, $B171="Deal Hunter", $B$10, $B171="New Customer", $B$11, $B171="Occasional Buyer", $B$12, $B171 = "Loyal High-Value",$B$13)</f>
        <v>0.05</v>
      </c>
      <c r="R171" s="5">
        <v>15</v>
      </c>
      <c r="S171" s="5">
        <v>10</v>
      </c>
      <c r="T171" s="5">
        <v>0</v>
      </c>
      <c r="U171" s="5">
        <f t="shared" si="13"/>
        <v>15</v>
      </c>
      <c r="V171" s="5">
        <f t="shared" si="14"/>
        <v>6.6463123002473594</v>
      </c>
      <c r="W171" s="43">
        <f t="shared" si="15"/>
        <v>62.133812300247357</v>
      </c>
      <c r="X171" s="5" t="str" cm="1">
        <f t="array" ref="X171">_xlfn.IFS($W171 &lt;= 30, "Low", $W171 &lt;=50, "Medium", $W171 &lt;= 70, "High", $W171 &gt; 70, "Critical")</f>
        <v>High</v>
      </c>
      <c r="Y171" s="9">
        <f t="shared" si="16"/>
        <v>3.8544833594370422E-2</v>
      </c>
      <c r="Z171" s="22">
        <f t="shared" si="17"/>
        <v>207.08054781533903</v>
      </c>
    </row>
    <row r="172" spans="1:26">
      <c r="A172" s="24" t="str">
        <v>CUST-4885</v>
      </c>
      <c r="B172" s="24" t="str">
        <v>Dormant</v>
      </c>
      <c r="C172" s="24" t="str">
        <v>Organic Search</v>
      </c>
      <c r="D172" s="24" t="str">
        <v>Southwest</v>
      </c>
      <c r="E172" s="24" t="str">
        <v>45-54</v>
      </c>
      <c r="F172" s="24" t="str">
        <v>Low</v>
      </c>
      <c r="G172" s="24">
        <v>3</v>
      </c>
      <c r="H172" s="24">
        <v>87</v>
      </c>
      <c r="I172" s="23">
        <v>112.29</v>
      </c>
      <c r="J172" s="24" cm="1">
        <f t="array" ref="J172">SUMPRODUCT(
    (Transactions_and_Customer_Information_Joined[Customer ID]='V1-Based Churn Model (Step 3)'!$A172) *
    (IFERROR(_xlfn.XLOOKUP(Transactions_and_Customer_Information_Joined[SKU], 'V1 Pricing Model (Step 2)'!$A$22:$A$71, 'V1 Pricing Model (Step 2)'!$AL$22:$AL$71), "Exclude")&lt;&gt;"Exclude") *
    Transactions_and_Customer_Information_Joined[Gross Revenue])</f>
        <v>348.46</v>
      </c>
      <c r="K172" s="24">
        <f>SUMIF(Transactions_and_Customer_Information_Joined[Customer ID], 'V1-Based Churn Model (Step 3)'!$A172, Transactions_and_Customer_Information_Joined[Gross Revenue])</f>
        <v>348.46</v>
      </c>
      <c r="L172" s="3">
        <f t="shared" si="12"/>
        <v>1</v>
      </c>
      <c r="M172" s="21">
        <v>5.8348079685156623E-2</v>
      </c>
      <c r="N172" s="21" cm="1">
        <f t="array" ref="N172">SUMPRODUCT(
    (Transactions_and_Customer_Information_Joined[Customer ID]=$A172)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72" s="21" cm="1">
        <f t="array" ref="O172">IFERROR(
    SUMPRODUCT(
        (Transactions_and_Customer_Information_Joined[Customer ID]=$A172)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$J172,
0)</f>
        <v>5.8348079685156623E-2</v>
      </c>
      <c r="P172" s="5" cm="1">
        <f t="array" ref="P172">_xlfn.IFS(B172="At-Risk Churner",$B$2,$B172="Dormant",$B$3,$B172="Deal Hunter",$B$4,$B172="New Customer",$B$5,$B172="Occasional Buyer",$B$6,$B172="Loyal High-Value",$B$7)</f>
        <v>65</v>
      </c>
      <c r="Q172" s="9" cm="1">
        <f t="array" ref="Q172">_xlfn.IFS($B172 = "At-Risk Churner", $B$8, $B172="Dormant",$B$9, $B172="Deal Hunter", $B$10, $B172="New Customer", $B$11, $B172="Occasional Buyer", $B$12, $B172 = "Loyal High-Value",$B$13)</f>
        <v>0.6</v>
      </c>
      <c r="R172" s="5">
        <v>-5</v>
      </c>
      <c r="S172" s="5">
        <v>10</v>
      </c>
      <c r="T172" s="5">
        <v>0</v>
      </c>
      <c r="U172" s="5">
        <f t="shared" si="13"/>
        <v>15</v>
      </c>
      <c r="V172" s="5">
        <f t="shared" si="14"/>
        <v>2.3339231874062651</v>
      </c>
      <c r="W172" s="43">
        <f t="shared" si="15"/>
        <v>87.871423187406279</v>
      </c>
      <c r="X172" s="5" t="str" cm="1">
        <f t="array" ref="X172">_xlfn.IFS($W172 &lt;= 30, "Low", $W172 &lt;=50, "Medium", $W172 &lt;= 70, "High", $W172 &gt; 70, "Critical")</f>
        <v>Critical</v>
      </c>
      <c r="Y172" s="9">
        <f t="shared" si="16"/>
        <v>0.58670510667176623</v>
      </c>
      <c r="Z172" s="22">
        <f t="shared" si="17"/>
        <v>65.881116428172632</v>
      </c>
    </row>
    <row r="173" spans="1:26">
      <c r="A173" s="24" t="str">
        <v>CUST-4568</v>
      </c>
      <c r="B173" s="24" t="str">
        <v>At-Risk Churner</v>
      </c>
      <c r="C173" s="24" t="str">
        <v>Organic Search</v>
      </c>
      <c r="D173" s="24" t="str">
        <v>Midwest</v>
      </c>
      <c r="E173" s="24" t="str">
        <v>25-34</v>
      </c>
      <c r="F173" s="24" t="str">
        <v>Low</v>
      </c>
      <c r="G173" s="24">
        <v>10</v>
      </c>
      <c r="H173" s="24">
        <v>171</v>
      </c>
      <c r="I173" s="23">
        <v>82.12</v>
      </c>
      <c r="J173" s="24" cm="1">
        <f t="array" ref="J173">SUMPRODUCT(
    (Transactions_and_Customer_Information_Joined[Customer ID]='V1-Based Churn Model (Step 3)'!$A173)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173" s="24">
        <f>SUMIF(Transactions_and_Customer_Information_Joined[Customer ID], 'V1-Based Churn Model (Step 3)'!$A173, Transactions_and_Customer_Information_Joined[Gross Revenue])</f>
        <v>130.86000000000001</v>
      </c>
      <c r="L173" s="3">
        <f t="shared" si="12"/>
        <v>0</v>
      </c>
      <c r="M173" s="21">
        <v>0</v>
      </c>
      <c r="N173" s="21" cm="1">
        <f t="array" ref="N173">SUMPRODUCT(
    (Transactions_and_Customer_Information_Joined[Customer ID]=$A173)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173" s="21" cm="1">
        <f t="array" ref="O173">IFERROR(
    SUMPRODUCT(
        (Transactions_and_Customer_Information_Joined[Customer ID]=$A173)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$J173,
0)</f>
        <v>0</v>
      </c>
      <c r="P173" s="5" cm="1">
        <f t="array" ref="P173">_xlfn.IFS(B173="At-Risk Churner",$B$2,$B173="Dormant",$B$3,$B173="Deal Hunter",$B$4,$B173="New Customer",$B$5,$B173="Occasional Buyer",$B$6,$B173="Loyal High-Value",$B$7)</f>
        <v>70</v>
      </c>
      <c r="Q173" s="9" cm="1">
        <f t="array" ref="Q173">_xlfn.IFS($B173 = "At-Risk Churner", $B$8, $B173="Dormant",$B$9, $B173="Deal Hunter", $B$10, $B173="New Customer", $B$11, $B173="Occasional Buyer", $B$12, $B173 = "Loyal High-Value",$B$13)</f>
        <v>0.45</v>
      </c>
      <c r="R173" s="5">
        <v>-5</v>
      </c>
      <c r="S173" s="5">
        <v>-8</v>
      </c>
      <c r="T173" s="5">
        <v>0</v>
      </c>
      <c r="U173" s="5">
        <f t="shared" si="13"/>
        <v>0</v>
      </c>
      <c r="V173" s="5">
        <f t="shared" si="14"/>
        <v>0</v>
      </c>
      <c r="W173" s="43">
        <f t="shared" si="15"/>
        <v>56.44</v>
      </c>
      <c r="X173" s="5" t="str" cm="1">
        <f t="array" ref="X173">_xlfn.IFS($W173 &lt;= 30, "Low", $W173 &lt;=50, "Medium", $W173 &lt;= 70, "High", $W173 &gt; 70, "Critical")</f>
        <v>High</v>
      </c>
      <c r="Y173" s="9">
        <f t="shared" si="16"/>
        <v>0.29504569747431797</v>
      </c>
      <c r="Z173" s="22">
        <f t="shared" si="17"/>
        <v>35.807322141272792</v>
      </c>
    </row>
    <row r="174" spans="1:26">
      <c r="A174" s="24" t="str">
        <v>CUST-3695</v>
      </c>
      <c r="B174" s="24" t="str">
        <v>Loyal High-Value</v>
      </c>
      <c r="C174" s="24" t="str">
        <v>Referral</v>
      </c>
      <c r="D174" s="24" t="str">
        <v>West</v>
      </c>
      <c r="E174" s="24" t="str">
        <v>18-24</v>
      </c>
      <c r="F174" s="24" t="str">
        <v>Medium</v>
      </c>
      <c r="G174" s="24">
        <v>10</v>
      </c>
      <c r="H174" s="24">
        <v>195</v>
      </c>
      <c r="I174" s="23">
        <v>1987.23</v>
      </c>
      <c r="J174" s="24" cm="1">
        <f t="array" ref="J174">SUMPRODUCT(
    (Transactions_and_Customer_Information_Joined[Customer ID]='V1-Based Churn Model (Step 3)'!$A174) *
    (IFERROR(_xlfn.XLOOKUP(Transactions_and_Customer_Information_Joined[SKU], 'V1 Pricing Model (Step 2)'!$A$22:$A$71, 'V1 Pricing Model (Step 2)'!$AL$22:$AL$71), "Exclude")&lt;&gt;"Exclude") *
    Transactions_and_Customer_Information_Joined[Gross Revenue])</f>
        <v>281.64</v>
      </c>
      <c r="K174" s="24">
        <f>SUMIF(Transactions_and_Customer_Information_Joined[Customer ID], 'V1-Based Churn Model (Step 3)'!$A174, Transactions_and_Customer_Information_Joined[Gross Revenue])</f>
        <v>281.64</v>
      </c>
      <c r="L174" s="3">
        <f t="shared" si="12"/>
        <v>1</v>
      </c>
      <c r="M174" s="21">
        <v>0.10702390858761081</v>
      </c>
      <c r="N174" s="21" cm="1">
        <f t="array" ref="N174">SUMPRODUCT(
    (Transactions_and_Customer_Information_Joined[Customer ID]=$A174)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74" s="21" cm="1">
        <f t="array" ref="O174">IFERROR(
    SUMPRODUCT(
        (Transactions_and_Customer_Information_Joined[Customer ID]=$A174)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$J174,
0)</f>
        <v>0.10702390858761081</v>
      </c>
      <c r="P174" s="5" cm="1">
        <f t="array" ref="P174">_xlfn.IFS(B174="At-Risk Churner",$B$2,$B174="Dormant",$B$3,$B174="Deal Hunter",$B$4,$B174="New Customer",$B$5,$B174="Occasional Buyer",$B$6,$B174="Loyal High-Value",$B$7)</f>
        <v>15</v>
      </c>
      <c r="Q174" s="9" cm="1">
        <f t="array" ref="Q174">_xlfn.IFS($B174 = "At-Risk Churner", $B$8, $B174="Dormant",$B$9, $B174="Deal Hunter", $B$10, $B174="New Customer", $B$11, $B174="Occasional Buyer", $B$12, $B174 = "Loyal High-Value",$B$13)</f>
        <v>0.05</v>
      </c>
      <c r="R174" s="5">
        <v>5</v>
      </c>
      <c r="S174" s="5">
        <v>-8</v>
      </c>
      <c r="T174" s="5">
        <v>8</v>
      </c>
      <c r="U174" s="5">
        <f t="shared" si="13"/>
        <v>15</v>
      </c>
      <c r="V174" s="5">
        <f t="shared" si="14"/>
        <v>4.2809563435044327</v>
      </c>
      <c r="W174" s="43">
        <f t="shared" si="15"/>
        <v>39.273456343504435</v>
      </c>
      <c r="X174" s="5" t="str" cm="1">
        <f t="array" ref="X174">_xlfn.IFS($W174 &lt;= 30, "Low", $W174 &lt;=50, "Medium", $W174 &lt;= 70, "High", $W174 &gt; 70, "Critical")</f>
        <v>Medium</v>
      </c>
      <c r="Y174" s="9">
        <f t="shared" si="16"/>
        <v>1.2744931251928182E-2</v>
      </c>
      <c r="Z174" s="22">
        <f t="shared" si="17"/>
        <v>417.70768778541537</v>
      </c>
    </row>
    <row r="175" spans="1:26">
      <c r="A175" s="24" t="str">
        <v>CUST-1917</v>
      </c>
      <c r="B175" s="24" t="str">
        <v>Occasional Buyer</v>
      </c>
      <c r="C175" s="24" t="str">
        <v>Paid Social</v>
      </c>
      <c r="D175" s="24" t="str">
        <v>UK</v>
      </c>
      <c r="E175" s="24" t="str">
        <v>18-24</v>
      </c>
      <c r="F175" s="24" t="str">
        <v>High</v>
      </c>
      <c r="G175" s="24">
        <v>6</v>
      </c>
      <c r="H175" s="24">
        <v>63</v>
      </c>
      <c r="I175" s="23">
        <v>537.61</v>
      </c>
      <c r="J175" s="24" cm="1">
        <f t="array" ref="J175">SUMPRODUCT(
    (Transactions_and_Customer_Information_Joined[Customer ID]='V1-Based Churn Model (Step 3)'!$A175) *
    (IFERROR(_xlfn.XLOOKUP(Transactions_and_Customer_Information_Joined[SKU], 'V1 Pricing Model (Step 2)'!$A$22:$A$71, 'V1 Pricing Model (Step 2)'!$AL$22:$AL$71), "Exclude")&lt;&gt;"Exclude") *
    Transactions_and_Customer_Information_Joined[Gross Revenue])</f>
        <v>379.98</v>
      </c>
      <c r="K175" s="24">
        <f>SUMIF(Transactions_and_Customer_Information_Joined[Customer ID], 'V1-Based Churn Model (Step 3)'!$A175, Transactions_and_Customer_Information_Joined[Gross Revenue])</f>
        <v>379.98</v>
      </c>
      <c r="L175" s="3">
        <f t="shared" si="12"/>
        <v>1</v>
      </c>
      <c r="M175" s="21">
        <v>0.22185784964769206</v>
      </c>
      <c r="N175" s="21" cm="1">
        <f t="array" ref="N175">SUMPRODUCT(
    (Transactions_and_Customer_Information_Joined[Customer ID]=$A175)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75" s="21" cm="1">
        <f t="array" ref="O175">IFERROR(
    SUMPRODUCT(
        (Transactions_and_Customer_Information_Joined[Customer ID]=$A175)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$J175,
0)</f>
        <v>0.22185784964769206</v>
      </c>
      <c r="P175" s="5" cm="1">
        <f t="array" ref="P175">_xlfn.IFS(B175="At-Risk Churner",$B$2,$B175="Dormant",$B$3,$B175="Deal Hunter",$B$4,$B175="New Customer",$B$5,$B175="Occasional Buyer",$B$6,$B175="Loyal High-Value",$B$7)</f>
        <v>25</v>
      </c>
      <c r="Q175" s="9" cm="1">
        <f t="array" ref="Q175">_xlfn.IFS($B175 = "At-Risk Churner", $B$8, $B175="Dormant",$B$9, $B175="Deal Hunter", $B$10, $B175="New Customer", $B$11, $B175="Occasional Buyer", $B$12, $B175 = "Loyal High-Value",$B$13)</f>
        <v>0.18</v>
      </c>
      <c r="R175" s="5">
        <v>15</v>
      </c>
      <c r="S175" s="5">
        <v>0</v>
      </c>
      <c r="T175" s="5">
        <v>0</v>
      </c>
      <c r="U175" s="5">
        <f t="shared" si="13"/>
        <v>15</v>
      </c>
      <c r="V175" s="5">
        <f t="shared" si="14"/>
        <v>8.8743139859076834</v>
      </c>
      <c r="W175" s="43">
        <f t="shared" si="15"/>
        <v>64.211813985907682</v>
      </c>
      <c r="X175" s="5" t="str" cm="1">
        <f t="array" ref="X175">_xlfn.IFS($W175 &lt;= 30, "Low", $W175 &lt;=50, "Medium", $W175 &lt;= 70, "High", $W175 &gt; 70, "Critical")</f>
        <v>High</v>
      </c>
      <c r="Y175" s="9">
        <f t="shared" si="16"/>
        <v>0.14499424001338676</v>
      </c>
      <c r="Z175" s="22">
        <f t="shared" si="17"/>
        <v>169.88228269887748</v>
      </c>
    </row>
    <row r="176" spans="1:26">
      <c r="A176" s="24" t="str">
        <v>CUST-1171</v>
      </c>
      <c r="B176" s="24" t="str">
        <v>At-Risk Churner</v>
      </c>
      <c r="C176" s="24" t="str">
        <v>Organic Search</v>
      </c>
      <c r="D176" s="24" t="str">
        <v>Southeast</v>
      </c>
      <c r="E176" s="24" t="str">
        <v>45-54</v>
      </c>
      <c r="F176" s="24" t="str">
        <v>High</v>
      </c>
      <c r="G176" s="24">
        <v>3</v>
      </c>
      <c r="H176" s="24">
        <v>57</v>
      </c>
      <c r="I176" s="23">
        <v>107.91</v>
      </c>
      <c r="J176" s="24" cm="1">
        <f t="array" ref="J176">SUMPRODUCT(
    (Transactions_and_Customer_Information_Joined[Customer ID]='V1-Based Churn Model (Step 3)'!$A176) *
    (IFERROR(_xlfn.XLOOKUP(Transactions_and_Customer_Information_Joined[SKU], 'V1 Pricing Model (Step 2)'!$A$22:$A$71, 'V1 Pricing Model (Step 2)'!$AL$22:$AL$71), "Exclude")&lt;&gt;"Exclude") *
    Transactions_and_Customer_Information_Joined[Gross Revenue])</f>
        <v>113.18</v>
      </c>
      <c r="K176" s="24">
        <f>SUMIF(Transactions_and_Customer_Information_Joined[Customer ID], 'V1-Based Churn Model (Step 3)'!$A176, Transactions_and_Customer_Information_Joined[Gross Revenue])</f>
        <v>113.18</v>
      </c>
      <c r="L176" s="3">
        <f t="shared" si="12"/>
        <v>1</v>
      </c>
      <c r="M176" s="21">
        <v>7.8578478868305213E-2</v>
      </c>
      <c r="N176" s="21" cm="1">
        <f t="array" ref="N176">SUMPRODUCT(
    (Transactions_and_Customer_Information_Joined[Customer ID]=$A176)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76" s="21" cm="1">
        <f t="array" ref="O176">IFERROR(
    SUMPRODUCT(
        (Transactions_and_Customer_Information_Joined[Customer ID]=$A176)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$J176,
0)</f>
        <v>7.8578478868305213E-2</v>
      </c>
      <c r="P176" s="5" cm="1">
        <f t="array" ref="P176">_xlfn.IFS(B176="At-Risk Churner",$B$2,$B176="Dormant",$B$3,$B176="Deal Hunter",$B$4,$B176="New Customer",$B$5,$B176="Occasional Buyer",$B$6,$B176="Loyal High-Value",$B$7)</f>
        <v>70</v>
      </c>
      <c r="Q176" s="9" cm="1">
        <f t="array" ref="Q176">_xlfn.IFS($B176 = "At-Risk Churner", $B$8, $B176="Dormant",$B$9, $B176="Deal Hunter", $B$10, $B176="New Customer", $B$11, $B176="Occasional Buyer", $B$12, $B176 = "Loyal High-Value",$B$13)</f>
        <v>0.45</v>
      </c>
      <c r="R176" s="5">
        <v>15</v>
      </c>
      <c r="S176" s="5">
        <v>10</v>
      </c>
      <c r="T176" s="5">
        <v>-5</v>
      </c>
      <c r="U176" s="5">
        <f t="shared" si="13"/>
        <v>15</v>
      </c>
      <c r="V176" s="5">
        <f t="shared" si="14"/>
        <v>3.1431391547322085</v>
      </c>
      <c r="W176" s="43">
        <f t="shared" si="15"/>
        <v>100</v>
      </c>
      <c r="X176" s="5" t="str" cm="1">
        <f t="array" ref="X176">_xlfn.IFS($W176 &lt;= 30, "Low", $W176 &lt;=50, "Medium", $W176 &lt;= 70, "High", $W176 &gt; 70, "Critical")</f>
        <v>Critical</v>
      </c>
      <c r="Y176" s="9">
        <f t="shared" si="16"/>
        <v>0.44698821708407188</v>
      </c>
      <c r="Z176" s="22">
        <f t="shared" si="17"/>
        <v>48.234498505542199</v>
      </c>
    </row>
    <row r="177" spans="1:26">
      <c r="A177" s="24" t="str">
        <v>CUST-4991</v>
      </c>
      <c r="B177" s="24" t="str">
        <v>Occasional Buyer</v>
      </c>
      <c r="C177" s="24" t="str">
        <v>Email Campaign</v>
      </c>
      <c r="D177" s="24" t="str">
        <v>West</v>
      </c>
      <c r="E177" s="24" t="str">
        <v>45-54</v>
      </c>
      <c r="F177" s="24" t="str">
        <v>High</v>
      </c>
      <c r="G177" s="24">
        <v>6</v>
      </c>
      <c r="H177" s="24">
        <v>61</v>
      </c>
      <c r="I177" s="23">
        <v>263.14999999999998</v>
      </c>
      <c r="J177" s="24" cm="1">
        <f t="array" ref="J177">SUMPRODUCT(
    (Transactions_and_Customer_Information_Joined[Customer ID]='V1-Based Churn Model (Step 3)'!$A177) *
    (IFERROR(_xlfn.XLOOKUP(Transactions_and_Customer_Information_Joined[SKU], 'V1 Pricing Model (Step 2)'!$A$22:$A$71, 'V1 Pricing Model (Step 2)'!$AL$22:$AL$71), "Exclude")&lt;&gt;"Exclude") *
    Transactions_and_Customer_Information_Joined[Gross Revenue])</f>
        <v>575.20000000000005</v>
      </c>
      <c r="K177" s="24">
        <f>SUMIF(Transactions_and_Customer_Information_Joined[Customer ID], 'V1-Based Churn Model (Step 3)'!$A177, Transactions_and_Customer_Information_Joined[Gross Revenue])</f>
        <v>729.23</v>
      </c>
      <c r="L177" s="3">
        <f t="shared" si="12"/>
        <v>0.78877720335148038</v>
      </c>
      <c r="M177" s="21">
        <v>0.22457947495613381</v>
      </c>
      <c r="N177" s="21" cm="1">
        <f t="array" ref="N177">SUMPRODUCT(
    (Transactions_and_Customer_Information_Joined[Customer ID]=$A177)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77" s="21" cm="1">
        <f t="array" ref="O177">IFERROR(
    SUMPRODUCT(
        (Transactions_and_Customer_Information_Joined[Customer ID]=$A177)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$J177,
0)</f>
        <v>0.22457947495613381</v>
      </c>
      <c r="P177" s="5" cm="1">
        <f t="array" ref="P177">_xlfn.IFS(B177="At-Risk Churner",$B$2,$B177="Dormant",$B$3,$B177="Deal Hunter",$B$4,$B177="New Customer",$B$5,$B177="Occasional Buyer",$B$6,$B177="Loyal High-Value",$B$7)</f>
        <v>25</v>
      </c>
      <c r="Q177" s="9" cm="1">
        <f t="array" ref="Q177">_xlfn.IFS($B177 = "At-Risk Churner", $B$8, $B177="Dormant",$B$9, $B177="Deal Hunter", $B$10, $B177="New Customer", $B$11, $B177="Occasional Buyer", $B$12, $B177 = "Loyal High-Value",$B$13)</f>
        <v>0.18</v>
      </c>
      <c r="R177" s="5">
        <v>15</v>
      </c>
      <c r="S177" s="5">
        <v>0</v>
      </c>
      <c r="T177" s="5">
        <v>0</v>
      </c>
      <c r="U177" s="5">
        <f t="shared" si="13"/>
        <v>15</v>
      </c>
      <c r="V177" s="5">
        <f t="shared" si="14"/>
        <v>8.9831789982453518</v>
      </c>
      <c r="W177" s="43">
        <f t="shared" si="15"/>
        <v>64.320678998245356</v>
      </c>
      <c r="X177" s="5" t="str" cm="1">
        <f t="array" ref="X177">_xlfn.IFS($W177 &lt;= 30, "Low", $W177 &lt;=50, "Medium", $W177 &lt;= 70, "High", $W177 &gt; 70, "Critical")</f>
        <v>High</v>
      </c>
      <c r="Y177" s="9">
        <f t="shared" si="16"/>
        <v>0.14530019652765719</v>
      </c>
      <c r="Z177" s="22">
        <f t="shared" si="17"/>
        <v>83.218597373002382</v>
      </c>
    </row>
    <row r="178" spans="1:26">
      <c r="A178" s="24" t="str">
        <v>CUST-4747</v>
      </c>
      <c r="B178" s="24" t="str">
        <v>Dormant</v>
      </c>
      <c r="C178" s="24" t="str">
        <v>Referral</v>
      </c>
      <c r="D178" s="24" t="str">
        <v>Northeast</v>
      </c>
      <c r="E178" s="24" t="str">
        <v>35-44</v>
      </c>
      <c r="F178" s="24" t="str">
        <v>Medium</v>
      </c>
      <c r="G178" s="24">
        <v>3</v>
      </c>
      <c r="H178" s="24">
        <v>244</v>
      </c>
      <c r="I178" s="23">
        <v>36.76</v>
      </c>
      <c r="J178" s="24" cm="1">
        <f t="array" ref="J178">SUMPRODUCT(
    (Transactions_and_Customer_Information_Joined[Customer ID]='V1-Based Churn Model (Step 3)'!$A178) *
    (IFERROR(_xlfn.XLOOKUP(Transactions_and_Customer_Information_Joined[SKU], 'V1 Pricing Model (Step 2)'!$A$22:$A$71, 'V1 Pricing Model (Step 2)'!$AL$22:$AL$71), "Exclude")&lt;&gt;"Exclude") *
    Transactions_and_Customer_Information_Joined[Gross Revenue])</f>
        <v>295.74</v>
      </c>
      <c r="K178" s="24">
        <f>SUMIF(Transactions_and_Customer_Information_Joined[Customer ID], 'V1-Based Churn Model (Step 3)'!$A178, Transactions_and_Customer_Information_Joined[Gross Revenue])</f>
        <v>295.74</v>
      </c>
      <c r="L178" s="3">
        <f t="shared" si="12"/>
        <v>1</v>
      </c>
      <c r="M178" s="21">
        <v>0</v>
      </c>
      <c r="N178" s="21" cm="1">
        <f t="array" ref="N178">SUMPRODUCT(
    (Transactions_and_Customer_Information_Joined[Customer ID]=$A178)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78" s="21" cm="1">
        <f t="array" ref="O178">IFERROR(
    SUMPRODUCT(
        (Transactions_and_Customer_Information_Joined[Customer ID]=$A178)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$J178,
0)</f>
        <v>0</v>
      </c>
      <c r="P178" s="5" cm="1">
        <f t="array" ref="P178">_xlfn.IFS(B178="At-Risk Churner",$B$2,$B178="Dormant",$B$3,$B178="Deal Hunter",$B$4,$B178="New Customer",$B$5,$B178="Occasional Buyer",$B$6,$B178="Loyal High-Value",$B$7)</f>
        <v>65</v>
      </c>
      <c r="Q178" s="9" cm="1">
        <f t="array" ref="Q178">_xlfn.IFS($B178 = "At-Risk Churner", $B$8, $B178="Dormant",$B$9, $B178="Deal Hunter", $B$10, $B178="New Customer", $B$11, $B178="Occasional Buyer", $B$12, $B178 = "Loyal High-Value",$B$13)</f>
        <v>0.6</v>
      </c>
      <c r="R178" s="5">
        <v>5</v>
      </c>
      <c r="S178" s="5">
        <v>10</v>
      </c>
      <c r="T178" s="5">
        <v>8</v>
      </c>
      <c r="U178" s="5">
        <f t="shared" si="13"/>
        <v>15</v>
      </c>
      <c r="V178" s="5">
        <f t="shared" si="14"/>
        <v>0</v>
      </c>
      <c r="W178" s="43">
        <f t="shared" si="15"/>
        <v>100</v>
      </c>
      <c r="X178" s="5" t="str" cm="1">
        <f t="array" ref="X178">_xlfn.IFS($W178 &lt;= 30, "Low", $W178 &lt;=50, "Medium", $W178 &lt;= 70, "High", $W178 &gt; 70, "Critical")</f>
        <v>Critical</v>
      </c>
      <c r="Y178" s="9">
        <f t="shared" si="16"/>
        <v>0.59598428944542914</v>
      </c>
      <c r="Z178" s="22">
        <f t="shared" si="17"/>
        <v>21.908382480013973</v>
      </c>
    </row>
    <row r="179" spans="1:26">
      <c r="A179" s="24" t="str">
        <v>CUST-4124</v>
      </c>
      <c r="B179" s="24" t="str">
        <v>Dormant</v>
      </c>
      <c r="C179" s="24" t="str">
        <v>Paid Social</v>
      </c>
      <c r="D179" s="24" t="str">
        <v>Midwest</v>
      </c>
      <c r="E179" s="24" t="str">
        <v>35-44</v>
      </c>
      <c r="F179" s="24" t="str">
        <v>Medium</v>
      </c>
      <c r="G179" s="24">
        <v>8</v>
      </c>
      <c r="H179" s="24">
        <v>136</v>
      </c>
      <c r="I179" s="23">
        <v>185.03</v>
      </c>
      <c r="J179" s="24" cm="1">
        <f t="array" ref="J179">SUMPRODUCT(
    (Transactions_and_Customer_Information_Joined[Customer ID]='V1-Based Churn Model (Step 3)'!$A179)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179" s="24">
        <f>SUMIF(Transactions_and_Customer_Information_Joined[Customer ID], 'V1-Based Churn Model (Step 3)'!$A179, Transactions_and_Customer_Information_Joined[Gross Revenue])</f>
        <v>244.79999999999998</v>
      </c>
      <c r="L179" s="3">
        <f t="shared" si="12"/>
        <v>0</v>
      </c>
      <c r="M179" s="21">
        <v>0</v>
      </c>
      <c r="N179" s="21" cm="1">
        <f t="array" ref="N179">SUMPRODUCT(
    (Transactions_and_Customer_Information_Joined[Customer ID]=$A179)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179" s="21" cm="1">
        <f t="array" ref="O179">IFERROR(
    SUMPRODUCT(
        (Transactions_and_Customer_Information_Joined[Customer ID]=$A179)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$J179,
0)</f>
        <v>0</v>
      </c>
      <c r="P179" s="5" cm="1">
        <f t="array" ref="P179">_xlfn.IFS(B179="At-Risk Churner",$B$2,$B179="Dormant",$B$3,$B179="Deal Hunter",$B$4,$B179="New Customer",$B$5,$B179="Occasional Buyer",$B$6,$B179="Loyal High-Value",$B$7)</f>
        <v>65</v>
      </c>
      <c r="Q179" s="9" cm="1">
        <f t="array" ref="Q179">_xlfn.IFS($B179 = "At-Risk Churner", $B$8, $B179="Dormant",$B$9, $B179="Deal Hunter", $B$10, $B179="New Customer", $B$11, $B179="Occasional Buyer", $B$12, $B179 = "Loyal High-Value",$B$13)</f>
        <v>0.6</v>
      </c>
      <c r="R179" s="5">
        <v>5</v>
      </c>
      <c r="S179" s="5">
        <v>-8</v>
      </c>
      <c r="T179" s="5">
        <v>0</v>
      </c>
      <c r="U179" s="5">
        <f t="shared" si="13"/>
        <v>0</v>
      </c>
      <c r="V179" s="5">
        <f t="shared" si="14"/>
        <v>0</v>
      </c>
      <c r="W179" s="43">
        <f t="shared" si="15"/>
        <v>61.48</v>
      </c>
      <c r="X179" s="5" t="str" cm="1">
        <f t="array" ref="X179">_xlfn.IFS($W179 &lt;= 30, "Low", $W179 &lt;=50, "Medium", $W179 &lt;= 70, "High", $W179 &gt; 70, "Critical")</f>
        <v>High</v>
      </c>
      <c r="Y179" s="9">
        <f t="shared" si="16"/>
        <v>0.45548725152099839</v>
      </c>
      <c r="Z179" s="22">
        <f t="shared" si="17"/>
        <v>104.42904491914426</v>
      </c>
    </row>
    <row r="180" spans="1:26">
      <c r="A180" s="24" t="str">
        <v>CUST-3650</v>
      </c>
      <c r="B180" s="24" t="str">
        <v>Deal Hunter</v>
      </c>
      <c r="C180" s="24" t="str">
        <v>Direct</v>
      </c>
      <c r="D180" s="24" t="str">
        <v>Midwest</v>
      </c>
      <c r="E180" s="24" t="str">
        <v>25-34</v>
      </c>
      <c r="F180" s="24" t="str">
        <v>High</v>
      </c>
      <c r="G180" s="24">
        <v>10</v>
      </c>
      <c r="H180" s="24">
        <v>337</v>
      </c>
      <c r="I180" s="23">
        <v>396.58</v>
      </c>
      <c r="J180" s="24" cm="1">
        <f t="array" ref="J180">SUMPRODUCT(
    (Transactions_and_Customer_Information_Joined[Customer ID]='V1-Based Churn Model (Step 3)'!$A180) *
    (IFERROR(_xlfn.XLOOKUP(Transactions_and_Customer_Information_Joined[SKU], 'V1 Pricing Model (Step 2)'!$A$22:$A$71, 'V1 Pricing Model (Step 2)'!$AL$22:$AL$71), "Exclude")&lt;&gt;"Exclude") *
    Transactions_and_Customer_Information_Joined[Gross Revenue])</f>
        <v>143.80000000000001</v>
      </c>
      <c r="K180" s="24">
        <f>SUMIF(Transactions_and_Customer_Information_Joined[Customer ID], 'V1-Based Churn Model (Step 3)'!$A180, Transactions_and_Customer_Information_Joined[Gross Revenue])</f>
        <v>143.80000000000001</v>
      </c>
      <c r="L180" s="3">
        <f t="shared" si="12"/>
        <v>1</v>
      </c>
      <c r="M180" s="21">
        <v>0.22457947495613381</v>
      </c>
      <c r="N180" s="21" cm="1">
        <f t="array" ref="N180">SUMPRODUCT(
    (Transactions_and_Customer_Information_Joined[Customer ID]=$A180)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80" s="21" cm="1">
        <f t="array" ref="O180">IFERROR(
    SUMPRODUCT(
        (Transactions_and_Customer_Information_Joined[Customer ID]=$A180)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$J180,
0)</f>
        <v>0.22457947495613381</v>
      </c>
      <c r="P180" s="5" cm="1">
        <f t="array" ref="P180">_xlfn.IFS(B180="At-Risk Churner",$B$2,$B180="Dormant",$B$3,$B180="Deal Hunter",$B$4,$B180="New Customer",$B$5,$B180="Occasional Buyer",$B$6,$B180="Loyal High-Value",$B$7)</f>
        <v>45</v>
      </c>
      <c r="Q180" s="9" cm="1">
        <f t="array" ref="Q180">_xlfn.IFS($B180 = "At-Risk Churner", $B$8, $B180="Dormant",$B$9, $B180="Deal Hunter", $B$10, $B180="New Customer", $B$11, $B180="Occasional Buyer", $B$12, $B180 = "Loyal High-Value",$B$13)</f>
        <v>0.25</v>
      </c>
      <c r="R180" s="5">
        <v>15</v>
      </c>
      <c r="S180" s="5">
        <v>-8</v>
      </c>
      <c r="T180" s="5">
        <v>15</v>
      </c>
      <c r="U180" s="5">
        <f t="shared" si="13"/>
        <v>15</v>
      </c>
      <c r="V180" s="5">
        <f t="shared" si="14"/>
        <v>8.9831789982453518</v>
      </c>
      <c r="W180" s="43">
        <f t="shared" si="15"/>
        <v>90.960678998245356</v>
      </c>
      <c r="X180" s="5" t="str" cm="1">
        <f t="array" ref="X180">_xlfn.IFS($W180 &lt;= 30, "Low", $W180 &lt;=50, "Medium", $W180 &lt;= 70, "High", $W180 &gt; 70, "Critical")</f>
        <v>Critical</v>
      </c>
      <c r="Y180" s="9">
        <f t="shared" si="16"/>
        <v>0.24590858063200682</v>
      </c>
      <c r="Z180" s="22">
        <f t="shared" si="17"/>
        <v>97.522424907041255</v>
      </c>
    </row>
    <row r="181" spans="1:26">
      <c r="A181" s="24" t="str">
        <v>CUST-1965</v>
      </c>
      <c r="B181" s="24" t="str">
        <v>Deal Hunter</v>
      </c>
      <c r="C181" s="24" t="str">
        <v>Email Campaign</v>
      </c>
      <c r="D181" s="24" t="str">
        <v>UK</v>
      </c>
      <c r="E181" s="24" t="str">
        <v>18-24</v>
      </c>
      <c r="F181" s="24" t="str">
        <v>Medium</v>
      </c>
      <c r="G181" s="24">
        <v>5</v>
      </c>
      <c r="H181" s="24">
        <v>319</v>
      </c>
      <c r="I181" s="23">
        <v>383.61</v>
      </c>
      <c r="J181" s="24" cm="1">
        <f t="array" ref="J181">SUMPRODUCT(
    (Transactions_and_Customer_Information_Joined[Customer ID]='V1-Based Churn Model (Step 3)'!$A181) *
    (IFERROR(_xlfn.XLOOKUP(Transactions_and_Customer_Information_Joined[SKU], 'V1 Pricing Model (Step 2)'!$A$22:$A$71, 'V1 Pricing Model (Step 2)'!$AL$22:$AL$71), "Exclude")&lt;&gt;"Exclude") *
    Transactions_and_Customer_Information_Joined[Gross Revenue])</f>
        <v>106.8</v>
      </c>
      <c r="K181" s="24">
        <f>SUMIF(Transactions_and_Customer_Information_Joined[Customer ID], 'V1-Based Churn Model (Step 3)'!$A181, Transactions_and_Customer_Information_Joined[Gross Revenue])</f>
        <v>106.8</v>
      </c>
      <c r="L181" s="3">
        <f t="shared" si="12"/>
        <v>1</v>
      </c>
      <c r="M181" s="21">
        <v>7.5818801139291682E-3</v>
      </c>
      <c r="N181" s="21" cm="1">
        <f t="array" ref="N181">SUMPRODUCT(
    (Transactions_and_Customer_Information_Joined[Customer ID]=$A181)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81" s="21" cm="1">
        <f t="array" ref="O181">IFERROR(
    SUMPRODUCT(
        (Transactions_and_Customer_Information_Joined[Customer ID]=$A181)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$J181,
0)</f>
        <v>7.5818801139291682E-3</v>
      </c>
      <c r="P181" s="5" cm="1">
        <f t="array" ref="P181">_xlfn.IFS(B181="At-Risk Churner",$B$2,$B181="Dormant",$B$3,$B181="Deal Hunter",$B$4,$B181="New Customer",$B$5,$B181="Occasional Buyer",$B$6,$B181="Loyal High-Value",$B$7)</f>
        <v>45</v>
      </c>
      <c r="Q181" s="9" cm="1">
        <f t="array" ref="Q181">_xlfn.IFS($B181 = "At-Risk Churner", $B$8, $B181="Dormant",$B$9, $B181="Deal Hunter", $B$10, $B181="New Customer", $B$11, $B181="Occasional Buyer", $B$12, $B181 = "Loyal High-Value",$B$13)</f>
        <v>0.25</v>
      </c>
      <c r="R181" s="5">
        <v>5</v>
      </c>
      <c r="S181" s="5">
        <v>0</v>
      </c>
      <c r="T181" s="5">
        <v>15</v>
      </c>
      <c r="U181" s="5">
        <f t="shared" si="13"/>
        <v>15</v>
      </c>
      <c r="V181" s="5">
        <f t="shared" si="14"/>
        <v>0.30327520455716672</v>
      </c>
      <c r="W181" s="43">
        <f t="shared" si="15"/>
        <v>80.415775204557164</v>
      </c>
      <c r="X181" s="5" t="str" cm="1">
        <f t="array" ref="X181">_xlfn.IFS($W181 &lt;= 30, "Low", $W181 &lt;=50, "Medium", $W181 &lt;= 70, "High", $W181 &gt; 70, "Critical")</f>
        <v>Critical</v>
      </c>
      <c r="Y181" s="9">
        <f t="shared" si="16"/>
        <v>0.23860437700822112</v>
      </c>
      <c r="Z181" s="22">
        <f t="shared" si="17"/>
        <v>91.53102506412371</v>
      </c>
    </row>
    <row r="182" spans="1:26">
      <c r="A182" s="24" t="str">
        <v>CUST-4045</v>
      </c>
      <c r="B182" s="24" t="str">
        <v>New Customer</v>
      </c>
      <c r="C182" s="24" t="str">
        <v>Paid Social</v>
      </c>
      <c r="D182" s="24" t="str">
        <v>Midwest</v>
      </c>
      <c r="E182" s="24" t="str">
        <v>25-34</v>
      </c>
      <c r="F182" s="24" t="str">
        <v>High</v>
      </c>
      <c r="G182" s="24">
        <v>8</v>
      </c>
      <c r="H182" s="24">
        <v>341</v>
      </c>
      <c r="I182" s="23">
        <v>52.79</v>
      </c>
      <c r="J182" s="24" cm="1">
        <f t="array" ref="J182">SUMPRODUCT(
    (Transactions_and_Customer_Information_Joined[Customer ID]='V1-Based Churn Model (Step 3)'!$A182) *
    (IFERROR(_xlfn.XLOOKUP(Transactions_and_Customer_Information_Joined[SKU], 'V1 Pricing Model (Step 2)'!$A$22:$A$71, 'V1 Pricing Model (Step 2)'!$AL$22:$AL$71), "Exclude")&lt;&gt;"Exclude") *
    Transactions_and_Customer_Information_Joined[Gross Revenue])</f>
        <v>18.7</v>
      </c>
      <c r="K182" s="24">
        <f>SUMIF(Transactions_and_Customer_Information_Joined[Customer ID], 'V1-Based Churn Model (Step 3)'!$A182, Transactions_and_Customer_Information_Joined[Gross Revenue])</f>
        <v>18.7</v>
      </c>
      <c r="L182" s="3">
        <f t="shared" si="12"/>
        <v>1</v>
      </c>
      <c r="M182" s="21">
        <v>0</v>
      </c>
      <c r="N182" s="21" cm="1">
        <f t="array" ref="N182">SUMPRODUCT(
    (Transactions_and_Customer_Information_Joined[Customer ID]=$A182)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82" s="21" cm="1">
        <f t="array" ref="O182">IFERROR(
    SUMPRODUCT(
        (Transactions_and_Customer_Information_Joined[Customer ID]=$A182)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$J182,
0)</f>
        <v>0</v>
      </c>
      <c r="P182" s="5" cm="1">
        <f t="array" ref="P182">_xlfn.IFS(B182="At-Risk Churner",$B$2,$B182="Dormant",$B$3,$B182="Deal Hunter",$B$4,$B182="New Customer",$B$5,$B182="Occasional Buyer",$B$6,$B182="Loyal High-Value",$B$7)</f>
        <v>35</v>
      </c>
      <c r="Q182" s="9" cm="1">
        <f t="array" ref="Q182">_xlfn.IFS($B182 = "At-Risk Churner", $B$8, $B182="Dormant",$B$9, $B182="Deal Hunter", $B$10, $B182="New Customer", $B$11, $B182="Occasional Buyer", $B$12, $B182 = "Loyal High-Value",$B$13)</f>
        <v>0.35</v>
      </c>
      <c r="R182" s="5">
        <v>15</v>
      </c>
      <c r="S182" s="5">
        <v>-8</v>
      </c>
      <c r="T182" s="5">
        <v>15</v>
      </c>
      <c r="U182" s="5">
        <f t="shared" si="13"/>
        <v>15</v>
      </c>
      <c r="V182" s="5">
        <f t="shared" si="14"/>
        <v>0</v>
      </c>
      <c r="W182" s="43">
        <f t="shared" si="15"/>
        <v>72.057500000000005</v>
      </c>
      <c r="X182" s="5" t="str" cm="1">
        <f t="array" ref="X182">_xlfn.IFS($W182 &lt;= 30, "Low", $W182 &lt;=50, "Medium", $W182 &lt;= 70, "High", $W182 &gt; 70, "Critical")</f>
        <v>Critical</v>
      </c>
      <c r="Y182" s="9">
        <f t="shared" si="16"/>
        <v>0.31526763650712536</v>
      </c>
      <c r="Z182" s="22">
        <f t="shared" si="17"/>
        <v>16.642978531211149</v>
      </c>
    </row>
    <row r="183" spans="1:26">
      <c r="A183" s="24" t="str">
        <v>CUST-4583</v>
      </c>
      <c r="B183" s="24" t="str">
        <v>New Customer</v>
      </c>
      <c r="C183" s="24" t="str">
        <v>Referral</v>
      </c>
      <c r="D183" s="24" t="str">
        <v>West</v>
      </c>
      <c r="E183" s="24" t="str">
        <v>45-54</v>
      </c>
      <c r="F183" s="24" t="str">
        <v>Medium</v>
      </c>
      <c r="G183" s="24">
        <v>8</v>
      </c>
      <c r="H183" s="24">
        <v>20</v>
      </c>
      <c r="I183" s="23">
        <v>94.29</v>
      </c>
      <c r="J183" s="24" cm="1">
        <f t="array" ref="J183">SUMPRODUCT(
    (Transactions_and_Customer_Information_Joined[Customer ID]='V1-Based Churn Model (Step 3)'!$A183) *
    (IFERROR(_xlfn.XLOOKUP(Transactions_and_Customer_Information_Joined[SKU], 'V1 Pricing Model (Step 2)'!$A$22:$A$71, 'V1 Pricing Model (Step 2)'!$AL$22:$AL$71), "Exclude")&lt;&gt;"Exclude") *
    Transactions_and_Customer_Information_Joined[Gross Revenue])</f>
        <v>281.64</v>
      </c>
      <c r="K183" s="24">
        <f>SUMIF(Transactions_and_Customer_Information_Joined[Customer ID], 'V1-Based Churn Model (Step 3)'!$A183, Transactions_and_Customer_Information_Joined[Gross Revenue])</f>
        <v>530.16</v>
      </c>
      <c r="L183" s="3">
        <f t="shared" si="12"/>
        <v>0.53123585332729739</v>
      </c>
      <c r="M183" s="21">
        <v>0.10702390858761081</v>
      </c>
      <c r="N183" s="21" cm="1">
        <f t="array" ref="N183">SUMPRODUCT(
    (Transactions_and_Customer_Information_Joined[Customer ID]=$A183)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83" s="21" cm="1">
        <f t="array" ref="O183">IFERROR(
    SUMPRODUCT(
        (Transactions_and_Customer_Information_Joined[Customer ID]=$A183)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$J183,
0)</f>
        <v>0.10702390858761081</v>
      </c>
      <c r="P183" s="5" cm="1">
        <f t="array" ref="P183">_xlfn.IFS(B183="At-Risk Churner",$B$2,$B183="Dormant",$B$3,$B183="Deal Hunter",$B$4,$B183="New Customer",$B$5,$B183="Occasional Buyer",$B$6,$B183="Loyal High-Value",$B$7)</f>
        <v>35</v>
      </c>
      <c r="Q183" s="9" cm="1">
        <f t="array" ref="Q183">_xlfn.IFS($B183 = "At-Risk Churner", $B$8, $B183="Dormant",$B$9, $B183="Deal Hunter", $B$10, $B183="New Customer", $B$11, $B183="Occasional Buyer", $B$12, $B183 = "Loyal High-Value",$B$13)</f>
        <v>0.35</v>
      </c>
      <c r="R183" s="5">
        <v>5</v>
      </c>
      <c r="S183" s="5">
        <v>-8</v>
      </c>
      <c r="T183" s="5">
        <v>-5</v>
      </c>
      <c r="U183" s="5">
        <f t="shared" si="13"/>
        <v>13.280896333182435</v>
      </c>
      <c r="V183" s="5">
        <f t="shared" si="14"/>
        <v>4.2809563435044327</v>
      </c>
      <c r="W183" s="43">
        <f t="shared" si="15"/>
        <v>44.381459399185736</v>
      </c>
      <c r="X183" s="5" t="str" cm="1">
        <f t="array" ref="X183">_xlfn.IFS($W183 &lt;= 30, "Low", $W183 &lt;=50, "Medium", $W183 &lt;= 70, "High", $W183 &gt; 70, "Critical")</f>
        <v>Medium</v>
      </c>
      <c r="Y183" s="9">
        <f t="shared" si="16"/>
        <v>0.12709150111633108</v>
      </c>
      <c r="Z183" s="22">
        <f t="shared" si="17"/>
        <v>28.444766112207091</v>
      </c>
    </row>
    <row r="184" spans="1:26">
      <c r="A184" s="24" t="str">
        <v>CUST-4908</v>
      </c>
      <c r="B184" s="24" t="str">
        <v>At-Risk Churner</v>
      </c>
      <c r="C184" s="24" t="str">
        <v>Email Campaign</v>
      </c>
      <c r="D184" s="24" t="str">
        <v>Southwest</v>
      </c>
      <c r="E184" s="24" t="str">
        <v>45-54</v>
      </c>
      <c r="F184" s="24" t="str">
        <v>High</v>
      </c>
      <c r="G184" s="24">
        <v>2</v>
      </c>
      <c r="H184" s="24">
        <v>175</v>
      </c>
      <c r="I184" s="23">
        <v>359.98</v>
      </c>
      <c r="J184" s="24" cm="1">
        <f t="array" ref="J184">SUMPRODUCT(
    (Transactions_and_Customer_Information_Joined[Customer ID]='V1-Based Churn Model (Step 3)'!$A184) *
    (IFERROR(_xlfn.XLOOKUP(Transactions_and_Customer_Information_Joined[SKU], 'V1 Pricing Model (Step 2)'!$A$22:$A$71, 'V1 Pricing Model (Step 2)'!$AL$22:$AL$71), "Exclude")&lt;&gt;"Exclude") *
    Transactions_and_Customer_Information_Joined[Gross Revenue])</f>
        <v>472.28</v>
      </c>
      <c r="K184" s="24">
        <f>SUMIF(Transactions_and_Customer_Information_Joined[Customer ID], 'V1-Based Churn Model (Step 3)'!$A184, Transactions_and_Customer_Information_Joined[Gross Revenue])</f>
        <v>472.28</v>
      </c>
      <c r="L184" s="3">
        <f t="shared" si="12"/>
        <v>1</v>
      </c>
      <c r="M184" s="21">
        <v>3.7264027854690532E-2</v>
      </c>
      <c r="N184" s="21" cm="1">
        <f t="array" ref="N184">SUMPRODUCT(
    (Transactions_and_Customer_Information_Joined[Customer ID]=$A184)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84" s="21" cm="1">
        <f t="array" ref="O184">IFERROR(
    SUMPRODUCT(
        (Transactions_and_Customer_Information_Joined[Customer ID]=$A184)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$J184,
0)</f>
        <v>3.7264027854690532E-2</v>
      </c>
      <c r="P184" s="5" cm="1">
        <f t="array" ref="P184">_xlfn.IFS(B184="At-Risk Churner",$B$2,$B184="Dormant",$B$3,$B184="Deal Hunter",$B$4,$B184="New Customer",$B$5,$B184="Occasional Buyer",$B$6,$B184="Loyal High-Value",$B$7)</f>
        <v>70</v>
      </c>
      <c r="Q184" s="9" cm="1">
        <f t="array" ref="Q184">_xlfn.IFS($B184 = "At-Risk Churner", $B$8, $B184="Dormant",$B$9, $B184="Deal Hunter", $B$10, $B184="New Customer", $B$11, $B184="Occasional Buyer", $B$12, $B184 = "Loyal High-Value",$B$13)</f>
        <v>0.45</v>
      </c>
      <c r="R184" s="5">
        <v>15</v>
      </c>
      <c r="S184" s="5">
        <v>10</v>
      </c>
      <c r="T184" s="5">
        <v>0</v>
      </c>
      <c r="U184" s="5">
        <f t="shared" si="13"/>
        <v>15</v>
      </c>
      <c r="V184" s="5">
        <f t="shared" si="14"/>
        <v>1.4905611141876212</v>
      </c>
      <c r="W184" s="43">
        <f t="shared" si="15"/>
        <v>100</v>
      </c>
      <c r="X184" s="5" t="str" cm="1">
        <f t="array" ref="X184">_xlfn.IFS($W184 &lt;= 30, "Low", $W184 &lt;=50, "Medium", $W184 &lt;= 70, "High", $W184 &gt; 70, "Critical")</f>
        <v>Critical</v>
      </c>
      <c r="Y184" s="9">
        <f t="shared" si="16"/>
        <v>0.44698821708407188</v>
      </c>
      <c r="Z184" s="22">
        <f t="shared" si="17"/>
        <v>160.9068183859242</v>
      </c>
    </row>
    <row r="185" spans="1:26">
      <c r="A185" s="24" t="str">
        <v>CUST-1848</v>
      </c>
      <c r="B185" s="24" t="str">
        <v>At-Risk Churner</v>
      </c>
      <c r="C185" s="24" t="str">
        <v>Organic Search</v>
      </c>
      <c r="D185" s="24" t="str">
        <v>Southwest</v>
      </c>
      <c r="E185" s="24" t="str">
        <v>18-24</v>
      </c>
      <c r="F185" s="24" t="str">
        <v>Low</v>
      </c>
      <c r="G185" s="24">
        <v>0</v>
      </c>
      <c r="H185" s="24">
        <v>18</v>
      </c>
      <c r="I185" s="23">
        <v>228.56</v>
      </c>
      <c r="J185" s="24" cm="1">
        <f t="array" ref="J185">SUMPRODUCT(
    (Transactions_and_Customer_Information_Joined[Customer ID]='V1-Based Churn Model (Step 3)'!$A185)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185" s="24">
        <f>SUMIF(Transactions_and_Customer_Information_Joined[Customer ID], 'V1-Based Churn Model (Step 3)'!$A185, Transactions_and_Customer_Information_Joined[Gross Revenue])</f>
        <v>163.19999999999999</v>
      </c>
      <c r="L185" s="3">
        <f t="shared" si="12"/>
        <v>0</v>
      </c>
      <c r="M185" s="21">
        <v>0</v>
      </c>
      <c r="N185" s="21" cm="1">
        <f t="array" ref="N185">SUMPRODUCT(
    (Transactions_and_Customer_Information_Joined[Customer ID]=$A185)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185" s="21" cm="1">
        <f t="array" ref="O185">IFERROR(
    SUMPRODUCT(
        (Transactions_and_Customer_Information_Joined[Customer ID]=$A185)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$J185,
0)</f>
        <v>0</v>
      </c>
      <c r="P185" s="5" cm="1">
        <f t="array" ref="P185">_xlfn.IFS(B185="At-Risk Churner",$B$2,$B185="Dormant",$B$3,$B185="Deal Hunter",$B$4,$B185="New Customer",$B$5,$B185="Occasional Buyer",$B$6,$B185="Loyal High-Value",$B$7)</f>
        <v>70</v>
      </c>
      <c r="Q185" s="9" cm="1">
        <f t="array" ref="Q185">_xlfn.IFS($B185 = "At-Risk Churner", $B$8, $B185="Dormant",$B$9, $B185="Deal Hunter", $B$10, $B185="New Customer", $B$11, $B185="Occasional Buyer", $B$12, $B185 = "Loyal High-Value",$B$13)</f>
        <v>0.45</v>
      </c>
      <c r="R185" s="5">
        <v>-5</v>
      </c>
      <c r="S185" s="5">
        <v>10</v>
      </c>
      <c r="T185" s="5">
        <v>-5</v>
      </c>
      <c r="U185" s="5">
        <f t="shared" si="13"/>
        <v>0</v>
      </c>
      <c r="V185" s="5">
        <f t="shared" si="14"/>
        <v>0</v>
      </c>
      <c r="W185" s="43">
        <f t="shared" si="15"/>
        <v>70.7</v>
      </c>
      <c r="X185" s="5" t="str" cm="1">
        <f t="array" ref="X185">_xlfn.IFS($W185 &lt;= 30, "Low", $W185 &lt;=50, "Medium", $W185 &lt;= 70, "High", $W185 &gt; 70, "Critical")</f>
        <v>Critical</v>
      </c>
      <c r="Y185" s="9">
        <f t="shared" si="16"/>
        <v>0.3995788326493544</v>
      </c>
      <c r="Z185" s="22">
        <f t="shared" si="17"/>
        <v>91.327737990336445</v>
      </c>
    </row>
    <row r="186" spans="1:26">
      <c r="A186" s="24" t="str">
        <v>CUST-4814</v>
      </c>
      <c r="B186" s="24" t="str">
        <v>Dormant</v>
      </c>
      <c r="C186" s="24" t="str">
        <v>Organic Search</v>
      </c>
      <c r="D186" s="24" t="str">
        <v>West</v>
      </c>
      <c r="E186" s="24" t="str">
        <v>35-44</v>
      </c>
      <c r="F186" s="24" t="str">
        <v>Low</v>
      </c>
      <c r="G186" s="24">
        <v>3</v>
      </c>
      <c r="H186" s="24">
        <v>55</v>
      </c>
      <c r="I186" s="23">
        <v>106.46</v>
      </c>
      <c r="J186" s="24" cm="1">
        <f t="array" ref="J186">SUMPRODUCT(
    (Transactions_and_Customer_Information_Joined[Customer ID]='V1-Based Churn Model (Step 3)'!$A186)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186" s="24">
        <f>SUMIF(Transactions_and_Customer_Information_Joined[Customer ID], 'V1-Based Churn Model (Step 3)'!$A186, Transactions_and_Customer_Information_Joined[Gross Revenue])</f>
        <v>654.15000000000009</v>
      </c>
      <c r="L186" s="3">
        <f t="shared" si="12"/>
        <v>0</v>
      </c>
      <c r="M186" s="21">
        <v>0</v>
      </c>
      <c r="N186" s="21" cm="1">
        <f t="array" ref="N186">SUMPRODUCT(
    (Transactions_and_Customer_Information_Joined[Customer ID]=$A186)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186" s="21" cm="1">
        <f t="array" ref="O186">IFERROR(
    SUMPRODUCT(
        (Transactions_and_Customer_Information_Joined[Customer ID]=$A186)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$J186,
0)</f>
        <v>0</v>
      </c>
      <c r="P186" s="5" cm="1">
        <f t="array" ref="P186">_xlfn.IFS(B186="At-Risk Churner",$B$2,$B186="Dormant",$B$3,$B186="Deal Hunter",$B$4,$B186="New Customer",$B$5,$B186="Occasional Buyer",$B$6,$B186="Loyal High-Value",$B$7)</f>
        <v>65</v>
      </c>
      <c r="Q186" s="9" cm="1">
        <f t="array" ref="Q186">_xlfn.IFS($B186 = "At-Risk Churner", $B$8, $B186="Dormant",$B$9, $B186="Deal Hunter", $B$10, $B186="New Customer", $B$11, $B186="Occasional Buyer", $B$12, $B186 = "Loyal High-Value",$B$13)</f>
        <v>0.6</v>
      </c>
      <c r="R186" s="5">
        <v>-5</v>
      </c>
      <c r="S186" s="5">
        <v>10</v>
      </c>
      <c r="T186" s="5">
        <v>-5</v>
      </c>
      <c r="U186" s="5">
        <f t="shared" si="13"/>
        <v>0</v>
      </c>
      <c r="V186" s="5">
        <f t="shared" si="14"/>
        <v>0</v>
      </c>
      <c r="W186" s="43">
        <f t="shared" si="15"/>
        <v>65.650000000000006</v>
      </c>
      <c r="X186" s="5" t="str" cm="1">
        <f t="array" ref="X186">_xlfn.IFS($W186 &lt;= 30, "Low", $W186 &lt;=50, "Medium", $W186 &lt;= 70, "High", $W186 &gt; 70, "Critical")</f>
        <v>High</v>
      </c>
      <c r="Y186" s="9">
        <f t="shared" si="16"/>
        <v>0.49624179006231678</v>
      </c>
      <c r="Z186" s="22">
        <f t="shared" si="17"/>
        <v>63.555920776027392</v>
      </c>
    </row>
    <row r="187" spans="1:26">
      <c r="A187" s="24" t="str">
        <v>CUST-2432</v>
      </c>
      <c r="B187" s="24" t="str">
        <v>New Customer</v>
      </c>
      <c r="C187" s="24" t="str">
        <v>Paid Social</v>
      </c>
      <c r="D187" s="24" t="str">
        <v>Canada</v>
      </c>
      <c r="E187" s="24" t="str">
        <v>25-34</v>
      </c>
      <c r="F187" s="24" t="str">
        <v>Medium</v>
      </c>
      <c r="G187" s="24">
        <v>10</v>
      </c>
      <c r="H187" s="24">
        <v>228</v>
      </c>
      <c r="I187" s="23">
        <v>107.43</v>
      </c>
      <c r="J187" s="24" cm="1">
        <f t="array" ref="J187">SUMPRODUCT(
    (Transactions_and_Customer_Information_Joined[Customer ID]='V1-Based Churn Model (Step 3)'!$A187) *
    (IFERROR(_xlfn.XLOOKUP(Transactions_and_Customer_Information_Joined[SKU], 'V1 Pricing Model (Step 2)'!$A$22:$A$71, 'V1 Pricing Model (Step 2)'!$AL$22:$AL$71), "Exclude")&lt;&gt;"Exclude") *
    Transactions_and_Customer_Information_Joined[Gross Revenue])</f>
        <v>270.24</v>
      </c>
      <c r="K187" s="24">
        <f>SUMIF(Transactions_and_Customer_Information_Joined[Customer ID], 'V1-Based Churn Model (Step 3)'!$A187, Transactions_and_Customer_Information_Joined[Gross Revenue])</f>
        <v>270.24</v>
      </c>
      <c r="L187" s="3">
        <f t="shared" si="12"/>
        <v>1</v>
      </c>
      <c r="M187" s="21">
        <v>0.10788177153562864</v>
      </c>
      <c r="N187" s="21" cm="1">
        <f t="array" ref="N187">SUMPRODUCT(
    (Transactions_and_Customer_Information_Joined[Customer ID]=$A187)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87" s="21" cm="1">
        <f t="array" ref="O187">IFERROR(
    SUMPRODUCT(
        (Transactions_and_Customer_Information_Joined[Customer ID]=$A187)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$J187,
0)</f>
        <v>0.10788177153562864</v>
      </c>
      <c r="P187" s="5" cm="1">
        <f t="array" ref="P187">_xlfn.IFS(B187="At-Risk Churner",$B$2,$B187="Dormant",$B$3,$B187="Deal Hunter",$B$4,$B187="New Customer",$B$5,$B187="Occasional Buyer",$B$6,$B187="Loyal High-Value",$B$7)</f>
        <v>35</v>
      </c>
      <c r="Q187" s="9" cm="1">
        <f t="array" ref="Q187">_xlfn.IFS($B187 = "At-Risk Churner", $B$8, $B187="Dormant",$B$9, $B187="Deal Hunter", $B$10, $B187="New Customer", $B$11, $B187="Occasional Buyer", $B$12, $B187 = "Loyal High-Value",$B$13)</f>
        <v>0.35</v>
      </c>
      <c r="R187" s="5">
        <v>5</v>
      </c>
      <c r="S187" s="5">
        <v>-8</v>
      </c>
      <c r="T187" s="5">
        <v>8</v>
      </c>
      <c r="U187" s="5">
        <f t="shared" si="13"/>
        <v>15</v>
      </c>
      <c r="V187" s="5">
        <f t="shared" si="14"/>
        <v>4.3152708614251454</v>
      </c>
      <c r="W187" s="43">
        <f t="shared" si="15"/>
        <v>59.147770861425144</v>
      </c>
      <c r="X187" s="5" t="str" cm="1">
        <f t="array" ref="X187">_xlfn.IFS($W187 &lt;= 30, "Low", $W187 &lt;=50, "Medium", $W187 &lt;= 70, "High", $W187 &gt; 70, "Critical")</f>
        <v>High</v>
      </c>
      <c r="Y187" s="9">
        <f t="shared" si="16"/>
        <v>0.24989184738880238</v>
      </c>
      <c r="Z187" s="22">
        <f t="shared" si="17"/>
        <v>42.962704931983239</v>
      </c>
    </row>
    <row r="188" spans="1:26">
      <c r="A188" s="24" t="str">
        <v>CUST-2949</v>
      </c>
      <c r="B188" s="24" t="str">
        <v>Occasional Buyer</v>
      </c>
      <c r="C188" s="24" t="str">
        <v>Direct</v>
      </c>
      <c r="D188" s="24" t="str">
        <v>Midwest</v>
      </c>
      <c r="E188" s="24" t="str">
        <v>45-54</v>
      </c>
      <c r="F188" s="24" t="str">
        <v>Medium</v>
      </c>
      <c r="G188" s="24">
        <v>9</v>
      </c>
      <c r="H188" s="24">
        <v>356</v>
      </c>
      <c r="I188" s="23">
        <v>388.37</v>
      </c>
      <c r="J188" s="24" cm="1">
        <f t="array" ref="J188">SUMPRODUCT(
    (Transactions_and_Customer_Information_Joined[Customer ID]='V1-Based Churn Model (Step 3)'!$A188)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188" s="24">
        <f>SUMIF(Transactions_and_Customer_Information_Joined[Customer ID], 'V1-Based Churn Model (Step 3)'!$A188, Transactions_and_Customer_Information_Joined[Gross Revenue])</f>
        <v>872.2</v>
      </c>
      <c r="L188" s="3">
        <f t="shared" si="12"/>
        <v>0</v>
      </c>
      <c r="M188" s="21">
        <v>0</v>
      </c>
      <c r="N188" s="21" cm="1">
        <f t="array" ref="N188">SUMPRODUCT(
    (Transactions_and_Customer_Information_Joined[Customer ID]=$A188)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188" s="21" cm="1">
        <f t="array" ref="O188">IFERROR(
    SUMPRODUCT(
        (Transactions_and_Customer_Information_Joined[Customer ID]=$A188)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$J188,
0)</f>
        <v>0</v>
      </c>
      <c r="P188" s="5" cm="1">
        <f t="array" ref="P188">_xlfn.IFS(B188="At-Risk Churner",$B$2,$B188="Dormant",$B$3,$B188="Deal Hunter",$B$4,$B188="New Customer",$B$5,$B188="Occasional Buyer",$B$6,$B188="Loyal High-Value",$B$7)</f>
        <v>25</v>
      </c>
      <c r="Q188" s="9" cm="1">
        <f t="array" ref="Q188">_xlfn.IFS($B188 = "At-Risk Churner", $B$8, $B188="Dormant",$B$9, $B188="Deal Hunter", $B$10, $B188="New Customer", $B$11, $B188="Occasional Buyer", $B$12, $B188 = "Loyal High-Value",$B$13)</f>
        <v>0.18</v>
      </c>
      <c r="R188" s="5">
        <v>5</v>
      </c>
      <c r="S188" s="5">
        <v>-8</v>
      </c>
      <c r="T188" s="5">
        <v>15</v>
      </c>
      <c r="U188" s="5">
        <f t="shared" si="13"/>
        <v>0</v>
      </c>
      <c r="V188" s="5">
        <f t="shared" si="14"/>
        <v>0</v>
      </c>
      <c r="W188" s="43">
        <f t="shared" si="15"/>
        <v>36.799999999999997</v>
      </c>
      <c r="X188" s="5" t="str" cm="1">
        <f t="array" ref="X188">_xlfn.IFS($W188 &lt;= 30, "Low", $W188 &lt;=50, "Medium", $W188 &lt;= 70, "High", $W188 &gt; 70, "Critical")</f>
        <v>Medium</v>
      </c>
      <c r="Y188" s="9">
        <f t="shared" si="16"/>
        <v>3.7947292825994468E-2</v>
      </c>
      <c r="Z188" s="22">
        <f t="shared" si="17"/>
        <v>89.464072091865177</v>
      </c>
    </row>
    <row r="189" spans="1:26">
      <c r="A189" s="24" t="str">
        <v>CUST-2354</v>
      </c>
      <c r="B189" s="24" t="str">
        <v>Occasional Buyer</v>
      </c>
      <c r="C189" s="24" t="str">
        <v>Organic Search</v>
      </c>
      <c r="D189" s="24" t="str">
        <v>Southwest</v>
      </c>
      <c r="E189" s="24" t="str">
        <v>35-44</v>
      </c>
      <c r="F189" s="24" t="str">
        <v>Low</v>
      </c>
      <c r="G189" s="24">
        <v>10</v>
      </c>
      <c r="H189" s="24">
        <v>84</v>
      </c>
      <c r="I189" s="23">
        <v>734.02</v>
      </c>
      <c r="J189" s="24" cm="1">
        <f t="array" ref="J189">SUMPRODUCT(
    (Transactions_and_Customer_Information_Joined[Customer ID]='V1-Based Churn Model (Step 3)'!$A189) *
    (IFERROR(_xlfn.XLOOKUP(Transactions_and_Customer_Information_Joined[SKU], 'V1 Pricing Model (Step 2)'!$A$22:$A$71, 'V1 Pricing Model (Step 2)'!$AL$22:$AL$71), "Exclude")&lt;&gt;"Exclude") *
    Transactions_and_Customer_Information_Joined[Gross Revenue])</f>
        <v>276.58000000000004</v>
      </c>
      <c r="K189" s="24">
        <f>SUMIF(Transactions_and_Customer_Information_Joined[Customer ID], 'V1-Based Churn Model (Step 3)'!$A189, Transactions_and_Customer_Information_Joined[Gross Revenue])</f>
        <v>276.58000000000004</v>
      </c>
      <c r="L189" s="3">
        <f t="shared" si="12"/>
        <v>1</v>
      </c>
      <c r="M189" s="21">
        <v>0.24833629343146826</v>
      </c>
      <c r="N189" s="21" cm="1">
        <f t="array" ref="N189">SUMPRODUCT(
    (Transactions_and_Customer_Information_Joined[Customer ID]=$A189)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2</v>
      </c>
      <c r="O189" s="21" cm="1">
        <f t="array" ref="O189">IFERROR(
    SUMPRODUCT(
        (Transactions_and_Customer_Information_Joined[Customer ID]=$A189)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$J189,
0)</f>
        <v>0.15335071544459392</v>
      </c>
      <c r="P189" s="5" cm="1">
        <f t="array" ref="P189">_xlfn.IFS(B189="At-Risk Churner",$B$2,$B189="Dormant",$B$3,$B189="Deal Hunter",$B$4,$B189="New Customer",$B$5,$B189="Occasional Buyer",$B$6,$B189="Loyal High-Value",$B$7)</f>
        <v>25</v>
      </c>
      <c r="Q189" s="9" cm="1">
        <f t="array" ref="Q189">_xlfn.IFS($B189 = "At-Risk Churner", $B$8, $B189="Dormant",$B$9, $B189="Deal Hunter", $B$10, $B189="New Customer", $B$11, $B189="Occasional Buyer", $B$12, $B189 = "Loyal High-Value",$B$13)</f>
        <v>0.18</v>
      </c>
      <c r="R189" s="5">
        <v>-5</v>
      </c>
      <c r="S189" s="5">
        <v>-8</v>
      </c>
      <c r="T189" s="5">
        <v>0</v>
      </c>
      <c r="U189" s="5">
        <f t="shared" si="13"/>
        <v>15</v>
      </c>
      <c r="V189" s="5">
        <f t="shared" si="14"/>
        <v>8.0337401775212438</v>
      </c>
      <c r="W189" s="43">
        <f t="shared" si="15"/>
        <v>34.721240177521246</v>
      </c>
      <c r="X189" s="5" t="str" cm="1">
        <f t="array" ref="X189">_xlfn.IFS($W189 &lt;= 30, "Low", $W189 &lt;=50, "Medium", $W189 &lt;= 70, "High", $W189 &gt; 70, "Critical")</f>
        <v>Medium</v>
      </c>
      <c r="Y189" s="9">
        <f t="shared" si="16"/>
        <v>3.2094840151568743E-2</v>
      </c>
      <c r="Z189" s="22">
        <f t="shared" si="17"/>
        <v>165.65060365444359</v>
      </c>
    </row>
    <row r="190" spans="1:26">
      <c r="A190" s="24" t="str">
        <v>CUST-1739</v>
      </c>
      <c r="B190" s="24" t="str">
        <v>At-Risk Churner</v>
      </c>
      <c r="C190" s="24" t="str">
        <v>Referral</v>
      </c>
      <c r="D190" s="24" t="str">
        <v>West</v>
      </c>
      <c r="E190" s="24" t="str">
        <v>25-34</v>
      </c>
      <c r="F190" s="24" t="str">
        <v>Medium</v>
      </c>
      <c r="G190" s="24">
        <v>2</v>
      </c>
      <c r="H190" s="24">
        <v>245</v>
      </c>
      <c r="I190" s="23">
        <v>256.75</v>
      </c>
      <c r="J190" s="24" cm="1">
        <f t="array" ref="J190">SUMPRODUCT(
    (Transactions_and_Customer_Information_Joined[Customer ID]='V1-Based Churn Model (Step 3)'!$A190)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190" s="24">
        <f>SUMIF(Transactions_and_Customer_Information_Joined[Customer ID], 'V1-Based Churn Model (Step 3)'!$A190, Transactions_and_Customer_Information_Joined[Gross Revenue])</f>
        <v>821.6</v>
      </c>
      <c r="L190" s="3">
        <f t="shared" si="12"/>
        <v>0</v>
      </c>
      <c r="M190" s="21">
        <v>0</v>
      </c>
      <c r="N190" s="21" cm="1">
        <f t="array" ref="N190">SUMPRODUCT(
    (Transactions_and_Customer_Information_Joined[Customer ID]=$A190)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190" s="21" cm="1">
        <f t="array" ref="O190">IFERROR(
    SUMPRODUCT(
        (Transactions_and_Customer_Information_Joined[Customer ID]=$A190)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$J190,
0)</f>
        <v>0</v>
      </c>
      <c r="P190" s="5" cm="1">
        <f t="array" ref="P190">_xlfn.IFS(B190="At-Risk Churner",$B$2,$B190="Dormant",$B$3,$B190="Deal Hunter",$B$4,$B190="New Customer",$B$5,$B190="Occasional Buyer",$B$6,$B190="Loyal High-Value",$B$7)</f>
        <v>70</v>
      </c>
      <c r="Q190" s="9" cm="1">
        <f t="array" ref="Q190">_xlfn.IFS($B190 = "At-Risk Churner", $B$8, $B190="Dormant",$B$9, $B190="Deal Hunter", $B$10, $B190="New Customer", $B$11, $B190="Occasional Buyer", $B$12, $B190 = "Loyal High-Value",$B$13)</f>
        <v>0.45</v>
      </c>
      <c r="R190" s="5">
        <v>5</v>
      </c>
      <c r="S190" s="5">
        <v>10</v>
      </c>
      <c r="T190" s="5">
        <v>8</v>
      </c>
      <c r="U190" s="5">
        <f t="shared" si="13"/>
        <v>0</v>
      </c>
      <c r="V190" s="5">
        <f t="shared" si="14"/>
        <v>0</v>
      </c>
      <c r="W190" s="43">
        <f t="shared" si="15"/>
        <v>93.7</v>
      </c>
      <c r="X190" s="5" t="str" cm="1">
        <f t="array" ref="X190">_xlfn.IFS($W190 &lt;= 30, "Low", $W190 &lt;=50, "Medium", $W190 &lt;= 70, "High", $W190 &gt; 70, "Critical")</f>
        <v>Critical</v>
      </c>
      <c r="Y190" s="9">
        <f t="shared" si="16"/>
        <v>0.4443780661815917</v>
      </c>
      <c r="Z190" s="22">
        <f t="shared" si="17"/>
        <v>114.09406849212367</v>
      </c>
    </row>
    <row r="191" spans="1:26">
      <c r="A191" s="24" t="str">
        <v>CUST-4878</v>
      </c>
      <c r="B191" s="24" t="str">
        <v>Deal Hunter</v>
      </c>
      <c r="C191" s="24" t="str">
        <v>Email Campaign</v>
      </c>
      <c r="D191" s="24" t="str">
        <v>Canada</v>
      </c>
      <c r="E191" s="24" t="str">
        <v>25-34</v>
      </c>
      <c r="F191" s="24" t="str">
        <v>Medium</v>
      </c>
      <c r="G191" s="24">
        <v>6</v>
      </c>
      <c r="H191" s="24">
        <v>351</v>
      </c>
      <c r="I191" s="23">
        <v>502.05</v>
      </c>
      <c r="J191" s="24" cm="1">
        <f t="array" ref="J191">SUMPRODUCT(
    (Transactions_and_Customer_Information_Joined[Customer ID]='V1-Based Churn Model (Step 3)'!$A191) *
    (IFERROR(_xlfn.XLOOKUP(Transactions_and_Customer_Information_Joined[SKU], 'V1 Pricing Model (Step 2)'!$A$22:$A$71, 'V1 Pricing Model (Step 2)'!$AL$22:$AL$71), "Exclude")&lt;&gt;"Exclude") *
    Transactions_and_Customer_Information_Joined[Gross Revenue])</f>
        <v>145.4</v>
      </c>
      <c r="K191" s="24">
        <f>SUMIF(Transactions_and_Customer_Information_Joined[Customer ID], 'V1-Based Churn Model (Step 3)'!$A191, Transactions_and_Customer_Information_Joined[Gross Revenue])</f>
        <v>145.4</v>
      </c>
      <c r="L191" s="3">
        <f t="shared" si="12"/>
        <v>1</v>
      </c>
      <c r="M191" s="21">
        <v>6.4419042005321461E-2</v>
      </c>
      <c r="N191" s="21" cm="1">
        <f t="array" ref="N191">SUMPRODUCT(
    (Transactions_and_Customer_Information_Joined[Customer ID]=$A191)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91" s="21" cm="1">
        <f t="array" ref="O191">IFERROR(
    SUMPRODUCT(
        (Transactions_and_Customer_Information_Joined[Customer ID]=$A191)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$J191,
0)</f>
        <v>6.4419042005321461E-2</v>
      </c>
      <c r="P191" s="5" cm="1">
        <f t="array" ref="P191">_xlfn.IFS(B191="At-Risk Churner",$B$2,$B191="Dormant",$B$3,$B191="Deal Hunter",$B$4,$B191="New Customer",$B$5,$B191="Occasional Buyer",$B$6,$B191="Loyal High-Value",$B$7)</f>
        <v>45</v>
      </c>
      <c r="Q191" s="9" cm="1">
        <f t="array" ref="Q191">_xlfn.IFS($B191 = "At-Risk Churner", $B$8, $B191="Dormant",$B$9, $B191="Deal Hunter", $B$10, $B191="New Customer", $B$11, $B191="Occasional Buyer", $B$12, $B191 = "Loyal High-Value",$B$13)</f>
        <v>0.25</v>
      </c>
      <c r="R191" s="5">
        <v>5</v>
      </c>
      <c r="S191" s="5">
        <v>0</v>
      </c>
      <c r="T191" s="5">
        <v>15</v>
      </c>
      <c r="U191" s="5">
        <f t="shared" si="13"/>
        <v>15</v>
      </c>
      <c r="V191" s="5">
        <f t="shared" si="14"/>
        <v>2.5767616802128583</v>
      </c>
      <c r="W191" s="43">
        <f t="shared" si="15"/>
        <v>82.689261680212852</v>
      </c>
      <c r="X191" s="5" t="str" cm="1">
        <f t="array" ref="X191">_xlfn.IFS($W191 &lt;= 30, "Low", $W191 &lt;=50, "Medium", $W191 &lt;= 70, "High", $W191 &gt; 70, "Critical")</f>
        <v>Critical</v>
      </c>
      <c r="Y191" s="9">
        <f t="shared" si="16"/>
        <v>0.24083681858154077</v>
      </c>
      <c r="Z191" s="22">
        <f t="shared" si="17"/>
        <v>120.91212476886254</v>
      </c>
    </row>
    <row r="192" spans="1:26">
      <c r="A192" s="24" t="str">
        <v>CUST-3199</v>
      </c>
      <c r="B192" s="24" t="str">
        <v>New Customer</v>
      </c>
      <c r="C192" s="24" t="str">
        <v>Direct</v>
      </c>
      <c r="D192" s="24" t="str">
        <v>Southwest</v>
      </c>
      <c r="E192" s="24" t="str">
        <v>45-54</v>
      </c>
      <c r="F192" s="24" t="str">
        <v>Low</v>
      </c>
      <c r="G192" s="24">
        <v>5</v>
      </c>
      <c r="H192" s="24">
        <v>327</v>
      </c>
      <c r="I192" s="23">
        <v>20.170000000000002</v>
      </c>
      <c r="J192" s="24" cm="1">
        <f t="array" ref="J192">SUMPRODUCT(
    (Transactions_and_Customer_Information_Joined[Customer ID]='V1-Based Churn Model (Step 3)'!$A192) *
    (IFERROR(_xlfn.XLOOKUP(Transactions_and_Customer_Information_Joined[SKU], 'V1 Pricing Model (Step 2)'!$A$22:$A$71, 'V1 Pricing Model (Step 2)'!$AL$22:$AL$71), "Exclude")&lt;&gt;"Exclude") *
    Transactions_and_Customer_Information_Joined[Gross Revenue])</f>
        <v>354.82</v>
      </c>
      <c r="K192" s="24">
        <f>SUMIF(Transactions_and_Customer_Information_Joined[Customer ID], 'V1-Based Churn Model (Step 3)'!$A192, Transactions_and_Customer_Information_Joined[Gross Revenue])</f>
        <v>354.82</v>
      </c>
      <c r="L192" s="3">
        <f t="shared" si="12"/>
        <v>1</v>
      </c>
      <c r="M192" s="21">
        <v>9.4555309750757724E-2</v>
      </c>
      <c r="N192" s="21" cm="1">
        <f t="array" ref="N192">SUMPRODUCT(
    (Transactions_and_Customer_Information_Joined[Customer ID]=$A192)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92" s="21" cm="1">
        <f t="array" ref="O192">IFERROR(
    SUMPRODUCT(
        (Transactions_and_Customer_Information_Joined[Customer ID]=$A192)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$J192,
0)</f>
        <v>9.4555309750757724E-2</v>
      </c>
      <c r="P192" s="5" cm="1">
        <f t="array" ref="P192">_xlfn.IFS(B192="At-Risk Churner",$B$2,$B192="Dormant",$B$3,$B192="Deal Hunter",$B$4,$B192="New Customer",$B$5,$B192="Occasional Buyer",$B$6,$B192="Loyal High-Value",$B$7)</f>
        <v>35</v>
      </c>
      <c r="Q192" s="9" cm="1">
        <f t="array" ref="Q192">_xlfn.IFS($B192 = "At-Risk Churner", $B$8, $B192="Dormant",$B$9, $B192="Deal Hunter", $B$10, $B192="New Customer", $B$11, $B192="Occasional Buyer", $B$12, $B192 = "Loyal High-Value",$B$13)</f>
        <v>0.35</v>
      </c>
      <c r="R192" s="5">
        <v>-5</v>
      </c>
      <c r="S192" s="5">
        <v>0</v>
      </c>
      <c r="T192" s="5">
        <v>15</v>
      </c>
      <c r="U192" s="5">
        <f t="shared" si="13"/>
        <v>15</v>
      </c>
      <c r="V192" s="5">
        <f t="shared" si="14"/>
        <v>3.7822123900303088</v>
      </c>
      <c r="W192" s="43">
        <f t="shared" si="15"/>
        <v>63.669712390030313</v>
      </c>
      <c r="X192" s="5" t="str" cm="1">
        <f t="array" ref="X192">_xlfn.IFS($W192 &lt;= 30, "Low", $W192 &lt;=50, "Medium", $W192 &lt;= 70, "High", $W192 &gt; 70, "Critical")</f>
        <v>High</v>
      </c>
      <c r="Y192" s="9">
        <f t="shared" si="16"/>
        <v>0.27891162981315132</v>
      </c>
      <c r="Z192" s="22">
        <f t="shared" si="17"/>
        <v>8.5345180586650109</v>
      </c>
    </row>
    <row r="193" spans="1:26">
      <c r="A193" s="24" t="str">
        <v>CUST-3801</v>
      </c>
      <c r="B193" s="24" t="str">
        <v>Dormant</v>
      </c>
      <c r="C193" s="24" t="str">
        <v>Email Campaign</v>
      </c>
      <c r="D193" s="24" t="str">
        <v>West</v>
      </c>
      <c r="E193" s="24" t="str">
        <v>45-54</v>
      </c>
      <c r="F193" s="24" t="str">
        <v>Low</v>
      </c>
      <c r="G193" s="24">
        <v>9</v>
      </c>
      <c r="H193" s="24">
        <v>7</v>
      </c>
      <c r="I193" s="23">
        <v>181.6</v>
      </c>
      <c r="J193" s="24" cm="1">
        <f t="array" ref="J193">SUMPRODUCT(
    (Transactions_and_Customer_Information_Joined[Customer ID]='V1-Based Churn Model (Step 3)'!$A193) *
    (IFERROR(_xlfn.XLOOKUP(Transactions_and_Customer_Information_Joined[SKU], 'V1 Pricing Model (Step 2)'!$A$22:$A$71, 'V1 Pricing Model (Step 2)'!$AL$22:$AL$71), "Exclude")&lt;&gt;"Exclude") *
    Transactions_and_Customer_Information_Joined[Gross Revenue])</f>
        <v>186.82</v>
      </c>
      <c r="K193" s="24">
        <f>SUMIF(Transactions_and_Customer_Information_Joined[Customer ID], 'V1-Based Churn Model (Step 3)'!$A193, Transactions_and_Customer_Information_Joined[Gross Revenue])</f>
        <v>186.82</v>
      </c>
      <c r="L193" s="3">
        <f t="shared" si="12"/>
        <v>1</v>
      </c>
      <c r="M193" s="21">
        <v>-6.1928730463004879E-2</v>
      </c>
      <c r="N193" s="21" cm="1">
        <f t="array" ref="N193">SUMPRODUCT(
    (Transactions_and_Customer_Information_Joined[Customer ID]=$A193)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93" s="21" cm="1">
        <f t="array" ref="O193">IFERROR(
    SUMPRODUCT(
        (Transactions_and_Customer_Information_Joined[Customer ID]=$A193)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$J193,
0)</f>
        <v>-6.1928730463004872E-2</v>
      </c>
      <c r="P193" s="5" cm="1">
        <f t="array" ref="P193">_xlfn.IFS(B193="At-Risk Churner",$B$2,$B193="Dormant",$B$3,$B193="Deal Hunter",$B$4,$B193="New Customer",$B$5,$B193="Occasional Buyer",$B$6,$B193="Loyal High-Value",$B$7)</f>
        <v>65</v>
      </c>
      <c r="Q193" s="9" cm="1">
        <f t="array" ref="Q193">_xlfn.IFS($B193 = "At-Risk Churner", $B$8, $B193="Dormant",$B$9, $B193="Deal Hunter", $B$10, $B193="New Customer", $B$11, $B193="Occasional Buyer", $B$12, $B193 = "Loyal High-Value",$B$13)</f>
        <v>0.6</v>
      </c>
      <c r="R193" s="5">
        <v>-5</v>
      </c>
      <c r="S193" s="5">
        <v>-8</v>
      </c>
      <c r="T193" s="5">
        <v>-5</v>
      </c>
      <c r="U193" s="5">
        <f t="shared" si="13"/>
        <v>15</v>
      </c>
      <c r="V193" s="5">
        <f t="shared" si="14"/>
        <v>2.4771492185201947</v>
      </c>
      <c r="W193" s="43">
        <f t="shared" si="15"/>
        <v>63.844649218520196</v>
      </c>
      <c r="X193" s="5" t="str" cm="1">
        <f t="array" ref="X193">_xlfn.IFS($W193 &lt;= 30, "Low", $W193 &lt;=50, "Medium", $W193 &lt;= 70, "High", $W193 &gt; 70, "Critical")</f>
        <v>High</v>
      </c>
      <c r="Y193" s="9">
        <f t="shared" si="16"/>
        <v>0.4798242774371671</v>
      </c>
      <c r="Z193" s="22">
        <f t="shared" si="17"/>
        <v>106.02887102607163</v>
      </c>
    </row>
    <row r="194" spans="1:26">
      <c r="A194" s="24" t="str">
        <v>CUST-1147</v>
      </c>
      <c r="B194" s="24" t="str">
        <v>At-Risk Churner</v>
      </c>
      <c r="C194" s="24" t="str">
        <v>Email Campaign</v>
      </c>
      <c r="D194" s="24" t="str">
        <v>Canada</v>
      </c>
      <c r="E194" s="24" t="str">
        <v>25-34</v>
      </c>
      <c r="F194" s="24" t="str">
        <v>High</v>
      </c>
      <c r="G194" s="24">
        <v>2</v>
      </c>
      <c r="H194" s="24">
        <v>300</v>
      </c>
      <c r="I194" s="23">
        <v>362.25</v>
      </c>
      <c r="J194" s="24" cm="1">
        <f t="array" ref="J194">SUMPRODUCT(
    (Transactions_and_Customer_Information_Joined[Customer ID]='V1-Based Churn Model (Step 3)'!$A194) *
    (IFERROR(_xlfn.XLOOKUP(Transactions_and_Customer_Information_Joined[SKU], 'V1 Pricing Model (Step 2)'!$A$22:$A$71, 'V1 Pricing Model (Step 2)'!$AL$22:$AL$71), "Exclude")&lt;&gt;"Exclude") *
    Transactions_and_Customer_Information_Joined[Gross Revenue])</f>
        <v>99.6</v>
      </c>
      <c r="K194" s="24">
        <f>SUMIF(Transactions_and_Customer_Information_Joined[Customer ID], 'V1-Based Churn Model (Step 3)'!$A194, Transactions_and_Customer_Information_Joined[Gross Revenue])</f>
        <v>99.6</v>
      </c>
      <c r="L194" s="3">
        <f t="shared" si="12"/>
        <v>1</v>
      </c>
      <c r="M194" s="21">
        <v>-0.13274948234794526</v>
      </c>
      <c r="N194" s="21" cm="1">
        <f t="array" ref="N194">SUMPRODUCT(
    (Transactions_and_Customer_Information_Joined[Customer ID]=$A194)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94" s="21" cm="1">
        <f t="array" ref="O194">IFERROR(
    SUMPRODUCT(
        (Transactions_and_Customer_Information_Joined[Customer ID]=$A194)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$J194,
0)</f>
        <v>-0.13274948234794526</v>
      </c>
      <c r="P194" s="5" cm="1">
        <f t="array" ref="P194">_xlfn.IFS(B194="At-Risk Churner",$B$2,$B194="Dormant",$B$3,$B194="Deal Hunter",$B$4,$B194="New Customer",$B$5,$B194="Occasional Buyer",$B$6,$B194="Loyal High-Value",$B$7)</f>
        <v>70</v>
      </c>
      <c r="Q194" s="9" cm="1">
        <f t="array" ref="Q194">_xlfn.IFS($B194 = "At-Risk Churner", $B$8, $B194="Dormant",$B$9, $B194="Deal Hunter", $B$10, $B194="New Customer", $B$11, $B194="Occasional Buyer", $B$12, $B194 = "Loyal High-Value",$B$13)</f>
        <v>0.45</v>
      </c>
      <c r="R194" s="5">
        <v>15</v>
      </c>
      <c r="S194" s="5">
        <v>10</v>
      </c>
      <c r="T194" s="5">
        <v>8</v>
      </c>
      <c r="U194" s="5">
        <f t="shared" si="13"/>
        <v>15</v>
      </c>
      <c r="V194" s="5">
        <f t="shared" si="14"/>
        <v>5.3099792939178103</v>
      </c>
      <c r="W194" s="43">
        <f t="shared" si="15"/>
        <v>100</v>
      </c>
      <c r="X194" s="5" t="str" cm="1">
        <f t="array" ref="X194">_xlfn.IFS($W194 &lt;= 30, "Low", $W194 &lt;=50, "Medium", $W194 &lt;= 70, "High", $W194 &gt; 70, "Critical")</f>
        <v>Critical</v>
      </c>
      <c r="Y194" s="9">
        <f t="shared" si="16"/>
        <v>0.44698821708407188</v>
      </c>
      <c r="Z194" s="22">
        <f t="shared" si="17"/>
        <v>161.92148163870505</v>
      </c>
    </row>
    <row r="195" spans="1:26">
      <c r="A195" s="24" t="str">
        <v>CUST-4589</v>
      </c>
      <c r="B195" s="24" t="str">
        <v>Loyal High-Value</v>
      </c>
      <c r="C195" s="24" t="str">
        <v>Direct</v>
      </c>
      <c r="D195" s="24" t="str">
        <v>Canada</v>
      </c>
      <c r="E195" s="24" t="str">
        <v>35-44</v>
      </c>
      <c r="F195" s="24" t="str">
        <v>Low</v>
      </c>
      <c r="G195" s="24">
        <v>8</v>
      </c>
      <c r="H195" s="24">
        <v>54</v>
      </c>
      <c r="I195" s="23">
        <v>1491.12</v>
      </c>
      <c r="J195" s="24" cm="1">
        <f t="array" ref="J195">SUMPRODUCT(
    (Transactions_and_Customer_Information_Joined[Customer ID]='V1-Based Churn Model (Step 3)'!$A195) *
    (IFERROR(_xlfn.XLOOKUP(Transactions_and_Customer_Information_Joined[SKU], 'V1 Pricing Model (Step 2)'!$A$22:$A$71, 'V1 Pricing Model (Step 2)'!$AL$22:$AL$71), "Exclude")&lt;&gt;"Exclude") *
    Transactions_and_Customer_Information_Joined[Gross Revenue])</f>
        <v>211.31</v>
      </c>
      <c r="K195" s="24">
        <f>SUMIF(Transactions_and_Customer_Information_Joined[Customer ID], 'V1-Based Churn Model (Step 3)'!$A195, Transactions_and_Customer_Information_Joined[Gross Revenue])</f>
        <v>211.31</v>
      </c>
      <c r="L195" s="3">
        <f t="shared" si="12"/>
        <v>1</v>
      </c>
      <c r="M195" s="21">
        <v>9.4555309750757724E-2</v>
      </c>
      <c r="N195" s="21" cm="1">
        <f t="array" ref="N195">SUMPRODUCT(
    (Transactions_and_Customer_Information_Joined[Customer ID]=$A195)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2</v>
      </c>
      <c r="O195" s="21" cm="1">
        <f t="array" ref="O195">IFERROR(
    SUMPRODUCT(
        (Transactions_and_Customer_Information_Joined[Customer ID]=$A195)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$J195,
0)</f>
        <v>7.8258694727761979E-2</v>
      </c>
      <c r="P195" s="5" cm="1">
        <f t="array" ref="P195">_xlfn.IFS(B195="At-Risk Churner",$B$2,$B195="Dormant",$B$3,$B195="Deal Hunter",$B$4,$B195="New Customer",$B$5,$B195="Occasional Buyer",$B$6,$B195="Loyal High-Value",$B$7)</f>
        <v>15</v>
      </c>
      <c r="Q195" s="9" cm="1">
        <f t="array" ref="Q195">_xlfn.IFS($B195 = "At-Risk Churner", $B$8, $B195="Dormant",$B$9, $B195="Deal Hunter", $B$10, $B195="New Customer", $B$11, $B195="Occasional Buyer", $B$12, $B195 = "Loyal High-Value",$B$13)</f>
        <v>0.05</v>
      </c>
      <c r="R195" s="5">
        <v>-5</v>
      </c>
      <c r="S195" s="5">
        <v>-8</v>
      </c>
      <c r="T195" s="5">
        <v>-5</v>
      </c>
      <c r="U195" s="5">
        <f t="shared" si="13"/>
        <v>15</v>
      </c>
      <c r="V195" s="5">
        <f t="shared" si="14"/>
        <v>3.4562800895703942</v>
      </c>
      <c r="W195" s="43">
        <f t="shared" si="15"/>
        <v>15.223780089570395</v>
      </c>
      <c r="X195" s="5" t="str" cm="1">
        <f t="array" ref="X195">_xlfn.IFS($W195 &lt;= 30, "Low", $W195 &lt;=50, "Medium", $W195 &lt;= 70, "High", $W195 &gt; 70, "Critical")</f>
        <v>Low</v>
      </c>
      <c r="Y195" s="9">
        <f t="shared" si="16"/>
        <v>1.49778518287289E-3</v>
      </c>
      <c r="Z195" s="22">
        <f t="shared" si="17"/>
        <v>2.2333774418854233</v>
      </c>
    </row>
    <row r="196" spans="1:26">
      <c r="A196" s="24" t="str">
        <v>CUST-4829</v>
      </c>
      <c r="B196" s="24" t="str">
        <v>Occasional Buyer</v>
      </c>
      <c r="C196" s="24" t="str">
        <v>Email Campaign</v>
      </c>
      <c r="D196" s="24" t="str">
        <v>Southwest</v>
      </c>
      <c r="E196" s="24" t="str">
        <v>55+</v>
      </c>
      <c r="F196" s="24" t="str">
        <v>High</v>
      </c>
      <c r="G196" s="24">
        <v>0</v>
      </c>
      <c r="H196" s="24">
        <v>61</v>
      </c>
      <c r="I196" s="23">
        <v>698.7</v>
      </c>
      <c r="J196" s="24" cm="1">
        <f t="array" ref="J196">SUMPRODUCT(
    (Transactions_and_Customer_Information_Joined[Customer ID]='V1-Based Churn Model (Step 3)'!$A196) *
    (IFERROR(_xlfn.XLOOKUP(Transactions_and_Customer_Information_Joined[SKU], 'V1 Pricing Model (Step 2)'!$A$22:$A$71, 'V1 Pricing Model (Step 2)'!$AL$22:$AL$71), "Exclude")&lt;&gt;"Exclude") *
    Transactions_and_Customer_Information_Joined[Gross Revenue])</f>
        <v>99.6</v>
      </c>
      <c r="K196" s="24">
        <f>SUMIF(Transactions_and_Customer_Information_Joined[Customer ID], 'V1-Based Churn Model (Step 3)'!$A196, Transactions_and_Customer_Information_Joined[Gross Revenue])</f>
        <v>99.6</v>
      </c>
      <c r="L196" s="3">
        <f t="shared" si="12"/>
        <v>1</v>
      </c>
      <c r="M196" s="21">
        <v>-0.13274948234794526</v>
      </c>
      <c r="N196" s="21" cm="1">
        <f t="array" ref="N196">SUMPRODUCT(
    (Transactions_and_Customer_Information_Joined[Customer ID]=$A196)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96" s="21" cm="1">
        <f t="array" ref="O196">IFERROR(
    SUMPRODUCT(
        (Transactions_and_Customer_Information_Joined[Customer ID]=$A196)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$J196,
0)</f>
        <v>-0.13274948234794526</v>
      </c>
      <c r="P196" s="5" cm="1">
        <f t="array" ref="P196">_xlfn.IFS(B196="At-Risk Churner",$B$2,$B196="Dormant",$B$3,$B196="Deal Hunter",$B$4,$B196="New Customer",$B$5,$B196="Occasional Buyer",$B$6,$B196="Loyal High-Value",$B$7)</f>
        <v>25</v>
      </c>
      <c r="Q196" s="9" cm="1">
        <f t="array" ref="Q196">_xlfn.IFS($B196 = "At-Risk Churner", $B$8, $B196="Dormant",$B$9, $B196="Deal Hunter", $B$10, $B196="New Customer", $B$11, $B196="Occasional Buyer", $B$12, $B196 = "Loyal High-Value",$B$13)</f>
        <v>0.18</v>
      </c>
      <c r="R196" s="5">
        <v>15</v>
      </c>
      <c r="S196" s="5">
        <v>10</v>
      </c>
      <c r="T196" s="5">
        <v>0</v>
      </c>
      <c r="U196" s="5">
        <f t="shared" si="13"/>
        <v>15</v>
      </c>
      <c r="V196" s="5">
        <f t="shared" si="14"/>
        <v>5.3099792939178103</v>
      </c>
      <c r="W196" s="43">
        <f t="shared" si="15"/>
        <v>70.897479293917812</v>
      </c>
      <c r="X196" s="5" t="str" cm="1">
        <f t="array" ref="X196">_xlfn.IFS($W196 &lt;= 30, "Low", $W196 &lt;=50, "Medium", $W196 &lt;= 70, "High", $W196 &gt; 70, "Critical")</f>
        <v>Critical</v>
      </c>
      <c r="Y196" s="9">
        <f t="shared" si="16"/>
        <v>0.16018249162140044</v>
      </c>
      <c r="Z196" s="22">
        <f t="shared" si="17"/>
        <v>111.9195068958725</v>
      </c>
    </row>
    <row r="197" spans="1:26">
      <c r="A197" s="24" t="str">
        <v>CUST-3078</v>
      </c>
      <c r="B197" s="24" t="str">
        <v>Dormant</v>
      </c>
      <c r="C197" s="24" t="str">
        <v>Organic Search</v>
      </c>
      <c r="D197" s="24" t="str">
        <v>Northeast</v>
      </c>
      <c r="E197" s="24" t="str">
        <v>35-44</v>
      </c>
      <c r="F197" s="24" t="str">
        <v>Low</v>
      </c>
      <c r="G197" s="24">
        <v>8</v>
      </c>
      <c r="H197" s="24">
        <v>231</v>
      </c>
      <c r="I197" s="23">
        <v>118.17</v>
      </c>
      <c r="J197" s="24" cm="1">
        <f t="array" ref="J197">SUMPRODUCT(
    (Transactions_and_Customer_Information_Joined[Customer ID]='V1-Based Churn Model (Step 3)'!$A197) *
    (IFERROR(_xlfn.XLOOKUP(Transactions_and_Customer_Information_Joined[SKU], 'V1 Pricing Model (Step 2)'!$A$22:$A$71, 'V1 Pricing Model (Step 2)'!$AL$22:$AL$71), "Exclude")&lt;&gt;"Exclude") *
    Transactions_and_Customer_Information_Joined[Gross Revenue])</f>
        <v>569.97</v>
      </c>
      <c r="K197" s="24">
        <f>SUMIF(Transactions_and_Customer_Information_Joined[Customer ID], 'V1-Based Churn Model (Step 3)'!$A197, Transactions_and_Customer_Information_Joined[Gross Revenue])</f>
        <v>569.97</v>
      </c>
      <c r="L197" s="3">
        <f t="shared" si="12"/>
        <v>1</v>
      </c>
      <c r="M197" s="21">
        <v>0.22185784964769206</v>
      </c>
      <c r="N197" s="21" cm="1">
        <f t="array" ref="N197">SUMPRODUCT(
    (Transactions_and_Customer_Information_Joined[Customer ID]=$A197)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97" s="21" cm="1">
        <f t="array" ref="O197">IFERROR(
    SUMPRODUCT(
        (Transactions_and_Customer_Information_Joined[Customer ID]=$A197)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$J197,
0)</f>
        <v>0.22185784964769206</v>
      </c>
      <c r="P197" s="5" cm="1">
        <f t="array" ref="P197">_xlfn.IFS(B197="At-Risk Churner",$B$2,$B197="Dormant",$B$3,$B197="Deal Hunter",$B$4,$B197="New Customer",$B$5,$B197="Occasional Buyer",$B$6,$B197="Loyal High-Value",$B$7)</f>
        <v>65</v>
      </c>
      <c r="Q197" s="9" cm="1">
        <f t="array" ref="Q197">_xlfn.IFS($B197 = "At-Risk Churner", $B$8, $B197="Dormant",$B$9, $B197="Deal Hunter", $B$10, $B197="New Customer", $B$11, $B197="Occasional Buyer", $B$12, $B197 = "Loyal High-Value",$B$13)</f>
        <v>0.6</v>
      </c>
      <c r="R197" s="5">
        <v>-5</v>
      </c>
      <c r="S197" s="5">
        <v>-8</v>
      </c>
      <c r="T197" s="5">
        <v>8</v>
      </c>
      <c r="U197" s="5">
        <f t="shared" si="13"/>
        <v>15</v>
      </c>
      <c r="V197" s="5">
        <f t="shared" si="14"/>
        <v>8.8743139859076834</v>
      </c>
      <c r="W197" s="43">
        <f t="shared" si="15"/>
        <v>83.241813985907697</v>
      </c>
      <c r="X197" s="5" t="str" cm="1">
        <f t="array" ref="X197">_xlfn.IFS($W197 &lt;= 30, "Low", $W197 &lt;=50, "Medium", $W197 &lt;= 70, "High", $W197 &gt; 70, "Critical")</f>
        <v>Critical</v>
      </c>
      <c r="Y197" s="9">
        <f t="shared" si="16"/>
        <v>0.57914947342006551</v>
      </c>
      <c r="Z197" s="22">
        <f t="shared" si="17"/>
        <v>68.438093274049137</v>
      </c>
    </row>
    <row r="198" spans="1:26">
      <c r="A198" s="24" t="str">
        <v>CUST-1867</v>
      </c>
      <c r="B198" s="24" t="str">
        <v>New Customer</v>
      </c>
      <c r="C198" s="24" t="str">
        <v>Organic Search</v>
      </c>
      <c r="D198" s="24" t="str">
        <v>Canada</v>
      </c>
      <c r="E198" s="24" t="str">
        <v>25-34</v>
      </c>
      <c r="F198" s="24" t="str">
        <v>Low</v>
      </c>
      <c r="G198" s="24">
        <v>10</v>
      </c>
      <c r="H198" s="24">
        <v>97</v>
      </c>
      <c r="I198" s="23">
        <v>122.77</v>
      </c>
      <c r="J198" s="24" cm="1">
        <f t="array" ref="J198">SUMPRODUCT(
    (Transactions_and_Customer_Information_Joined[Customer ID]='V1-Based Churn Model (Step 3)'!$A198) *
    (IFERROR(_xlfn.XLOOKUP(Transactions_and_Customer_Information_Joined[SKU], 'V1 Pricing Model (Step 2)'!$A$22:$A$71, 'V1 Pricing Model (Step 2)'!$AL$22:$AL$71), "Exclude")&lt;&gt;"Exclude") *
    Transactions_and_Customer_Information_Joined[Gross Revenue])</f>
        <v>159.78</v>
      </c>
      <c r="K198" s="24">
        <f>SUMIF(Transactions_and_Customer_Information_Joined[Customer ID], 'V1-Based Churn Model (Step 3)'!$A198, Transactions_and_Customer_Information_Joined[Gross Revenue])</f>
        <v>159.78</v>
      </c>
      <c r="L198" s="3">
        <f t="shared" si="12"/>
        <v>1</v>
      </c>
      <c r="M198" s="21">
        <v>8.081096121299744E-2</v>
      </c>
      <c r="N198" s="21" cm="1">
        <f t="array" ref="N198">SUMPRODUCT(
    (Transactions_and_Customer_Information_Joined[Customer ID]=$A198)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98" s="21" cm="1">
        <f t="array" ref="O198">IFERROR(
    SUMPRODUCT(
        (Transactions_and_Customer_Information_Joined[Customer ID]=$A198)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$J198,
0)</f>
        <v>8.081096121299744E-2</v>
      </c>
      <c r="P198" s="5" cm="1">
        <f t="array" ref="P198">_xlfn.IFS(B198="At-Risk Churner",$B$2,$B198="Dormant",$B$3,$B198="Deal Hunter",$B$4,$B198="New Customer",$B$5,$B198="Occasional Buyer",$B$6,$B198="Loyal High-Value",$B$7)</f>
        <v>35</v>
      </c>
      <c r="Q198" s="9" cm="1">
        <f t="array" ref="Q198">_xlfn.IFS($B198 = "At-Risk Churner", $B$8, $B198="Dormant",$B$9, $B198="Deal Hunter", $B$10, $B198="New Customer", $B$11, $B198="Occasional Buyer", $B$12, $B198 = "Loyal High-Value",$B$13)</f>
        <v>0.35</v>
      </c>
      <c r="R198" s="5">
        <v>-5</v>
      </c>
      <c r="S198" s="5">
        <v>-8</v>
      </c>
      <c r="T198" s="5">
        <v>0</v>
      </c>
      <c r="U198" s="5">
        <f t="shared" si="13"/>
        <v>15</v>
      </c>
      <c r="V198" s="5">
        <f t="shared" si="14"/>
        <v>3.2324384485198978</v>
      </c>
      <c r="W198" s="43">
        <f t="shared" si="15"/>
        <v>39.839938448519902</v>
      </c>
      <c r="X198" s="5" t="str" cm="1">
        <f t="array" ref="X198">_xlfn.IFS($W198 &lt;= 30, "Low", $W198 &lt;=50, "Medium", $W198 &lt;= 70, "High", $W198 &gt; 70, "Critical")</f>
        <v>Medium</v>
      </c>
      <c r="Y198" s="9">
        <f t="shared" si="16"/>
        <v>9.3032128983502771E-2</v>
      </c>
      <c r="Z198" s="22">
        <f t="shared" si="17"/>
        <v>33.691243580243707</v>
      </c>
    </row>
    <row r="199" spans="1:26">
      <c r="A199" s="24" t="str">
        <v>CUST-1033</v>
      </c>
      <c r="B199" s="24" t="str">
        <v>Dormant</v>
      </c>
      <c r="C199" s="24" t="str">
        <v>Direct</v>
      </c>
      <c r="D199" s="24" t="str">
        <v>West</v>
      </c>
      <c r="E199" s="24" t="str">
        <v>45-54</v>
      </c>
      <c r="F199" s="24" t="str">
        <v>Medium</v>
      </c>
      <c r="G199" s="24">
        <v>6</v>
      </c>
      <c r="H199" s="24">
        <v>343</v>
      </c>
      <c r="I199" s="23">
        <v>109.32</v>
      </c>
      <c r="J199" s="24" cm="1">
        <f t="array" ref="J199">SUMPRODUCT(
    (Transactions_and_Customer_Information_Joined[Customer ID]='V1-Based Churn Model (Step 3)'!$A199) *
    (IFERROR(_xlfn.XLOOKUP(Transactions_and_Customer_Information_Joined[SKU], 'V1 Pricing Model (Step 2)'!$A$22:$A$71, 'V1 Pricing Model (Step 2)'!$AL$22:$AL$71), "Exclude")&lt;&gt;"Exclude") *
    Transactions_and_Customer_Information_Joined[Gross Revenue])</f>
        <v>310.68</v>
      </c>
      <c r="K199" s="24">
        <f>SUMIF(Transactions_and_Customer_Information_Joined[Customer ID], 'V1-Based Churn Model (Step 3)'!$A199, Transactions_and_Customer_Information_Joined[Gross Revenue])</f>
        <v>310.68</v>
      </c>
      <c r="L199" s="3">
        <f t="shared" si="12"/>
        <v>1</v>
      </c>
      <c r="M199" s="21">
        <v>-0.1229980207344718</v>
      </c>
      <c r="N199" s="21" cm="1">
        <f t="array" ref="N199">SUMPRODUCT(
    (Transactions_and_Customer_Information_Joined[Customer ID]=$A199)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199" s="21" cm="1">
        <f t="array" ref="O199">IFERROR(
    SUMPRODUCT(
        (Transactions_and_Customer_Information_Joined[Customer ID]=$A199)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$J199,
0)</f>
        <v>-0.1229980207344718</v>
      </c>
      <c r="P199" s="5" cm="1">
        <f t="array" ref="P199">_xlfn.IFS(B199="At-Risk Churner",$B$2,$B199="Dormant",$B$3,$B199="Deal Hunter",$B$4,$B199="New Customer",$B$5,$B199="Occasional Buyer",$B$6,$B199="Loyal High-Value",$B$7)</f>
        <v>65</v>
      </c>
      <c r="Q199" s="9" cm="1">
        <f t="array" ref="Q199">_xlfn.IFS($B199 = "At-Risk Churner", $B$8, $B199="Dormant",$B$9, $B199="Deal Hunter", $B$10, $B199="New Customer", $B$11, $B199="Occasional Buyer", $B$12, $B199 = "Loyal High-Value",$B$13)</f>
        <v>0.6</v>
      </c>
      <c r="R199" s="5">
        <v>5</v>
      </c>
      <c r="S199" s="5">
        <v>0</v>
      </c>
      <c r="T199" s="5">
        <v>15</v>
      </c>
      <c r="U199" s="5">
        <f t="shared" si="13"/>
        <v>15</v>
      </c>
      <c r="V199" s="5">
        <f t="shared" si="14"/>
        <v>4.9199208293788725</v>
      </c>
      <c r="W199" s="43">
        <f t="shared" si="15"/>
        <v>100</v>
      </c>
      <c r="X199" s="5" t="str" cm="1">
        <f t="array" ref="X199">_xlfn.IFS($W199 &lt;= 30, "Low", $W199 &lt;=50, "Medium", $W199 &lt;= 70, "High", $W199 &gt; 70, "Critical")</f>
        <v>Critical</v>
      </c>
      <c r="Y199" s="9">
        <f t="shared" si="16"/>
        <v>0.59598428944542914</v>
      </c>
      <c r="Z199" s="22">
        <f t="shared" si="17"/>
        <v>65.153002522174305</v>
      </c>
    </row>
    <row r="200" spans="1:26">
      <c r="A200" s="24" t="str">
        <v>CUST-1039</v>
      </c>
      <c r="B200" s="24" t="str">
        <v>At-Risk Churner</v>
      </c>
      <c r="C200" s="24" t="str">
        <v>Influencer</v>
      </c>
      <c r="D200" s="24" t="str">
        <v>UK</v>
      </c>
      <c r="E200" s="24" t="str">
        <v>45-54</v>
      </c>
      <c r="F200" s="24" t="str">
        <v>Medium</v>
      </c>
      <c r="G200" s="24">
        <v>7</v>
      </c>
      <c r="H200" s="24">
        <v>28</v>
      </c>
      <c r="I200" s="23">
        <v>211.55</v>
      </c>
      <c r="J200" s="24" cm="1">
        <f t="array" ref="J200">SUMPRODUCT(
    (Transactions_and_Customer_Information_Joined[Customer ID]='V1-Based Churn Model (Step 3)'!$A200) *
    (IFERROR(_xlfn.XLOOKUP(Transactions_and_Customer_Information_Joined[SKU], 'V1 Pricing Model (Step 2)'!$A$22:$A$71, 'V1 Pricing Model (Step 2)'!$AL$22:$AL$71), "Exclude")&lt;&gt;"Exclude") *
    Transactions_and_Customer_Information_Joined[Gross Revenue])</f>
        <v>318.18</v>
      </c>
      <c r="K200" s="24">
        <f>SUMIF(Transactions_and_Customer_Information_Joined[Customer ID], 'V1-Based Churn Model (Step 3)'!$A200, Transactions_and_Customer_Information_Joined[Gross Revenue])</f>
        <v>318.18</v>
      </c>
      <c r="L200" s="3">
        <f t="shared" si="12"/>
        <v>1</v>
      </c>
      <c r="M200" s="21">
        <v>0.18762795201583557</v>
      </c>
      <c r="N200" s="21" cm="1">
        <f t="array" ref="N200">SUMPRODUCT(
    (Transactions_and_Customer_Information_Joined[Customer ID]=$A200)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00" s="21" cm="1">
        <f t="array" ref="O200">IFERROR(
    SUMPRODUCT(
        (Transactions_and_Customer_Information_Joined[Customer ID]=$A200)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$J200,
0)</f>
        <v>0.18762795201583557</v>
      </c>
      <c r="P200" s="5" cm="1">
        <f t="array" ref="P200">_xlfn.IFS(B200="At-Risk Churner",$B$2,$B200="Dormant",$B$3,$B200="Deal Hunter",$B$4,$B200="New Customer",$B$5,$B200="Occasional Buyer",$B$6,$B200="Loyal High-Value",$B$7)</f>
        <v>70</v>
      </c>
      <c r="Q200" s="9" cm="1">
        <f t="array" ref="Q200">_xlfn.IFS($B200 = "At-Risk Churner", $B$8, $B200="Dormant",$B$9, $B200="Deal Hunter", $B$10, $B200="New Customer", $B$11, $B200="Occasional Buyer", $B$12, $B200 = "Loyal High-Value",$B$13)</f>
        <v>0.45</v>
      </c>
      <c r="R200" s="5">
        <v>5</v>
      </c>
      <c r="S200" s="5">
        <v>-8</v>
      </c>
      <c r="T200" s="5">
        <v>-5</v>
      </c>
      <c r="U200" s="5">
        <f t="shared" si="13"/>
        <v>15</v>
      </c>
      <c r="V200" s="5">
        <f t="shared" si="14"/>
        <v>7.505118080633423</v>
      </c>
      <c r="W200" s="43">
        <f t="shared" si="15"/>
        <v>84.057618080633418</v>
      </c>
      <c r="X200" s="5" t="str" cm="1">
        <f t="array" ref="X200">_xlfn.IFS($W200 &lt;= 30, "Low", $W200 &lt;=50, "Medium", $W200 &lt;= 70, "High", $W200 &gt; 70, "Critical")</f>
        <v>Critical</v>
      </c>
      <c r="Y200" s="9">
        <f t="shared" si="16"/>
        <v>0.43554785470718549</v>
      </c>
      <c r="Z200" s="22">
        <f t="shared" si="17"/>
        <v>92.140148663305098</v>
      </c>
    </row>
    <row r="201" spans="1:26">
      <c r="A201" s="24" t="str">
        <v>CUST-1076</v>
      </c>
      <c r="B201" s="24" t="str">
        <v>New Customer</v>
      </c>
      <c r="C201" s="24" t="str">
        <v>Organic Search</v>
      </c>
      <c r="D201" s="24" t="str">
        <v>Canada</v>
      </c>
      <c r="E201" s="24" t="str">
        <v>45-54</v>
      </c>
      <c r="F201" s="24" t="str">
        <v>High</v>
      </c>
      <c r="G201" s="24">
        <v>10</v>
      </c>
      <c r="H201" s="24">
        <v>129</v>
      </c>
      <c r="I201" s="23">
        <v>41.43</v>
      </c>
      <c r="J201" s="24" cm="1">
        <f t="array" ref="J201">SUMPRODUCT(
    (Transactions_and_Customer_Information_Joined[Customer ID]='V1-Based Churn Model (Step 3)'!$A201) *
    (IFERROR(_xlfn.XLOOKUP(Transactions_and_Customer_Information_Joined[SKU], 'V1 Pricing Model (Step 2)'!$A$22:$A$71, 'V1 Pricing Model (Step 2)'!$AL$22:$AL$71), "Exclude")&lt;&gt;"Exclude") *
    Transactions_and_Customer_Information_Joined[Gross Revenue])</f>
        <v>109.05000000000001</v>
      </c>
      <c r="K201" s="24">
        <f>SUMIF(Transactions_and_Customer_Information_Joined[Customer ID], 'V1-Based Churn Model (Step 3)'!$A201, Transactions_and_Customer_Information_Joined[Gross Revenue])</f>
        <v>109.05000000000001</v>
      </c>
      <c r="L201" s="3">
        <f t="shared" si="12"/>
        <v>1</v>
      </c>
      <c r="M201" s="21">
        <v>6.4419042005321461E-2</v>
      </c>
      <c r="N201" s="21" cm="1">
        <f t="array" ref="N201">SUMPRODUCT(
    (Transactions_and_Customer_Information_Joined[Customer ID]=$A201)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01" s="21" cm="1">
        <f t="array" ref="O201">IFERROR(
    SUMPRODUCT(
        (Transactions_and_Customer_Information_Joined[Customer ID]=$A201)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$J201,
0)</f>
        <v>6.4419042005321461E-2</v>
      </c>
      <c r="P201" s="5" cm="1">
        <f t="array" ref="P201">_xlfn.IFS(B201="At-Risk Churner",$B$2,$B201="Dormant",$B$3,$B201="Deal Hunter",$B$4,$B201="New Customer",$B$5,$B201="Occasional Buyer",$B$6,$B201="Loyal High-Value",$B$7)</f>
        <v>35</v>
      </c>
      <c r="Q201" s="9" cm="1">
        <f t="array" ref="Q201">_xlfn.IFS($B201 = "At-Risk Churner", $B$8, $B201="Dormant",$B$9, $B201="Deal Hunter", $B$10, $B201="New Customer", $B$11, $B201="Occasional Buyer", $B$12, $B201 = "Loyal High-Value",$B$13)</f>
        <v>0.35</v>
      </c>
      <c r="R201" s="5">
        <v>15</v>
      </c>
      <c r="S201" s="5">
        <v>-8</v>
      </c>
      <c r="T201" s="5">
        <v>0</v>
      </c>
      <c r="U201" s="5">
        <f t="shared" si="13"/>
        <v>15</v>
      </c>
      <c r="V201" s="5">
        <f t="shared" si="14"/>
        <v>2.5767616802128583</v>
      </c>
      <c r="W201" s="43">
        <f t="shared" si="15"/>
        <v>59.634261680212859</v>
      </c>
      <c r="X201" s="5" t="str" cm="1">
        <f t="array" ref="X201">_xlfn.IFS($W201 &lt;= 30, "Low", $W201 &lt;=50, "Medium", $W201 &lt;= 70, "High", $W201 &gt; 70, "Critical")</f>
        <v>High</v>
      </c>
      <c r="Y201" s="9">
        <f t="shared" si="16"/>
        <v>0.25333253973189107</v>
      </c>
      <c r="Z201" s="22">
        <f t="shared" si="17"/>
        <v>16.682453696873797</v>
      </c>
    </row>
    <row r="202" spans="1:26">
      <c r="A202" s="24" t="str">
        <v>CUST-1876</v>
      </c>
      <c r="B202" s="24" t="str">
        <v>Loyal High-Value</v>
      </c>
      <c r="C202" s="24" t="str">
        <v>Organic Search</v>
      </c>
      <c r="D202" s="24" t="str">
        <v>Northeast</v>
      </c>
      <c r="E202" s="24" t="str">
        <v>25-34</v>
      </c>
      <c r="F202" s="24" t="str">
        <v>Medium</v>
      </c>
      <c r="G202" s="24">
        <v>2</v>
      </c>
      <c r="H202" s="24">
        <v>327</v>
      </c>
      <c r="I202" s="23">
        <v>2285.94</v>
      </c>
      <c r="J202" s="24" cm="1">
        <f t="array" ref="J202">SUMPRODUCT(
    (Transactions_and_Customer_Information_Joined[Customer ID]='V1-Based Churn Model (Step 3)'!$A202) *
    (IFERROR(_xlfn.XLOOKUP(Transactions_and_Customer_Information_Joined[SKU], 'V1 Pricing Model (Step 2)'!$A$22:$A$71, 'V1 Pricing Model (Step 2)'!$AL$22:$AL$71), "Exclude")&lt;&gt;"Exclude") *
    Transactions_and_Customer_Information_Joined[Gross Revenue])</f>
        <v>18.7</v>
      </c>
      <c r="K202" s="24">
        <f>SUMIF(Transactions_and_Customer_Information_Joined[Customer ID], 'V1-Based Churn Model (Step 3)'!$A202, Transactions_and_Customer_Information_Joined[Gross Revenue])</f>
        <v>18.7</v>
      </c>
      <c r="L202" s="3">
        <f t="shared" si="12"/>
        <v>1</v>
      </c>
      <c r="M202" s="21">
        <v>0</v>
      </c>
      <c r="N202" s="21" cm="1">
        <f t="array" ref="N202">SUMPRODUCT(
    (Transactions_and_Customer_Information_Joined[Customer ID]=$A202)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02" s="21" cm="1">
        <f t="array" ref="O202">IFERROR(
    SUMPRODUCT(
        (Transactions_and_Customer_Information_Joined[Customer ID]=$A202)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$J202,
0)</f>
        <v>0</v>
      </c>
      <c r="P202" s="5" cm="1">
        <f t="array" ref="P202">_xlfn.IFS(B202="At-Risk Churner",$B$2,$B202="Dormant",$B$3,$B202="Deal Hunter",$B$4,$B202="New Customer",$B$5,$B202="Occasional Buyer",$B$6,$B202="Loyal High-Value",$B$7)</f>
        <v>15</v>
      </c>
      <c r="Q202" s="9" cm="1">
        <f t="array" ref="Q202">_xlfn.IFS($B202 = "At-Risk Churner", $B$8, $B202="Dormant",$B$9, $B202="Deal Hunter", $B$10, $B202="New Customer", $B$11, $B202="Occasional Buyer", $B$12, $B202 = "Loyal High-Value",$B$13)</f>
        <v>0.05</v>
      </c>
      <c r="R202" s="5">
        <v>5</v>
      </c>
      <c r="S202" s="5">
        <v>10</v>
      </c>
      <c r="T202" s="5">
        <v>15</v>
      </c>
      <c r="U202" s="5">
        <f t="shared" si="13"/>
        <v>15</v>
      </c>
      <c r="V202" s="5">
        <f t="shared" si="14"/>
        <v>0</v>
      </c>
      <c r="W202" s="43">
        <f t="shared" si="15"/>
        <v>60.262499999999996</v>
      </c>
      <c r="X202" s="5" t="str" cm="1">
        <f t="array" ref="X202">_xlfn.IFS($W202 &lt;= 30, "Low", $W202 &lt;=50, "Medium", $W202 &lt;= 70, "High", $W202 &gt; 70, "Critical")</f>
        <v>High</v>
      </c>
      <c r="Y202" s="9">
        <f t="shared" si="16"/>
        <v>3.6809411724399728E-2</v>
      </c>
      <c r="Z202" s="22">
        <f t="shared" si="17"/>
        <v>524.50328530981949</v>
      </c>
    </row>
    <row r="203" spans="1:26">
      <c r="A203" s="24" t="str">
        <v>CUST-1073</v>
      </c>
      <c r="B203" s="24" t="str">
        <v>Deal Hunter</v>
      </c>
      <c r="C203" s="24" t="str">
        <v>Referral</v>
      </c>
      <c r="D203" s="24" t="str">
        <v>Southwest</v>
      </c>
      <c r="E203" s="24" t="str">
        <v>45-54</v>
      </c>
      <c r="F203" s="24" t="str">
        <v>High</v>
      </c>
      <c r="G203" s="24">
        <v>6</v>
      </c>
      <c r="H203" s="24">
        <v>276</v>
      </c>
      <c r="I203" s="23">
        <v>295.55</v>
      </c>
      <c r="J203" s="24" cm="1">
        <f t="array" ref="J203">SUMPRODUCT(
    (Transactions_and_Customer_Information_Joined[Customer ID]='V1-Based Churn Model (Step 3)'!$A203) *
    (IFERROR(_xlfn.XLOOKUP(Transactions_and_Customer_Information_Joined[SKU], 'V1 Pricing Model (Step 2)'!$A$22:$A$71, 'V1 Pricing Model (Step 2)'!$AL$22:$AL$71), "Exclude")&lt;&gt;"Exclude") *
    Transactions_and_Customer_Information_Joined[Gross Revenue])</f>
        <v>93.88</v>
      </c>
      <c r="K203" s="24">
        <f>SUMIF(Transactions_and_Customer_Information_Joined[Customer ID], 'V1-Based Churn Model (Step 3)'!$A203, Transactions_and_Customer_Information_Joined[Gross Revenue])</f>
        <v>93.88</v>
      </c>
      <c r="L203" s="3">
        <f t="shared" si="12"/>
        <v>1</v>
      </c>
      <c r="M203" s="21">
        <v>0.10702390858761081</v>
      </c>
      <c r="N203" s="21" cm="1">
        <f t="array" ref="N203">SUMPRODUCT(
    (Transactions_and_Customer_Information_Joined[Customer ID]=$A203)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03" s="21" cm="1">
        <f t="array" ref="O203">IFERROR(
    SUMPRODUCT(
        (Transactions_and_Customer_Information_Joined[Customer ID]=$A203)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$J203,
0)</f>
        <v>0.10702390858761079</v>
      </c>
      <c r="P203" s="5" cm="1">
        <f t="array" ref="P203">_xlfn.IFS(B203="At-Risk Churner",$B$2,$B203="Dormant",$B$3,$B203="Deal Hunter",$B$4,$B203="New Customer",$B$5,$B203="Occasional Buyer",$B$6,$B203="Loyal High-Value",$B$7)</f>
        <v>45</v>
      </c>
      <c r="Q203" s="9" cm="1">
        <f t="array" ref="Q203">_xlfn.IFS($B203 = "At-Risk Churner", $B$8, $B203="Dormant",$B$9, $B203="Deal Hunter", $B$10, $B203="New Customer", $B$11, $B203="Occasional Buyer", $B$12, $B203 = "Loyal High-Value",$B$13)</f>
        <v>0.25</v>
      </c>
      <c r="R203" s="5">
        <v>15</v>
      </c>
      <c r="S203" s="5">
        <v>0</v>
      </c>
      <c r="T203" s="5">
        <v>8</v>
      </c>
      <c r="U203" s="5">
        <f t="shared" si="13"/>
        <v>15</v>
      </c>
      <c r="V203" s="5">
        <f t="shared" si="14"/>
        <v>4.2809563435044318</v>
      </c>
      <c r="W203" s="43">
        <f t="shared" si="15"/>
        <v>87.618456343504434</v>
      </c>
      <c r="X203" s="5" t="str" cm="1">
        <f t="array" ref="X203">_xlfn.IFS($W203 &lt;= 30, "Low", $W203 &lt;=50, "Medium", $W203 &lt;= 70, "High", $W203 &gt; 70, "Critical")</f>
        <v>Critical</v>
      </c>
      <c r="Y203" s="9">
        <f t="shared" si="16"/>
        <v>0.24432176507647368</v>
      </c>
      <c r="Z203" s="22">
        <f t="shared" si="17"/>
        <v>72.209297668351795</v>
      </c>
    </row>
    <row r="204" spans="1:26">
      <c r="A204" s="24" t="str">
        <v>CUST-4952</v>
      </c>
      <c r="B204" s="24" t="str">
        <v>New Customer</v>
      </c>
      <c r="C204" s="24" t="str">
        <v>Organic Search</v>
      </c>
      <c r="D204" s="24" t="str">
        <v>Midwest</v>
      </c>
      <c r="E204" s="24" t="str">
        <v>45-54</v>
      </c>
      <c r="F204" s="24" t="str">
        <v>Low</v>
      </c>
      <c r="G204" s="24">
        <v>6</v>
      </c>
      <c r="H204" s="24">
        <v>321</v>
      </c>
      <c r="I204" s="23">
        <v>58.23</v>
      </c>
      <c r="J204" s="24" cm="1">
        <f t="array" ref="J204">SUMPRODUCT(
    (Transactions_and_Customer_Information_Joined[Customer ID]='V1-Based Churn Model (Step 3)'!$A204) *
    (IFERROR(_xlfn.XLOOKUP(Transactions_and_Customer_Information_Joined[SKU], 'V1 Pricing Model (Step 2)'!$A$22:$A$71, 'V1 Pricing Model (Step 2)'!$AL$22:$AL$71), "Exclude")&lt;&gt;"Exclude") *
    Transactions_and_Customer_Information_Joined[Gross Revenue])</f>
        <v>280.23</v>
      </c>
      <c r="K204" s="24">
        <f>SUMIF(Transactions_and_Customer_Information_Joined[Customer ID], 'V1-Based Churn Model (Step 3)'!$A204, Transactions_and_Customer_Information_Joined[Gross Revenue])</f>
        <v>280.23</v>
      </c>
      <c r="L204" s="3">
        <f t="shared" si="12"/>
        <v>1</v>
      </c>
      <c r="M204" s="21">
        <v>-6.1928730463004879E-2</v>
      </c>
      <c r="N204" s="21" cm="1">
        <f t="array" ref="N204">SUMPRODUCT(
    (Transactions_and_Customer_Information_Joined[Customer ID]=$A204)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04" s="21" cm="1">
        <f t="array" ref="O204">IFERROR(
    SUMPRODUCT(
        (Transactions_and_Customer_Information_Joined[Customer ID]=$A204)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$J204,
0)</f>
        <v>-6.1928730463004886E-2</v>
      </c>
      <c r="P204" s="5" cm="1">
        <f t="array" ref="P204">_xlfn.IFS(B204="At-Risk Churner",$B$2,$B204="Dormant",$B$3,$B204="Deal Hunter",$B$4,$B204="New Customer",$B$5,$B204="Occasional Buyer",$B$6,$B204="Loyal High-Value",$B$7)</f>
        <v>35</v>
      </c>
      <c r="Q204" s="9" cm="1">
        <f t="array" ref="Q204">_xlfn.IFS($B204 = "At-Risk Churner", $B$8, $B204="Dormant",$B$9, $B204="Deal Hunter", $B$10, $B204="New Customer", $B$11, $B204="Occasional Buyer", $B$12, $B204 = "Loyal High-Value",$B$13)</f>
        <v>0.35</v>
      </c>
      <c r="R204" s="5">
        <v>-5</v>
      </c>
      <c r="S204" s="5">
        <v>0</v>
      </c>
      <c r="T204" s="5">
        <v>15</v>
      </c>
      <c r="U204" s="5">
        <f t="shared" si="13"/>
        <v>15</v>
      </c>
      <c r="V204" s="5">
        <f t="shared" si="14"/>
        <v>2.4771492185201955</v>
      </c>
      <c r="W204" s="43">
        <f t="shared" si="15"/>
        <v>62.364649218520199</v>
      </c>
      <c r="X204" s="5" t="str" cm="1">
        <f t="array" ref="X204">_xlfn.IFS($W204 &lt;= 30, "Low", $W204 &lt;=50, "Medium", $W204 &lt;= 70, "High", $W204 &gt; 70, "Critical")</f>
        <v>High</v>
      </c>
      <c r="Y204" s="9">
        <f t="shared" si="16"/>
        <v>0.27123182918610678</v>
      </c>
      <c r="Z204" s="22">
        <f t="shared" si="17"/>
        <v>24.281063530805596</v>
      </c>
    </row>
    <row r="205" spans="1:26">
      <c r="A205" s="24" t="str">
        <v>CUST-3375</v>
      </c>
      <c r="B205" s="24" t="str">
        <v>Occasional Buyer</v>
      </c>
      <c r="C205" s="24" t="str">
        <v>Email Campaign</v>
      </c>
      <c r="D205" s="24" t="str">
        <v>Southeast</v>
      </c>
      <c r="E205" s="24" t="str">
        <v>45-54</v>
      </c>
      <c r="F205" s="24" t="str">
        <v>Medium</v>
      </c>
      <c r="G205" s="24">
        <v>6</v>
      </c>
      <c r="H205" s="24">
        <v>112</v>
      </c>
      <c r="I205" s="23">
        <v>717.31</v>
      </c>
      <c r="J205" s="24" cm="1">
        <f t="array" ref="J205">SUMPRODUCT(
    (Transactions_and_Customer_Information_Joined[Customer ID]='V1-Based Churn Model (Step 3)'!$A205) *
    (IFERROR(_xlfn.XLOOKUP(Transactions_and_Customer_Information_Joined[SKU], 'V1 Pricing Model (Step 2)'!$A$22:$A$71, 'V1 Pricing Model (Step 2)'!$AL$22:$AL$71), "Exclude")&lt;&gt;"Exclude") *
    Transactions_and_Customer_Information_Joined[Gross Revenue])</f>
        <v>579.66</v>
      </c>
      <c r="K205" s="24">
        <f>SUMIF(Transactions_and_Customer_Information_Joined[Customer ID], 'V1-Based Churn Model (Step 3)'!$A205, Transactions_and_Customer_Information_Joined[Gross Revenue])</f>
        <v>579.66</v>
      </c>
      <c r="L205" s="3">
        <f t="shared" si="12"/>
        <v>1</v>
      </c>
      <c r="M205" s="21">
        <v>0.10702390858761081</v>
      </c>
      <c r="N205" s="21" cm="1">
        <f t="array" ref="N205">SUMPRODUCT(
    (Transactions_and_Customer_Information_Joined[Customer ID]=$A205)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05" s="21" cm="1">
        <f t="array" ref="O205">IFERROR(
    SUMPRODUCT(
        (Transactions_and_Customer_Information_Joined[Customer ID]=$A205)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$J205,
0)</f>
        <v>5.9223095463603104E-2</v>
      </c>
      <c r="P205" s="5" cm="1">
        <f t="array" ref="P205">_xlfn.IFS(B205="At-Risk Churner",$B$2,$B205="Dormant",$B$3,$B205="Deal Hunter",$B$4,$B205="New Customer",$B$5,$B205="Occasional Buyer",$B$6,$B205="Loyal High-Value",$B$7)</f>
        <v>25</v>
      </c>
      <c r="Q205" s="9" cm="1">
        <f t="array" ref="Q205">_xlfn.IFS($B205 = "At-Risk Churner", $B$8, $B205="Dormant",$B$9, $B205="Deal Hunter", $B$10, $B205="New Customer", $B$11, $B205="Occasional Buyer", $B$12, $B205 = "Loyal High-Value",$B$13)</f>
        <v>0.18</v>
      </c>
      <c r="R205" s="5">
        <v>5</v>
      </c>
      <c r="S205" s="5">
        <v>0</v>
      </c>
      <c r="T205" s="5">
        <v>0</v>
      </c>
      <c r="U205" s="5">
        <f t="shared" si="13"/>
        <v>15</v>
      </c>
      <c r="V205" s="5">
        <f t="shared" si="14"/>
        <v>3.3249400810242786</v>
      </c>
      <c r="W205" s="43">
        <f t="shared" si="15"/>
        <v>48.437440081024278</v>
      </c>
      <c r="X205" s="5" t="str" cm="1">
        <f t="array" ref="X205">_xlfn.IFS($W205 &lt;= 30, "Low", $W205 &lt;=50, "Medium", $W205 &lt;= 70, "High", $W205 &gt; 70, "Critical")</f>
        <v>Medium</v>
      </c>
      <c r="Y205" s="9">
        <f t="shared" si="16"/>
        <v>8.2982752279939162E-2</v>
      </c>
      <c r="Z205" s="22">
        <f t="shared" si="17"/>
        <v>191.08148643033851</v>
      </c>
    </row>
    <row r="206" spans="1:26">
      <c r="A206" s="24" t="str">
        <v>CUST-3552</v>
      </c>
      <c r="B206" s="24" t="str">
        <v>Loyal High-Value</v>
      </c>
      <c r="C206" s="24" t="str">
        <v>Referral</v>
      </c>
      <c r="D206" s="24" t="str">
        <v>Northeast</v>
      </c>
      <c r="E206" s="24" t="str">
        <v>55+</v>
      </c>
      <c r="F206" s="24" t="str">
        <v>Medium</v>
      </c>
      <c r="G206" s="24">
        <v>8</v>
      </c>
      <c r="H206" s="24">
        <v>97</v>
      </c>
      <c r="I206" s="23">
        <v>1827.35</v>
      </c>
      <c r="J206" s="24" cm="1">
        <f t="array" ref="J206">SUMPRODUCT(
    (Transactions_and_Customer_Information_Joined[Customer ID]='V1-Based Churn Model (Step 3)'!$A206) *
    (IFERROR(_xlfn.XLOOKUP(Transactions_and_Customer_Information_Joined[SKU], 'V1 Pricing Model (Step 2)'!$A$22:$A$71, 'V1 Pricing Model (Step 2)'!$AL$22:$AL$71), "Exclude")&lt;&gt;"Exclude") *
    Transactions_and_Customer_Information_Joined[Gross Revenue])</f>
        <v>354.21</v>
      </c>
      <c r="K206" s="24">
        <f>SUMIF(Transactions_and_Customer_Information_Joined[Customer ID], 'V1-Based Churn Model (Step 3)'!$A206, Transactions_and_Customer_Information_Joined[Gross Revenue])</f>
        <v>354.21</v>
      </c>
      <c r="L206" s="3">
        <f t="shared" si="12"/>
        <v>1</v>
      </c>
      <c r="M206" s="21">
        <v>3.7264027854690532E-2</v>
      </c>
      <c r="N206" s="21" cm="1">
        <f t="array" ref="N206">SUMPRODUCT(
    (Transactions_and_Customer_Information_Joined[Customer ID]=$A206)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06" s="21" cm="1">
        <f t="array" ref="O206">IFERROR(
    SUMPRODUCT(
        (Transactions_and_Customer_Information_Joined[Customer ID]=$A206)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$J206,
0)</f>
        <v>3.7264027854690532E-2</v>
      </c>
      <c r="P206" s="5" cm="1">
        <f t="array" ref="P206">_xlfn.IFS(B206="At-Risk Churner",$B$2,$B206="Dormant",$B$3,$B206="Deal Hunter",$B$4,$B206="New Customer",$B$5,$B206="Occasional Buyer",$B$6,$B206="Loyal High-Value",$B$7)</f>
        <v>15</v>
      </c>
      <c r="Q206" s="9" cm="1">
        <f t="array" ref="Q206">_xlfn.IFS($B206 = "At-Risk Churner", $B$8, $B206="Dormant",$B$9, $B206="Deal Hunter", $B$10, $B206="New Customer", $B$11, $B206="Occasional Buyer", $B$12, $B206 = "Loyal High-Value",$B$13)</f>
        <v>0.05</v>
      </c>
      <c r="R206" s="5">
        <v>5</v>
      </c>
      <c r="S206" s="5">
        <v>-8</v>
      </c>
      <c r="T206" s="5">
        <v>0</v>
      </c>
      <c r="U206" s="5">
        <f t="shared" si="13"/>
        <v>15</v>
      </c>
      <c r="V206" s="5">
        <f t="shared" si="14"/>
        <v>1.4905611141876212</v>
      </c>
      <c r="W206" s="43">
        <f t="shared" si="15"/>
        <v>28.48306111418762</v>
      </c>
      <c r="X206" s="5" t="str" cm="1">
        <f t="array" ref="X206">_xlfn.IFS($W206 &lt;= 30, "Low", $W206 &lt;=50, "Medium", $W206 &lt;= 70, "High", $W206 &gt; 70, "Critical")</f>
        <v>Low</v>
      </c>
      <c r="Y206" s="9">
        <f t="shared" si="16"/>
        <v>5.2086520844834092E-3</v>
      </c>
      <c r="Z206" s="22">
        <f t="shared" si="17"/>
        <v>9.5180303865807581</v>
      </c>
    </row>
    <row r="207" spans="1:26">
      <c r="A207" s="24" t="str">
        <v>CUST-2754</v>
      </c>
      <c r="B207" s="24" t="str">
        <v>Deal Hunter</v>
      </c>
      <c r="C207" s="24" t="str">
        <v>Organic Search</v>
      </c>
      <c r="D207" s="24" t="str">
        <v>UK</v>
      </c>
      <c r="E207" s="24" t="str">
        <v>18-24</v>
      </c>
      <c r="F207" s="24" t="str">
        <v>Low</v>
      </c>
      <c r="G207" s="24">
        <v>9</v>
      </c>
      <c r="H207" s="24">
        <v>45</v>
      </c>
      <c r="I207" s="23">
        <v>131.9</v>
      </c>
      <c r="J207" s="24" cm="1">
        <f t="array" ref="J207">SUMPRODUCT(
    (Transactions_and_Customer_Information_Joined[Customer ID]='V1-Based Churn Model (Step 3)'!$A207)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207" s="24">
        <f>SUMIF(Transactions_and_Customer_Information_Joined[Customer ID], 'V1-Based Churn Model (Step 3)'!$A207, Transactions_and_Customer_Information_Joined[Gross Revenue])</f>
        <v>124.26</v>
      </c>
      <c r="L207" s="3">
        <f t="shared" si="12"/>
        <v>0</v>
      </c>
      <c r="M207" s="21">
        <v>0</v>
      </c>
      <c r="N207" s="21" cm="1">
        <f t="array" ref="N207">SUMPRODUCT(
    (Transactions_and_Customer_Information_Joined[Customer ID]=$A207)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207" s="21" cm="1">
        <f t="array" ref="O207">IFERROR(
    SUMPRODUCT(
        (Transactions_and_Customer_Information_Joined[Customer ID]=$A207)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$J207,
0)</f>
        <v>0</v>
      </c>
      <c r="P207" s="5" cm="1">
        <f t="array" ref="P207">_xlfn.IFS(B207="At-Risk Churner",$B$2,$B207="Dormant",$B$3,$B207="Deal Hunter",$B$4,$B207="New Customer",$B$5,$B207="Occasional Buyer",$B$6,$B207="Loyal High-Value",$B$7)</f>
        <v>45</v>
      </c>
      <c r="Q207" s="9" cm="1">
        <f t="array" ref="Q207">_xlfn.IFS($B207 = "At-Risk Churner", $B$8, $B207="Dormant",$B$9, $B207="Deal Hunter", $B$10, $B207="New Customer", $B$11, $B207="Occasional Buyer", $B$12, $B207 = "Loyal High-Value",$B$13)</f>
        <v>0.25</v>
      </c>
      <c r="R207" s="5">
        <v>-5</v>
      </c>
      <c r="S207" s="5">
        <v>-8</v>
      </c>
      <c r="T207" s="5">
        <v>-5</v>
      </c>
      <c r="U207" s="5">
        <f t="shared" si="13"/>
        <v>0</v>
      </c>
      <c r="V207" s="5">
        <f t="shared" si="14"/>
        <v>0</v>
      </c>
      <c r="W207" s="43">
        <f t="shared" si="15"/>
        <v>26.64</v>
      </c>
      <c r="X207" s="5" t="str" cm="1">
        <f t="array" ref="X207">_xlfn.IFS($W207 &lt;= 30, "Low", $W207 &lt;=50, "Medium", $W207 &lt;= 70, "High", $W207 &gt; 70, "Critical")</f>
        <v>Low</v>
      </c>
      <c r="Y207" s="9">
        <f t="shared" si="16"/>
        <v>2.2046254786266369E-2</v>
      </c>
      <c r="Z207" s="22">
        <f t="shared" si="17"/>
        <v>2.9079010063085344</v>
      </c>
    </row>
    <row r="208" spans="1:26">
      <c r="A208" s="24" t="str">
        <v>CUST-4434</v>
      </c>
      <c r="B208" s="24" t="str">
        <v>Occasional Buyer</v>
      </c>
      <c r="C208" s="24" t="str">
        <v>Email Campaign</v>
      </c>
      <c r="D208" s="24" t="str">
        <v>West</v>
      </c>
      <c r="E208" s="24" t="str">
        <v>55+</v>
      </c>
      <c r="F208" s="24" t="str">
        <v>High</v>
      </c>
      <c r="G208" s="24">
        <v>8</v>
      </c>
      <c r="H208" s="24">
        <v>101</v>
      </c>
      <c r="I208" s="23">
        <v>483.53</v>
      </c>
      <c r="J208" s="24" cm="1">
        <f t="array" ref="J208">SUMPRODUCT(
    (Transactions_and_Customer_Information_Joined[Customer ID]='V1-Based Churn Model (Step 3)'!$A208) *
    (IFERROR(_xlfn.XLOOKUP(Transactions_and_Customer_Information_Joined[SKU], 'V1 Pricing Model (Step 2)'!$A$22:$A$71, 'V1 Pricing Model (Step 2)'!$AL$22:$AL$71), "Exclude")&lt;&gt;"Exclude") *
    Transactions_and_Customer_Information_Joined[Gross Revenue])</f>
        <v>37.4</v>
      </c>
      <c r="K208" s="24">
        <f>SUMIF(Transactions_and_Customer_Information_Joined[Customer ID], 'V1-Based Churn Model (Step 3)'!$A208, Transactions_and_Customer_Information_Joined[Gross Revenue])</f>
        <v>37.4</v>
      </c>
      <c r="L208" s="3">
        <f t="shared" si="12"/>
        <v>1</v>
      </c>
      <c r="M208" s="21">
        <v>0</v>
      </c>
      <c r="N208" s="21" cm="1">
        <f t="array" ref="N208">SUMPRODUCT(
    (Transactions_and_Customer_Information_Joined[Customer ID]=$A208)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08" s="21" cm="1">
        <f t="array" ref="O208">IFERROR(
    SUMPRODUCT(
        (Transactions_and_Customer_Information_Joined[Customer ID]=$A208)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$J208,
0)</f>
        <v>0</v>
      </c>
      <c r="P208" s="5" cm="1">
        <f t="array" ref="P208">_xlfn.IFS(B208="At-Risk Churner",$B$2,$B208="Dormant",$B$3,$B208="Deal Hunter",$B$4,$B208="New Customer",$B$5,$B208="Occasional Buyer",$B$6,$B208="Loyal High-Value",$B$7)</f>
        <v>25</v>
      </c>
      <c r="Q208" s="9" cm="1">
        <f t="array" ref="Q208">_xlfn.IFS($B208 = "At-Risk Churner", $B$8, $B208="Dormant",$B$9, $B208="Deal Hunter", $B$10, $B208="New Customer", $B$11, $B208="Occasional Buyer", $B$12, $B208 = "Loyal High-Value",$B$13)</f>
        <v>0.18</v>
      </c>
      <c r="R208" s="5">
        <v>15</v>
      </c>
      <c r="S208" s="5">
        <v>-8</v>
      </c>
      <c r="T208" s="5">
        <v>0</v>
      </c>
      <c r="U208" s="5">
        <f t="shared" si="13"/>
        <v>15</v>
      </c>
      <c r="V208" s="5">
        <f t="shared" si="14"/>
        <v>0</v>
      </c>
      <c r="W208" s="43">
        <f t="shared" si="15"/>
        <v>47.137499999999996</v>
      </c>
      <c r="X208" s="5" t="str" cm="1">
        <f t="array" ref="X208">_xlfn.IFS($W208 &lt;= 30, "Low", $W208 &lt;=50, "Medium", $W208 &lt;= 70, "High", $W208 &gt; 70, "Critical")</f>
        <v>Medium</v>
      </c>
      <c r="Y208" s="9">
        <f t="shared" si="16"/>
        <v>7.7205991681907379E-2</v>
      </c>
      <c r="Z208" s="22">
        <f t="shared" si="17"/>
        <v>126.57113052636214</v>
      </c>
    </row>
    <row r="209" spans="1:26">
      <c r="A209" s="24" t="str">
        <v>CUST-4985</v>
      </c>
      <c r="B209" s="24" t="str">
        <v>Occasional Buyer</v>
      </c>
      <c r="C209" s="24" t="str">
        <v>Direct</v>
      </c>
      <c r="D209" s="24" t="str">
        <v>UK</v>
      </c>
      <c r="E209" s="24" t="str">
        <v>55+</v>
      </c>
      <c r="F209" s="24" t="str">
        <v>Medium</v>
      </c>
      <c r="G209" s="24">
        <v>5</v>
      </c>
      <c r="H209" s="24">
        <v>74</v>
      </c>
      <c r="I209" s="23">
        <v>171.19</v>
      </c>
      <c r="J209" s="24" cm="1">
        <f t="array" ref="J209">SUMPRODUCT(
    (Transactions_and_Customer_Information_Joined[Customer ID]='V1-Based Churn Model (Step 3)'!$A209) *
    (IFERROR(_xlfn.XLOOKUP(Transactions_and_Customer_Information_Joined[SKU], 'V1 Pricing Model (Step 2)'!$A$22:$A$71, 'V1 Pricing Model (Step 2)'!$AL$22:$AL$71), "Exclude")&lt;&gt;"Exclude") *
    Transactions_and_Customer_Information_Joined[Gross Revenue])</f>
        <v>50.849999999999994</v>
      </c>
      <c r="K209" s="24">
        <f>SUMIF(Transactions_and_Customer_Information_Joined[Customer ID], 'V1-Based Churn Model (Step 3)'!$A209, Transactions_and_Customer_Information_Joined[Gross Revenue])</f>
        <v>50.849999999999994</v>
      </c>
      <c r="L209" s="3">
        <f t="shared" si="12"/>
        <v>1</v>
      </c>
      <c r="M209" s="21">
        <v>-7.0269238925823692E-3</v>
      </c>
      <c r="N209" s="21" cm="1">
        <f t="array" ref="N209">SUMPRODUCT(
    (Transactions_and_Customer_Information_Joined[Customer ID]=$A209)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09" s="21" cm="1">
        <f t="array" ref="O209">IFERROR(
    SUMPRODUCT(
        (Transactions_and_Customer_Information_Joined[Customer ID]=$A209)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$J209,
0)</f>
        <v>-7.0269238925823692E-3</v>
      </c>
      <c r="P209" s="5" cm="1">
        <f t="array" ref="P209">_xlfn.IFS(B209="At-Risk Churner",$B$2,$B209="Dormant",$B$3,$B209="Deal Hunter",$B$4,$B209="New Customer",$B$5,$B209="Occasional Buyer",$B$6,$B209="Loyal High-Value",$B$7)</f>
        <v>25</v>
      </c>
      <c r="Q209" s="9" cm="1">
        <f t="array" ref="Q209">_xlfn.IFS($B209 = "At-Risk Churner", $B$8, $B209="Dormant",$B$9, $B209="Deal Hunter", $B$10, $B209="New Customer", $B$11, $B209="Occasional Buyer", $B$12, $B209 = "Loyal High-Value",$B$13)</f>
        <v>0.18</v>
      </c>
      <c r="R209" s="5">
        <v>5</v>
      </c>
      <c r="S209" s="5">
        <v>0</v>
      </c>
      <c r="T209" s="5">
        <v>0</v>
      </c>
      <c r="U209" s="5">
        <f t="shared" si="13"/>
        <v>15</v>
      </c>
      <c r="V209" s="5">
        <f t="shared" si="14"/>
        <v>0.28107695570329477</v>
      </c>
      <c r="W209" s="43">
        <f t="shared" si="15"/>
        <v>45.393576955703288</v>
      </c>
      <c r="X209" s="5" t="str" cm="1">
        <f t="array" ref="X209">_xlfn.IFS($W209 &lt;= 30, "Low", $W209 &lt;=50, "Medium", $W209 &lt;= 70, "High", $W209 &gt; 70, "Critical")</f>
        <v>Medium</v>
      </c>
      <c r="Y209" s="9">
        <f t="shared" si="16"/>
        <v>6.9630023243076281E-2</v>
      </c>
      <c r="Z209" s="22">
        <f t="shared" si="17"/>
        <v>43.773970943185788</v>
      </c>
    </row>
    <row r="210" spans="1:26">
      <c r="A210" s="24" t="str">
        <v>CUST-1482</v>
      </c>
      <c r="B210" s="24" t="str">
        <v>At-Risk Churner</v>
      </c>
      <c r="C210" s="24" t="str">
        <v>Influencer</v>
      </c>
      <c r="D210" s="24" t="str">
        <v>Southeast</v>
      </c>
      <c r="E210" s="24" t="str">
        <v>55+</v>
      </c>
      <c r="F210" s="24" t="str">
        <v>Low</v>
      </c>
      <c r="G210" s="24">
        <v>8</v>
      </c>
      <c r="H210" s="24">
        <v>327</v>
      </c>
      <c r="I210" s="23">
        <v>170.45</v>
      </c>
      <c r="J210" s="24" cm="1">
        <f t="array" ref="J210">SUMPRODUCT(
    (Transactions_and_Customer_Information_Joined[Customer ID]='V1-Based Churn Model (Step 3)'!$A210) *
    (IFERROR(_xlfn.XLOOKUP(Transactions_and_Customer_Information_Joined[SKU], 'V1 Pricing Model (Step 2)'!$A$22:$A$71, 'V1 Pricing Model (Step 2)'!$AL$22:$AL$71), "Exclude")&lt;&gt;"Exclude") *
    Transactions_and_Customer_Information_Joined[Gross Revenue])</f>
        <v>94.76</v>
      </c>
      <c r="K210" s="24">
        <f>SUMIF(Transactions_and_Customer_Information_Joined[Customer ID], 'V1-Based Churn Model (Step 3)'!$A210, Transactions_and_Customer_Information_Joined[Gross Revenue])</f>
        <v>94.76</v>
      </c>
      <c r="L210" s="3">
        <f t="shared" si="12"/>
        <v>1</v>
      </c>
      <c r="M210" s="21">
        <v>1.2225679304209092E-2</v>
      </c>
      <c r="N210" s="21" cm="1">
        <f t="array" ref="N210">SUMPRODUCT(
    (Transactions_and_Customer_Information_Joined[Customer ID]=$A210)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10" s="21" cm="1">
        <f t="array" ref="O210">IFERROR(
    SUMPRODUCT(
        (Transactions_and_Customer_Information_Joined[Customer ID]=$A210)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$J210,
0)</f>
        <v>1.2225679304209092E-2</v>
      </c>
      <c r="P210" s="5" cm="1">
        <f t="array" ref="P210">_xlfn.IFS(B210="At-Risk Churner",$B$2,$B210="Dormant",$B$3,$B210="Deal Hunter",$B$4,$B210="New Customer",$B$5,$B210="Occasional Buyer",$B$6,$B210="Loyal High-Value",$B$7)</f>
        <v>70</v>
      </c>
      <c r="Q210" s="9" cm="1">
        <f t="array" ref="Q210">_xlfn.IFS($B210 = "At-Risk Churner", $B$8, $B210="Dormant",$B$9, $B210="Deal Hunter", $B$10, $B210="New Customer", $B$11, $B210="Occasional Buyer", $B$12, $B210 = "Loyal High-Value",$B$13)</f>
        <v>0.45</v>
      </c>
      <c r="R210" s="5">
        <v>-5</v>
      </c>
      <c r="S210" s="5">
        <v>-8</v>
      </c>
      <c r="T210" s="5">
        <v>15</v>
      </c>
      <c r="U210" s="5">
        <f t="shared" si="13"/>
        <v>15</v>
      </c>
      <c r="V210" s="5">
        <f t="shared" si="14"/>
        <v>0.48902717216836367</v>
      </c>
      <c r="W210" s="43">
        <f t="shared" si="15"/>
        <v>86.816527172168364</v>
      </c>
      <c r="X210" s="5" t="str" cm="1">
        <f t="array" ref="X210">_xlfn.IFS($W210 &lt;= 30, "Low", $W210 &lt;=50, "Medium", $W210 &lt;= 70, "High", $W210 &gt; 70, "Critical")</f>
        <v>Critical</v>
      </c>
      <c r="Y210" s="9">
        <f t="shared" si="16"/>
        <v>0.43894674042872339</v>
      </c>
      <c r="Z210" s="22">
        <f t="shared" si="17"/>
        <v>74.818471906075899</v>
      </c>
    </row>
    <row r="211" spans="1:26">
      <c r="A211" s="24" t="str">
        <v>CUST-1694</v>
      </c>
      <c r="B211" s="24" t="str">
        <v>Deal Hunter</v>
      </c>
      <c r="C211" s="24" t="str">
        <v>Paid Social</v>
      </c>
      <c r="D211" s="24" t="str">
        <v>Canada</v>
      </c>
      <c r="E211" s="24" t="str">
        <v>25-34</v>
      </c>
      <c r="F211" s="24" t="str">
        <v>Low</v>
      </c>
      <c r="G211" s="24">
        <v>9</v>
      </c>
      <c r="H211" s="24">
        <v>331</v>
      </c>
      <c r="I211" s="23">
        <v>214.54</v>
      </c>
      <c r="J211" s="24" cm="1">
        <f t="array" ref="J211">SUMPRODUCT(
    (Transactions_and_Customer_Information_Joined[Customer ID]='V1-Based Churn Model (Step 3)'!$A211) *
    (IFERROR(_xlfn.XLOOKUP(Transactions_and_Customer_Information_Joined[SKU], 'V1 Pricing Model (Step 2)'!$A$22:$A$71, 'V1 Pricing Model (Step 2)'!$AL$22:$AL$71), "Exclude")&lt;&gt;"Exclude") *
    Transactions_and_Customer_Information_Joined[Gross Revenue])</f>
        <v>198.68</v>
      </c>
      <c r="K211" s="24">
        <f>SUMIF(Transactions_and_Customer_Information_Joined[Customer ID], 'V1-Based Churn Model (Step 3)'!$A211, Transactions_and_Customer_Information_Joined[Gross Revenue])</f>
        <v>198.68</v>
      </c>
      <c r="L211" s="3">
        <f t="shared" si="12"/>
        <v>1</v>
      </c>
      <c r="M211" s="21">
        <v>1.4049546680818285E-2</v>
      </c>
      <c r="N211" s="21" cm="1">
        <f t="array" ref="N211">SUMPRODUCT(
    (Transactions_and_Customer_Information_Joined[Customer ID]=$A211)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11" s="21" cm="1">
        <f t="array" ref="O211">IFERROR(
    SUMPRODUCT(
        (Transactions_and_Customer_Information_Joined[Customer ID]=$A211)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$J211,
0)</f>
        <v>1.4049546680818285E-2</v>
      </c>
      <c r="P211" s="5" cm="1">
        <f t="array" ref="P211">_xlfn.IFS(B211="At-Risk Churner",$B$2,$B211="Dormant",$B$3,$B211="Deal Hunter",$B$4,$B211="New Customer",$B$5,$B211="Occasional Buyer",$B$6,$B211="Loyal High-Value",$B$7)</f>
        <v>45</v>
      </c>
      <c r="Q211" s="9" cm="1">
        <f t="array" ref="Q211">_xlfn.IFS($B211 = "At-Risk Churner", $B$8, $B211="Dormant",$B$9, $B211="Deal Hunter", $B$10, $B211="New Customer", $B$11, $B211="Occasional Buyer", $B$12, $B211 = "Loyal High-Value",$B$13)</f>
        <v>0.25</v>
      </c>
      <c r="R211" s="5">
        <v>-5</v>
      </c>
      <c r="S211" s="5">
        <v>-8</v>
      </c>
      <c r="T211" s="5">
        <v>15</v>
      </c>
      <c r="U211" s="5">
        <f t="shared" si="13"/>
        <v>15</v>
      </c>
      <c r="V211" s="5">
        <f t="shared" si="14"/>
        <v>0.56198186723273136</v>
      </c>
      <c r="W211" s="43">
        <f t="shared" si="15"/>
        <v>62.089481867232735</v>
      </c>
      <c r="X211" s="5" t="str" cm="1">
        <f t="array" ref="X211">_xlfn.IFS($W211 &lt;= 30, "Low", $W211 &lt;=50, "Medium", $W211 &lt;= 70, "High", $W211 &gt; 70, "Critical")</f>
        <v>High</v>
      </c>
      <c r="Y211" s="9">
        <f t="shared" si="16"/>
        <v>0.19252819747437333</v>
      </c>
      <c r="Z211" s="22">
        <f t="shared" si="17"/>
        <v>75.951999588921637</v>
      </c>
    </row>
    <row r="212" spans="1:26">
      <c r="A212" s="24" t="str">
        <v>CUST-3442</v>
      </c>
      <c r="B212" s="24" t="str">
        <v>Deal Hunter</v>
      </c>
      <c r="C212" s="24" t="str">
        <v>Influencer</v>
      </c>
      <c r="D212" s="24" t="str">
        <v>UK</v>
      </c>
      <c r="E212" s="24" t="str">
        <v>45-54</v>
      </c>
      <c r="F212" s="24" t="str">
        <v>High</v>
      </c>
      <c r="G212" s="24">
        <v>3</v>
      </c>
      <c r="H212" s="24">
        <v>120</v>
      </c>
      <c r="I212" s="23">
        <v>200.23</v>
      </c>
      <c r="J212" s="24" cm="1">
        <f t="array" ref="J212">SUMPRODUCT(
    (Transactions_and_Customer_Information_Joined[Customer ID]='V1-Based Churn Model (Step 3)'!$A212) *
    (IFERROR(_xlfn.XLOOKUP(Transactions_and_Customer_Information_Joined[SKU], 'V1 Pricing Model (Step 2)'!$A$22:$A$71, 'V1 Pricing Model (Step 2)'!$AL$22:$AL$71), "Exclude")&lt;&gt;"Exclude") *
    Transactions_and_Customer_Information_Joined[Gross Revenue])</f>
        <v>481.04999999999995</v>
      </c>
      <c r="K212" s="24">
        <f>SUMIF(Transactions_and_Customer_Information_Joined[Customer ID], 'V1-Based Churn Model (Step 3)'!$A212, Transactions_and_Customer_Information_Joined[Gross Revenue])</f>
        <v>481.04999999999995</v>
      </c>
      <c r="L212" s="3">
        <f t="shared" si="12"/>
        <v>1</v>
      </c>
      <c r="M212" s="21">
        <v>0.13680891237597953</v>
      </c>
      <c r="N212" s="21" cm="1">
        <f t="array" ref="N212">SUMPRODUCT(
    (Transactions_and_Customer_Information_Joined[Customer ID]=$A212)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12" s="21" cm="1">
        <f t="array" ref="O212">IFERROR(
    SUMPRODUCT(
        (Transactions_and_Customer_Information_Joined[Customer ID]=$A212)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$J212,
0)</f>
        <v>0.13680891237597953</v>
      </c>
      <c r="P212" s="5" cm="1">
        <f t="array" ref="P212">_xlfn.IFS(B212="At-Risk Churner",$B$2,$B212="Dormant",$B$3,$B212="Deal Hunter",$B$4,$B212="New Customer",$B$5,$B212="Occasional Buyer",$B$6,$B212="Loyal High-Value",$B$7)</f>
        <v>45</v>
      </c>
      <c r="Q212" s="9" cm="1">
        <f t="array" ref="Q212">_xlfn.IFS($B212 = "At-Risk Churner", $B$8, $B212="Dormant",$B$9, $B212="Deal Hunter", $B$10, $B212="New Customer", $B$11, $B212="Occasional Buyer", $B$12, $B212 = "Loyal High-Value",$B$13)</f>
        <v>0.25</v>
      </c>
      <c r="R212" s="5">
        <v>15</v>
      </c>
      <c r="S212" s="5">
        <v>10</v>
      </c>
      <c r="T212" s="5">
        <v>0</v>
      </c>
      <c r="U212" s="5">
        <f t="shared" si="13"/>
        <v>15</v>
      </c>
      <c r="V212" s="5">
        <f t="shared" si="14"/>
        <v>5.4723564950391808</v>
      </c>
      <c r="W212" s="43">
        <f t="shared" si="15"/>
        <v>91.259856495039188</v>
      </c>
      <c r="X212" s="5" t="str" cm="1">
        <f t="array" ref="X212">_xlfn.IFS($W212 &lt;= 30, "Low", $W212 &lt;=50, "Medium", $W212 &lt;= 70, "High", $W212 &gt; 70, "Critical")</f>
        <v>Critical</v>
      </c>
      <c r="Y212" s="9">
        <f t="shared" si="16"/>
        <v>0.24602725741833598</v>
      </c>
      <c r="Z212" s="22">
        <f t="shared" si="17"/>
        <v>49.262037752873411</v>
      </c>
    </row>
    <row r="213" spans="1:26">
      <c r="A213" s="24" t="str">
        <v>CUST-4207</v>
      </c>
      <c r="B213" s="24" t="str">
        <v>Deal Hunter</v>
      </c>
      <c r="C213" s="24" t="str">
        <v>Direct</v>
      </c>
      <c r="D213" s="24" t="str">
        <v>UK</v>
      </c>
      <c r="E213" s="24" t="str">
        <v>55+</v>
      </c>
      <c r="F213" s="24" t="str">
        <v>Low</v>
      </c>
      <c r="G213" s="24">
        <v>6</v>
      </c>
      <c r="H213" s="24">
        <v>175</v>
      </c>
      <c r="I213" s="23">
        <v>220.22</v>
      </c>
      <c r="J213" s="24" cm="1">
        <f t="array" ref="J213">SUMPRODUCT(
    (Transactions_and_Customer_Information_Joined[Customer ID]='V1-Based Churn Model (Step 3)'!$A213) *
    (IFERROR(_xlfn.XLOOKUP(Transactions_and_Customer_Information_Joined[SKU], 'V1 Pricing Model (Step 2)'!$A$22:$A$71, 'V1 Pricing Model (Step 2)'!$AL$22:$AL$71), "Exclude")&lt;&gt;"Exclude") *
    Transactions_and_Customer_Information_Joined[Gross Revenue])</f>
        <v>691.02</v>
      </c>
      <c r="K213" s="24">
        <f>SUMIF(Transactions_and_Customer_Information_Joined[Customer ID], 'V1-Based Churn Model (Step 3)'!$A213, Transactions_and_Customer_Information_Joined[Gross Revenue])</f>
        <v>691.02</v>
      </c>
      <c r="L213" s="3">
        <f t="shared" si="12"/>
        <v>1</v>
      </c>
      <c r="M213" s="21">
        <v>0.26791845407776477</v>
      </c>
      <c r="N213" s="21" cm="1">
        <f t="array" ref="N213">SUMPRODUCT(
    (Transactions_and_Customer_Information_Joined[Customer ID]=$A213)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13" s="21" cm="1">
        <f t="array" ref="O213">IFERROR(
    SUMPRODUCT(
        (Transactions_and_Customer_Information_Joined[Customer ID]=$A213)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$J213,
0)</f>
        <v>0.26791845407776477</v>
      </c>
      <c r="P213" s="5" cm="1">
        <f t="array" ref="P213">_xlfn.IFS(B213="At-Risk Churner",$B$2,$B213="Dormant",$B$3,$B213="Deal Hunter",$B$4,$B213="New Customer",$B$5,$B213="Occasional Buyer",$B$6,$B213="Loyal High-Value",$B$7)</f>
        <v>45</v>
      </c>
      <c r="Q213" s="9" cm="1">
        <f t="array" ref="Q213">_xlfn.IFS($B213 = "At-Risk Churner", $B$8, $B213="Dormant",$B$9, $B213="Deal Hunter", $B$10, $B213="New Customer", $B$11, $B213="Occasional Buyer", $B$12, $B213 = "Loyal High-Value",$B$13)</f>
        <v>0.25</v>
      </c>
      <c r="R213" s="5">
        <v>-5</v>
      </c>
      <c r="S213" s="5">
        <v>0</v>
      </c>
      <c r="T213" s="5">
        <v>0</v>
      </c>
      <c r="U213" s="5">
        <f t="shared" si="13"/>
        <v>15</v>
      </c>
      <c r="V213" s="5">
        <f t="shared" si="14"/>
        <v>10.716738163110591</v>
      </c>
      <c r="W213" s="43">
        <f t="shared" si="15"/>
        <v>65.604238163110594</v>
      </c>
      <c r="X213" s="5" t="str" cm="1">
        <f t="array" ref="X213">_xlfn.IFS($W213 &lt;= 30, "Low", $W213 &lt;=50, "Medium", $W213 &lt;= 70, "High", $W213 &gt; 70, "Critical")</f>
        <v>High</v>
      </c>
      <c r="Y213" s="9">
        <f t="shared" si="16"/>
        <v>0.20660353986271862</v>
      </c>
      <c r="Z213" s="22">
        <f t="shared" si="17"/>
        <v>80.442585238854321</v>
      </c>
    </row>
    <row r="214" spans="1:26">
      <c r="A214" s="24" t="str">
        <v>CUST-4924</v>
      </c>
      <c r="B214" s="24" t="str">
        <v>Dormant</v>
      </c>
      <c r="C214" s="24" t="str">
        <v>Referral</v>
      </c>
      <c r="D214" s="24" t="str">
        <v>West</v>
      </c>
      <c r="E214" s="24" t="str">
        <v>35-44</v>
      </c>
      <c r="F214" s="24" t="str">
        <v>Medium</v>
      </c>
      <c r="G214" s="24">
        <v>7</v>
      </c>
      <c r="H214" s="24">
        <v>137</v>
      </c>
      <c r="I214" s="23">
        <v>151.86000000000001</v>
      </c>
      <c r="J214" s="24" cm="1">
        <f t="array" ref="J214">SUMPRODUCT(
    (Transactions_and_Customer_Information_Joined[Customer ID]='V1-Based Churn Model (Step 3)'!$A214) *
    (IFERROR(_xlfn.XLOOKUP(Transactions_and_Customer_Information_Joined[SKU], 'V1 Pricing Model (Step 2)'!$A$22:$A$71, 'V1 Pricing Model (Step 2)'!$AL$22:$AL$71), "Exclude")&lt;&gt;"Exclude") *
    Transactions_and_Customer_Information_Joined[Gross Revenue])</f>
        <v>105.33</v>
      </c>
      <c r="K214" s="24">
        <f>SUMIF(Transactions_and_Customer_Information_Joined[Customer ID], 'V1-Based Churn Model (Step 3)'!$A214, Transactions_and_Customer_Information_Joined[Gross Revenue])</f>
        <v>105.33</v>
      </c>
      <c r="L214" s="3">
        <f t="shared" si="12"/>
        <v>1</v>
      </c>
      <c r="M214" s="21">
        <v>0.25581555939754186</v>
      </c>
      <c r="N214" s="21" cm="1">
        <f t="array" ref="N214">SUMPRODUCT(
    (Transactions_and_Customer_Information_Joined[Customer ID]=$A214)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14" s="21" cm="1">
        <f t="array" ref="O214">IFERROR(
    SUMPRODUCT(
        (Transactions_and_Customer_Information_Joined[Customer ID]=$A214)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$J214,
0)</f>
        <v>0.25581555939754186</v>
      </c>
      <c r="P214" s="5" cm="1">
        <f t="array" ref="P214">_xlfn.IFS(B214="At-Risk Churner",$B$2,$B214="Dormant",$B$3,$B214="Deal Hunter",$B$4,$B214="New Customer",$B$5,$B214="Occasional Buyer",$B$6,$B214="Loyal High-Value",$B$7)</f>
        <v>65</v>
      </c>
      <c r="Q214" s="9" cm="1">
        <f t="array" ref="Q214">_xlfn.IFS($B214 = "At-Risk Churner", $B$8, $B214="Dormant",$B$9, $B214="Deal Hunter", $B$10, $B214="New Customer", $B$11, $B214="Occasional Buyer", $B$12, $B214 = "Loyal High-Value",$B$13)</f>
        <v>0.6</v>
      </c>
      <c r="R214" s="5">
        <v>5</v>
      </c>
      <c r="S214" s="5">
        <v>-8</v>
      </c>
      <c r="T214" s="5">
        <v>0</v>
      </c>
      <c r="U214" s="5">
        <f t="shared" si="13"/>
        <v>15</v>
      </c>
      <c r="V214" s="5">
        <f t="shared" si="14"/>
        <v>10.232622375901673</v>
      </c>
      <c r="W214" s="43">
        <f t="shared" si="15"/>
        <v>86.825122375901671</v>
      </c>
      <c r="X214" s="5" t="str" cm="1">
        <f t="array" ref="X214">_xlfn.IFS($W214 &lt;= 30, "Low", $W214 &lt;=50, "Medium", $W214 &lt;= 70, "High", $W214 &gt; 70, "Critical")</f>
        <v>Critical</v>
      </c>
      <c r="Y214" s="9">
        <f t="shared" si="16"/>
        <v>0.58527467171410408</v>
      </c>
      <c r="Z214" s="22">
        <f t="shared" si="17"/>
        <v>88.879811646503853</v>
      </c>
    </row>
    <row r="215" spans="1:26">
      <c r="A215" s="24" t="str">
        <v>CUST-4701</v>
      </c>
      <c r="B215" s="24" t="str">
        <v>Occasional Buyer</v>
      </c>
      <c r="C215" s="24" t="str">
        <v>Influencer</v>
      </c>
      <c r="D215" s="24" t="str">
        <v>Canada</v>
      </c>
      <c r="E215" s="24" t="str">
        <v>45-54</v>
      </c>
      <c r="F215" s="24" t="str">
        <v>Low</v>
      </c>
      <c r="G215" s="24">
        <v>0</v>
      </c>
      <c r="H215" s="24">
        <v>350</v>
      </c>
      <c r="I215" s="23">
        <v>435.65</v>
      </c>
      <c r="J215" s="24" cm="1">
        <f t="array" ref="J215">SUMPRODUCT(
    (Transactions_and_Customer_Information_Joined[Customer ID]='V1-Based Churn Model (Step 3)'!$A215) *
    (IFERROR(_xlfn.XLOOKUP(Transactions_and_Customer_Information_Joined[SKU], 'V1 Pricing Model (Step 2)'!$A$22:$A$71, 'V1 Pricing Model (Step 2)'!$AL$22:$AL$71), "Exclude")&lt;&gt;"Exclude") *
    Transactions_and_Customer_Information_Joined[Gross Revenue])</f>
        <v>183.39</v>
      </c>
      <c r="K215" s="24">
        <f>SUMIF(Transactions_and_Customer_Information_Joined[Customer ID], 'V1-Based Churn Model (Step 3)'!$A215, Transactions_and_Customer_Information_Joined[Gross Revenue])</f>
        <v>183.39</v>
      </c>
      <c r="L215" s="3">
        <f t="shared" si="12"/>
        <v>1</v>
      </c>
      <c r="M215" s="21">
        <v>0.10709640328514787</v>
      </c>
      <c r="N215" s="21" cm="1">
        <f t="array" ref="N215">SUMPRODUCT(
    (Transactions_and_Customer_Information_Joined[Customer ID]=$A215)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15" s="21" cm="1">
        <f t="array" ref="O215">IFERROR(
    SUMPRODUCT(
        (Transactions_and_Customer_Information_Joined[Customer ID]=$A215)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$J215,
0)</f>
        <v>4.7230709139598238E-2</v>
      </c>
      <c r="P215" s="5" cm="1">
        <f t="array" ref="P215">_xlfn.IFS(B215="At-Risk Churner",$B$2,$B215="Dormant",$B$3,$B215="Deal Hunter",$B$4,$B215="New Customer",$B$5,$B215="Occasional Buyer",$B$6,$B215="Loyal High-Value",$B$7)</f>
        <v>25</v>
      </c>
      <c r="Q215" s="9" cm="1">
        <f t="array" ref="Q215">_xlfn.IFS($B215 = "At-Risk Churner", $B$8, $B215="Dormant",$B$9, $B215="Deal Hunter", $B$10, $B215="New Customer", $B$11, $B215="Occasional Buyer", $B$12, $B215 = "Loyal High-Value",$B$13)</f>
        <v>0.18</v>
      </c>
      <c r="R215" s="5">
        <v>-5</v>
      </c>
      <c r="S215" s="5">
        <v>10</v>
      </c>
      <c r="T215" s="5">
        <v>15</v>
      </c>
      <c r="U215" s="5">
        <f t="shared" si="13"/>
        <v>15</v>
      </c>
      <c r="V215" s="5">
        <f t="shared" si="14"/>
        <v>3.0865422484949221</v>
      </c>
      <c r="W215" s="43">
        <f t="shared" si="15"/>
        <v>63.224042248494925</v>
      </c>
      <c r="X215" s="5" t="str" cm="1">
        <f t="array" ref="X215">_xlfn.IFS($W215 &lt;= 30, "Low", $W215 &lt;=50, "Medium", $W215 &lt;= 70, "High", $W215 &gt; 70, "Critical")</f>
        <v>High</v>
      </c>
      <c r="Y215" s="9">
        <f t="shared" si="16"/>
        <v>0.14212465718076048</v>
      </c>
      <c r="Z215" s="22">
        <f t="shared" si="17"/>
        <v>136.66328552063862</v>
      </c>
    </row>
    <row r="216" spans="1:26">
      <c r="A216" s="24" t="str">
        <v>CUST-1572</v>
      </c>
      <c r="B216" s="24" t="str">
        <v>Dormant</v>
      </c>
      <c r="C216" s="24" t="str">
        <v>Email Campaign</v>
      </c>
      <c r="D216" s="24" t="str">
        <v>Canada</v>
      </c>
      <c r="E216" s="24" t="str">
        <v>25-34</v>
      </c>
      <c r="F216" s="24" t="str">
        <v>Medium</v>
      </c>
      <c r="G216" s="24">
        <v>10</v>
      </c>
      <c r="H216" s="24">
        <v>91</v>
      </c>
      <c r="I216" s="23">
        <v>111.45</v>
      </c>
      <c r="J216" s="24" cm="1">
        <f t="array" ref="J216">SUMPRODUCT(
    (Transactions_and_Customer_Information_Joined[Customer ID]='V1-Based Churn Model (Step 3)'!$A216) *
    (IFERROR(_xlfn.XLOOKUP(Transactions_and_Customer_Information_Joined[SKU], 'V1 Pricing Model (Step 2)'!$A$22:$A$71, 'V1 Pricing Model (Step 2)'!$AL$22:$AL$71), "Exclude")&lt;&gt;"Exclude") *
    Transactions_and_Customer_Information_Joined[Gross Revenue])</f>
        <v>249.54</v>
      </c>
      <c r="K216" s="24">
        <f>SUMIF(Transactions_and_Customer_Information_Joined[Customer ID], 'V1-Based Churn Model (Step 3)'!$A216, Transactions_and_Customer_Information_Joined[Gross Revenue])</f>
        <v>249.54</v>
      </c>
      <c r="L216" s="3">
        <f t="shared" si="12"/>
        <v>1</v>
      </c>
      <c r="M216" s="21">
        <v>0.1130897018443069</v>
      </c>
      <c r="N216" s="21" cm="1">
        <f t="array" ref="N216">SUMPRODUCT(
    (Transactions_and_Customer_Information_Joined[Customer ID]=$A216)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16" s="21" cm="1">
        <f t="array" ref="O216">IFERROR(
    SUMPRODUCT(
        (Transactions_and_Customer_Information_Joined[Customer ID]=$A216)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$J216,
0)</f>
        <v>0.1130897018443069</v>
      </c>
      <c r="P216" s="5" cm="1">
        <f t="array" ref="P216">_xlfn.IFS(B216="At-Risk Churner",$B$2,$B216="Dormant",$B$3,$B216="Deal Hunter",$B$4,$B216="New Customer",$B$5,$B216="Occasional Buyer",$B$6,$B216="Loyal High-Value",$B$7)</f>
        <v>65</v>
      </c>
      <c r="Q216" s="9" cm="1">
        <f t="array" ref="Q216">_xlfn.IFS($B216 = "At-Risk Churner", $B$8, $B216="Dormant",$B$9, $B216="Deal Hunter", $B$10, $B216="New Customer", $B$11, $B216="Occasional Buyer", $B$12, $B216 = "Loyal High-Value",$B$13)</f>
        <v>0.6</v>
      </c>
      <c r="R216" s="5">
        <v>5</v>
      </c>
      <c r="S216" s="5">
        <v>-8</v>
      </c>
      <c r="T216" s="5">
        <v>0</v>
      </c>
      <c r="U216" s="5">
        <f t="shared" si="13"/>
        <v>15</v>
      </c>
      <c r="V216" s="5">
        <f t="shared" si="14"/>
        <v>4.5235880737722765</v>
      </c>
      <c r="W216" s="43">
        <f t="shared" si="15"/>
        <v>81.116088073772275</v>
      </c>
      <c r="X216" s="5" t="str" cm="1">
        <f t="array" ref="X216">_xlfn.IFS($W216 &lt;= 30, "Low", $W216 &lt;=50, "Medium", $W216 &lt;= 70, "High", $W216 &gt; 70, "Critical")</f>
        <v>Critical</v>
      </c>
      <c r="Y216" s="9">
        <f t="shared" si="16"/>
        <v>0.57442143914342925</v>
      </c>
      <c r="Z216" s="22">
        <f t="shared" si="17"/>
        <v>64.019269392535193</v>
      </c>
    </row>
    <row r="217" spans="1:26">
      <c r="A217" s="24" t="str">
        <v>CUST-4002</v>
      </c>
      <c r="B217" s="24" t="str">
        <v>Dormant</v>
      </c>
      <c r="C217" s="24" t="str">
        <v>Paid Social</v>
      </c>
      <c r="D217" s="24" t="str">
        <v>Midwest</v>
      </c>
      <c r="E217" s="24" t="str">
        <v>45-54</v>
      </c>
      <c r="F217" s="24" t="str">
        <v>Medium</v>
      </c>
      <c r="G217" s="24">
        <v>8</v>
      </c>
      <c r="H217" s="24">
        <v>38</v>
      </c>
      <c r="I217" s="23">
        <v>83.04</v>
      </c>
      <c r="J217" s="24" cm="1">
        <f t="array" ref="J217">SUMPRODUCT(
    (Transactions_and_Customer_Information_Joined[Customer ID]='V1-Based Churn Model (Step 3)'!$A217) *
    (IFERROR(_xlfn.XLOOKUP(Transactions_and_Customer_Information_Joined[SKU], 'V1 Pricing Model (Step 2)'!$A$22:$A$71, 'V1 Pricing Model (Step 2)'!$AL$22:$AL$71), "Exclude")&lt;&gt;"Exclude") *
    Transactions_and_Customer_Information_Joined[Gross Revenue])</f>
        <v>171.64999999999998</v>
      </c>
      <c r="K217" s="24">
        <f>SUMIF(Transactions_and_Customer_Information_Joined[Customer ID], 'V1-Based Churn Model (Step 3)'!$A217, Transactions_and_Customer_Information_Joined[Gross Revenue])</f>
        <v>171.64999999999998</v>
      </c>
      <c r="L217" s="3">
        <f t="shared" si="12"/>
        <v>1</v>
      </c>
      <c r="M217" s="21">
        <v>0.25481331848064742</v>
      </c>
      <c r="N217" s="21" cm="1">
        <f t="array" ref="N217">SUMPRODUCT(
    (Transactions_and_Customer_Information_Joined[Customer ID]=$A217)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2</v>
      </c>
      <c r="O217" s="21" cm="1">
        <f t="array" ref="O217">IFERROR(
    SUMPRODUCT(
        (Transactions_and_Customer_Information_Joined[Customer ID]=$A217)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$J217,
0)</f>
        <v>0.21635669509357272</v>
      </c>
      <c r="P217" s="5" cm="1">
        <f t="array" ref="P217">_xlfn.IFS(B217="At-Risk Churner",$B$2,$B217="Dormant",$B$3,$B217="Deal Hunter",$B$4,$B217="New Customer",$B$5,$B217="Occasional Buyer",$B$6,$B217="Loyal High-Value",$B$7)</f>
        <v>65</v>
      </c>
      <c r="Q217" s="9" cm="1">
        <f t="array" ref="Q217">_xlfn.IFS($B217 = "At-Risk Churner", $B$8, $B217="Dormant",$B$9, $B217="Deal Hunter", $B$10, $B217="New Customer", $B$11, $B217="Occasional Buyer", $B$12, $B217 = "Loyal High-Value",$B$13)</f>
        <v>0.6</v>
      </c>
      <c r="R217" s="5">
        <v>5</v>
      </c>
      <c r="S217" s="5">
        <v>-8</v>
      </c>
      <c r="T217" s="5">
        <v>-5</v>
      </c>
      <c r="U217" s="5">
        <f t="shared" si="13"/>
        <v>15</v>
      </c>
      <c r="V217" s="5">
        <f t="shared" si="14"/>
        <v>9.4234002714844038</v>
      </c>
      <c r="W217" s="43">
        <f t="shared" si="15"/>
        <v>81.015900271484412</v>
      </c>
      <c r="X217" s="5" t="str" cm="1">
        <f t="array" ref="X217">_xlfn.IFS($W217 &lt;= 30, "Low", $W217 &lt;=50, "Medium", $W217 &lt;= 70, "High", $W217 &gt; 70, "Critical")</f>
        <v>Critical</v>
      </c>
      <c r="Y217" s="9">
        <f t="shared" si="16"/>
        <v>0.57417497069605317</v>
      </c>
      <c r="Z217" s="22">
        <f t="shared" si="17"/>
        <v>47.67948956660026</v>
      </c>
    </row>
    <row r="218" spans="1:26">
      <c r="A218" s="24" t="str">
        <v>CUST-1370</v>
      </c>
      <c r="B218" s="24" t="str">
        <v>Occasional Buyer</v>
      </c>
      <c r="C218" s="24" t="str">
        <v>Influencer</v>
      </c>
      <c r="D218" s="24" t="str">
        <v>Northeast</v>
      </c>
      <c r="E218" s="24" t="str">
        <v>25-34</v>
      </c>
      <c r="F218" s="24" t="str">
        <v>Medium</v>
      </c>
      <c r="G218" s="24">
        <v>7</v>
      </c>
      <c r="H218" s="24">
        <v>355</v>
      </c>
      <c r="I218" s="23">
        <v>626.66999999999996</v>
      </c>
      <c r="J218" s="24" cm="1">
        <f t="array" ref="J218">SUMPRODUCT(
    (Transactions_and_Customer_Information_Joined[Customer ID]='V1-Based Churn Model (Step 3)'!$A218)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218" s="24">
        <f>SUMIF(Transactions_and_Customer_Information_Joined[Customer ID], 'V1-Based Churn Model (Step 3)'!$A218, Transactions_and_Customer_Information_Joined[Gross Revenue])</f>
        <v>326.39999999999998</v>
      </c>
      <c r="L218" s="3">
        <f t="shared" si="12"/>
        <v>0</v>
      </c>
      <c r="M218" s="21">
        <v>0</v>
      </c>
      <c r="N218" s="21" cm="1">
        <f t="array" ref="N218">SUMPRODUCT(
    (Transactions_and_Customer_Information_Joined[Customer ID]=$A218)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218" s="21" cm="1">
        <f t="array" ref="O218">IFERROR(
    SUMPRODUCT(
        (Transactions_and_Customer_Information_Joined[Customer ID]=$A218)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$J218,
0)</f>
        <v>0</v>
      </c>
      <c r="P218" s="5" cm="1">
        <f t="array" ref="P218">_xlfn.IFS(B218="At-Risk Churner",$B$2,$B218="Dormant",$B$3,$B218="Deal Hunter",$B$4,$B218="New Customer",$B$5,$B218="Occasional Buyer",$B$6,$B218="Loyal High-Value",$B$7)</f>
        <v>25</v>
      </c>
      <c r="Q218" s="9" cm="1">
        <f t="array" ref="Q218">_xlfn.IFS($B218 = "At-Risk Churner", $B$8, $B218="Dormant",$B$9, $B218="Deal Hunter", $B$10, $B218="New Customer", $B$11, $B218="Occasional Buyer", $B$12, $B218 = "Loyal High-Value",$B$13)</f>
        <v>0.18</v>
      </c>
      <c r="R218" s="5">
        <v>5</v>
      </c>
      <c r="S218" s="5">
        <v>-8</v>
      </c>
      <c r="T218" s="5">
        <v>15</v>
      </c>
      <c r="U218" s="5">
        <f t="shared" si="13"/>
        <v>0</v>
      </c>
      <c r="V218" s="5">
        <f t="shared" si="14"/>
        <v>0</v>
      </c>
      <c r="W218" s="43">
        <f t="shared" si="15"/>
        <v>36.799999999999997</v>
      </c>
      <c r="X218" s="5" t="str" cm="1">
        <f t="array" ref="X218">_xlfn.IFS($W218 &lt;= 30, "Low", $W218 &lt;=50, "Medium", $W218 &lt;= 70, "High", $W218 &gt; 70, "Critical")</f>
        <v>Medium</v>
      </c>
      <c r="Y218" s="9">
        <f t="shared" si="16"/>
        <v>3.7947292825994468E-2</v>
      </c>
      <c r="Z218" s="22">
        <f t="shared" si="17"/>
        <v>144.35834399621277</v>
      </c>
    </row>
    <row r="219" spans="1:26">
      <c r="A219" s="24" t="str">
        <v>CUST-2147</v>
      </c>
      <c r="B219" s="24" t="str">
        <v>Loyal High-Value</v>
      </c>
      <c r="C219" s="24" t="str">
        <v>Direct</v>
      </c>
      <c r="D219" s="24" t="str">
        <v>Midwest</v>
      </c>
      <c r="E219" s="24" t="str">
        <v>18-24</v>
      </c>
      <c r="F219" s="24" t="str">
        <v>Medium</v>
      </c>
      <c r="G219" s="24">
        <v>7</v>
      </c>
      <c r="H219" s="24">
        <v>331</v>
      </c>
      <c r="I219" s="23">
        <v>1233.99</v>
      </c>
      <c r="J219" s="24" cm="1">
        <f t="array" ref="J219">SUMPRODUCT(
    (Transactions_and_Customer_Information_Joined[Customer ID]='V1-Based Churn Model (Step 3)'!$A219) *
    (IFERROR(_xlfn.XLOOKUP(Transactions_and_Customer_Information_Joined[SKU], 'V1 Pricing Model (Step 2)'!$A$22:$A$71, 'V1 Pricing Model (Step 2)'!$AL$22:$AL$71), "Exclude")&lt;&gt;"Exclude") *
    Transactions_and_Customer_Information_Joined[Gross Revenue])</f>
        <v>460.68</v>
      </c>
      <c r="K219" s="24">
        <f>SUMIF(Transactions_and_Customer_Information_Joined[Customer ID], 'V1-Based Churn Model (Step 3)'!$A219, Transactions_and_Customer_Information_Joined[Gross Revenue])</f>
        <v>460.68</v>
      </c>
      <c r="L219" s="3">
        <f t="shared" si="12"/>
        <v>1</v>
      </c>
      <c r="M219" s="21">
        <v>0.26791845407776477</v>
      </c>
      <c r="N219" s="21" cm="1">
        <f t="array" ref="N219">SUMPRODUCT(
    (Transactions_and_Customer_Information_Joined[Customer ID]=$A219)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19" s="21" cm="1">
        <f t="array" ref="O219">IFERROR(
    SUMPRODUCT(
        (Transactions_and_Customer_Information_Joined[Customer ID]=$A219)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$J219,
0)</f>
        <v>0.26791845407776477</v>
      </c>
      <c r="P219" s="5" cm="1">
        <f t="array" ref="P219">_xlfn.IFS(B219="At-Risk Churner",$B$2,$B219="Dormant",$B$3,$B219="Deal Hunter",$B$4,$B219="New Customer",$B$5,$B219="Occasional Buyer",$B$6,$B219="Loyal High-Value",$B$7)</f>
        <v>15</v>
      </c>
      <c r="Q219" s="9" cm="1">
        <f t="array" ref="Q219">_xlfn.IFS($B219 = "At-Risk Churner", $B$8, $B219="Dormant",$B$9, $B219="Deal Hunter", $B$10, $B219="New Customer", $B$11, $B219="Occasional Buyer", $B$12, $B219 = "Loyal High-Value",$B$13)</f>
        <v>0.05</v>
      </c>
      <c r="R219" s="5">
        <v>5</v>
      </c>
      <c r="S219" s="5">
        <v>-8</v>
      </c>
      <c r="T219" s="5">
        <v>15</v>
      </c>
      <c r="U219" s="5">
        <f t="shared" si="13"/>
        <v>15</v>
      </c>
      <c r="V219" s="5">
        <f t="shared" si="14"/>
        <v>10.716738163110591</v>
      </c>
      <c r="W219" s="43">
        <f t="shared" si="15"/>
        <v>52.709238163110591</v>
      </c>
      <c r="X219" s="5" t="str" cm="1">
        <f t="array" ref="X219">_xlfn.IFS($W219 &lt;= 30, "Low", $W219 &lt;=50, "Medium", $W219 &lt;= 70, "High", $W219 &gt; 70, "Critical")</f>
        <v>High</v>
      </c>
      <c r="Y219" s="9">
        <f t="shared" si="16"/>
        <v>2.8365984322530041E-2</v>
      </c>
      <c r="Z219" s="22">
        <f t="shared" si="17"/>
        <v>274.8006727953271</v>
      </c>
    </row>
    <row r="220" spans="1:26">
      <c r="A220" s="24" t="str">
        <v>CUST-1794</v>
      </c>
      <c r="B220" s="24" t="str">
        <v>At-Risk Churner</v>
      </c>
      <c r="C220" s="24" t="str">
        <v>Influencer</v>
      </c>
      <c r="D220" s="24" t="str">
        <v>West</v>
      </c>
      <c r="E220" s="24" t="str">
        <v>45-54</v>
      </c>
      <c r="F220" s="24" t="str">
        <v>High</v>
      </c>
      <c r="G220" s="24">
        <v>9</v>
      </c>
      <c r="H220" s="24">
        <v>322</v>
      </c>
      <c r="I220" s="23">
        <v>172.76</v>
      </c>
      <c r="J220" s="24" cm="1">
        <f t="array" ref="J220">SUMPRODUCT(
    (Transactions_and_Customer_Information_Joined[Customer ID]='V1-Based Churn Model (Step 3)'!$A220) *
    (IFERROR(_xlfn.XLOOKUP(Transactions_and_Customer_Information_Joined[SKU], 'V1 Pricing Model (Step 2)'!$A$22:$A$71, 'V1 Pricing Model (Step 2)'!$AL$22:$AL$71), "Exclude")&lt;&gt;"Exclude") *
    Transactions_and_Customer_Information_Joined[Gross Revenue])</f>
        <v>208.38</v>
      </c>
      <c r="K220" s="24">
        <f>SUMIF(Transactions_and_Customer_Information_Joined[Customer ID], 'V1-Based Churn Model (Step 3)'!$A220, Transactions_and_Customer_Information_Joined[Gross Revenue])</f>
        <v>208.38</v>
      </c>
      <c r="L220" s="3">
        <f t="shared" si="12"/>
        <v>1</v>
      </c>
      <c r="M220" s="21">
        <v>0.22185784964769206</v>
      </c>
      <c r="N220" s="21" cm="1">
        <f t="array" ref="N220">SUMPRODUCT(
    (Transactions_and_Customer_Information_Joined[Customer ID]=$A220)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20" s="21" cm="1">
        <f t="array" ref="O220">IFERROR(
    SUMPRODUCT(
        (Transactions_and_Customer_Information_Joined[Customer ID]=$A220)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$J220,
0)</f>
        <v>0.2115673025610991</v>
      </c>
      <c r="P220" s="5" cm="1">
        <f t="array" ref="P220">_xlfn.IFS(B220="At-Risk Churner",$B$2,$B220="Dormant",$B$3,$B220="Deal Hunter",$B$4,$B220="New Customer",$B$5,$B220="Occasional Buyer",$B$6,$B220="Loyal High-Value",$B$7)</f>
        <v>70</v>
      </c>
      <c r="Q220" s="9" cm="1">
        <f t="array" ref="Q220">_xlfn.IFS($B220 = "At-Risk Churner", $B$8, $B220="Dormant",$B$9, $B220="Deal Hunter", $B$10, $B220="New Customer", $B$11, $B220="Occasional Buyer", $B$12, $B220 = "Loyal High-Value",$B$13)</f>
        <v>0.45</v>
      </c>
      <c r="R220" s="5">
        <v>15</v>
      </c>
      <c r="S220" s="5">
        <v>-8</v>
      </c>
      <c r="T220" s="5">
        <v>15</v>
      </c>
      <c r="U220" s="5">
        <f t="shared" si="13"/>
        <v>15</v>
      </c>
      <c r="V220" s="5">
        <f t="shared" si="14"/>
        <v>8.6685030441758233</v>
      </c>
      <c r="W220" s="43">
        <f t="shared" si="15"/>
        <v>100</v>
      </c>
      <c r="X220" s="5" t="str" cm="1">
        <f t="array" ref="X220">_xlfn.IFS($W220 &lt;= 30, "Low", $W220 &lt;=50, "Medium", $W220 &lt;= 70, "High", $W220 &gt; 70, "Critical")</f>
        <v>Critical</v>
      </c>
      <c r="Y220" s="9">
        <f t="shared" si="16"/>
        <v>0.44698821708407188</v>
      </c>
      <c r="Z220" s="22">
        <f t="shared" si="17"/>
        <v>77.221684383444256</v>
      </c>
    </row>
    <row r="221" spans="1:26">
      <c r="A221" s="24" t="str">
        <v>CUST-1010</v>
      </c>
      <c r="B221" s="24" t="str">
        <v>At-Risk Churner</v>
      </c>
      <c r="C221" s="24" t="str">
        <v>Direct</v>
      </c>
      <c r="D221" s="24" t="str">
        <v>West</v>
      </c>
      <c r="E221" s="24" t="str">
        <v>45-54</v>
      </c>
      <c r="F221" s="24" t="str">
        <v>High</v>
      </c>
      <c r="G221" s="24">
        <v>10</v>
      </c>
      <c r="H221" s="24">
        <v>289</v>
      </c>
      <c r="I221" s="23">
        <v>227.5</v>
      </c>
      <c r="J221" s="24" cm="1">
        <f t="array" ref="J221">SUMPRODUCT(
    (Transactions_and_Customer_Information_Joined[Customer ID]='V1-Based Churn Model (Step 3)'!$A221) *
    (IFERROR(_xlfn.XLOOKUP(Transactions_and_Customer_Information_Joined[SKU], 'V1 Pricing Model (Step 2)'!$A$22:$A$71, 'V1 Pricing Model (Step 2)'!$AL$22:$AL$71), "Exclude")&lt;&gt;"Exclude") *
    Transactions_and_Customer_Information_Joined[Gross Revenue])</f>
        <v>36.35</v>
      </c>
      <c r="K221" s="24">
        <f>SUMIF(Transactions_and_Customer_Information_Joined[Customer ID], 'V1-Based Churn Model (Step 3)'!$A221, Transactions_and_Customer_Information_Joined[Gross Revenue])</f>
        <v>36.35</v>
      </c>
      <c r="L221" s="3">
        <f t="shared" si="12"/>
        <v>1</v>
      </c>
      <c r="M221" s="21">
        <v>6.4419042005321461E-2</v>
      </c>
      <c r="N221" s="21" cm="1">
        <f t="array" ref="N221">SUMPRODUCT(
    (Transactions_and_Customer_Information_Joined[Customer ID]=$A221)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21" s="21" cm="1">
        <f t="array" ref="O221">IFERROR(
    SUMPRODUCT(
        (Transactions_and_Customer_Information_Joined[Customer ID]=$A221)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$J221,
0)</f>
        <v>6.4419042005321461E-2</v>
      </c>
      <c r="P221" s="5" cm="1">
        <f t="array" ref="P221">_xlfn.IFS(B221="At-Risk Churner",$B$2,$B221="Dormant",$B$3,$B221="Deal Hunter",$B$4,$B221="New Customer",$B$5,$B221="Occasional Buyer",$B$6,$B221="Loyal High-Value",$B$7)</f>
        <v>70</v>
      </c>
      <c r="Q221" s="9" cm="1">
        <f t="array" ref="Q221">_xlfn.IFS($B221 = "At-Risk Churner", $B$8, $B221="Dormant",$B$9, $B221="Deal Hunter", $B$10, $B221="New Customer", $B$11, $B221="Occasional Buyer", $B$12, $B221 = "Loyal High-Value",$B$13)</f>
        <v>0.45</v>
      </c>
      <c r="R221" s="5">
        <v>15</v>
      </c>
      <c r="S221" s="5">
        <v>-8</v>
      </c>
      <c r="T221" s="5">
        <v>8</v>
      </c>
      <c r="U221" s="5">
        <f t="shared" si="13"/>
        <v>15</v>
      </c>
      <c r="V221" s="5">
        <f t="shared" si="14"/>
        <v>2.5767616802128583</v>
      </c>
      <c r="W221" s="43">
        <f t="shared" si="15"/>
        <v>100</v>
      </c>
      <c r="X221" s="5" t="str" cm="1">
        <f t="array" ref="X221">_xlfn.IFS($W221 &lt;= 30, "Low", $W221 &lt;=50, "Medium", $W221 &lt;= 70, "High", $W221 &gt; 70, "Critical")</f>
        <v>Critical</v>
      </c>
      <c r="Y221" s="9">
        <f t="shared" si="16"/>
        <v>0.44698821708407188</v>
      </c>
      <c r="Z221" s="22">
        <f t="shared" si="17"/>
        <v>101.68981938662635</v>
      </c>
    </row>
    <row r="222" spans="1:26">
      <c r="A222" s="24" t="str">
        <v>CUST-4782</v>
      </c>
      <c r="B222" s="24" t="str">
        <v>Dormant</v>
      </c>
      <c r="C222" s="24" t="str">
        <v>Email Campaign</v>
      </c>
      <c r="D222" s="24" t="str">
        <v>Northeast</v>
      </c>
      <c r="E222" s="24" t="str">
        <v>18-24</v>
      </c>
      <c r="F222" s="24" t="str">
        <v>Medium</v>
      </c>
      <c r="G222" s="24">
        <v>0</v>
      </c>
      <c r="H222" s="24">
        <v>300</v>
      </c>
      <c r="I222" s="23">
        <v>155.75</v>
      </c>
      <c r="J222" s="24" cm="1">
        <f t="array" ref="J222">SUMPRODUCT(
    (Transactions_and_Customer_Information_Joined[Customer ID]='V1-Based Churn Model (Step 3)'!$A222) *
    (IFERROR(_xlfn.XLOOKUP(Transactions_and_Customer_Information_Joined[SKU], 'V1 Pricing Model (Step 2)'!$A$22:$A$71, 'V1 Pricing Model (Step 2)'!$AL$22:$AL$71), "Exclude")&lt;&gt;"Exclude") *
    Transactions_and_Customer_Information_Joined[Gross Revenue])</f>
        <v>218.56</v>
      </c>
      <c r="K222" s="24">
        <f>SUMIF(Transactions_and_Customer_Information_Joined[Customer ID], 'V1-Based Churn Model (Step 3)'!$A222, Transactions_and_Customer_Information_Joined[Gross Revenue])</f>
        <v>218.56</v>
      </c>
      <c r="L222" s="3">
        <f t="shared" si="12"/>
        <v>1</v>
      </c>
      <c r="M222" s="21">
        <v>0.24833629343146826</v>
      </c>
      <c r="N222" s="21" cm="1">
        <f t="array" ref="N222">SUMPRODUCT(
    (Transactions_and_Customer_Information_Joined[Customer ID]=$A222)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22" s="21" cm="1">
        <f t="array" ref="O222">IFERROR(
    SUMPRODUCT(
        (Transactions_and_Customer_Information_Joined[Customer ID]=$A222)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$J222,
0)</f>
        <v>0.24833629343146826</v>
      </c>
      <c r="P222" s="5" cm="1">
        <f t="array" ref="P222">_xlfn.IFS(B222="At-Risk Churner",$B$2,$B222="Dormant",$B$3,$B222="Deal Hunter",$B$4,$B222="New Customer",$B$5,$B222="Occasional Buyer",$B$6,$B222="Loyal High-Value",$B$7)</f>
        <v>65</v>
      </c>
      <c r="Q222" s="9" cm="1">
        <f t="array" ref="Q222">_xlfn.IFS($B222 = "At-Risk Churner", $B$8, $B222="Dormant",$B$9, $B222="Deal Hunter", $B$10, $B222="New Customer", $B$11, $B222="Occasional Buyer", $B$12, $B222 = "Loyal High-Value",$B$13)</f>
        <v>0.6</v>
      </c>
      <c r="R222" s="5">
        <v>5</v>
      </c>
      <c r="S222" s="5">
        <v>10</v>
      </c>
      <c r="T222" s="5">
        <v>8</v>
      </c>
      <c r="U222" s="5">
        <f t="shared" si="13"/>
        <v>15</v>
      </c>
      <c r="V222" s="5">
        <f t="shared" si="14"/>
        <v>9.9334517372587303</v>
      </c>
      <c r="W222" s="43">
        <f t="shared" si="15"/>
        <v>100</v>
      </c>
      <c r="X222" s="5" t="str" cm="1">
        <f t="array" ref="X222">_xlfn.IFS($W222 &lt;= 30, "Low", $W222 &lt;=50, "Medium", $W222 &lt;= 70, "High", $W222 &gt; 70, "Critical")</f>
        <v>Critical</v>
      </c>
      <c r="Y222" s="9">
        <f t="shared" si="16"/>
        <v>0.59598428944542914</v>
      </c>
      <c r="Z222" s="22">
        <f t="shared" si="17"/>
        <v>92.824553081125586</v>
      </c>
    </row>
    <row r="223" spans="1:26">
      <c r="A223" s="24" t="str">
        <v>CUST-1303</v>
      </c>
      <c r="B223" s="24" t="str">
        <v>Deal Hunter</v>
      </c>
      <c r="C223" s="24" t="str">
        <v>Influencer</v>
      </c>
      <c r="D223" s="24" t="str">
        <v>Northeast</v>
      </c>
      <c r="E223" s="24" t="str">
        <v>25-34</v>
      </c>
      <c r="F223" s="24" t="str">
        <v>Low</v>
      </c>
      <c r="G223" s="24">
        <v>0</v>
      </c>
      <c r="H223" s="24">
        <v>187</v>
      </c>
      <c r="I223" s="23">
        <v>448.88</v>
      </c>
      <c r="J223" s="24" cm="1">
        <f t="array" ref="J223">SUMPRODUCT(
    (Transactions_and_Customer_Information_Joined[Customer ID]='V1-Based Churn Model (Step 3)'!$A223) *
    (IFERROR(_xlfn.XLOOKUP(Transactions_and_Customer_Information_Joined[SKU], 'V1 Pricing Model (Step 2)'!$A$22:$A$71, 'V1 Pricing Model (Step 2)'!$AL$22:$AL$71), "Exclude")&lt;&gt;"Exclude") *
    Transactions_and_Customer_Information_Joined[Gross Revenue])</f>
        <v>26.61</v>
      </c>
      <c r="K223" s="24">
        <f>SUMIF(Transactions_and_Customer_Information_Joined[Customer ID], 'V1-Based Churn Model (Step 3)'!$A223, Transactions_and_Customer_Information_Joined[Gross Revenue])</f>
        <v>26.61</v>
      </c>
      <c r="L223" s="3">
        <f t="shared" si="12"/>
        <v>1</v>
      </c>
      <c r="M223" s="21">
        <v>0.10709640328514787</v>
      </c>
      <c r="N223" s="21" cm="1">
        <f t="array" ref="N223">SUMPRODUCT(
    (Transactions_and_Customer_Information_Joined[Customer ID]=$A223)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23" s="21" cm="1">
        <f t="array" ref="O223">IFERROR(
    SUMPRODUCT(
        (Transactions_and_Customer_Information_Joined[Customer ID]=$A223)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$J223,
0)</f>
        <v>0.10709640328514787</v>
      </c>
      <c r="P223" s="5" cm="1">
        <f t="array" ref="P223">_xlfn.IFS(B223="At-Risk Churner",$B$2,$B223="Dormant",$B$3,$B223="Deal Hunter",$B$4,$B223="New Customer",$B$5,$B223="Occasional Buyer",$B$6,$B223="Loyal High-Value",$B$7)</f>
        <v>45</v>
      </c>
      <c r="Q223" s="9" cm="1">
        <f t="array" ref="Q223">_xlfn.IFS($B223 = "At-Risk Churner", $B$8, $B223="Dormant",$B$9, $B223="Deal Hunter", $B$10, $B223="New Customer", $B$11, $B223="Occasional Buyer", $B$12, $B223 = "Loyal High-Value",$B$13)</f>
        <v>0.25</v>
      </c>
      <c r="R223" s="5">
        <v>-5</v>
      </c>
      <c r="S223" s="5">
        <v>10</v>
      </c>
      <c r="T223" s="5">
        <v>8</v>
      </c>
      <c r="U223" s="5">
        <f t="shared" si="13"/>
        <v>15</v>
      </c>
      <c r="V223" s="5">
        <f t="shared" si="14"/>
        <v>4.2838561314059147</v>
      </c>
      <c r="W223" s="43">
        <f t="shared" si="15"/>
        <v>77.621356131405918</v>
      </c>
      <c r="X223" s="5" t="str" cm="1">
        <f t="array" ref="X223">_xlfn.IFS($W223 &lt;= 30, "Low", $W223 &lt;=50, "Medium", $W223 &lt;= 70, "High", $W223 &gt; 70, "Critical")</f>
        <v>Critical</v>
      </c>
      <c r="Y223" s="9">
        <f t="shared" si="16"/>
        <v>0.2351487689602666</v>
      </c>
      <c r="Z223" s="22">
        <f t="shared" si="17"/>
        <v>105.55357941088447</v>
      </c>
    </row>
    <row r="224" spans="1:26">
      <c r="A224" s="24" t="str">
        <v>CUST-4486</v>
      </c>
      <c r="B224" s="24" t="str">
        <v>New Customer</v>
      </c>
      <c r="C224" s="24" t="str">
        <v>Paid Social</v>
      </c>
      <c r="D224" s="24" t="str">
        <v>UK</v>
      </c>
      <c r="E224" s="24" t="str">
        <v>55+</v>
      </c>
      <c r="F224" s="24" t="str">
        <v>Low</v>
      </c>
      <c r="G224" s="24">
        <v>0</v>
      </c>
      <c r="H224" s="24">
        <v>327</v>
      </c>
      <c r="I224" s="23">
        <v>40.29</v>
      </c>
      <c r="J224" s="24" cm="1">
        <f t="array" ref="J224">SUMPRODUCT(
    (Transactions_and_Customer_Information_Joined[Customer ID]='V1-Based Churn Model (Step 3)'!$A224) *
    (IFERROR(_xlfn.XLOOKUP(Transactions_and_Customer_Information_Joined[SKU], 'V1 Pricing Model (Step 2)'!$A$22:$A$71, 'V1 Pricing Model (Step 2)'!$AL$22:$AL$71), "Exclude")&lt;&gt;"Exclude") *
    Transactions_and_Customer_Information_Joined[Gross Revenue])</f>
        <v>76.53</v>
      </c>
      <c r="K224" s="24">
        <f>SUMIF(Transactions_and_Customer_Information_Joined[Customer ID], 'V1-Based Churn Model (Step 3)'!$A224, Transactions_and_Customer_Information_Joined[Gross Revenue])</f>
        <v>76.53</v>
      </c>
      <c r="L224" s="3">
        <f t="shared" si="12"/>
        <v>1</v>
      </c>
      <c r="M224" s="21">
        <v>5.3264377873214752E-2</v>
      </c>
      <c r="N224" s="21" cm="1">
        <f t="array" ref="N224">SUMPRODUCT(
    (Transactions_and_Customer_Information_Joined[Customer ID]=$A224)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24" s="21" cm="1">
        <f t="array" ref="O224">IFERROR(
    SUMPRODUCT(
        (Transactions_and_Customer_Information_Joined[Customer ID]=$A224)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$J224,
0)</f>
        <v>5.3264377873214752E-2</v>
      </c>
      <c r="P224" s="5" cm="1">
        <f t="array" ref="P224">_xlfn.IFS(B224="At-Risk Churner",$B$2,$B224="Dormant",$B$3,$B224="Deal Hunter",$B$4,$B224="New Customer",$B$5,$B224="Occasional Buyer",$B$6,$B224="Loyal High-Value",$B$7)</f>
        <v>35</v>
      </c>
      <c r="Q224" s="9" cm="1">
        <f t="array" ref="Q224">_xlfn.IFS($B224 = "At-Risk Churner", $B$8, $B224="Dormant",$B$9, $B224="Deal Hunter", $B$10, $B224="New Customer", $B$11, $B224="Occasional Buyer", $B$12, $B224 = "Loyal High-Value",$B$13)</f>
        <v>0.35</v>
      </c>
      <c r="R224" s="5">
        <v>-5</v>
      </c>
      <c r="S224" s="5">
        <v>10</v>
      </c>
      <c r="T224" s="5">
        <v>15</v>
      </c>
      <c r="U224" s="5">
        <f t="shared" si="13"/>
        <v>15</v>
      </c>
      <c r="V224" s="5">
        <f t="shared" si="14"/>
        <v>2.1305751149285901</v>
      </c>
      <c r="W224" s="43">
        <f t="shared" si="15"/>
        <v>72.368075114928587</v>
      </c>
      <c r="X224" s="5" t="str" cm="1">
        <f t="array" ref="X224">_xlfn.IFS($W224 &lt;= 30, "Low", $W224 &lt;=50, "Medium", $W224 &lt;= 70, "High", $W224 &gt; 70, "Critical")</f>
        <v>Critical</v>
      </c>
      <c r="Y224" s="9">
        <f t="shared" si="16"/>
        <v>0.3162272706000579</v>
      </c>
      <c r="Z224" s="22">
        <f t="shared" si="17"/>
        <v>12.740796732476332</v>
      </c>
    </row>
    <row r="225" spans="1:26">
      <c r="A225" s="24" t="str">
        <v>CUST-1130</v>
      </c>
      <c r="B225" s="24" t="str">
        <v>At-Risk Churner</v>
      </c>
      <c r="C225" s="24" t="str">
        <v>Organic Search</v>
      </c>
      <c r="D225" s="24" t="str">
        <v>Midwest</v>
      </c>
      <c r="E225" s="24" t="str">
        <v>55+</v>
      </c>
      <c r="F225" s="24" t="str">
        <v>Medium</v>
      </c>
      <c r="G225" s="24">
        <v>7</v>
      </c>
      <c r="H225" s="24">
        <v>240</v>
      </c>
      <c r="I225" s="23">
        <v>390.31</v>
      </c>
      <c r="J225" s="24" cm="1">
        <f t="array" ref="J225">SUMPRODUCT(
    (Transactions_and_Customer_Information_Joined[Customer ID]='V1-Based Churn Model (Step 3)'!$A225) *
    (IFERROR(_xlfn.XLOOKUP(Transactions_and_Customer_Information_Joined[SKU], 'V1 Pricing Model (Step 2)'!$A$22:$A$71, 'V1 Pricing Model (Step 2)'!$AL$22:$AL$71), "Exclude")&lt;&gt;"Exclude") *
    Transactions_and_Customer_Information_Joined[Gross Revenue])</f>
        <v>187.76</v>
      </c>
      <c r="K225" s="24">
        <f>SUMIF(Transactions_and_Customer_Information_Joined[Customer ID], 'V1-Based Churn Model (Step 3)'!$A225, Transactions_and_Customer_Information_Joined[Gross Revenue])</f>
        <v>187.76</v>
      </c>
      <c r="L225" s="3">
        <f t="shared" si="12"/>
        <v>1</v>
      </c>
      <c r="M225" s="21">
        <v>0.10702390858761081</v>
      </c>
      <c r="N225" s="21" cm="1">
        <f t="array" ref="N225">SUMPRODUCT(
    (Transactions_and_Customer_Information_Joined[Customer ID]=$A225)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25" s="21" cm="1">
        <f t="array" ref="O225">IFERROR(
    SUMPRODUCT(
        (Transactions_and_Customer_Information_Joined[Customer ID]=$A225)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$J225,
0)</f>
        <v>0.10702390858761079</v>
      </c>
      <c r="P225" s="5" cm="1">
        <f t="array" ref="P225">_xlfn.IFS(B225="At-Risk Churner",$B$2,$B225="Dormant",$B$3,$B225="Deal Hunter",$B$4,$B225="New Customer",$B$5,$B225="Occasional Buyer",$B$6,$B225="Loyal High-Value",$B$7)</f>
        <v>70</v>
      </c>
      <c r="Q225" s="9" cm="1">
        <f t="array" ref="Q225">_xlfn.IFS($B225 = "At-Risk Churner", $B$8, $B225="Dormant",$B$9, $B225="Deal Hunter", $B$10, $B225="New Customer", $B$11, $B225="Occasional Buyer", $B$12, $B225 = "Loyal High-Value",$B$13)</f>
        <v>0.45</v>
      </c>
      <c r="R225" s="5">
        <v>5</v>
      </c>
      <c r="S225" s="5">
        <v>-8</v>
      </c>
      <c r="T225" s="5">
        <v>8</v>
      </c>
      <c r="U225" s="5">
        <f t="shared" si="13"/>
        <v>15</v>
      </c>
      <c r="V225" s="5">
        <f t="shared" si="14"/>
        <v>4.2809563435044318</v>
      </c>
      <c r="W225" s="43">
        <f t="shared" si="15"/>
        <v>93.833456343504423</v>
      </c>
      <c r="X225" s="5" t="str" cm="1">
        <f t="array" ref="X225">_xlfn.IFS($W225 &lt;= 30, "Low", $W225 &lt;=50, "Medium", $W225 &lt;= 70, "High", $W225 &gt; 70, "Critical")</f>
        <v>Critical</v>
      </c>
      <c r="Y225" s="9">
        <f t="shared" si="16"/>
        <v>0.4444516771008471</v>
      </c>
      <c r="Z225" s="22">
        <f t="shared" si="17"/>
        <v>173.47393408923162</v>
      </c>
    </row>
    <row r="226" spans="1:26">
      <c r="A226" s="24" t="str">
        <v>CUST-4174</v>
      </c>
      <c r="B226" s="24" t="str">
        <v>At-Risk Churner</v>
      </c>
      <c r="C226" s="24" t="str">
        <v>Email Campaign</v>
      </c>
      <c r="D226" s="24" t="str">
        <v>West</v>
      </c>
      <c r="E226" s="24" t="str">
        <v>45-54</v>
      </c>
      <c r="F226" s="24" t="str">
        <v>Low</v>
      </c>
      <c r="G226" s="24">
        <v>8</v>
      </c>
      <c r="H226" s="24">
        <v>177</v>
      </c>
      <c r="I226" s="23">
        <v>384.23</v>
      </c>
      <c r="J226" s="24" cm="1">
        <f t="array" ref="J226">SUMPRODUCT(
    (Transactions_and_Customer_Information_Joined[Customer ID]='V1-Based Churn Model (Step 3)'!$A226) *
    (IFERROR(_xlfn.XLOOKUP(Transactions_and_Customer_Information_Joined[SKU], 'V1 Pricing Model (Step 2)'!$A$22:$A$71, 'V1 Pricing Model (Step 2)'!$AL$22:$AL$71), "Exclude")&lt;&gt;"Exclude") *
    Transactions_and_Customer_Information_Joined[Gross Revenue])</f>
        <v>289.89999999999998</v>
      </c>
      <c r="K226" s="24">
        <f>SUMIF(Transactions_and_Customer_Information_Joined[Customer ID], 'V1-Based Churn Model (Step 3)'!$A226, Transactions_and_Customer_Information_Joined[Gross Revenue])</f>
        <v>289.89999999999998</v>
      </c>
      <c r="L226" s="3">
        <f t="shared" si="12"/>
        <v>1</v>
      </c>
      <c r="M226" s="21">
        <v>0.25481331848064742</v>
      </c>
      <c r="N226" s="21" cm="1">
        <f t="array" ref="N226">SUMPRODUCT(
    (Transactions_and_Customer_Information_Joined[Customer ID]=$A226)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26" s="21" cm="1">
        <f t="array" ref="O226">IFERROR(
    SUMPRODUCT(
        (Transactions_and_Customer_Information_Joined[Customer ID]=$A226)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$J226,
0)</f>
        <v>0.25481331848064742</v>
      </c>
      <c r="P226" s="5" cm="1">
        <f t="array" ref="P226">_xlfn.IFS(B226="At-Risk Churner",$B$2,$B226="Dormant",$B$3,$B226="Deal Hunter",$B$4,$B226="New Customer",$B$5,$B226="Occasional Buyer",$B$6,$B226="Loyal High-Value",$B$7)</f>
        <v>70</v>
      </c>
      <c r="Q226" s="9" cm="1">
        <f t="array" ref="Q226">_xlfn.IFS($B226 = "At-Risk Churner", $B$8, $B226="Dormant",$B$9, $B226="Deal Hunter", $B$10, $B226="New Customer", $B$11, $B226="Occasional Buyer", $B$12, $B226 = "Loyal High-Value",$B$13)</f>
        <v>0.45</v>
      </c>
      <c r="R226" s="5">
        <v>-5</v>
      </c>
      <c r="S226" s="5">
        <v>-8</v>
      </c>
      <c r="T226" s="5">
        <v>0</v>
      </c>
      <c r="U226" s="5">
        <f t="shared" si="13"/>
        <v>15</v>
      </c>
      <c r="V226" s="5">
        <f t="shared" si="14"/>
        <v>10.192532739225896</v>
      </c>
      <c r="W226" s="43">
        <f t="shared" si="15"/>
        <v>81.520032739225897</v>
      </c>
      <c r="X226" s="5" t="str" cm="1">
        <f t="array" ref="X226">_xlfn.IFS($W226 &lt;= 30, "Low", $W226 &lt;=50, "Medium", $W226 &lt;= 70, "High", $W226 &gt; 70, "Critical")</f>
        <v>Critical</v>
      </c>
      <c r="Y226" s="9">
        <f t="shared" si="16"/>
        <v>0.43154441273047323</v>
      </c>
      <c r="Z226" s="22">
        <f t="shared" si="17"/>
        <v>165.81230970342975</v>
      </c>
    </row>
    <row r="227" spans="1:26">
      <c r="A227" s="24" t="str">
        <v>CUST-3613</v>
      </c>
      <c r="B227" s="24" t="str">
        <v>Loyal High-Value</v>
      </c>
      <c r="C227" s="24" t="str">
        <v>Direct</v>
      </c>
      <c r="D227" s="24" t="str">
        <v>West</v>
      </c>
      <c r="E227" s="24" t="str">
        <v>25-34</v>
      </c>
      <c r="F227" s="24" t="str">
        <v>Low</v>
      </c>
      <c r="G227" s="24">
        <v>1</v>
      </c>
      <c r="H227" s="24">
        <v>318</v>
      </c>
      <c r="I227" s="23">
        <v>2350.9699999999998</v>
      </c>
      <c r="J227" s="24" cm="1">
        <f t="array" ref="J227">SUMPRODUCT(
    (Transactions_and_Customer_Information_Joined[Customer ID]='V1-Based Churn Model (Step 3)'!$A227) *
    (IFERROR(_xlfn.XLOOKUP(Transactions_and_Customer_Information_Joined[SKU], 'V1 Pricing Model (Step 2)'!$A$22:$A$71, 'V1 Pricing Model (Step 2)'!$AL$22:$AL$71), "Exclude")&lt;&gt;"Exclude") *
    Transactions_and_Customer_Information_Joined[Gross Revenue])</f>
        <v>118.07</v>
      </c>
      <c r="K227" s="24">
        <f>SUMIF(Transactions_and_Customer_Information_Joined[Customer ID], 'V1-Based Churn Model (Step 3)'!$A227, Transactions_and_Customer_Information_Joined[Gross Revenue])</f>
        <v>118.07</v>
      </c>
      <c r="L227" s="3">
        <f t="shared" si="12"/>
        <v>1</v>
      </c>
      <c r="M227" s="21">
        <v>3.7264027854690532E-2</v>
      </c>
      <c r="N227" s="21" cm="1">
        <f t="array" ref="N227">SUMPRODUCT(
    (Transactions_and_Customer_Information_Joined[Customer ID]=$A227)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27" s="21" cm="1">
        <f t="array" ref="O227">IFERROR(
    SUMPRODUCT(
        (Transactions_and_Customer_Information_Joined[Customer ID]=$A227)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$J227,
0)</f>
        <v>3.7264027854690532E-2</v>
      </c>
      <c r="P227" s="5" cm="1">
        <f t="array" ref="P227">_xlfn.IFS(B227="At-Risk Churner",$B$2,$B227="Dormant",$B$3,$B227="Deal Hunter",$B$4,$B227="New Customer",$B$5,$B227="Occasional Buyer",$B$6,$B227="Loyal High-Value",$B$7)</f>
        <v>15</v>
      </c>
      <c r="Q227" s="9" cm="1">
        <f t="array" ref="Q227">_xlfn.IFS($B227 = "At-Risk Churner", $B$8, $B227="Dormant",$B$9, $B227="Deal Hunter", $B$10, $B227="New Customer", $B$11, $B227="Occasional Buyer", $B$12, $B227 = "Loyal High-Value",$B$13)</f>
        <v>0.05</v>
      </c>
      <c r="R227" s="5">
        <v>-5</v>
      </c>
      <c r="S227" s="5">
        <v>10</v>
      </c>
      <c r="T227" s="5">
        <v>15</v>
      </c>
      <c r="U227" s="5">
        <f t="shared" si="13"/>
        <v>15</v>
      </c>
      <c r="V227" s="5">
        <f t="shared" si="14"/>
        <v>1.4905611141876212</v>
      </c>
      <c r="W227" s="43">
        <f t="shared" si="15"/>
        <v>51.528061114187622</v>
      </c>
      <c r="X227" s="5" t="str" cm="1">
        <f t="array" ref="X227">_xlfn.IFS($W227 &lt;= 30, "Low", $W227 &lt;=50, "Medium", $W227 &lt;= 70, "High", $W227 &gt; 70, "Critical")</f>
        <v>High</v>
      </c>
      <c r="Y227" s="9">
        <f t="shared" si="16"/>
        <v>2.690636840674698E-2</v>
      </c>
      <c r="Z227" s="22">
        <f t="shared" si="17"/>
        <v>520.79885194656799</v>
      </c>
    </row>
    <row r="228" spans="1:26">
      <c r="A228" s="24" t="str">
        <v>CUST-1550</v>
      </c>
      <c r="B228" s="24" t="str">
        <v>New Customer</v>
      </c>
      <c r="C228" s="24" t="str">
        <v>Paid Social</v>
      </c>
      <c r="D228" s="24" t="str">
        <v>Northeast</v>
      </c>
      <c r="E228" s="24" t="str">
        <v>35-44</v>
      </c>
      <c r="F228" s="24" t="str">
        <v>Low</v>
      </c>
      <c r="G228" s="24">
        <v>6</v>
      </c>
      <c r="H228" s="24">
        <v>178</v>
      </c>
      <c r="I228" s="23">
        <v>106.93</v>
      </c>
      <c r="J228" s="24" cm="1">
        <f t="array" ref="J228">SUMPRODUCT(
    (Transactions_and_Customer_Information_Joined[Customer ID]='V1-Based Churn Model (Step 3)'!$A228) *
    (IFERROR(_xlfn.XLOOKUP(Transactions_and_Customer_Information_Joined[SKU], 'V1 Pricing Model (Step 2)'!$A$22:$A$71, 'V1 Pricing Model (Step 2)'!$AL$22:$AL$71), "Exclude")&lt;&gt;"Exclude") *
    Transactions_and_Customer_Information_Joined[Gross Revenue])</f>
        <v>153.06</v>
      </c>
      <c r="K228" s="24">
        <f>SUMIF(Transactions_and_Customer_Information_Joined[Customer ID], 'V1-Based Churn Model (Step 3)'!$A228, Transactions_and_Customer_Information_Joined[Gross Revenue])</f>
        <v>153.06</v>
      </c>
      <c r="L228" s="3">
        <f t="shared" si="12"/>
        <v>1</v>
      </c>
      <c r="M228" s="21">
        <v>5.3264377873214752E-2</v>
      </c>
      <c r="N228" s="21" cm="1">
        <f t="array" ref="N228">SUMPRODUCT(
    (Transactions_and_Customer_Information_Joined[Customer ID]=$A228)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28" s="21" cm="1">
        <f t="array" ref="O228">IFERROR(
    SUMPRODUCT(
        (Transactions_and_Customer_Information_Joined[Customer ID]=$A228)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$J228,
0)</f>
        <v>5.3264377873214752E-2</v>
      </c>
      <c r="P228" s="5" cm="1">
        <f t="array" ref="P228">_xlfn.IFS(B228="At-Risk Churner",$B$2,$B228="Dormant",$B$3,$B228="Deal Hunter",$B$4,$B228="New Customer",$B$5,$B228="Occasional Buyer",$B$6,$B228="Loyal High-Value",$B$7)</f>
        <v>35</v>
      </c>
      <c r="Q228" s="9" cm="1">
        <f t="array" ref="Q228">_xlfn.IFS($B228 = "At-Risk Churner", $B$8, $B228="Dormant",$B$9, $B228="Deal Hunter", $B$10, $B228="New Customer", $B$11, $B228="Occasional Buyer", $B$12, $B228 = "Loyal High-Value",$B$13)</f>
        <v>0.35</v>
      </c>
      <c r="R228" s="5">
        <v>-5</v>
      </c>
      <c r="S228" s="5">
        <v>0</v>
      </c>
      <c r="T228" s="5">
        <v>0</v>
      </c>
      <c r="U228" s="5">
        <f t="shared" si="13"/>
        <v>15</v>
      </c>
      <c r="V228" s="5">
        <f t="shared" si="14"/>
        <v>2.1305751149285901</v>
      </c>
      <c r="W228" s="43">
        <f t="shared" si="15"/>
        <v>47.018075114928592</v>
      </c>
      <c r="X228" s="5" t="str" cm="1">
        <f t="array" ref="X228">_xlfn.IFS($W228 &lt;= 30, "Low", $W228 &lt;=50, "Medium", $W228 &lt;= 70, "High", $W228 &gt; 70, "Critical")</f>
        <v>Medium</v>
      </c>
      <c r="Y228" s="9">
        <f t="shared" si="16"/>
        <v>0.14909979130860157</v>
      </c>
      <c r="Z228" s="22">
        <f t="shared" si="17"/>
        <v>34.140592547703015</v>
      </c>
    </row>
    <row r="229" spans="1:26">
      <c r="A229" s="24" t="str">
        <v>CUST-4728</v>
      </c>
      <c r="B229" s="24" t="str">
        <v>Dormant</v>
      </c>
      <c r="C229" s="24" t="str">
        <v>Email Campaign</v>
      </c>
      <c r="D229" s="24" t="str">
        <v>Northeast</v>
      </c>
      <c r="E229" s="24" t="str">
        <v>25-34</v>
      </c>
      <c r="F229" s="24" t="str">
        <v>Low</v>
      </c>
      <c r="G229" s="24">
        <v>6</v>
      </c>
      <c r="H229" s="24">
        <v>28</v>
      </c>
      <c r="I229" s="23">
        <v>186.91</v>
      </c>
      <c r="J229" s="24" cm="1">
        <f t="array" ref="J229">SUMPRODUCT(
    (Transactions_and_Customer_Information_Joined[Customer ID]='V1-Based Churn Model (Step 3)'!$A229) *
    (IFERROR(_xlfn.XLOOKUP(Transactions_and_Customer_Information_Joined[SKU], 'V1 Pricing Model (Step 2)'!$A$22:$A$71, 'V1 Pricing Model (Step 2)'!$AL$22:$AL$71), "Exclude")&lt;&gt;"Exclude") *
    Transactions_and_Customer_Information_Joined[Gross Revenue])</f>
        <v>35.11</v>
      </c>
      <c r="K229" s="24">
        <f>SUMIF(Transactions_and_Customer_Information_Joined[Customer ID], 'V1-Based Churn Model (Step 3)'!$A229, Transactions_and_Customer_Information_Joined[Gross Revenue])</f>
        <v>35.11</v>
      </c>
      <c r="L229" s="3">
        <f t="shared" si="12"/>
        <v>1</v>
      </c>
      <c r="M229" s="21">
        <v>0.25581555939754186</v>
      </c>
      <c r="N229" s="21" cm="1">
        <f t="array" ref="N229">SUMPRODUCT(
    (Transactions_and_Customer_Information_Joined[Customer ID]=$A229)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29" s="21" cm="1">
        <f t="array" ref="O229">IFERROR(
    SUMPRODUCT(
        (Transactions_and_Customer_Information_Joined[Customer ID]=$A229)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$J229,
0)</f>
        <v>0.25581555939754186</v>
      </c>
      <c r="P229" s="5" cm="1">
        <f t="array" ref="P229">_xlfn.IFS(B229="At-Risk Churner",$B$2,$B229="Dormant",$B$3,$B229="Deal Hunter",$B$4,$B229="New Customer",$B$5,$B229="Occasional Buyer",$B$6,$B229="Loyal High-Value",$B$7)</f>
        <v>65</v>
      </c>
      <c r="Q229" s="9" cm="1">
        <f t="array" ref="Q229">_xlfn.IFS($B229 = "At-Risk Churner", $B$8, $B229="Dormant",$B$9, $B229="Deal Hunter", $B$10, $B229="New Customer", $B$11, $B229="Occasional Buyer", $B$12, $B229 = "Loyal High-Value",$B$13)</f>
        <v>0.6</v>
      </c>
      <c r="R229" s="5">
        <v>-5</v>
      </c>
      <c r="S229" s="5">
        <v>0</v>
      </c>
      <c r="T229" s="5">
        <v>-5</v>
      </c>
      <c r="U229" s="5">
        <f t="shared" si="13"/>
        <v>15</v>
      </c>
      <c r="V229" s="5">
        <f t="shared" si="14"/>
        <v>10.232622375901673</v>
      </c>
      <c r="W229" s="43">
        <f t="shared" si="15"/>
        <v>80.120122375901673</v>
      </c>
      <c r="X229" s="5" t="str" cm="1">
        <f t="array" ref="X229">_xlfn.IFS($W229 &lt;= 30, "Low", $W229 &lt;=50, "Medium", $W229 &lt;= 70, "High", $W229 &gt; 70, "Critical")</f>
        <v>Critical</v>
      </c>
      <c r="Y229" s="9">
        <f t="shared" si="16"/>
        <v>0.57186831533291016</v>
      </c>
      <c r="Z229" s="22">
        <f t="shared" si="17"/>
        <v>106.88790681887424</v>
      </c>
    </row>
    <row r="230" spans="1:26">
      <c r="A230" s="24" t="str">
        <v>CUST-4592</v>
      </c>
      <c r="B230" s="24" t="str">
        <v>New Customer</v>
      </c>
      <c r="C230" s="24" t="str">
        <v>Direct</v>
      </c>
      <c r="D230" s="24" t="str">
        <v>Southeast</v>
      </c>
      <c r="E230" s="24" t="str">
        <v>25-34</v>
      </c>
      <c r="F230" s="24" t="str">
        <v>Low</v>
      </c>
      <c r="G230" s="24">
        <v>6</v>
      </c>
      <c r="H230" s="24">
        <v>140</v>
      </c>
      <c r="I230" s="23">
        <v>87.44</v>
      </c>
      <c r="J230" s="24" cm="1">
        <f t="array" ref="J230">SUMPRODUCT(
    (Transactions_and_Customer_Information_Joined[Customer ID]='V1-Based Churn Model (Step 3)'!$A230) *
    (IFERROR(_xlfn.XLOOKUP(Transactions_and_Customer_Information_Joined[SKU], 'V1 Pricing Model (Step 2)'!$A$22:$A$71, 'V1 Pricing Model (Step 2)'!$AL$22:$AL$71), "Exclude")&lt;&gt;"Exclude") *
    Transactions_and_Customer_Information_Joined[Gross Revenue])</f>
        <v>225.32</v>
      </c>
      <c r="K230" s="24">
        <f>SUMIF(Transactions_and_Customer_Information_Joined[Customer ID], 'V1-Based Churn Model (Step 3)'!$A230, Transactions_and_Customer_Information_Joined[Gross Revenue])</f>
        <v>225.32</v>
      </c>
      <c r="L230" s="3">
        <f t="shared" si="12"/>
        <v>1</v>
      </c>
      <c r="M230" s="21">
        <v>1.5146952408836394E-2</v>
      </c>
      <c r="N230" s="21" cm="1">
        <f t="array" ref="N230">SUMPRODUCT(
    (Transactions_and_Customer_Information_Joined[Customer ID]=$A230)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30" s="21" cm="1">
        <f t="array" ref="O230">IFERROR(
    SUMPRODUCT(
        (Transactions_and_Customer_Information_Joined[Customer ID]=$A230)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$J230,
0)</f>
        <v>1.5146952408836394E-2</v>
      </c>
      <c r="P230" s="5" cm="1">
        <f t="array" ref="P230">_xlfn.IFS(B230="At-Risk Churner",$B$2,$B230="Dormant",$B$3,$B230="Deal Hunter",$B$4,$B230="New Customer",$B$5,$B230="Occasional Buyer",$B$6,$B230="Loyal High-Value",$B$7)</f>
        <v>35</v>
      </c>
      <c r="Q230" s="9" cm="1">
        <f t="array" ref="Q230">_xlfn.IFS($B230 = "At-Risk Churner", $B$8, $B230="Dormant",$B$9, $B230="Deal Hunter", $B$10, $B230="New Customer", $B$11, $B230="Occasional Buyer", $B$12, $B230 = "Loyal High-Value",$B$13)</f>
        <v>0.35</v>
      </c>
      <c r="R230" s="5">
        <v>-5</v>
      </c>
      <c r="S230" s="5">
        <v>0</v>
      </c>
      <c r="T230" s="5">
        <v>0</v>
      </c>
      <c r="U230" s="5">
        <f t="shared" si="13"/>
        <v>15</v>
      </c>
      <c r="V230" s="5">
        <f t="shared" si="14"/>
        <v>0.6058780963534558</v>
      </c>
      <c r="W230" s="43">
        <f t="shared" si="15"/>
        <v>45.49337809635346</v>
      </c>
      <c r="X230" s="5" t="str" cm="1">
        <f t="array" ref="X230">_xlfn.IFS($W230 &lt;= 30, "Low", $W230 &lt;=50, "Medium", $W230 &lt;= 70, "High", $W230 &gt; 70, "Critical")</f>
        <v>Medium</v>
      </c>
      <c r="Y230" s="9">
        <f t="shared" si="16"/>
        <v>0.13622116756435848</v>
      </c>
      <c r="Z230" s="22">
        <f t="shared" si="17"/>
        <v>27.016943113462005</v>
      </c>
    </row>
    <row r="231" spans="1:26">
      <c r="A231" s="24" t="str">
        <v>CUST-1763</v>
      </c>
      <c r="B231" s="24" t="str">
        <v>Loyal High-Value</v>
      </c>
      <c r="C231" s="24" t="str">
        <v>Referral</v>
      </c>
      <c r="D231" s="24" t="str">
        <v>Southeast</v>
      </c>
      <c r="E231" s="24" t="str">
        <v>25-34</v>
      </c>
      <c r="F231" s="24" t="str">
        <v>Low</v>
      </c>
      <c r="G231" s="24">
        <v>7</v>
      </c>
      <c r="H231" s="24">
        <v>358</v>
      </c>
      <c r="I231" s="23">
        <v>1262.45</v>
      </c>
      <c r="J231" s="24" cm="1">
        <f t="array" ref="J231">SUMPRODUCT(
    (Transactions_and_Customer_Information_Joined[Customer ID]='V1-Based Churn Model (Step 3)'!$A231)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231" s="24">
        <f>SUMIF(Transactions_and_Customer_Information_Joined[Customer ID], 'V1-Based Churn Model (Step 3)'!$A231, Transactions_and_Customer_Information_Joined[Gross Revenue])</f>
        <v>261.72000000000003</v>
      </c>
      <c r="L231" s="3">
        <f t="shared" ref="L231:L294" si="18">IFERROR($J231/$K231, 0)</f>
        <v>0</v>
      </c>
      <c r="M231" s="21">
        <v>0</v>
      </c>
      <c r="N231" s="21" cm="1">
        <f t="array" ref="N231">SUMPRODUCT(
    (Transactions_and_Customer_Information_Joined[Customer ID]=$A231)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231" s="21" cm="1">
        <f t="array" ref="O231">IFERROR(
    SUMPRODUCT(
        (Transactions_and_Customer_Information_Joined[Customer ID]=$A231)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$J231,
0)</f>
        <v>0</v>
      </c>
      <c r="P231" s="5" cm="1">
        <f t="array" ref="P231">_xlfn.IFS(B231="At-Risk Churner",$B$2,$B231="Dormant",$B$3,$B231="Deal Hunter",$B$4,$B231="New Customer",$B$5,$B231="Occasional Buyer",$B$6,$B231="Loyal High-Value",$B$7)</f>
        <v>15</v>
      </c>
      <c r="Q231" s="9" cm="1">
        <f t="array" ref="Q231">_xlfn.IFS($B231 = "At-Risk Churner", $B$8, $B231="Dormant",$B$9, $B231="Deal Hunter", $B$10, $B231="New Customer", $B$11, $B231="Occasional Buyer", $B$12, $B231 = "Loyal High-Value",$B$13)</f>
        <v>0.05</v>
      </c>
      <c r="R231" s="5">
        <v>-5</v>
      </c>
      <c r="S231" s="5">
        <v>-8</v>
      </c>
      <c r="T231" s="5">
        <v>15</v>
      </c>
      <c r="U231" s="5">
        <f t="shared" si="13"/>
        <v>0</v>
      </c>
      <c r="V231" s="5">
        <f t="shared" si="14"/>
        <v>0</v>
      </c>
      <c r="W231" s="43">
        <f t="shared" si="15"/>
        <v>16.88</v>
      </c>
      <c r="X231" s="5" t="str" cm="1">
        <f t="array" ref="X231">_xlfn.IFS($W231 &lt;= 30, "Low", $W231 &lt;=50, "Medium", $W231 &lt;= 70, "High", $W231 &gt; 70, "Critical")</f>
        <v>Low</v>
      </c>
      <c r="Y231" s="9">
        <f t="shared" si="16"/>
        <v>1.7580902592607623E-3</v>
      </c>
      <c r="Z231" s="22">
        <f t="shared" si="17"/>
        <v>2.2195010478037496</v>
      </c>
    </row>
    <row r="232" spans="1:26">
      <c r="A232" s="24" t="str">
        <v>CUST-2798</v>
      </c>
      <c r="B232" s="24" t="str">
        <v>New Customer</v>
      </c>
      <c r="C232" s="24" t="str">
        <v>Organic Search</v>
      </c>
      <c r="D232" s="24" t="str">
        <v>West</v>
      </c>
      <c r="E232" s="24" t="str">
        <v>18-24</v>
      </c>
      <c r="F232" s="24" t="str">
        <v>High</v>
      </c>
      <c r="G232" s="24">
        <v>6</v>
      </c>
      <c r="H232" s="24">
        <v>17</v>
      </c>
      <c r="I232" s="23">
        <v>50.88</v>
      </c>
      <c r="J232" s="24" cm="1">
        <f t="array" ref="J232">SUMPRODUCT(
    (Transactions_and_Customer_Information_Joined[Customer ID]='V1-Based Churn Model (Step 3)'!$A232) *
    (IFERROR(_xlfn.XLOOKUP(Transactions_and_Customer_Information_Joined[SKU], 'V1 Pricing Model (Step 2)'!$A$22:$A$71, 'V1 Pricing Model (Step 2)'!$AL$22:$AL$71), "Exclude")&lt;&gt;"Exclude") *
    Transactions_and_Customer_Information_Joined[Gross Revenue])</f>
        <v>179.24</v>
      </c>
      <c r="K232" s="24">
        <f>SUMIF(Transactions_and_Customer_Information_Joined[Customer ID], 'V1-Based Churn Model (Step 3)'!$A232, Transactions_and_Customer_Information_Joined[Gross Revenue])</f>
        <v>795.44</v>
      </c>
      <c r="L232" s="3">
        <f t="shared" si="18"/>
        <v>0.22533440611485467</v>
      </c>
      <c r="M232" s="21">
        <v>0.10710868403533827</v>
      </c>
      <c r="N232" s="21" cm="1">
        <f t="array" ref="N232">SUMPRODUCT(
    (Transactions_and_Customer_Information_Joined[Customer ID]=$A232)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32" s="21" cm="1">
        <f t="array" ref="O232">IFERROR(
    SUMPRODUCT(
        (Transactions_and_Customer_Information_Joined[Customer ID]=$A232)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$J232,
0)</f>
        <v>0.10710868403533827</v>
      </c>
      <c r="P232" s="5" cm="1">
        <f t="array" ref="P232">_xlfn.IFS(B232="At-Risk Churner",$B$2,$B232="Dormant",$B$3,$B232="Deal Hunter",$B$4,$B232="New Customer",$B$5,$B232="Occasional Buyer",$B$6,$B232="Loyal High-Value",$B$7)</f>
        <v>35</v>
      </c>
      <c r="Q232" s="9" cm="1">
        <f t="array" ref="Q232">_xlfn.IFS($B232 = "At-Risk Churner", $B$8, $B232="Dormant",$B$9, $B232="Deal Hunter", $B$10, $B232="New Customer", $B$11, $B232="Occasional Buyer", $B$12, $B232 = "Loyal High-Value",$B$13)</f>
        <v>0.35</v>
      </c>
      <c r="R232" s="5">
        <v>15</v>
      </c>
      <c r="S232" s="5">
        <v>0</v>
      </c>
      <c r="T232" s="5">
        <v>-5</v>
      </c>
      <c r="U232" s="5">
        <f t="shared" ref="U232:U295" si="19">MIN(
    $L232 * $B$26 * (1 + $B$28 * LN(MAX($N232, 1))),
    $B$27
)</f>
        <v>5.6333601528713668</v>
      </c>
      <c r="V232" s="5">
        <f t="shared" ref="V232:V295" si="20">MIN(
    $B$29 * ABS($O232) + $B$30 * ABS($M232),
    $B$31
)</f>
        <v>4.2843473614135306</v>
      </c>
      <c r="W232" s="43">
        <f t="shared" ref="W232:W295" si="21">MIN(MAX(
    $P232 + $R232 + $S232 + $T232 + $U232 + $V232
    + $B$32 * ($R232 * $U232) / 100
    + $B$33 * ($P232 * $S232) / 100,
0), 100)</f>
        <v>55.044458117724503</v>
      </c>
      <c r="X232" s="5" t="str" cm="1">
        <f t="array" ref="X232">_xlfn.IFS($W232 &lt;= 30, "Low", $W232 &lt;=50, "Medium", $W232 &lt;= 70, "High", $W232 &gt; 70, "Critical")</f>
        <v>High</v>
      </c>
      <c r="Y232" s="9">
        <f t="shared" ref="Y232:Y295" si="22">$Q232 * (1 / (1 + EXP(-($W232 - 50) / $B$34)))</f>
        <v>0.21822624013772848</v>
      </c>
      <c r="Z232" s="22">
        <f t="shared" ref="Z232:Z295" si="23">_xlfn.LET(
    _xlpm.full_churn, $Y232 * $I232,
    _xlpm.partial_rate, IF(OR($X232="Medium", $X232="High"), (1 - $Y232) * 0.5 * $B$35, 0),
    _xlpm.partial_churn, _xlpm.partial_rate * $I232,
    _xlpm.full_churn + _xlpm.partial_churn
)</f>
        <v>19.058680878566101</v>
      </c>
    </row>
    <row r="233" spans="1:26">
      <c r="A233" s="24" t="str">
        <v>CUST-3220</v>
      </c>
      <c r="B233" s="24" t="str">
        <v>New Customer</v>
      </c>
      <c r="C233" s="24" t="str">
        <v>Referral</v>
      </c>
      <c r="D233" s="24" t="str">
        <v>Northeast</v>
      </c>
      <c r="E233" s="24" t="str">
        <v>18-24</v>
      </c>
      <c r="F233" s="24" t="str">
        <v>Medium</v>
      </c>
      <c r="G233" s="24">
        <v>8</v>
      </c>
      <c r="H233" s="24">
        <v>28</v>
      </c>
      <c r="I233" s="23">
        <v>85.01</v>
      </c>
      <c r="J233" s="24" cm="1">
        <f t="array" ref="J233">SUMPRODUCT(
    (Transactions_and_Customer_Information_Joined[Customer ID]='V1-Based Churn Model (Step 3)'!$A233) *
    (IFERROR(_xlfn.XLOOKUP(Transactions_and_Customer_Information_Joined[SKU], 'V1 Pricing Model (Step 2)'!$A$22:$A$71, 'V1 Pricing Model (Step 2)'!$AL$22:$AL$71), "Exclude")&lt;&gt;"Exclude") *
    Transactions_and_Customer_Information_Joined[Gross Revenue])</f>
        <v>72.7</v>
      </c>
      <c r="K233" s="24">
        <f>SUMIF(Transactions_and_Customer_Information_Joined[Customer ID], 'V1-Based Churn Model (Step 3)'!$A233, Transactions_and_Customer_Information_Joined[Gross Revenue])</f>
        <v>72.7</v>
      </c>
      <c r="L233" s="3">
        <f t="shared" si="18"/>
        <v>1</v>
      </c>
      <c r="M233" s="21">
        <v>6.4419042005321461E-2</v>
      </c>
      <c r="N233" s="21" cm="1">
        <f t="array" ref="N233">SUMPRODUCT(
    (Transactions_and_Customer_Information_Joined[Customer ID]=$A233)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33" s="21" cm="1">
        <f t="array" ref="O233">IFERROR(
    SUMPRODUCT(
        (Transactions_and_Customer_Information_Joined[Customer ID]=$A233)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$J233,
0)</f>
        <v>6.4419042005321461E-2</v>
      </c>
      <c r="P233" s="5" cm="1">
        <f t="array" ref="P233">_xlfn.IFS(B233="At-Risk Churner",$B$2,$B233="Dormant",$B$3,$B233="Deal Hunter",$B$4,$B233="New Customer",$B$5,$B233="Occasional Buyer",$B$6,$B233="Loyal High-Value",$B$7)</f>
        <v>35</v>
      </c>
      <c r="Q233" s="9" cm="1">
        <f t="array" ref="Q233">_xlfn.IFS($B233 = "At-Risk Churner", $B$8, $B233="Dormant",$B$9, $B233="Deal Hunter", $B$10, $B233="New Customer", $B$11, $B233="Occasional Buyer", $B$12, $B233 = "Loyal High-Value",$B$13)</f>
        <v>0.35</v>
      </c>
      <c r="R233" s="5">
        <v>5</v>
      </c>
      <c r="S233" s="5">
        <v>-8</v>
      </c>
      <c r="T233" s="5">
        <v>-5</v>
      </c>
      <c r="U233" s="5">
        <f t="shared" si="19"/>
        <v>15</v>
      </c>
      <c r="V233" s="5">
        <f t="shared" si="20"/>
        <v>2.5767616802128583</v>
      </c>
      <c r="W233" s="43">
        <f t="shared" si="21"/>
        <v>44.409261680212857</v>
      </c>
      <c r="X233" s="5" t="str" cm="1">
        <f t="array" ref="X233">_xlfn.IFS($W233 &lt;= 30, "Low", $W233 &lt;=50, "Medium", $W233 &lt;= 70, "High", $W233 &gt; 70, "Critical")</f>
        <v>Medium</v>
      </c>
      <c r="Y233" s="9">
        <f t="shared" si="22"/>
        <v>0.12731662446930961</v>
      </c>
      <c r="Z233" s="22">
        <f t="shared" si="23"/>
        <v>25.660548996908812</v>
      </c>
    </row>
    <row r="234" spans="1:26">
      <c r="A234" s="24" t="str">
        <v>CUST-4515</v>
      </c>
      <c r="B234" s="24" t="str">
        <v>Dormant</v>
      </c>
      <c r="C234" s="24" t="str">
        <v>Influencer</v>
      </c>
      <c r="D234" s="24" t="str">
        <v>Southwest</v>
      </c>
      <c r="E234" s="24" t="str">
        <v>18-24</v>
      </c>
      <c r="F234" s="24" t="str">
        <v>Low</v>
      </c>
      <c r="G234" s="24">
        <v>5</v>
      </c>
      <c r="H234" s="24">
        <v>239</v>
      </c>
      <c r="I234" s="23">
        <v>140.29</v>
      </c>
      <c r="J234" s="24" cm="1">
        <f t="array" ref="J234">SUMPRODUCT(
    (Transactions_and_Customer_Information_Joined[Customer ID]='V1-Based Churn Model (Step 3)'!$A234) *
    (IFERROR(_xlfn.XLOOKUP(Transactions_and_Customer_Information_Joined[SKU], 'V1 Pricing Model (Step 2)'!$A$22:$A$71, 'V1 Pricing Model (Step 2)'!$AL$22:$AL$71), "Exclude")&lt;&gt;"Exclude") *
    Transactions_and_Customer_Information_Joined[Gross Revenue])</f>
        <v>667.86999999999989</v>
      </c>
      <c r="K234" s="24">
        <f>SUMIF(Transactions_and_Customer_Information_Joined[Customer ID], 'V1-Based Churn Model (Step 3)'!$A234, Transactions_and_Customer_Information_Joined[Gross Revenue])</f>
        <v>667.86999999999989</v>
      </c>
      <c r="L234" s="3">
        <f t="shared" si="18"/>
        <v>1</v>
      </c>
      <c r="M234" s="21">
        <v>0.13680891237597953</v>
      </c>
      <c r="N234" s="21" cm="1">
        <f t="array" ref="N234">SUMPRODUCT(
    (Transactions_and_Customer_Information_Joined[Customer ID]=$A234)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34" s="21" cm="1">
        <f t="array" ref="O234">IFERROR(
    SUMPRODUCT(
        (Transactions_and_Customer_Information_Joined[Customer ID]=$A234)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$J234,
0)</f>
        <v>8.1217006114013793E-2</v>
      </c>
      <c r="P234" s="5" cm="1">
        <f t="array" ref="P234">_xlfn.IFS(B234="At-Risk Churner",$B$2,$B234="Dormant",$B$3,$B234="Deal Hunter",$B$4,$B234="New Customer",$B$5,$B234="Occasional Buyer",$B$6,$B234="Loyal High-Value",$B$7)</f>
        <v>65</v>
      </c>
      <c r="Q234" s="9" cm="1">
        <f t="array" ref="Q234">_xlfn.IFS($B234 = "At-Risk Churner", $B$8, $B234="Dormant",$B$9, $B234="Deal Hunter", $B$10, $B234="New Customer", $B$11, $B234="Occasional Buyer", $B$12, $B234 = "Loyal High-Value",$B$13)</f>
        <v>0.6</v>
      </c>
      <c r="R234" s="5">
        <v>-5</v>
      </c>
      <c r="S234" s="5">
        <v>0</v>
      </c>
      <c r="T234" s="5">
        <v>8</v>
      </c>
      <c r="U234" s="5">
        <f t="shared" si="19"/>
        <v>15</v>
      </c>
      <c r="V234" s="5">
        <f t="shared" si="20"/>
        <v>4.3605183697998662</v>
      </c>
      <c r="W234" s="43">
        <f t="shared" si="21"/>
        <v>87.248018369799865</v>
      </c>
      <c r="X234" s="5" t="str" cm="1">
        <f t="array" ref="X234">_xlfn.IFS($W234 &lt;= 30, "Low", $W234 &lt;=50, "Medium", $W234 &lt;= 70, "High", $W234 &gt; 70, "Critical")</f>
        <v>Critical</v>
      </c>
      <c r="Y234" s="9">
        <f t="shared" si="22"/>
        <v>0.58587005673018233</v>
      </c>
      <c r="Z234" s="22">
        <f t="shared" si="23"/>
        <v>82.191710258677276</v>
      </c>
    </row>
    <row r="235" spans="1:26">
      <c r="A235" s="24" t="str">
        <v>CUST-4937</v>
      </c>
      <c r="B235" s="24" t="str">
        <v>Occasional Buyer</v>
      </c>
      <c r="C235" s="24" t="str">
        <v>Organic Search</v>
      </c>
      <c r="D235" s="24" t="str">
        <v>Northeast</v>
      </c>
      <c r="E235" s="24" t="str">
        <v>55+</v>
      </c>
      <c r="F235" s="24" t="str">
        <v>High</v>
      </c>
      <c r="G235" s="24">
        <v>2</v>
      </c>
      <c r="H235" s="24">
        <v>329</v>
      </c>
      <c r="I235" s="23">
        <v>408</v>
      </c>
      <c r="J235" s="24" cm="1">
        <f t="array" ref="J235">SUMPRODUCT(
    (Transactions_and_Customer_Information_Joined[Customer ID]='V1-Based Churn Model (Step 3)'!$A235) *
    (IFERROR(_xlfn.XLOOKUP(Transactions_and_Customer_Information_Joined[SKU], 'V1 Pricing Model (Step 2)'!$A$22:$A$71, 'V1 Pricing Model (Step 2)'!$AL$22:$AL$71), "Exclude")&lt;&gt;"Exclude") *
    Transactions_and_Customer_Information_Joined[Gross Revenue])</f>
        <v>169.9</v>
      </c>
      <c r="K235" s="24">
        <f>SUMIF(Transactions_and_Customer_Information_Joined[Customer ID], 'V1-Based Churn Model (Step 3)'!$A235, Transactions_and_Customer_Information_Joined[Gross Revenue])</f>
        <v>169.9</v>
      </c>
      <c r="L235" s="3">
        <f t="shared" si="18"/>
        <v>1</v>
      </c>
      <c r="M235" s="21">
        <v>0</v>
      </c>
      <c r="N235" s="21" cm="1">
        <f t="array" ref="N235">SUMPRODUCT(
    (Transactions_and_Customer_Information_Joined[Customer ID]=$A235)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35" s="21" cm="1">
        <f t="array" ref="O235">IFERROR(
    SUMPRODUCT(
        (Transactions_and_Customer_Information_Joined[Customer ID]=$A235)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$J235,
0)</f>
        <v>0</v>
      </c>
      <c r="P235" s="5" cm="1">
        <f t="array" ref="P235">_xlfn.IFS(B235="At-Risk Churner",$B$2,$B235="Dormant",$B$3,$B235="Deal Hunter",$B$4,$B235="New Customer",$B$5,$B235="Occasional Buyer",$B$6,$B235="Loyal High-Value",$B$7)</f>
        <v>25</v>
      </c>
      <c r="Q235" s="9" cm="1">
        <f t="array" ref="Q235">_xlfn.IFS($B235 = "At-Risk Churner", $B$8, $B235="Dormant",$B$9, $B235="Deal Hunter", $B$10, $B235="New Customer", $B$11, $B235="Occasional Buyer", $B$12, $B235 = "Loyal High-Value",$B$13)</f>
        <v>0.18</v>
      </c>
      <c r="R235" s="5">
        <v>15</v>
      </c>
      <c r="S235" s="5">
        <v>10</v>
      </c>
      <c r="T235" s="5">
        <v>15</v>
      </c>
      <c r="U235" s="5">
        <f t="shared" si="19"/>
        <v>15</v>
      </c>
      <c r="V235" s="5">
        <f t="shared" si="20"/>
        <v>0</v>
      </c>
      <c r="W235" s="43">
        <f t="shared" si="21"/>
        <v>80.587500000000006</v>
      </c>
      <c r="X235" s="5" t="str" cm="1">
        <f t="array" ref="X235">_xlfn.IFS($W235 &lt;= 30, "Low", $W235 &lt;=50, "Medium", $W235 &lt;= 70, "High", $W235 &gt; 70, "Critical")</f>
        <v>Critical</v>
      </c>
      <c r="Y235" s="9">
        <f t="shared" si="22"/>
        <v>0.17192858207483266</v>
      </c>
      <c r="Z235" s="22">
        <f t="shared" si="23"/>
        <v>70.146861486531733</v>
      </c>
    </row>
    <row r="236" spans="1:26">
      <c r="A236" s="24" t="str">
        <v>CUST-1432</v>
      </c>
      <c r="B236" s="24" t="str">
        <v>Dormant</v>
      </c>
      <c r="C236" s="24" t="str">
        <v>Email Campaign</v>
      </c>
      <c r="D236" s="24" t="str">
        <v>Northeast</v>
      </c>
      <c r="E236" s="24" t="str">
        <v>55+</v>
      </c>
      <c r="F236" s="24" t="str">
        <v>High</v>
      </c>
      <c r="G236" s="24">
        <v>10</v>
      </c>
      <c r="H236" s="24">
        <v>142</v>
      </c>
      <c r="I236" s="23">
        <v>93.62</v>
      </c>
      <c r="J236" s="24" cm="1">
        <f t="array" ref="J236">SUMPRODUCT(
    (Transactions_and_Customer_Information_Joined[Customer ID]='V1-Based Churn Model (Step 3)'!$A236) *
    (IFERROR(_xlfn.XLOOKUP(Transactions_and_Customer_Information_Joined[SKU], 'V1 Pricing Model (Step 2)'!$A$22:$A$71, 'V1 Pricing Model (Step 2)'!$AL$22:$AL$71), "Exclude")&lt;&gt;"Exclude") *
    Transactions_and_Customer_Information_Joined[Gross Revenue])</f>
        <v>306.12</v>
      </c>
      <c r="K236" s="24">
        <f>SUMIF(Transactions_and_Customer_Information_Joined[Customer ID], 'V1-Based Churn Model (Step 3)'!$A236, Transactions_and_Customer_Information_Joined[Gross Revenue])</f>
        <v>306.12</v>
      </c>
      <c r="L236" s="3">
        <f t="shared" si="18"/>
        <v>1</v>
      </c>
      <c r="M236" s="21">
        <v>5.3264377873214752E-2</v>
      </c>
      <c r="N236" s="21" cm="1">
        <f t="array" ref="N236">SUMPRODUCT(
    (Transactions_and_Customer_Information_Joined[Customer ID]=$A236)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36" s="21" cm="1">
        <f t="array" ref="O236">IFERROR(
    SUMPRODUCT(
        (Transactions_and_Customer_Information_Joined[Customer ID]=$A236)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$J236,
0)</f>
        <v>5.3264377873214752E-2</v>
      </c>
      <c r="P236" s="5" cm="1">
        <f t="array" ref="P236">_xlfn.IFS(B236="At-Risk Churner",$B$2,$B236="Dormant",$B$3,$B236="Deal Hunter",$B$4,$B236="New Customer",$B$5,$B236="Occasional Buyer",$B$6,$B236="Loyal High-Value",$B$7)</f>
        <v>65</v>
      </c>
      <c r="Q236" s="9" cm="1">
        <f t="array" ref="Q236">_xlfn.IFS($B236 = "At-Risk Churner", $B$8, $B236="Dormant",$B$9, $B236="Deal Hunter", $B$10, $B236="New Customer", $B$11, $B236="Occasional Buyer", $B$12, $B236 = "Loyal High-Value",$B$13)</f>
        <v>0.6</v>
      </c>
      <c r="R236" s="5">
        <v>15</v>
      </c>
      <c r="S236" s="5">
        <v>-8</v>
      </c>
      <c r="T236" s="5">
        <v>0</v>
      </c>
      <c r="U236" s="5">
        <f t="shared" si="19"/>
        <v>15</v>
      </c>
      <c r="V236" s="5">
        <f t="shared" si="20"/>
        <v>2.1305751149285901</v>
      </c>
      <c r="W236" s="43">
        <f t="shared" si="21"/>
        <v>88.948075114928599</v>
      </c>
      <c r="X236" s="5" t="str" cm="1">
        <f t="array" ref="X236">_xlfn.IFS($W236 &lt;= 30, "Low", $W236 &lt;=50, "Medium", $W236 &lt;= 70, "High", $W236 &gt; 70, "Critical")</f>
        <v>Critical</v>
      </c>
      <c r="Y236" s="9">
        <f t="shared" si="22"/>
        <v>0.58803507930439303</v>
      </c>
      <c r="Z236" s="22">
        <f t="shared" si="23"/>
        <v>55.051844124477277</v>
      </c>
    </row>
    <row r="237" spans="1:26">
      <c r="A237" s="24" t="str">
        <v>CUST-1949</v>
      </c>
      <c r="B237" s="24" t="str">
        <v>Deal Hunter</v>
      </c>
      <c r="C237" s="24" t="str">
        <v>Referral</v>
      </c>
      <c r="D237" s="24" t="str">
        <v>Canada</v>
      </c>
      <c r="E237" s="24" t="str">
        <v>18-24</v>
      </c>
      <c r="F237" s="24" t="str">
        <v>High</v>
      </c>
      <c r="G237" s="24">
        <v>7</v>
      </c>
      <c r="H237" s="24">
        <v>288</v>
      </c>
      <c r="I237" s="23">
        <v>399.95</v>
      </c>
      <c r="J237" s="24" cm="1">
        <f t="array" ref="J237">SUMPRODUCT(
    (Transactions_and_Customer_Information_Joined[Customer ID]='V1-Based Churn Model (Step 3)'!$A237)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237" s="24">
        <f>SUMIF(Transactions_and_Customer_Information_Joined[Customer ID], 'V1-Based Churn Model (Step 3)'!$A237, Transactions_and_Customer_Information_Joined[Gross Revenue])</f>
        <v>130.86000000000001</v>
      </c>
      <c r="L237" s="3">
        <f t="shared" si="18"/>
        <v>0</v>
      </c>
      <c r="M237" s="21">
        <v>0</v>
      </c>
      <c r="N237" s="21" cm="1">
        <f t="array" ref="N237">SUMPRODUCT(
    (Transactions_and_Customer_Information_Joined[Customer ID]=$A237)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237" s="21" cm="1">
        <f t="array" ref="O237">IFERROR(
    SUMPRODUCT(
        (Transactions_and_Customer_Information_Joined[Customer ID]=$A237)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$J237,
0)</f>
        <v>0</v>
      </c>
      <c r="P237" s="5" cm="1">
        <f t="array" ref="P237">_xlfn.IFS(B237="At-Risk Churner",$B$2,$B237="Dormant",$B$3,$B237="Deal Hunter",$B$4,$B237="New Customer",$B$5,$B237="Occasional Buyer",$B$6,$B237="Loyal High-Value",$B$7)</f>
        <v>45</v>
      </c>
      <c r="Q237" s="9" cm="1">
        <f t="array" ref="Q237">_xlfn.IFS($B237 = "At-Risk Churner", $B$8, $B237="Dormant",$B$9, $B237="Deal Hunter", $B$10, $B237="New Customer", $B$11, $B237="Occasional Buyer", $B$12, $B237 = "Loyal High-Value",$B$13)</f>
        <v>0.25</v>
      </c>
      <c r="R237" s="5">
        <v>15</v>
      </c>
      <c r="S237" s="5">
        <v>-8</v>
      </c>
      <c r="T237" s="5">
        <v>8</v>
      </c>
      <c r="U237" s="5">
        <f t="shared" si="19"/>
        <v>0</v>
      </c>
      <c r="V237" s="5">
        <f t="shared" si="20"/>
        <v>0</v>
      </c>
      <c r="W237" s="43">
        <f t="shared" si="21"/>
        <v>59.64</v>
      </c>
      <c r="X237" s="5" t="str" cm="1">
        <f t="array" ref="X237">_xlfn.IFS($W237 &lt;= 30, "Low", $W237 &lt;=50, "Medium", $W237 &lt;= 70, "High", $W237 &gt; 70, "Critical")</f>
        <v>High</v>
      </c>
      <c r="Y237" s="9">
        <f t="shared" si="22"/>
        <v>0.18098048914322287</v>
      </c>
      <c r="Z237" s="22">
        <f t="shared" si="23"/>
        <v>137.89651730626559</v>
      </c>
    </row>
    <row r="238" spans="1:26">
      <c r="A238" s="24" t="str">
        <v>CUST-2687</v>
      </c>
      <c r="B238" s="24" t="str">
        <v>Deal Hunter</v>
      </c>
      <c r="C238" s="24" t="str">
        <v>Email Campaign</v>
      </c>
      <c r="D238" s="24" t="str">
        <v>Southeast</v>
      </c>
      <c r="E238" s="24" t="str">
        <v>18-24</v>
      </c>
      <c r="F238" s="24" t="str">
        <v>Medium</v>
      </c>
      <c r="G238" s="24">
        <v>1</v>
      </c>
      <c r="H238" s="24">
        <v>151</v>
      </c>
      <c r="I238" s="23">
        <v>579.29</v>
      </c>
      <c r="J238" s="24" cm="1">
        <f t="array" ref="J238">SUMPRODUCT(
    (Transactions_and_Customer_Information_Joined[Customer ID]='V1-Based Churn Model (Step 3)'!$A238)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238" s="24">
        <f>SUMIF(Transactions_and_Customer_Information_Joined[Customer ID], 'V1-Based Churn Model (Step 3)'!$A238, Transactions_and_Customer_Information_Joined[Gross Revenue])</f>
        <v>244.79999999999998</v>
      </c>
      <c r="L238" s="3">
        <f t="shared" si="18"/>
        <v>0</v>
      </c>
      <c r="M238" s="21">
        <v>0</v>
      </c>
      <c r="N238" s="21" cm="1">
        <f t="array" ref="N238">SUMPRODUCT(
    (Transactions_and_Customer_Information_Joined[Customer ID]=$A238)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238" s="21" cm="1">
        <f t="array" ref="O238">IFERROR(
    SUMPRODUCT(
        (Transactions_and_Customer_Information_Joined[Customer ID]=$A238)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$J238,
0)</f>
        <v>0</v>
      </c>
      <c r="P238" s="5" cm="1">
        <f t="array" ref="P238">_xlfn.IFS(B238="At-Risk Churner",$B$2,$B238="Dormant",$B$3,$B238="Deal Hunter",$B$4,$B238="New Customer",$B$5,$B238="Occasional Buyer",$B$6,$B238="Loyal High-Value",$B$7)</f>
        <v>45</v>
      </c>
      <c r="Q238" s="9" cm="1">
        <f t="array" ref="Q238">_xlfn.IFS($B238 = "At-Risk Churner", $B$8, $B238="Dormant",$B$9, $B238="Deal Hunter", $B$10, $B238="New Customer", $B$11, $B238="Occasional Buyer", $B$12, $B238 = "Loyal High-Value",$B$13)</f>
        <v>0.25</v>
      </c>
      <c r="R238" s="5">
        <v>5</v>
      </c>
      <c r="S238" s="5">
        <v>10</v>
      </c>
      <c r="T238" s="5">
        <v>0</v>
      </c>
      <c r="U238" s="5">
        <f t="shared" si="19"/>
        <v>0</v>
      </c>
      <c r="V238" s="5">
        <f t="shared" si="20"/>
        <v>0</v>
      </c>
      <c r="W238" s="43">
        <f t="shared" si="21"/>
        <v>60.45</v>
      </c>
      <c r="X238" s="5" t="str" cm="1">
        <f t="array" ref="X238">_xlfn.IFS($W238 &lt;= 30, "Low", $W238 &lt;=50, "Medium", $W238 &lt;= 70, "High", $W238 &gt; 70, "Critical")</f>
        <v>High</v>
      </c>
      <c r="Y238" s="9">
        <f t="shared" si="22"/>
        <v>0.184953401667422</v>
      </c>
      <c r="Z238" s="22">
        <f t="shared" si="23"/>
        <v>201.57132484153669</v>
      </c>
    </row>
    <row r="239" spans="1:26">
      <c r="A239" s="24" t="str">
        <v>CUST-4228</v>
      </c>
      <c r="B239" s="24" t="str">
        <v>New Customer</v>
      </c>
      <c r="C239" s="24" t="str">
        <v>Direct</v>
      </c>
      <c r="D239" s="24" t="str">
        <v>Canada</v>
      </c>
      <c r="E239" s="24" t="str">
        <v>18-24</v>
      </c>
      <c r="F239" s="24" t="str">
        <v>Low</v>
      </c>
      <c r="G239" s="24">
        <v>6</v>
      </c>
      <c r="H239" s="24">
        <v>148</v>
      </c>
      <c r="I239" s="23">
        <v>36.11</v>
      </c>
      <c r="J239" s="24" cm="1">
        <f t="array" ref="J239">SUMPRODUCT(
    (Transactions_and_Customer_Information_Joined[Customer ID]='V1-Based Churn Model (Step 3)'!$A239) *
    (IFERROR(_xlfn.XLOOKUP(Transactions_and_Customer_Information_Joined[SKU], 'V1 Pricing Model (Step 2)'!$A$22:$A$71, 'V1 Pricing Model (Step 2)'!$AL$22:$AL$71), "Exclude")&lt;&gt;"Exclude") *
    Transactions_and_Customer_Information_Joined[Gross Revenue])</f>
        <v>197.16</v>
      </c>
      <c r="K239" s="24">
        <f>SUMIF(Transactions_and_Customer_Information_Joined[Customer ID], 'V1-Based Churn Model (Step 3)'!$A239, Transactions_and_Customer_Information_Joined[Gross Revenue])</f>
        <v>197.16</v>
      </c>
      <c r="L239" s="3">
        <f t="shared" si="18"/>
        <v>1</v>
      </c>
      <c r="M239" s="21">
        <v>0</v>
      </c>
      <c r="N239" s="21" cm="1">
        <f t="array" ref="N239">SUMPRODUCT(
    (Transactions_and_Customer_Information_Joined[Customer ID]=$A239)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39" s="21" cm="1">
        <f t="array" ref="O239">IFERROR(
    SUMPRODUCT(
        (Transactions_and_Customer_Information_Joined[Customer ID]=$A239)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$J239,
0)</f>
        <v>0</v>
      </c>
      <c r="P239" s="5" cm="1">
        <f t="array" ref="P239">_xlfn.IFS(B239="At-Risk Churner",$B$2,$B239="Dormant",$B$3,$B239="Deal Hunter",$B$4,$B239="New Customer",$B$5,$B239="Occasional Buyer",$B$6,$B239="Loyal High-Value",$B$7)</f>
        <v>35</v>
      </c>
      <c r="Q239" s="9" cm="1">
        <f t="array" ref="Q239">_xlfn.IFS($B239 = "At-Risk Churner", $B$8, $B239="Dormant",$B$9, $B239="Deal Hunter", $B$10, $B239="New Customer", $B$11, $B239="Occasional Buyer", $B$12, $B239 = "Loyal High-Value",$B$13)</f>
        <v>0.35</v>
      </c>
      <c r="R239" s="5">
        <v>-5</v>
      </c>
      <c r="S239" s="5">
        <v>0</v>
      </c>
      <c r="T239" s="5">
        <v>0</v>
      </c>
      <c r="U239" s="5">
        <f t="shared" si="19"/>
        <v>15</v>
      </c>
      <c r="V239" s="5">
        <f t="shared" si="20"/>
        <v>0</v>
      </c>
      <c r="W239" s="43">
        <f t="shared" si="21"/>
        <v>44.887500000000003</v>
      </c>
      <c r="X239" s="5" t="str" cm="1">
        <f t="array" ref="X239">_xlfn.IFS($W239 &lt;= 30, "Low", $W239 &lt;=50, "Medium", $W239 &lt;= 70, "High", $W239 &gt; 70, "Critical")</f>
        <v>Medium</v>
      </c>
      <c r="Y239" s="9">
        <f t="shared" si="22"/>
        <v>0.13121518973415755</v>
      </c>
      <c r="Z239" s="22">
        <f t="shared" si="23"/>
        <v>11.012544401040344</v>
      </c>
    </row>
    <row r="240" spans="1:26">
      <c r="A240" s="24" t="str">
        <v>CUST-4204</v>
      </c>
      <c r="B240" s="24" t="str">
        <v>Occasional Buyer</v>
      </c>
      <c r="C240" s="24" t="str">
        <v>Direct</v>
      </c>
      <c r="D240" s="24" t="str">
        <v>West</v>
      </c>
      <c r="E240" s="24" t="str">
        <v>55+</v>
      </c>
      <c r="F240" s="24" t="str">
        <v>Low</v>
      </c>
      <c r="G240" s="24">
        <v>7</v>
      </c>
      <c r="H240" s="24">
        <v>242</v>
      </c>
      <c r="I240" s="23">
        <v>566.5</v>
      </c>
      <c r="J240" s="24" cm="1">
        <f t="array" ref="J240">SUMPRODUCT(
    (Transactions_and_Customer_Information_Joined[Customer ID]='V1-Based Churn Model (Step 3)'!$A240) *
    (IFERROR(_xlfn.XLOOKUP(Transactions_and_Customer_Information_Joined[SKU], 'V1 Pricing Model (Step 2)'!$A$22:$A$71, 'V1 Pricing Model (Step 2)'!$AL$22:$AL$71), "Exclude")&lt;&gt;"Exclude") *
    Transactions_and_Customer_Information_Joined[Gross Revenue])</f>
        <v>93.41</v>
      </c>
      <c r="K240" s="24">
        <f>SUMIF(Transactions_and_Customer_Information_Joined[Customer ID], 'V1-Based Churn Model (Step 3)'!$A240, Transactions_and_Customer_Information_Joined[Gross Revenue])</f>
        <v>93.41</v>
      </c>
      <c r="L240" s="3">
        <f t="shared" si="18"/>
        <v>1</v>
      </c>
      <c r="M240" s="21">
        <v>-6.1928730463004879E-2</v>
      </c>
      <c r="N240" s="21" cm="1">
        <f t="array" ref="N240">SUMPRODUCT(
    (Transactions_and_Customer_Information_Joined[Customer ID]=$A240)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40" s="21" cm="1">
        <f t="array" ref="O240">IFERROR(
    SUMPRODUCT(
        (Transactions_and_Customer_Information_Joined[Customer ID]=$A240)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$J240,
0)</f>
        <v>-6.1928730463004872E-2</v>
      </c>
      <c r="P240" s="5" cm="1">
        <f t="array" ref="P240">_xlfn.IFS(B240="At-Risk Churner",$B$2,$B240="Dormant",$B$3,$B240="Deal Hunter",$B$4,$B240="New Customer",$B$5,$B240="Occasional Buyer",$B$6,$B240="Loyal High-Value",$B$7)</f>
        <v>25</v>
      </c>
      <c r="Q240" s="9" cm="1">
        <f t="array" ref="Q240">_xlfn.IFS($B240 = "At-Risk Churner", $B$8, $B240="Dormant",$B$9, $B240="Deal Hunter", $B$10, $B240="New Customer", $B$11, $B240="Occasional Buyer", $B$12, $B240 = "Loyal High-Value",$B$13)</f>
        <v>0.18</v>
      </c>
      <c r="R240" s="5">
        <v>-5</v>
      </c>
      <c r="S240" s="5">
        <v>-8</v>
      </c>
      <c r="T240" s="5">
        <v>8</v>
      </c>
      <c r="U240" s="5">
        <f t="shared" si="19"/>
        <v>15</v>
      </c>
      <c r="V240" s="5">
        <f t="shared" si="20"/>
        <v>2.4771492185201947</v>
      </c>
      <c r="W240" s="43">
        <f t="shared" si="21"/>
        <v>37.164649218520196</v>
      </c>
      <c r="X240" s="5" t="str" cm="1">
        <f t="array" ref="X240">_xlfn.IFS($W240 &lt;= 30, "Low", $W240 &lt;=50, "Medium", $W240 &lt;= 70, "High", $W240 &gt; 70, "Critical")</f>
        <v>Medium</v>
      </c>
      <c r="Y240" s="9">
        <f t="shared" si="22"/>
        <v>3.9050833667022868E-2</v>
      </c>
      <c r="Z240" s="22">
        <f t="shared" si="23"/>
        <v>130.99783781789478</v>
      </c>
    </row>
    <row r="241" spans="1:26">
      <c r="A241" s="24" t="str">
        <v>CUST-2520</v>
      </c>
      <c r="B241" s="24" t="str">
        <v>Loyal High-Value</v>
      </c>
      <c r="C241" s="24" t="str">
        <v>Referral</v>
      </c>
      <c r="D241" s="24" t="str">
        <v>Canada</v>
      </c>
      <c r="E241" s="24" t="str">
        <v>25-34</v>
      </c>
      <c r="F241" s="24" t="str">
        <v>Medium</v>
      </c>
      <c r="G241" s="24">
        <v>1</v>
      </c>
      <c r="H241" s="24">
        <v>331</v>
      </c>
      <c r="I241" s="23">
        <v>2245.98</v>
      </c>
      <c r="J241" s="24" cm="1">
        <f t="array" ref="J241">SUMPRODUCT(
    (Transactions_and_Customer_Information_Joined[Customer ID]='V1-Based Churn Model (Step 3)'!$A241) *
    (IFERROR(_xlfn.XLOOKUP(Transactions_and_Customer_Information_Joined[SKU], 'V1 Pricing Model (Step 2)'!$A$22:$A$71, 'V1 Pricing Model (Step 2)'!$AL$22:$AL$71), "Exclude")&lt;&gt;"Exclude") *
    Transactions_and_Customer_Information_Joined[Gross Revenue])</f>
        <v>76.53</v>
      </c>
      <c r="K241" s="24">
        <f>SUMIF(Transactions_and_Customer_Information_Joined[Customer ID], 'V1-Based Churn Model (Step 3)'!$A241, Transactions_and_Customer_Information_Joined[Gross Revenue])</f>
        <v>76.53</v>
      </c>
      <c r="L241" s="3">
        <f t="shared" si="18"/>
        <v>1</v>
      </c>
      <c r="M241" s="21">
        <v>5.3264377873214752E-2</v>
      </c>
      <c r="N241" s="21" cm="1">
        <f t="array" ref="N241">SUMPRODUCT(
    (Transactions_and_Customer_Information_Joined[Customer ID]=$A241)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41" s="21" cm="1">
        <f t="array" ref="O241">IFERROR(
    SUMPRODUCT(
        (Transactions_and_Customer_Information_Joined[Customer ID]=$A241)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$J241,
0)</f>
        <v>5.3264377873214752E-2</v>
      </c>
      <c r="P241" s="5" cm="1">
        <f t="array" ref="P241">_xlfn.IFS(B241="At-Risk Churner",$B$2,$B241="Dormant",$B$3,$B241="Deal Hunter",$B$4,$B241="New Customer",$B$5,$B241="Occasional Buyer",$B$6,$B241="Loyal High-Value",$B$7)</f>
        <v>15</v>
      </c>
      <c r="Q241" s="9" cm="1">
        <f t="array" ref="Q241">_xlfn.IFS($B241 = "At-Risk Churner", $B$8, $B241="Dormant",$B$9, $B241="Deal Hunter", $B$10, $B241="New Customer", $B$11, $B241="Occasional Buyer", $B$12, $B241 = "Loyal High-Value",$B$13)</f>
        <v>0.05</v>
      </c>
      <c r="R241" s="5">
        <v>5</v>
      </c>
      <c r="S241" s="5">
        <v>10</v>
      </c>
      <c r="T241" s="5">
        <v>15</v>
      </c>
      <c r="U241" s="5">
        <f t="shared" si="19"/>
        <v>15</v>
      </c>
      <c r="V241" s="5">
        <f t="shared" si="20"/>
        <v>2.1305751149285901</v>
      </c>
      <c r="W241" s="43">
        <f t="shared" si="21"/>
        <v>62.393075114928585</v>
      </c>
      <c r="X241" s="5" t="str" cm="1">
        <f t="array" ref="X241">_xlfn.IFS($W241 &lt;= 30, "Low", $W241 &lt;=50, "Medium", $W241 &lt;= 70, "High", $W241 &gt; 70, "Critical")</f>
        <v>High</v>
      </c>
      <c r="Y241" s="9">
        <f t="shared" si="22"/>
        <v>3.8772172681007085E-2</v>
      </c>
      <c r="Z241" s="22">
        <f t="shared" si="23"/>
        <v>518.86121951847065</v>
      </c>
    </row>
    <row r="242" spans="1:26">
      <c r="A242" s="24" t="str">
        <v>CUST-4962</v>
      </c>
      <c r="B242" s="24" t="str">
        <v>Deal Hunter</v>
      </c>
      <c r="C242" s="24" t="str">
        <v>Influencer</v>
      </c>
      <c r="D242" s="24" t="str">
        <v>Southwest</v>
      </c>
      <c r="E242" s="24" t="str">
        <v>55+</v>
      </c>
      <c r="F242" s="24" t="str">
        <v>Low</v>
      </c>
      <c r="G242" s="24">
        <v>10</v>
      </c>
      <c r="H242" s="24">
        <v>249</v>
      </c>
      <c r="I242" s="23">
        <v>512.01</v>
      </c>
      <c r="J242" s="24" cm="1">
        <f t="array" ref="J242">SUMPRODUCT(
    (Transactions_and_Customer_Information_Joined[Customer ID]='V1-Based Churn Model (Step 3)'!$A242) *
    (IFERROR(_xlfn.XLOOKUP(Transactions_and_Customer_Information_Joined[SKU], 'V1 Pricing Model (Step 2)'!$A$22:$A$71, 'V1 Pricing Model (Step 2)'!$AL$22:$AL$71), "Exclude")&lt;&gt;"Exclude") *
    Transactions_and_Customer_Information_Joined[Gross Revenue])</f>
        <v>172.89</v>
      </c>
      <c r="K242" s="24">
        <f>SUMIF(Transactions_and_Customer_Information_Joined[Customer ID], 'V1-Based Churn Model (Step 3)'!$A242, Transactions_and_Customer_Information_Joined[Gross Revenue])</f>
        <v>172.89</v>
      </c>
      <c r="L242" s="3">
        <f t="shared" si="18"/>
        <v>1</v>
      </c>
      <c r="M242" s="21">
        <v>0.25581555939754186</v>
      </c>
      <c r="N242" s="21" cm="1">
        <f t="array" ref="N242">SUMPRODUCT(
    (Transactions_and_Customer_Information_Joined[Customer ID]=$A242)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42" s="21" cm="1">
        <f t="array" ref="O242">IFERROR(
    SUMPRODUCT(
        (Transactions_and_Customer_Information_Joined[Customer ID]=$A242)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$J242,
0)</f>
        <v>0.19800766589328567</v>
      </c>
      <c r="P242" s="5" cm="1">
        <f t="array" ref="P242">_xlfn.IFS(B242="At-Risk Churner",$B$2,$B242="Dormant",$B$3,$B242="Deal Hunter",$B$4,$B242="New Customer",$B$5,$B242="Occasional Buyer",$B$6,$B242="Loyal High-Value",$B$7)</f>
        <v>45</v>
      </c>
      <c r="Q242" s="9" cm="1">
        <f t="array" ref="Q242">_xlfn.IFS($B242 = "At-Risk Churner", $B$8, $B242="Dormant",$B$9, $B242="Deal Hunter", $B$10, $B242="New Customer", $B$11, $B242="Occasional Buyer", $B$12, $B242 = "Loyal High-Value",$B$13)</f>
        <v>0.25</v>
      </c>
      <c r="R242" s="5">
        <v>-5</v>
      </c>
      <c r="S242" s="5">
        <v>-8</v>
      </c>
      <c r="T242" s="5">
        <v>8</v>
      </c>
      <c r="U242" s="5">
        <f t="shared" si="19"/>
        <v>15</v>
      </c>
      <c r="V242" s="5">
        <f t="shared" si="20"/>
        <v>9.0764645058165492</v>
      </c>
      <c r="W242" s="43">
        <f t="shared" si="21"/>
        <v>63.603964505816549</v>
      </c>
      <c r="X242" s="5" t="str" cm="1">
        <f t="array" ref="X242">_xlfn.IFS($W242 &lt;= 30, "Low", $W242 &lt;=50, "Medium", $W242 &lt;= 70, "High", $W242 &gt; 70, "Critical")</f>
        <v>High</v>
      </c>
      <c r="Y242" s="9">
        <f t="shared" si="22"/>
        <v>0.19895603094196201</v>
      </c>
      <c r="Z242" s="22">
        <f t="shared" si="23"/>
        <v>183.89598192207518</v>
      </c>
    </row>
    <row r="243" spans="1:26">
      <c r="A243" s="24" t="str">
        <v>CUST-3700</v>
      </c>
      <c r="B243" s="24" t="str">
        <v>Loyal High-Value</v>
      </c>
      <c r="C243" s="24" t="str">
        <v>Influencer</v>
      </c>
      <c r="D243" s="24" t="str">
        <v>Midwest</v>
      </c>
      <c r="E243" s="24" t="str">
        <v>45-54</v>
      </c>
      <c r="F243" s="24" t="str">
        <v>Low</v>
      </c>
      <c r="G243" s="24">
        <v>1</v>
      </c>
      <c r="H243" s="24">
        <v>243</v>
      </c>
      <c r="I243" s="23">
        <v>2402.06</v>
      </c>
      <c r="J243" s="24" cm="1">
        <f t="array" ref="J243">SUMPRODUCT(
    (Transactions_and_Customer_Information_Joined[Customer ID]='V1-Based Churn Model (Step 3)'!$A243) *
    (IFERROR(_xlfn.XLOOKUP(Transactions_and_Customer_Information_Joined[SKU], 'V1 Pricing Model (Step 2)'!$A$22:$A$71, 'V1 Pricing Model (Step 2)'!$AL$22:$AL$71), "Exclude")&lt;&gt;"Exclude") *
    Transactions_and_Customer_Information_Joined[Gross Revenue])</f>
        <v>78.84</v>
      </c>
      <c r="K243" s="24">
        <f>SUMIF(Transactions_and_Customer_Information_Joined[Customer ID], 'V1-Based Churn Model (Step 3)'!$A243, Transactions_and_Customer_Information_Joined[Gross Revenue])</f>
        <v>78.84</v>
      </c>
      <c r="L243" s="3">
        <f t="shared" si="18"/>
        <v>1</v>
      </c>
      <c r="M243" s="21">
        <v>9.1108129362620652E-2</v>
      </c>
      <c r="N243" s="21" cm="1">
        <f t="array" ref="N243">SUMPRODUCT(
    (Transactions_and_Customer_Information_Joined[Customer ID]=$A243)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43" s="21" cm="1">
        <f t="array" ref="O243">IFERROR(
    SUMPRODUCT(
        (Transactions_and_Customer_Information_Joined[Customer ID]=$A243)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$J243,
0)</f>
        <v>9.1108129362620652E-2</v>
      </c>
      <c r="P243" s="5" cm="1">
        <f t="array" ref="P243">_xlfn.IFS(B243="At-Risk Churner",$B$2,$B243="Dormant",$B$3,$B243="Deal Hunter",$B$4,$B243="New Customer",$B$5,$B243="Occasional Buyer",$B$6,$B243="Loyal High-Value",$B$7)</f>
        <v>15</v>
      </c>
      <c r="Q243" s="9" cm="1">
        <f t="array" ref="Q243">_xlfn.IFS($B243 = "At-Risk Churner", $B$8, $B243="Dormant",$B$9, $B243="Deal Hunter", $B$10, $B243="New Customer", $B$11, $B243="Occasional Buyer", $B$12, $B243 = "Loyal High-Value",$B$13)</f>
        <v>0.05</v>
      </c>
      <c r="R243" s="5">
        <v>-5</v>
      </c>
      <c r="S243" s="5">
        <v>10</v>
      </c>
      <c r="T243" s="5">
        <v>8</v>
      </c>
      <c r="U243" s="5">
        <f t="shared" si="19"/>
        <v>15</v>
      </c>
      <c r="V243" s="5">
        <f t="shared" si="20"/>
        <v>3.644325174504826</v>
      </c>
      <c r="W243" s="43">
        <f t="shared" si="21"/>
        <v>46.68182517450483</v>
      </c>
      <c r="X243" s="5" t="str" cm="1">
        <f t="array" ref="X243">_xlfn.IFS($W243 &lt;= 30, "Low", $W243 &lt;=50, "Medium", $W243 &lt;= 70, "High", $W243 &gt; 70, "Critical")</f>
        <v>Medium</v>
      </c>
      <c r="Y243" s="9">
        <f t="shared" si="22"/>
        <v>2.0889923374060315E-2</v>
      </c>
      <c r="Z243" s="22">
        <f t="shared" si="23"/>
        <v>520.55507947191632</v>
      </c>
    </row>
    <row r="244" spans="1:26">
      <c r="A244" s="24" t="str">
        <v>CUST-3615</v>
      </c>
      <c r="B244" s="24" t="str">
        <v>Dormant</v>
      </c>
      <c r="C244" s="24" t="str">
        <v>Paid Social</v>
      </c>
      <c r="D244" s="24" t="str">
        <v>West</v>
      </c>
      <c r="E244" s="24" t="str">
        <v>55+</v>
      </c>
      <c r="F244" s="24" t="str">
        <v>Medium</v>
      </c>
      <c r="G244" s="24">
        <v>9</v>
      </c>
      <c r="H244" s="24">
        <v>42</v>
      </c>
      <c r="I244" s="23">
        <v>110</v>
      </c>
      <c r="J244" s="24" cm="1">
        <f t="array" ref="J244">SUMPRODUCT(
    (Transactions_and_Customer_Information_Joined[Customer ID]='V1-Based Churn Model (Step 3)'!$A244)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244" s="24">
        <f>SUMIF(Transactions_and_Customer_Information_Joined[Customer ID], 'V1-Based Churn Model (Step 3)'!$A244, Transactions_and_Customer_Information_Joined[Gross Revenue])</f>
        <v>75.69</v>
      </c>
      <c r="L244" s="3">
        <f t="shared" si="18"/>
        <v>0</v>
      </c>
      <c r="M244" s="21">
        <v>0</v>
      </c>
      <c r="N244" s="21" cm="1">
        <f t="array" ref="N244">SUMPRODUCT(
    (Transactions_and_Customer_Information_Joined[Customer ID]=$A244)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244" s="21" cm="1">
        <f t="array" ref="O244">IFERROR(
    SUMPRODUCT(
        (Transactions_and_Customer_Information_Joined[Customer ID]=$A244)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$J244,
0)</f>
        <v>0</v>
      </c>
      <c r="P244" s="5" cm="1">
        <f t="array" ref="P244">_xlfn.IFS(B244="At-Risk Churner",$B$2,$B244="Dormant",$B$3,$B244="Deal Hunter",$B$4,$B244="New Customer",$B$5,$B244="Occasional Buyer",$B$6,$B244="Loyal High-Value",$B$7)</f>
        <v>65</v>
      </c>
      <c r="Q244" s="9" cm="1">
        <f t="array" ref="Q244">_xlfn.IFS($B244 = "At-Risk Churner", $B$8, $B244="Dormant",$B$9, $B244="Deal Hunter", $B$10, $B244="New Customer", $B$11, $B244="Occasional Buyer", $B$12, $B244 = "Loyal High-Value",$B$13)</f>
        <v>0.6</v>
      </c>
      <c r="R244" s="5">
        <v>5</v>
      </c>
      <c r="S244" s="5">
        <v>-8</v>
      </c>
      <c r="T244" s="5">
        <v>-5</v>
      </c>
      <c r="U244" s="5">
        <f t="shared" si="19"/>
        <v>0</v>
      </c>
      <c r="V244" s="5">
        <f t="shared" si="20"/>
        <v>0</v>
      </c>
      <c r="W244" s="43">
        <f t="shared" si="21"/>
        <v>56.48</v>
      </c>
      <c r="X244" s="5" t="str" cm="1">
        <f t="array" ref="X244">_xlfn.IFS($W244 &lt;= 30, "Low", $W244 &lt;=50, "Medium", $W244 &lt;= 70, "High", $W244 &gt; 70, "Critical")</f>
        <v>High</v>
      </c>
      <c r="Y244" s="9">
        <f t="shared" si="22"/>
        <v>0.39393577549341025</v>
      </c>
      <c r="Z244" s="22">
        <f t="shared" si="23"/>
        <v>56.666348243420103</v>
      </c>
    </row>
    <row r="245" spans="1:26">
      <c r="A245" s="24" t="str">
        <v>CUST-2426</v>
      </c>
      <c r="B245" s="24" t="str">
        <v>Occasional Buyer</v>
      </c>
      <c r="C245" s="24" t="str">
        <v>Paid Social</v>
      </c>
      <c r="D245" s="24" t="str">
        <v>Southwest</v>
      </c>
      <c r="E245" s="24" t="str">
        <v>18-24</v>
      </c>
      <c r="F245" s="24" t="str">
        <v>Medium</v>
      </c>
      <c r="G245" s="24">
        <v>0</v>
      </c>
      <c r="H245" s="24">
        <v>59</v>
      </c>
      <c r="I245" s="23">
        <v>653.55999999999995</v>
      </c>
      <c r="J245" s="24" cm="1">
        <f t="array" ref="J245">SUMPRODUCT(
    (Transactions_and_Customer_Information_Joined[Customer ID]='V1-Based Churn Model (Step 3)'!$A245)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245" s="24">
        <f>SUMIF(Transactions_and_Customer_Information_Joined[Customer ID], 'V1-Based Churn Model (Step 3)'!$A245, Transactions_and_Customer_Information_Joined[Gross Revenue])</f>
        <v>248.52</v>
      </c>
      <c r="L245" s="3">
        <f t="shared" si="18"/>
        <v>0</v>
      </c>
      <c r="M245" s="21">
        <v>0</v>
      </c>
      <c r="N245" s="21" cm="1">
        <f t="array" ref="N245">SUMPRODUCT(
    (Transactions_and_Customer_Information_Joined[Customer ID]=$A245)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245" s="21" cm="1">
        <f t="array" ref="O245">IFERROR(
    SUMPRODUCT(
        (Transactions_and_Customer_Information_Joined[Customer ID]=$A245)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$J245,
0)</f>
        <v>0</v>
      </c>
      <c r="P245" s="5" cm="1">
        <f t="array" ref="P245">_xlfn.IFS(B245="At-Risk Churner",$B$2,$B245="Dormant",$B$3,$B245="Deal Hunter",$B$4,$B245="New Customer",$B$5,$B245="Occasional Buyer",$B$6,$B245="Loyal High-Value",$B$7)</f>
        <v>25</v>
      </c>
      <c r="Q245" s="9" cm="1">
        <f t="array" ref="Q245">_xlfn.IFS($B245 = "At-Risk Churner", $B$8, $B245="Dormant",$B$9, $B245="Deal Hunter", $B$10, $B245="New Customer", $B$11, $B245="Occasional Buyer", $B$12, $B245 = "Loyal High-Value",$B$13)</f>
        <v>0.18</v>
      </c>
      <c r="R245" s="5">
        <v>5</v>
      </c>
      <c r="S245" s="5">
        <v>10</v>
      </c>
      <c r="T245" s="5">
        <v>-5</v>
      </c>
      <c r="U245" s="5">
        <f t="shared" si="19"/>
        <v>0</v>
      </c>
      <c r="V245" s="5">
        <f t="shared" si="20"/>
        <v>0</v>
      </c>
      <c r="W245" s="43">
        <f t="shared" si="21"/>
        <v>35.25</v>
      </c>
      <c r="X245" s="5" t="str" cm="1">
        <f t="array" ref="X245">_xlfn.IFS($W245 &lt;= 30, "Low", $W245 &lt;=50, "Medium", $W245 &lt;= 70, "High", $W245 &gt; 70, "Critical")</f>
        <v>Medium</v>
      </c>
      <c r="Y245" s="9">
        <f t="shared" si="22"/>
        <v>3.3513089022271535E-2</v>
      </c>
      <c r="Z245" s="22">
        <f t="shared" si="23"/>
        <v>148.23425156911662</v>
      </c>
    </row>
    <row r="246" spans="1:26">
      <c r="A246" s="24" t="str">
        <v>CUST-4771</v>
      </c>
      <c r="B246" s="24" t="str">
        <v>At-Risk Churner</v>
      </c>
      <c r="C246" s="24" t="str">
        <v>Referral</v>
      </c>
      <c r="D246" s="24" t="str">
        <v>Northeast</v>
      </c>
      <c r="E246" s="24" t="str">
        <v>18-24</v>
      </c>
      <c r="F246" s="24" t="str">
        <v>High</v>
      </c>
      <c r="G246" s="24">
        <v>10</v>
      </c>
      <c r="H246" s="24">
        <v>105</v>
      </c>
      <c r="I246" s="23">
        <v>175.14</v>
      </c>
      <c r="J246" s="24" cm="1">
        <f t="array" ref="J246">SUMPRODUCT(
    (Transactions_and_Customer_Information_Joined[Customer ID]='V1-Based Churn Model (Step 3)'!$A246) *
    (IFERROR(_xlfn.XLOOKUP(Transactions_and_Customer_Information_Joined[SKU], 'V1 Pricing Model (Step 2)'!$A$22:$A$71, 'V1 Pricing Model (Step 2)'!$AL$22:$AL$71), "Exclude")&lt;&gt;"Exclude") *
    Transactions_and_Customer_Information_Joined[Gross Revenue])</f>
        <v>289.89999999999998</v>
      </c>
      <c r="K246" s="24">
        <f>SUMIF(Transactions_and_Customer_Information_Joined[Customer ID], 'V1-Based Churn Model (Step 3)'!$A246, Transactions_and_Customer_Information_Joined[Gross Revenue])</f>
        <v>289.89999999999998</v>
      </c>
      <c r="L246" s="3">
        <f t="shared" si="18"/>
        <v>1</v>
      </c>
      <c r="M246" s="21">
        <v>0.25481331848064742</v>
      </c>
      <c r="N246" s="21" cm="1">
        <f t="array" ref="N246">SUMPRODUCT(
    (Transactions_and_Customer_Information_Joined[Customer ID]=$A246)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46" s="21" cm="1">
        <f t="array" ref="O246">IFERROR(
    SUMPRODUCT(
        (Transactions_and_Customer_Information_Joined[Customer ID]=$A246)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$J246,
0)</f>
        <v>0.25481331848064742</v>
      </c>
      <c r="P246" s="5" cm="1">
        <f t="array" ref="P246">_xlfn.IFS(B246="At-Risk Churner",$B$2,$B246="Dormant",$B$3,$B246="Deal Hunter",$B$4,$B246="New Customer",$B$5,$B246="Occasional Buyer",$B$6,$B246="Loyal High-Value",$B$7)</f>
        <v>70</v>
      </c>
      <c r="Q246" s="9" cm="1">
        <f t="array" ref="Q246">_xlfn.IFS($B246 = "At-Risk Churner", $B$8, $B246="Dormant",$B$9, $B246="Deal Hunter", $B$10, $B246="New Customer", $B$11, $B246="Occasional Buyer", $B$12, $B246 = "Loyal High-Value",$B$13)</f>
        <v>0.45</v>
      </c>
      <c r="R246" s="5">
        <v>15</v>
      </c>
      <c r="S246" s="5">
        <v>-8</v>
      </c>
      <c r="T246" s="5">
        <v>0</v>
      </c>
      <c r="U246" s="5">
        <f t="shared" si="19"/>
        <v>15</v>
      </c>
      <c r="V246" s="5">
        <f t="shared" si="20"/>
        <v>10.192532739225896</v>
      </c>
      <c r="W246" s="43">
        <f t="shared" si="21"/>
        <v>100</v>
      </c>
      <c r="X246" s="5" t="str" cm="1">
        <f t="array" ref="X246">_xlfn.IFS($W246 &lt;= 30, "Low", $W246 &lt;=50, "Medium", $W246 &lt;= 70, "High", $W246 &gt; 70, "Critical")</f>
        <v>Critical</v>
      </c>
      <c r="Y246" s="9">
        <f t="shared" si="22"/>
        <v>0.44698821708407188</v>
      </c>
      <c r="Z246" s="22">
        <f t="shared" si="23"/>
        <v>78.285516340104337</v>
      </c>
    </row>
    <row r="247" spans="1:26">
      <c r="A247" s="24" t="str">
        <v>CUST-1462</v>
      </c>
      <c r="B247" s="24" t="str">
        <v>At-Risk Churner</v>
      </c>
      <c r="C247" s="24" t="str">
        <v>Paid Social</v>
      </c>
      <c r="D247" s="24" t="str">
        <v>Southeast</v>
      </c>
      <c r="E247" s="24" t="str">
        <v>25-34</v>
      </c>
      <c r="F247" s="24" t="str">
        <v>Low</v>
      </c>
      <c r="G247" s="24">
        <v>3</v>
      </c>
      <c r="H247" s="24">
        <v>333</v>
      </c>
      <c r="I247" s="23">
        <v>256.63</v>
      </c>
      <c r="J247" s="24" cm="1">
        <f t="array" ref="J247">SUMPRODUCT(
    (Transactions_and_Customer_Information_Joined[Customer ID]='V1-Based Churn Model (Step 3)'!$A247) *
    (IFERROR(_xlfn.XLOOKUP(Transactions_and_Customer_Information_Joined[SKU], 'V1 Pricing Model (Step 2)'!$A$22:$A$71, 'V1 Pricing Model (Step 2)'!$AL$22:$AL$71), "Exclude")&lt;&gt;"Exclude") *
    Transactions_and_Customer_Information_Joined[Gross Revenue])</f>
        <v>230.34</v>
      </c>
      <c r="K247" s="24">
        <f>SUMIF(Transactions_and_Customer_Information_Joined[Customer ID], 'V1-Based Churn Model (Step 3)'!$A247, Transactions_and_Customer_Information_Joined[Gross Revenue])</f>
        <v>230.34</v>
      </c>
      <c r="L247" s="3">
        <f t="shared" si="18"/>
        <v>1</v>
      </c>
      <c r="M247" s="21">
        <v>0.26791845407776477</v>
      </c>
      <c r="N247" s="21" cm="1">
        <f t="array" ref="N247">SUMPRODUCT(
    (Transactions_and_Customer_Information_Joined[Customer ID]=$A247)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47" s="21" cm="1">
        <f t="array" ref="O247">IFERROR(
    SUMPRODUCT(
        (Transactions_and_Customer_Information_Joined[Customer ID]=$A247)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$J247,
0)</f>
        <v>0.26791845407776477</v>
      </c>
      <c r="P247" s="5" cm="1">
        <f t="array" ref="P247">_xlfn.IFS(B247="At-Risk Churner",$B$2,$B247="Dormant",$B$3,$B247="Deal Hunter",$B$4,$B247="New Customer",$B$5,$B247="Occasional Buyer",$B$6,$B247="Loyal High-Value",$B$7)</f>
        <v>70</v>
      </c>
      <c r="Q247" s="9" cm="1">
        <f t="array" ref="Q247">_xlfn.IFS($B247 = "At-Risk Churner", $B$8, $B247="Dormant",$B$9, $B247="Deal Hunter", $B$10, $B247="New Customer", $B$11, $B247="Occasional Buyer", $B$12, $B247 = "Loyal High-Value",$B$13)</f>
        <v>0.45</v>
      </c>
      <c r="R247" s="5">
        <v>-5</v>
      </c>
      <c r="S247" s="5">
        <v>10</v>
      </c>
      <c r="T247" s="5">
        <v>15</v>
      </c>
      <c r="U247" s="5">
        <f t="shared" si="19"/>
        <v>15</v>
      </c>
      <c r="V247" s="5">
        <f t="shared" si="20"/>
        <v>10.716738163110591</v>
      </c>
      <c r="W247" s="43">
        <f t="shared" si="21"/>
        <v>100</v>
      </c>
      <c r="X247" s="5" t="str" cm="1">
        <f t="array" ref="X247">_xlfn.IFS($W247 &lt;= 30, "Low", $W247 &lt;=50, "Medium", $W247 &lt;= 70, "High", $W247 &gt; 70, "Critical")</f>
        <v>Critical</v>
      </c>
      <c r="Y247" s="9">
        <f t="shared" si="22"/>
        <v>0.44698821708407188</v>
      </c>
      <c r="Z247" s="22">
        <f t="shared" si="23"/>
        <v>114.71058615028537</v>
      </c>
    </row>
    <row r="248" spans="1:26">
      <c r="A248" s="24" t="str">
        <v>CUST-3645</v>
      </c>
      <c r="B248" s="24" t="str">
        <v>Dormant</v>
      </c>
      <c r="C248" s="24" t="str">
        <v>Paid Social</v>
      </c>
      <c r="D248" s="24" t="str">
        <v>Southeast</v>
      </c>
      <c r="E248" s="24" t="str">
        <v>45-54</v>
      </c>
      <c r="F248" s="24" t="str">
        <v>Medium</v>
      </c>
      <c r="G248" s="24">
        <v>4</v>
      </c>
      <c r="H248" s="24">
        <v>300</v>
      </c>
      <c r="I248" s="23">
        <v>64.66</v>
      </c>
      <c r="J248" s="24" cm="1">
        <f t="array" ref="J248">SUMPRODUCT(
    (Transactions_and_Customer_Information_Joined[Customer ID]='V1-Based Churn Model (Step 3)'!$A248) *
    (IFERROR(_xlfn.XLOOKUP(Transactions_and_Customer_Information_Joined[SKU], 'V1 Pricing Model (Step 2)'!$A$22:$A$71, 'V1 Pricing Model (Step 2)'!$AL$22:$AL$71), "Exclude")&lt;&gt;"Exclude") *
    Transactions_and_Customer_Information_Joined[Gross Revenue])</f>
        <v>460.68</v>
      </c>
      <c r="K248" s="24">
        <f>SUMIF(Transactions_and_Customer_Information_Joined[Customer ID], 'V1-Based Churn Model (Step 3)'!$A248, Transactions_and_Customer_Information_Joined[Gross Revenue])</f>
        <v>460.68</v>
      </c>
      <c r="L248" s="3">
        <f t="shared" si="18"/>
        <v>1</v>
      </c>
      <c r="M248" s="21">
        <v>0.26791845407776477</v>
      </c>
      <c r="N248" s="21" cm="1">
        <f t="array" ref="N248">SUMPRODUCT(
    (Transactions_and_Customer_Information_Joined[Customer ID]=$A248)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48" s="21" cm="1">
        <f t="array" ref="O248">IFERROR(
    SUMPRODUCT(
        (Transactions_and_Customer_Information_Joined[Customer ID]=$A248)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$J248,
0)</f>
        <v>0.26791845407776477</v>
      </c>
      <c r="P248" s="5" cm="1">
        <f t="array" ref="P248">_xlfn.IFS(B248="At-Risk Churner",$B$2,$B248="Dormant",$B$3,$B248="Deal Hunter",$B$4,$B248="New Customer",$B$5,$B248="Occasional Buyer",$B$6,$B248="Loyal High-Value",$B$7)</f>
        <v>65</v>
      </c>
      <c r="Q248" s="9" cm="1">
        <f t="array" ref="Q248">_xlfn.IFS($B248 = "At-Risk Churner", $B$8, $B248="Dormant",$B$9, $B248="Deal Hunter", $B$10, $B248="New Customer", $B$11, $B248="Occasional Buyer", $B$12, $B248 = "Loyal High-Value",$B$13)</f>
        <v>0.6</v>
      </c>
      <c r="R248" s="5">
        <v>5</v>
      </c>
      <c r="S248" s="5">
        <v>0</v>
      </c>
      <c r="T248" s="5">
        <v>8</v>
      </c>
      <c r="U248" s="5">
        <f t="shared" si="19"/>
        <v>15</v>
      </c>
      <c r="V248" s="5">
        <f t="shared" si="20"/>
        <v>10.716738163110591</v>
      </c>
      <c r="W248" s="43">
        <f t="shared" si="21"/>
        <v>100</v>
      </c>
      <c r="X248" s="5" t="str" cm="1">
        <f t="array" ref="X248">_xlfn.IFS($W248 &lt;= 30, "Low", $W248 &lt;=50, "Medium", $W248 &lt;= 70, "High", $W248 &gt; 70, "Critical")</f>
        <v>Critical</v>
      </c>
      <c r="Y248" s="9">
        <f t="shared" si="22"/>
        <v>0.59598428944542914</v>
      </c>
      <c r="Z248" s="22">
        <f t="shared" si="23"/>
        <v>38.536344155541443</v>
      </c>
    </row>
    <row r="249" spans="1:26">
      <c r="A249" s="24" t="str">
        <v>CUST-3730</v>
      </c>
      <c r="B249" s="24" t="str">
        <v>Deal Hunter</v>
      </c>
      <c r="C249" s="24" t="str">
        <v>Email Campaign</v>
      </c>
      <c r="D249" s="24" t="str">
        <v>Canada</v>
      </c>
      <c r="E249" s="24" t="str">
        <v>25-34</v>
      </c>
      <c r="F249" s="24" t="str">
        <v>High</v>
      </c>
      <c r="G249" s="24">
        <v>3</v>
      </c>
      <c r="H249" s="24">
        <v>222</v>
      </c>
      <c r="I249" s="23">
        <v>476.51</v>
      </c>
      <c r="J249" s="24" cm="1">
        <f t="array" ref="J249">SUMPRODUCT(
    (Transactions_and_Customer_Information_Joined[Customer ID]='V1-Based Churn Model (Step 3)'!$A249) *
    (IFERROR(_xlfn.XLOOKUP(Transactions_and_Customer_Information_Joined[SKU], 'V1 Pricing Model (Step 2)'!$A$22:$A$71, 'V1 Pricing Model (Step 2)'!$AL$22:$AL$71), "Exclude")&lt;&gt;"Exclude") *
    Transactions_and_Customer_Information_Joined[Gross Revenue])</f>
        <v>225.32</v>
      </c>
      <c r="K249" s="24">
        <f>SUMIF(Transactions_and_Customer_Information_Joined[Customer ID], 'V1-Based Churn Model (Step 3)'!$A249, Transactions_and_Customer_Information_Joined[Gross Revenue])</f>
        <v>225.32</v>
      </c>
      <c r="L249" s="3">
        <f t="shared" si="18"/>
        <v>1</v>
      </c>
      <c r="M249" s="21">
        <v>1.5146952408836394E-2</v>
      </c>
      <c r="N249" s="21" cm="1">
        <f t="array" ref="N249">SUMPRODUCT(
    (Transactions_and_Customer_Information_Joined[Customer ID]=$A249)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49" s="21" cm="1">
        <f t="array" ref="O249">IFERROR(
    SUMPRODUCT(
        (Transactions_and_Customer_Information_Joined[Customer ID]=$A249)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$J249,
0)</f>
        <v>1.5146952408836394E-2</v>
      </c>
      <c r="P249" s="5" cm="1">
        <f t="array" ref="P249">_xlfn.IFS(B249="At-Risk Churner",$B$2,$B249="Dormant",$B$3,$B249="Deal Hunter",$B$4,$B249="New Customer",$B$5,$B249="Occasional Buyer",$B$6,$B249="Loyal High-Value",$B$7)</f>
        <v>45</v>
      </c>
      <c r="Q249" s="9" cm="1">
        <f t="array" ref="Q249">_xlfn.IFS($B249 = "At-Risk Churner", $B$8, $B249="Dormant",$B$9, $B249="Deal Hunter", $B$10, $B249="New Customer", $B$11, $B249="Occasional Buyer", $B$12, $B249 = "Loyal High-Value",$B$13)</f>
        <v>0.25</v>
      </c>
      <c r="R249" s="5">
        <v>15</v>
      </c>
      <c r="S249" s="5">
        <v>10</v>
      </c>
      <c r="T249" s="5">
        <v>8</v>
      </c>
      <c r="U249" s="5">
        <f t="shared" si="19"/>
        <v>15</v>
      </c>
      <c r="V249" s="5">
        <f t="shared" si="20"/>
        <v>0.6058780963534558</v>
      </c>
      <c r="W249" s="43">
        <f t="shared" si="21"/>
        <v>94.393378096353459</v>
      </c>
      <c r="X249" s="5" t="str" cm="1">
        <f t="array" ref="X249">_xlfn.IFS($W249 &lt;= 30, "Low", $W249 &lt;=50, "Medium", $W249 &lt;= 70, "High", $W249 &gt; 70, "Critical")</f>
        <v>Critical</v>
      </c>
      <c r="Y249" s="9">
        <f t="shared" si="22"/>
        <v>0.24708348772254898</v>
      </c>
      <c r="Z249" s="22">
        <f t="shared" si="23"/>
        <v>117.73775273467182</v>
      </c>
    </row>
    <row r="250" spans="1:26">
      <c r="A250" s="24" t="str">
        <v>CUST-1411</v>
      </c>
      <c r="B250" s="24" t="str">
        <v>Loyal High-Value</v>
      </c>
      <c r="C250" s="24" t="str">
        <v>Referral</v>
      </c>
      <c r="D250" s="24" t="str">
        <v>Canada</v>
      </c>
      <c r="E250" s="24" t="str">
        <v>35-44</v>
      </c>
      <c r="F250" s="24" t="str">
        <v>Low</v>
      </c>
      <c r="G250" s="24">
        <v>4</v>
      </c>
      <c r="H250" s="24">
        <v>10</v>
      </c>
      <c r="I250" s="23">
        <v>2580.29</v>
      </c>
      <c r="J250" s="24" cm="1">
        <f t="array" ref="J250">SUMPRODUCT(
    (Transactions_and_Customer_Information_Joined[Customer ID]='V1-Based Churn Model (Step 3)'!$A250) *
    (IFERROR(_xlfn.XLOOKUP(Transactions_and_Customer_Information_Joined[SKU], 'V1 Pricing Model (Step 2)'!$A$22:$A$71, 'V1 Pricing Model (Step 2)'!$AL$22:$AL$71), "Exclude")&lt;&gt;"Exclude") *
    Transactions_and_Customer_Information_Joined[Gross Revenue])</f>
        <v>452.72</v>
      </c>
      <c r="K250" s="24">
        <f>SUMIF(Transactions_and_Customer_Information_Joined[Customer ID], 'V1-Based Churn Model (Step 3)'!$A250, Transactions_and_Customer_Information_Joined[Gross Revenue])</f>
        <v>452.72</v>
      </c>
      <c r="L250" s="3">
        <f t="shared" si="18"/>
        <v>1</v>
      </c>
      <c r="M250" s="21">
        <v>7.8578478868305213E-2</v>
      </c>
      <c r="N250" s="21" cm="1">
        <f t="array" ref="N250">SUMPRODUCT(
    (Transactions_and_Customer_Information_Joined[Customer ID]=$A250)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50" s="21" cm="1">
        <f t="array" ref="O250">IFERROR(
    SUMPRODUCT(
        (Transactions_and_Customer_Information_Joined[Customer ID]=$A250)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$J250,
0)</f>
        <v>7.8578478868305213E-2</v>
      </c>
      <c r="P250" s="5" cm="1">
        <f t="array" ref="P250">_xlfn.IFS(B250="At-Risk Churner",$B$2,$B250="Dormant",$B$3,$B250="Deal Hunter",$B$4,$B250="New Customer",$B$5,$B250="Occasional Buyer",$B$6,$B250="Loyal High-Value",$B$7)</f>
        <v>15</v>
      </c>
      <c r="Q250" s="9" cm="1">
        <f t="array" ref="Q250">_xlfn.IFS($B250 = "At-Risk Churner", $B$8, $B250="Dormant",$B$9, $B250="Deal Hunter", $B$10, $B250="New Customer", $B$11, $B250="Occasional Buyer", $B$12, $B250 = "Loyal High-Value",$B$13)</f>
        <v>0.05</v>
      </c>
      <c r="R250" s="5">
        <v>-5</v>
      </c>
      <c r="S250" s="5">
        <v>0</v>
      </c>
      <c r="T250" s="5">
        <v>-5</v>
      </c>
      <c r="U250" s="5">
        <f t="shared" si="19"/>
        <v>15</v>
      </c>
      <c r="V250" s="5">
        <f t="shared" si="20"/>
        <v>3.1431391547322085</v>
      </c>
      <c r="W250" s="43">
        <f t="shared" si="21"/>
        <v>23.030639154732206</v>
      </c>
      <c r="X250" s="5" t="str" cm="1">
        <f t="array" ref="X250">_xlfn.IFS($W250 &lt;= 30, "Low", $W250 &lt;=50, "Medium", $W250 &lt;= 70, "High", $W250 &gt; 70, "Critical")</f>
        <v>Low</v>
      </c>
      <c r="Y250" s="9">
        <f t="shared" si="22"/>
        <v>3.1577196484707387E-3</v>
      </c>
      <c r="Z250" s="22">
        <f t="shared" si="23"/>
        <v>8.1478324317525619</v>
      </c>
    </row>
    <row r="251" spans="1:26">
      <c r="A251" s="24" t="str">
        <v>CUST-1178</v>
      </c>
      <c r="B251" s="24" t="str">
        <v>Deal Hunter</v>
      </c>
      <c r="C251" s="24" t="str">
        <v>Email Campaign</v>
      </c>
      <c r="D251" s="24" t="str">
        <v>West</v>
      </c>
      <c r="E251" s="24" t="str">
        <v>18-24</v>
      </c>
      <c r="F251" s="24" t="str">
        <v>Low</v>
      </c>
      <c r="G251" s="24">
        <v>3</v>
      </c>
      <c r="H251" s="24">
        <v>297</v>
      </c>
      <c r="I251" s="23">
        <v>419.81</v>
      </c>
      <c r="J251" s="24" cm="1">
        <f t="array" ref="J251">SUMPRODUCT(
    (Transactions_and_Customer_Information_Joined[Customer ID]='V1-Based Churn Model (Step 3)'!$A251) *
    (IFERROR(_xlfn.XLOOKUP(Transactions_and_Customer_Information_Joined[SKU], 'V1 Pricing Model (Step 2)'!$A$22:$A$71, 'V1 Pricing Model (Step 2)'!$AL$22:$AL$71), "Exclude")&lt;&gt;"Exclude") *
    Transactions_and_Customer_Information_Joined[Gross Revenue])</f>
        <v>194.87</v>
      </c>
      <c r="K251" s="24">
        <f>SUMIF(Transactions_and_Customer_Information_Joined[Customer ID], 'V1-Based Churn Model (Step 3)'!$A251, Transactions_and_Customer_Information_Joined[Gross Revenue])</f>
        <v>194.87</v>
      </c>
      <c r="L251" s="3">
        <f t="shared" si="18"/>
        <v>1</v>
      </c>
      <c r="M251" s="21">
        <v>0.14790650353694867</v>
      </c>
      <c r="N251" s="21" cm="1">
        <f t="array" ref="N251">SUMPRODUCT(
    (Transactions_and_Customer_Information_Joined[Customer ID]=$A251)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51" s="21" cm="1">
        <f t="array" ref="O251">IFERROR(
    SUMPRODUCT(
        (Transactions_and_Customer_Information_Joined[Customer ID]=$A251)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$J251,
0)</f>
        <v>0.14790650353694867</v>
      </c>
      <c r="P251" s="5" cm="1">
        <f t="array" ref="P251">_xlfn.IFS(B251="At-Risk Churner",$B$2,$B251="Dormant",$B$3,$B251="Deal Hunter",$B$4,$B251="New Customer",$B$5,$B251="Occasional Buyer",$B$6,$B251="Loyal High-Value",$B$7)</f>
        <v>45</v>
      </c>
      <c r="Q251" s="9" cm="1">
        <f t="array" ref="Q251">_xlfn.IFS($B251 = "At-Risk Churner", $B$8, $B251="Dormant",$B$9, $B251="Deal Hunter", $B$10, $B251="New Customer", $B$11, $B251="Occasional Buyer", $B$12, $B251 = "Loyal High-Value",$B$13)</f>
        <v>0.25</v>
      </c>
      <c r="R251" s="5">
        <v>-5</v>
      </c>
      <c r="S251" s="5">
        <v>10</v>
      </c>
      <c r="T251" s="5">
        <v>8</v>
      </c>
      <c r="U251" s="5">
        <f t="shared" si="19"/>
        <v>15</v>
      </c>
      <c r="V251" s="5">
        <f t="shared" si="20"/>
        <v>5.916260141477947</v>
      </c>
      <c r="W251" s="43">
        <f t="shared" si="21"/>
        <v>79.253760141477954</v>
      </c>
      <c r="X251" s="5" t="str" cm="1">
        <f t="array" ref="X251">_xlfn.IFS($W251 &lt;= 30, "Low", $W251 &lt;=50, "Medium", $W251 &lt;= 70, "High", $W251 &gt; 70, "Critical")</f>
        <v>Critical</v>
      </c>
      <c r="Y251" s="9">
        <f t="shared" si="22"/>
        <v>0.23727167556136883</v>
      </c>
      <c r="Z251" s="22">
        <f t="shared" si="23"/>
        <v>99.609022117418249</v>
      </c>
    </row>
    <row r="252" spans="1:26">
      <c r="A252" s="24" t="str">
        <v>CUST-2425</v>
      </c>
      <c r="B252" s="24" t="str">
        <v>Deal Hunter</v>
      </c>
      <c r="C252" s="24" t="str">
        <v>Direct</v>
      </c>
      <c r="D252" s="24" t="str">
        <v>Midwest</v>
      </c>
      <c r="E252" s="24" t="str">
        <v>18-24</v>
      </c>
      <c r="F252" s="24" t="str">
        <v>High</v>
      </c>
      <c r="G252" s="24">
        <v>1</v>
      </c>
      <c r="H252" s="24">
        <v>68</v>
      </c>
      <c r="I252" s="23">
        <v>151.47999999999999</v>
      </c>
      <c r="J252" s="24" cm="1">
        <f t="array" ref="J252">SUMPRODUCT(
    (Transactions_and_Customer_Information_Joined[Customer ID]='V1-Based Churn Model (Step 3)'!$A252) *
    (IFERROR(_xlfn.XLOOKUP(Transactions_and_Customer_Information_Joined[SKU], 'V1 Pricing Model (Step 2)'!$A$22:$A$71, 'V1 Pricing Model (Step 2)'!$AL$22:$AL$71), "Exclude")&lt;&gt;"Exclude") *
    Transactions_and_Customer_Information_Joined[Gross Revenue])</f>
        <v>636.66</v>
      </c>
      <c r="K252" s="24">
        <f>SUMIF(Transactions_and_Customer_Information_Joined[Customer ID], 'V1-Based Churn Model (Step 3)'!$A252, Transactions_and_Customer_Information_Joined[Gross Revenue])</f>
        <v>636.66</v>
      </c>
      <c r="L252" s="3">
        <f t="shared" si="18"/>
        <v>1</v>
      </c>
      <c r="M252" s="21">
        <v>7.0422329455997176E-2</v>
      </c>
      <c r="N252" s="21" cm="1">
        <f t="array" ref="N252">SUMPRODUCT(
    (Transactions_and_Customer_Information_Joined[Customer ID]=$A252)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2</v>
      </c>
      <c r="O252" s="21" cm="1">
        <f t="array" ref="O252">IFERROR(
    SUMPRODUCT(
        (Transactions_and_Customer_Information_Joined[Customer ID]=$A252)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$J252,
0)</f>
        <v>4.0987625589676786E-2</v>
      </c>
      <c r="P252" s="5" cm="1">
        <f t="array" ref="P252">_xlfn.IFS(B252="At-Risk Churner",$B$2,$B252="Dormant",$B$3,$B252="Deal Hunter",$B$4,$B252="New Customer",$B$5,$B252="Occasional Buyer",$B$6,$B252="Loyal High-Value",$B$7)</f>
        <v>45</v>
      </c>
      <c r="Q252" s="9" cm="1">
        <f t="array" ref="Q252">_xlfn.IFS($B252 = "At-Risk Churner", $B$8, $B252="Dormant",$B$9, $B252="Deal Hunter", $B$10, $B252="New Customer", $B$11, $B252="Occasional Buyer", $B$12, $B252 = "Loyal High-Value",$B$13)</f>
        <v>0.25</v>
      </c>
      <c r="R252" s="5">
        <v>15</v>
      </c>
      <c r="S252" s="5">
        <v>10</v>
      </c>
      <c r="T252" s="5">
        <v>0</v>
      </c>
      <c r="U252" s="5">
        <f t="shared" si="19"/>
        <v>15</v>
      </c>
      <c r="V252" s="5">
        <f t="shared" si="20"/>
        <v>2.2281991009134794</v>
      </c>
      <c r="W252" s="43">
        <f t="shared" si="21"/>
        <v>88.015699100913494</v>
      </c>
      <c r="X252" s="5" t="str" cm="1">
        <f t="array" ref="X252">_xlfn.IFS($W252 &lt;= 30, "Low", $W252 &lt;=50, "Medium", $W252 &lt;= 70, "High", $W252 &gt; 70, "Critical")</f>
        <v>Critical</v>
      </c>
      <c r="Y252" s="9">
        <f t="shared" si="22"/>
        <v>0.24453807595660396</v>
      </c>
      <c r="Z252" s="22">
        <f t="shared" si="23"/>
        <v>37.042627745906366</v>
      </c>
    </row>
    <row r="253" spans="1:26">
      <c r="A253" s="24" t="str">
        <v>CUST-4642</v>
      </c>
      <c r="B253" s="24" t="str">
        <v>Deal Hunter</v>
      </c>
      <c r="C253" s="24" t="str">
        <v>Direct</v>
      </c>
      <c r="D253" s="24" t="str">
        <v>Southeast</v>
      </c>
      <c r="E253" s="24" t="str">
        <v>35-44</v>
      </c>
      <c r="F253" s="24" t="str">
        <v>Low</v>
      </c>
      <c r="G253" s="24">
        <v>8</v>
      </c>
      <c r="H253" s="24">
        <v>217</v>
      </c>
      <c r="I253" s="23">
        <v>506.22</v>
      </c>
      <c r="J253" s="24" cm="1">
        <f t="array" ref="J253">SUMPRODUCT(
    (Transactions_and_Customer_Information_Joined[Customer ID]='V1-Based Churn Model (Step 3)'!$A253) *
    (IFERROR(_xlfn.XLOOKUP(Transactions_and_Customer_Information_Joined[SKU], 'V1 Pricing Model (Step 2)'!$A$22:$A$71, 'V1 Pricing Model (Step 2)'!$AL$22:$AL$71), "Exclude")&lt;&gt;"Exclude") *
    Transactions_and_Customer_Information_Joined[Gross Revenue])</f>
        <v>93.88</v>
      </c>
      <c r="K253" s="24">
        <f>SUMIF(Transactions_and_Customer_Information_Joined[Customer ID], 'V1-Based Churn Model (Step 3)'!$A253, Transactions_and_Customer_Information_Joined[Gross Revenue])</f>
        <v>93.88</v>
      </c>
      <c r="L253" s="3">
        <f t="shared" si="18"/>
        <v>1</v>
      </c>
      <c r="M253" s="21">
        <v>0.10702390858761081</v>
      </c>
      <c r="N253" s="21" cm="1">
        <f t="array" ref="N253">SUMPRODUCT(
    (Transactions_and_Customer_Information_Joined[Customer ID]=$A253)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53" s="21" cm="1">
        <f t="array" ref="O253">IFERROR(
    SUMPRODUCT(
        (Transactions_and_Customer_Information_Joined[Customer ID]=$A253)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$J253,
0)</f>
        <v>0.10702390858761079</v>
      </c>
      <c r="P253" s="5" cm="1">
        <f t="array" ref="P253">_xlfn.IFS(B253="At-Risk Churner",$B$2,$B253="Dormant",$B$3,$B253="Deal Hunter",$B$4,$B253="New Customer",$B$5,$B253="Occasional Buyer",$B$6,$B253="Loyal High-Value",$B$7)</f>
        <v>45</v>
      </c>
      <c r="Q253" s="9" cm="1">
        <f t="array" ref="Q253">_xlfn.IFS($B253 = "At-Risk Churner", $B$8, $B253="Dormant",$B$9, $B253="Deal Hunter", $B$10, $B253="New Customer", $B$11, $B253="Occasional Buyer", $B$12, $B253 = "Loyal High-Value",$B$13)</f>
        <v>0.25</v>
      </c>
      <c r="R253" s="5">
        <v>-5</v>
      </c>
      <c r="S253" s="5">
        <v>-8</v>
      </c>
      <c r="T253" s="5">
        <v>8</v>
      </c>
      <c r="U253" s="5">
        <f t="shared" si="19"/>
        <v>15</v>
      </c>
      <c r="V253" s="5">
        <f t="shared" si="20"/>
        <v>4.2809563435044318</v>
      </c>
      <c r="W253" s="43">
        <f t="shared" si="21"/>
        <v>58.808456343504432</v>
      </c>
      <c r="X253" s="5" t="str" cm="1">
        <f t="array" ref="X253">_xlfn.IFS($W253 &lt;= 30, "Low", $W253 &lt;=50, "Medium", $W253 &lt;= 70, "High", $W253 &gt; 70, "Critical")</f>
        <v>High</v>
      </c>
      <c r="Y253" s="9">
        <f t="shared" si="22"/>
        <v>0.17674935666351624</v>
      </c>
      <c r="Z253" s="22">
        <f t="shared" si="23"/>
        <v>172.82324746416418</v>
      </c>
    </row>
    <row r="254" spans="1:26">
      <c r="A254" s="24" t="str">
        <v>CUST-4547</v>
      </c>
      <c r="B254" s="24" t="str">
        <v>At-Risk Churner</v>
      </c>
      <c r="C254" s="24" t="str">
        <v>Influencer</v>
      </c>
      <c r="D254" s="24" t="str">
        <v>UK</v>
      </c>
      <c r="E254" s="24" t="str">
        <v>25-34</v>
      </c>
      <c r="F254" s="24" t="str">
        <v>High</v>
      </c>
      <c r="G254" s="24">
        <v>2</v>
      </c>
      <c r="H254" s="24">
        <v>41</v>
      </c>
      <c r="I254" s="23">
        <v>150.85</v>
      </c>
      <c r="J254" s="24" cm="1">
        <f t="array" ref="J254">SUMPRODUCT(
    (Transactions_and_Customer_Information_Joined[Customer ID]='V1-Based Churn Model (Step 3)'!$A254)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254" s="24">
        <f>SUMIF(Transactions_and_Customer_Information_Joined[Customer ID], 'V1-Based Churn Model (Step 3)'!$A254, Transactions_and_Customer_Information_Joined[Gross Revenue])</f>
        <v>261.72000000000003</v>
      </c>
      <c r="L254" s="3">
        <f t="shared" si="18"/>
        <v>0</v>
      </c>
      <c r="M254" s="21">
        <v>0</v>
      </c>
      <c r="N254" s="21" cm="1">
        <f t="array" ref="N254">SUMPRODUCT(
    (Transactions_and_Customer_Information_Joined[Customer ID]=$A254)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254" s="21" cm="1">
        <f t="array" ref="O254">IFERROR(
    SUMPRODUCT(
        (Transactions_and_Customer_Information_Joined[Customer ID]=$A254)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$J254,
0)</f>
        <v>0</v>
      </c>
      <c r="P254" s="5" cm="1">
        <f t="array" ref="P254">_xlfn.IFS(B254="At-Risk Churner",$B$2,$B254="Dormant",$B$3,$B254="Deal Hunter",$B$4,$B254="New Customer",$B$5,$B254="Occasional Buyer",$B$6,$B254="Loyal High-Value",$B$7)</f>
        <v>70</v>
      </c>
      <c r="Q254" s="9" cm="1">
        <f t="array" ref="Q254">_xlfn.IFS($B254 = "At-Risk Churner", $B$8, $B254="Dormant",$B$9, $B254="Deal Hunter", $B$10, $B254="New Customer", $B$11, $B254="Occasional Buyer", $B$12, $B254 = "Loyal High-Value",$B$13)</f>
        <v>0.45</v>
      </c>
      <c r="R254" s="5">
        <v>15</v>
      </c>
      <c r="S254" s="5">
        <v>10</v>
      </c>
      <c r="T254" s="5">
        <v>-5</v>
      </c>
      <c r="U254" s="5">
        <f t="shared" si="19"/>
        <v>0</v>
      </c>
      <c r="V254" s="5">
        <f t="shared" si="20"/>
        <v>0</v>
      </c>
      <c r="W254" s="43">
        <f t="shared" si="21"/>
        <v>90.7</v>
      </c>
      <c r="X254" s="5" t="str" cm="1">
        <f t="array" ref="X254">_xlfn.IFS($W254 &lt;= 30, "Low", $W254 &lt;=50, "Medium", $W254 &lt;= 70, "High", $W254 &gt; 70, "Critical")</f>
        <v>Critical</v>
      </c>
      <c r="Y254" s="9">
        <f t="shared" si="22"/>
        <v>0.44244420836093379</v>
      </c>
      <c r="Z254" s="22">
        <f t="shared" si="23"/>
        <v>66.742708831246858</v>
      </c>
    </row>
    <row r="255" spans="1:26">
      <c r="A255" s="24" t="str">
        <v>CUST-3758</v>
      </c>
      <c r="B255" s="24" t="str">
        <v>Dormant</v>
      </c>
      <c r="C255" s="24" t="str">
        <v>Organic Search</v>
      </c>
      <c r="D255" s="24" t="str">
        <v>Midwest</v>
      </c>
      <c r="E255" s="24" t="str">
        <v>35-44</v>
      </c>
      <c r="F255" s="24" t="str">
        <v>High</v>
      </c>
      <c r="G255" s="24">
        <v>2</v>
      </c>
      <c r="H255" s="24">
        <v>46</v>
      </c>
      <c r="I255" s="23">
        <v>157.76</v>
      </c>
      <c r="J255" s="24" cm="1">
        <f t="array" ref="J255">SUMPRODUCT(
    (Transactions_and_Customer_Information_Joined[Customer ID]='V1-Based Churn Model (Step 3)'!$A255) *
    (IFERROR(_xlfn.XLOOKUP(Transactions_and_Customer_Information_Joined[SKU], 'V1 Pricing Model (Step 2)'!$A$22:$A$71, 'V1 Pricing Model (Step 2)'!$AL$22:$AL$71), "Exclude")&lt;&gt;"Exclude") *
    Transactions_and_Customer_Information_Joined[Gross Revenue])</f>
        <v>76.53</v>
      </c>
      <c r="K255" s="24">
        <f>SUMIF(Transactions_and_Customer_Information_Joined[Customer ID], 'V1-Based Churn Model (Step 3)'!$A255, Transactions_and_Customer_Information_Joined[Gross Revenue])</f>
        <v>76.53</v>
      </c>
      <c r="L255" s="3">
        <f t="shared" si="18"/>
        <v>1</v>
      </c>
      <c r="M255" s="21">
        <v>5.3264377873214752E-2</v>
      </c>
      <c r="N255" s="21" cm="1">
        <f t="array" ref="N255">SUMPRODUCT(
    (Transactions_and_Customer_Information_Joined[Customer ID]=$A255)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55" s="21" cm="1">
        <f t="array" ref="O255">IFERROR(
    SUMPRODUCT(
        (Transactions_and_Customer_Information_Joined[Customer ID]=$A255)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$J255,
0)</f>
        <v>5.3264377873214752E-2</v>
      </c>
      <c r="P255" s="5" cm="1">
        <f t="array" ref="P255">_xlfn.IFS(B255="At-Risk Churner",$B$2,$B255="Dormant",$B$3,$B255="Deal Hunter",$B$4,$B255="New Customer",$B$5,$B255="Occasional Buyer",$B$6,$B255="Loyal High-Value",$B$7)</f>
        <v>65</v>
      </c>
      <c r="Q255" s="9" cm="1">
        <f t="array" ref="Q255">_xlfn.IFS($B255 = "At-Risk Churner", $B$8, $B255="Dormant",$B$9, $B255="Deal Hunter", $B$10, $B255="New Customer", $B$11, $B255="Occasional Buyer", $B$12, $B255 = "Loyal High-Value",$B$13)</f>
        <v>0.6</v>
      </c>
      <c r="R255" s="5">
        <v>15</v>
      </c>
      <c r="S255" s="5">
        <v>10</v>
      </c>
      <c r="T255" s="5">
        <v>-5</v>
      </c>
      <c r="U255" s="5">
        <f t="shared" si="19"/>
        <v>15</v>
      </c>
      <c r="V255" s="5">
        <f t="shared" si="20"/>
        <v>2.1305751149285901</v>
      </c>
      <c r="W255" s="43">
        <f t="shared" si="21"/>
        <v>100</v>
      </c>
      <c r="X255" s="5" t="str" cm="1">
        <f t="array" ref="X255">_xlfn.IFS($W255 &lt;= 30, "Low", $W255 &lt;=50, "Medium", $W255 &lt;= 70, "High", $W255 &gt; 70, "Critical")</f>
        <v>Critical</v>
      </c>
      <c r="Y255" s="9">
        <f t="shared" si="22"/>
        <v>0.59598428944542914</v>
      </c>
      <c r="Z255" s="22">
        <f t="shared" si="23"/>
        <v>94.022481502910892</v>
      </c>
    </row>
    <row r="256" spans="1:26">
      <c r="A256" s="24" t="str">
        <v>CUST-1919</v>
      </c>
      <c r="B256" s="24" t="str">
        <v>Loyal High-Value</v>
      </c>
      <c r="C256" s="24" t="str">
        <v>Referral</v>
      </c>
      <c r="D256" s="24" t="str">
        <v>Midwest</v>
      </c>
      <c r="E256" s="24" t="str">
        <v>45-54</v>
      </c>
      <c r="F256" s="24" t="str">
        <v>Medium</v>
      </c>
      <c r="G256" s="24">
        <v>8</v>
      </c>
      <c r="H256" s="24">
        <v>268</v>
      </c>
      <c r="I256" s="23">
        <v>2931.55</v>
      </c>
      <c r="J256" s="24" cm="1">
        <f t="array" ref="J256">SUMPRODUCT(
    (Transactions_and_Customer_Information_Joined[Customer ID]='V1-Based Churn Model (Step 3)'!$A256) *
    (IFERROR(_xlfn.XLOOKUP(Transactions_and_Customer_Information_Joined[SKU], 'V1 Pricing Model (Step 2)'!$A$22:$A$71, 'V1 Pricing Model (Step 2)'!$AL$22:$AL$71), "Exclude")&lt;&gt;"Exclude") *
    Transactions_and_Customer_Information_Joined[Gross Revenue])</f>
        <v>641.4</v>
      </c>
      <c r="K256" s="24">
        <f>SUMIF(Transactions_and_Customer_Information_Joined[Customer ID], 'V1-Based Churn Model (Step 3)'!$A256, Transactions_and_Customer_Information_Joined[Gross Revenue])</f>
        <v>641.4</v>
      </c>
      <c r="L256" s="3">
        <f t="shared" si="18"/>
        <v>1</v>
      </c>
      <c r="M256" s="21">
        <v>0.13680891237597953</v>
      </c>
      <c r="N256" s="21" cm="1">
        <f t="array" ref="N256">SUMPRODUCT(
    (Transactions_and_Customer_Information_Joined[Customer ID]=$A256)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56" s="21" cm="1">
        <f t="array" ref="O256">IFERROR(
    SUMPRODUCT(
        (Transactions_and_Customer_Information_Joined[Customer ID]=$A256)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$J256,
0)</f>
        <v>0.13680891237597953</v>
      </c>
      <c r="P256" s="5" cm="1">
        <f t="array" ref="P256">_xlfn.IFS(B256="At-Risk Churner",$B$2,$B256="Dormant",$B$3,$B256="Deal Hunter",$B$4,$B256="New Customer",$B$5,$B256="Occasional Buyer",$B$6,$B256="Loyal High-Value",$B$7)</f>
        <v>15</v>
      </c>
      <c r="Q256" s="9" cm="1">
        <f t="array" ref="Q256">_xlfn.IFS($B256 = "At-Risk Churner", $B$8, $B256="Dormant",$B$9, $B256="Deal Hunter", $B$10, $B256="New Customer", $B$11, $B256="Occasional Buyer", $B$12, $B256 = "Loyal High-Value",$B$13)</f>
        <v>0.05</v>
      </c>
      <c r="R256" s="5">
        <v>5</v>
      </c>
      <c r="S256" s="5">
        <v>-8</v>
      </c>
      <c r="T256" s="5">
        <v>8</v>
      </c>
      <c r="U256" s="5">
        <f t="shared" si="19"/>
        <v>15</v>
      </c>
      <c r="V256" s="5">
        <f t="shared" si="20"/>
        <v>5.4723564950391808</v>
      </c>
      <c r="W256" s="43">
        <f t="shared" si="21"/>
        <v>40.464856495039179</v>
      </c>
      <c r="X256" s="5" t="str" cm="1">
        <f t="array" ref="X256">_xlfn.IFS($W256 &lt;= 30, "Low", $W256 &lt;=50, "Medium", $W256 &lt;= 70, "High", $W256 &gt; 70, "Critical")</f>
        <v>Medium</v>
      </c>
      <c r="Y256" s="9">
        <f t="shared" si="22"/>
        <v>1.390893036064225E-2</v>
      </c>
      <c r="Z256" s="22">
        <f t="shared" si="23"/>
        <v>618.92977983899266</v>
      </c>
    </row>
    <row r="257" spans="1:26">
      <c r="A257" s="24" t="str">
        <v>CUST-4114</v>
      </c>
      <c r="B257" s="24" t="str">
        <v>Deal Hunter</v>
      </c>
      <c r="C257" s="24" t="str">
        <v>Direct</v>
      </c>
      <c r="D257" s="24" t="str">
        <v>Canada</v>
      </c>
      <c r="E257" s="24" t="str">
        <v>45-54</v>
      </c>
      <c r="F257" s="24" t="str">
        <v>Medium</v>
      </c>
      <c r="G257" s="24">
        <v>3</v>
      </c>
      <c r="H257" s="24">
        <v>263</v>
      </c>
      <c r="I257" s="23">
        <v>347.42</v>
      </c>
      <c r="J257" s="24" cm="1">
        <f t="array" ref="J257">SUMPRODUCT(
    (Transactions_and_Customer_Information_Joined[Customer ID]='V1-Based Churn Model (Step 3)'!$A257) *
    (IFERROR(_xlfn.XLOOKUP(Transactions_and_Customer_Information_Joined[SKU], 'V1 Pricing Model (Step 2)'!$A$22:$A$71, 'V1 Pricing Model (Step 2)'!$AL$22:$AL$71), "Exclude")&lt;&gt;"Exclude") *
    Transactions_and_Customer_Information_Joined[Gross Revenue])</f>
        <v>1087.92</v>
      </c>
      <c r="K257" s="24">
        <f>SUMIF(Transactions_and_Customer_Information_Joined[Customer ID], 'V1-Based Churn Model (Step 3)'!$A257, Transactions_and_Customer_Information_Joined[Gross Revenue])</f>
        <v>1163.6100000000001</v>
      </c>
      <c r="L257" s="3">
        <f t="shared" si="18"/>
        <v>0.9349524325160492</v>
      </c>
      <c r="M257" s="21">
        <v>0.16615780750618397</v>
      </c>
      <c r="N257" s="21" cm="1">
        <f t="array" ref="N257">SUMPRODUCT(
    (Transactions_and_Customer_Information_Joined[Customer ID]=$A257)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57" s="21" cm="1">
        <f t="array" ref="O257">IFERROR(
    SUMPRODUCT(
        (Transactions_and_Customer_Information_Joined[Customer ID]=$A257)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$J257,
0)</f>
        <v>0.141812975005881</v>
      </c>
      <c r="P257" s="5" cm="1">
        <f t="array" ref="P257">_xlfn.IFS(B257="At-Risk Churner",$B$2,$B257="Dormant",$B$3,$B257="Deal Hunter",$B$4,$B257="New Customer",$B$5,$B257="Occasional Buyer",$B$6,$B257="Loyal High-Value",$B$7)</f>
        <v>45</v>
      </c>
      <c r="Q257" s="9" cm="1">
        <f t="array" ref="Q257">_xlfn.IFS($B257 = "At-Risk Churner", $B$8, $B257="Dormant",$B$9, $B257="Deal Hunter", $B$10, $B257="New Customer", $B$11, $B257="Occasional Buyer", $B$12, $B257 = "Loyal High-Value",$B$13)</f>
        <v>0.25</v>
      </c>
      <c r="R257" s="5">
        <v>5</v>
      </c>
      <c r="S257" s="5">
        <v>10</v>
      </c>
      <c r="T257" s="5">
        <v>8</v>
      </c>
      <c r="U257" s="5">
        <f t="shared" si="19"/>
        <v>15</v>
      </c>
      <c r="V257" s="5">
        <f t="shared" si="20"/>
        <v>6.1594156502413</v>
      </c>
      <c r="W257" s="43">
        <f t="shared" si="21"/>
        <v>89.7219156502413</v>
      </c>
      <c r="X257" s="5" t="str" cm="1">
        <f t="array" ref="X257">_xlfn.IFS($W257 &lt;= 30, "Low", $W257 &lt;=50, "Medium", $W257 &lt;= 70, "High", $W257 &gt; 70, "Critical")</f>
        <v>Critical</v>
      </c>
      <c r="Y257" s="9">
        <f t="shared" si="22"/>
        <v>0.24537899429817281</v>
      </c>
      <c r="Z257" s="22">
        <f t="shared" si="23"/>
        <v>85.249570199071201</v>
      </c>
    </row>
    <row r="258" spans="1:26">
      <c r="A258" s="24" t="str">
        <v>CUST-3316</v>
      </c>
      <c r="B258" s="24" t="str">
        <v>Dormant</v>
      </c>
      <c r="C258" s="24" t="str">
        <v>Email Campaign</v>
      </c>
      <c r="D258" s="24" t="str">
        <v>Southwest</v>
      </c>
      <c r="E258" s="24" t="str">
        <v>18-24</v>
      </c>
      <c r="F258" s="24" t="str">
        <v>High</v>
      </c>
      <c r="G258" s="24">
        <v>7</v>
      </c>
      <c r="H258" s="24">
        <v>118</v>
      </c>
      <c r="I258" s="23">
        <v>71</v>
      </c>
      <c r="J258" s="24" cm="1">
        <f t="array" ref="J258">SUMPRODUCT(
    (Transactions_and_Customer_Information_Joined[Customer ID]='V1-Based Churn Model (Step 3)'!$A258) *
    (IFERROR(_xlfn.XLOOKUP(Transactions_and_Customer_Information_Joined[SKU], 'V1 Pricing Model (Step 2)'!$A$22:$A$71, 'V1 Pricing Model (Step 2)'!$AL$22:$AL$71), "Exclude")&lt;&gt;"Exclude") *
    Transactions_and_Customer_Information_Joined[Gross Revenue])</f>
        <v>486.57000000000005</v>
      </c>
      <c r="K258" s="24">
        <f>SUMIF(Transactions_and_Customer_Information_Joined[Customer ID], 'V1-Based Churn Model (Step 3)'!$A258, Transactions_and_Customer_Information_Joined[Gross Revenue])</f>
        <v>486.57000000000005</v>
      </c>
      <c r="L258" s="3">
        <f t="shared" si="18"/>
        <v>1</v>
      </c>
      <c r="M258" s="21">
        <v>0.22457947495613381</v>
      </c>
      <c r="N258" s="21" cm="1">
        <f t="array" ref="N258">SUMPRODUCT(
    (Transactions_and_Customer_Information_Joined[Customer ID]=$A258)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58" s="21" cm="1">
        <f t="array" ref="O258">IFERROR(
    SUMPRODUCT(
        (Transactions_and_Customer_Information_Joined[Customer ID]=$A258)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$J258,
0)</f>
        <v>0.21104969573838614</v>
      </c>
      <c r="P258" s="5" cm="1">
        <f t="array" ref="P258">_xlfn.IFS(B258="At-Risk Churner",$B$2,$B258="Dormant",$B$3,$B258="Deal Hunter",$B$4,$B258="New Customer",$B$5,$B258="Occasional Buyer",$B$6,$B258="Loyal High-Value",$B$7)</f>
        <v>65</v>
      </c>
      <c r="Q258" s="9" cm="1">
        <f t="array" ref="Q258">_xlfn.IFS($B258 = "At-Risk Churner", $B$8, $B258="Dormant",$B$9, $B258="Deal Hunter", $B$10, $B258="New Customer", $B$11, $B258="Occasional Buyer", $B$12, $B258 = "Loyal High-Value",$B$13)</f>
        <v>0.6</v>
      </c>
      <c r="R258" s="5">
        <v>15</v>
      </c>
      <c r="S258" s="5">
        <v>-8</v>
      </c>
      <c r="T258" s="5">
        <v>0</v>
      </c>
      <c r="U258" s="5">
        <f t="shared" si="19"/>
        <v>15</v>
      </c>
      <c r="V258" s="5">
        <f t="shared" si="20"/>
        <v>8.7125834138903997</v>
      </c>
      <c r="W258" s="43">
        <f t="shared" si="21"/>
        <v>95.530083413890409</v>
      </c>
      <c r="X258" s="5" t="str" cm="1">
        <f t="array" ref="X258">_xlfn.IFS($W258 &lt;= 30, "Low", $W258 &lt;=50, "Medium", $W258 &lt;= 70, "High", $W258 &gt; 70, "Critical")</f>
        <v>Critical</v>
      </c>
      <c r="Y258" s="9">
        <f t="shared" si="22"/>
        <v>0.59374462582250442</v>
      </c>
      <c r="Z258" s="22">
        <f t="shared" si="23"/>
        <v>42.155868433397814</v>
      </c>
    </row>
    <row r="259" spans="1:26">
      <c r="A259" s="24" t="str">
        <v>CUST-3948</v>
      </c>
      <c r="B259" s="24" t="str">
        <v>Occasional Buyer</v>
      </c>
      <c r="C259" s="24" t="str">
        <v>Email Campaign</v>
      </c>
      <c r="D259" s="24" t="str">
        <v>Midwest</v>
      </c>
      <c r="E259" s="24" t="str">
        <v>18-24</v>
      </c>
      <c r="F259" s="24" t="str">
        <v>Medium</v>
      </c>
      <c r="G259" s="24">
        <v>1</v>
      </c>
      <c r="H259" s="24">
        <v>97</v>
      </c>
      <c r="I259" s="23">
        <v>430.5</v>
      </c>
      <c r="J259" s="24" cm="1">
        <f t="array" ref="J259">SUMPRODUCT(
    (Transactions_and_Customer_Information_Joined[Customer ID]='V1-Based Churn Model (Step 3)'!$A259) *
    (IFERROR(_xlfn.XLOOKUP(Transactions_and_Customer_Information_Joined[SKU], 'V1 Pricing Model (Step 2)'!$A$22:$A$71, 'V1 Pricing Model (Step 2)'!$AL$22:$AL$71), "Exclude")&lt;&gt;"Exclude") *
    Transactions_and_Customer_Information_Joined[Gross Revenue])</f>
        <v>354.21</v>
      </c>
      <c r="K259" s="24">
        <f>SUMIF(Transactions_and_Customer_Information_Joined[Customer ID], 'V1-Based Churn Model (Step 3)'!$A259, Transactions_and_Customer_Information_Joined[Gross Revenue])</f>
        <v>354.21</v>
      </c>
      <c r="L259" s="3">
        <f t="shared" si="18"/>
        <v>1</v>
      </c>
      <c r="M259" s="21">
        <v>3.7264027854690532E-2</v>
      </c>
      <c r="N259" s="21" cm="1">
        <f t="array" ref="N259">SUMPRODUCT(
    (Transactions_and_Customer_Information_Joined[Customer ID]=$A259)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59" s="21" cm="1">
        <f t="array" ref="O259">IFERROR(
    SUMPRODUCT(
        (Transactions_and_Customer_Information_Joined[Customer ID]=$A259)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$J259,
0)</f>
        <v>3.7264027854690532E-2</v>
      </c>
      <c r="P259" s="5" cm="1">
        <f t="array" ref="P259">_xlfn.IFS(B259="At-Risk Churner",$B$2,$B259="Dormant",$B$3,$B259="Deal Hunter",$B$4,$B259="New Customer",$B$5,$B259="Occasional Buyer",$B$6,$B259="Loyal High-Value",$B$7)</f>
        <v>25</v>
      </c>
      <c r="Q259" s="9" cm="1">
        <f t="array" ref="Q259">_xlfn.IFS($B259 = "At-Risk Churner", $B$8, $B259="Dormant",$B$9, $B259="Deal Hunter", $B$10, $B259="New Customer", $B$11, $B259="Occasional Buyer", $B$12, $B259 = "Loyal High-Value",$B$13)</f>
        <v>0.18</v>
      </c>
      <c r="R259" s="5">
        <v>5</v>
      </c>
      <c r="S259" s="5">
        <v>10</v>
      </c>
      <c r="T259" s="5">
        <v>0</v>
      </c>
      <c r="U259" s="5">
        <f t="shared" si="19"/>
        <v>15</v>
      </c>
      <c r="V259" s="5">
        <f t="shared" si="20"/>
        <v>1.4905611141876212</v>
      </c>
      <c r="W259" s="43">
        <f t="shared" si="21"/>
        <v>56.853061114187618</v>
      </c>
      <c r="X259" s="5" t="str" cm="1">
        <f t="array" ref="X259">_xlfn.IFS($W259 &lt;= 30, "Low", $W259 &lt;=50, "Medium", $W259 &lt;= 70, "High", $W259 &gt; 70, "Critical")</f>
        <v>High</v>
      </c>
      <c r="Y259" s="9">
        <f t="shared" si="22"/>
        <v>0.11968594842672046</v>
      </c>
      <c r="Z259" s="22">
        <f t="shared" si="23"/>
        <v>127.31984063816253</v>
      </c>
    </row>
    <row r="260" spans="1:26">
      <c r="A260" s="24" t="str">
        <v>CUST-3459</v>
      </c>
      <c r="B260" s="24" t="str">
        <v>Loyal High-Value</v>
      </c>
      <c r="C260" s="24" t="str">
        <v>Direct</v>
      </c>
      <c r="D260" s="24" t="str">
        <v>Southeast</v>
      </c>
      <c r="E260" s="24" t="str">
        <v>45-54</v>
      </c>
      <c r="F260" s="24" t="str">
        <v>High</v>
      </c>
      <c r="G260" s="24">
        <v>2</v>
      </c>
      <c r="H260" s="24">
        <v>88</v>
      </c>
      <c r="I260" s="23">
        <v>987.43</v>
      </c>
      <c r="J260" s="24" cm="1">
        <f t="array" ref="J260">SUMPRODUCT(
    (Transactions_and_Customer_Information_Joined[Customer ID]='V1-Based Churn Model (Step 3)'!$A260)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260" s="24">
        <f>SUMIF(Transactions_and_Customer_Information_Joined[Customer ID], 'V1-Based Churn Model (Step 3)'!$A260, Transactions_and_Customer_Information_Joined[Gross Revenue])</f>
        <v>497.04</v>
      </c>
      <c r="L260" s="3">
        <f t="shared" si="18"/>
        <v>0</v>
      </c>
      <c r="M260" s="21">
        <v>0</v>
      </c>
      <c r="N260" s="21" cm="1">
        <f t="array" ref="N260">SUMPRODUCT(
    (Transactions_and_Customer_Information_Joined[Customer ID]=$A260)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260" s="21" cm="1">
        <f t="array" ref="O260">IFERROR(
    SUMPRODUCT(
        (Transactions_and_Customer_Information_Joined[Customer ID]=$A260)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$J260,
0)</f>
        <v>0</v>
      </c>
      <c r="P260" s="5" cm="1">
        <f t="array" ref="P260">_xlfn.IFS(B260="At-Risk Churner",$B$2,$B260="Dormant",$B$3,$B260="Deal Hunter",$B$4,$B260="New Customer",$B$5,$B260="Occasional Buyer",$B$6,$B260="Loyal High-Value",$B$7)</f>
        <v>15</v>
      </c>
      <c r="Q260" s="9" cm="1">
        <f t="array" ref="Q260">_xlfn.IFS($B260 = "At-Risk Churner", $B$8, $B260="Dormant",$B$9, $B260="Deal Hunter", $B$10, $B260="New Customer", $B$11, $B260="Occasional Buyer", $B$12, $B260 = "Loyal High-Value",$B$13)</f>
        <v>0.05</v>
      </c>
      <c r="R260" s="5">
        <v>15</v>
      </c>
      <c r="S260" s="5">
        <v>10</v>
      </c>
      <c r="T260" s="5">
        <v>0</v>
      </c>
      <c r="U260" s="5">
        <f t="shared" si="19"/>
        <v>0</v>
      </c>
      <c r="V260" s="5">
        <f t="shared" si="20"/>
        <v>0</v>
      </c>
      <c r="W260" s="43">
        <f t="shared" si="21"/>
        <v>40.15</v>
      </c>
      <c r="X260" s="5" t="str" cm="1">
        <f t="array" ref="X260">_xlfn.IFS($W260 &lt;= 30, "Low", $W260 &lt;=50, "Medium", $W260 &lt;= 70, "High", $W260 &gt; 70, "Critical")</f>
        <v>Medium</v>
      </c>
      <c r="Y260" s="9">
        <f t="shared" si="22"/>
        <v>1.3595040086687535E-2</v>
      </c>
      <c r="Z260" s="22">
        <f t="shared" si="23"/>
        <v>208.22532034623828</v>
      </c>
    </row>
    <row r="261" spans="1:26">
      <c r="A261" s="24" t="str">
        <v>CUST-3417</v>
      </c>
      <c r="B261" s="24" t="str">
        <v>Occasional Buyer</v>
      </c>
      <c r="C261" s="24" t="str">
        <v>Email Campaign</v>
      </c>
      <c r="D261" s="24" t="str">
        <v>Northeast</v>
      </c>
      <c r="E261" s="24" t="str">
        <v>35-44</v>
      </c>
      <c r="F261" s="24" t="str">
        <v>Low</v>
      </c>
      <c r="G261" s="24">
        <v>7</v>
      </c>
      <c r="H261" s="24">
        <v>57</v>
      </c>
      <c r="I261" s="23">
        <v>226.39</v>
      </c>
      <c r="J261" s="24" cm="1">
        <f t="array" ref="J261">SUMPRODUCT(
    (Transactions_and_Customer_Information_Joined[Customer ID]='V1-Based Churn Model (Step 3)'!$A261) *
    (IFERROR(_xlfn.XLOOKUP(Transactions_and_Customer_Information_Joined[SKU], 'V1 Pricing Model (Step 2)'!$A$22:$A$71, 'V1 Pricing Model (Step 2)'!$AL$22:$AL$71), "Exclude")&lt;&gt;"Exclude") *
    Transactions_and_Customer_Information_Joined[Gross Revenue])</f>
        <v>174.23</v>
      </c>
      <c r="K261" s="24">
        <f>SUMIF(Transactions_and_Customer_Information_Joined[Customer ID], 'V1-Based Churn Model (Step 3)'!$A261, Transactions_and_Customer_Information_Joined[Gross Revenue])</f>
        <v>174.23</v>
      </c>
      <c r="L261" s="3">
        <f t="shared" si="18"/>
        <v>1</v>
      </c>
      <c r="M261" s="21">
        <v>5.8348079685156623E-2</v>
      </c>
      <c r="N261" s="21" cm="1">
        <f t="array" ref="N261">SUMPRODUCT(
    (Transactions_and_Customer_Information_Joined[Customer ID]=$A261)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61" s="21" cm="1">
        <f t="array" ref="O261">IFERROR(
    SUMPRODUCT(
        (Transactions_and_Customer_Information_Joined[Customer ID]=$A261)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$J261,
0)</f>
        <v>5.8348079685156623E-2</v>
      </c>
      <c r="P261" s="5" cm="1">
        <f t="array" ref="P261">_xlfn.IFS(B261="At-Risk Churner",$B$2,$B261="Dormant",$B$3,$B261="Deal Hunter",$B$4,$B261="New Customer",$B$5,$B261="Occasional Buyer",$B$6,$B261="Loyal High-Value",$B$7)</f>
        <v>25</v>
      </c>
      <c r="Q261" s="9" cm="1">
        <f t="array" ref="Q261">_xlfn.IFS($B261 = "At-Risk Churner", $B$8, $B261="Dormant",$B$9, $B261="Deal Hunter", $B$10, $B261="New Customer", $B$11, $B261="Occasional Buyer", $B$12, $B261 = "Loyal High-Value",$B$13)</f>
        <v>0.18</v>
      </c>
      <c r="R261" s="5">
        <v>-5</v>
      </c>
      <c r="S261" s="5">
        <v>-8</v>
      </c>
      <c r="T261" s="5">
        <v>-5</v>
      </c>
      <c r="U261" s="5">
        <f t="shared" si="19"/>
        <v>15</v>
      </c>
      <c r="V261" s="5">
        <f t="shared" si="20"/>
        <v>2.3339231874062651</v>
      </c>
      <c r="W261" s="43">
        <f t="shared" si="21"/>
        <v>24.021423187406263</v>
      </c>
      <c r="X261" s="5" t="str" cm="1">
        <f t="array" ref="X261">_xlfn.IFS($W261 &lt;= 30, "Low", $W261 &lt;=50, "Medium", $W261 &lt;= 70, "High", $W261 &gt; 70, "Critical")</f>
        <v>Low</v>
      </c>
      <c r="Y261" s="9">
        <f t="shared" si="22"/>
        <v>1.246975625951669E-2</v>
      </c>
      <c r="Z261" s="22">
        <f t="shared" si="23"/>
        <v>2.8230281195919833</v>
      </c>
    </row>
    <row r="262" spans="1:26">
      <c r="A262" s="24" t="str">
        <v>CUST-2633</v>
      </c>
      <c r="B262" s="24" t="str">
        <v>Dormant</v>
      </c>
      <c r="C262" s="24" t="str">
        <v>Direct</v>
      </c>
      <c r="D262" s="24" t="str">
        <v>Midwest</v>
      </c>
      <c r="E262" s="24" t="str">
        <v>18-24</v>
      </c>
      <c r="F262" s="24" t="str">
        <v>Medium</v>
      </c>
      <c r="G262" s="24">
        <v>3</v>
      </c>
      <c r="H262" s="24">
        <v>327</v>
      </c>
      <c r="I262" s="23">
        <v>50.22</v>
      </c>
      <c r="J262" s="24" cm="1">
        <f t="array" ref="J262">SUMPRODUCT(
    (Transactions_and_Customer_Information_Joined[Customer ID]='V1-Based Churn Model (Step 3)'!$A262) *
    (IFERROR(_xlfn.XLOOKUP(Transactions_and_Customer_Information_Joined[SKU], 'V1 Pricing Model (Step 2)'!$A$22:$A$71, 'V1 Pricing Model (Step 2)'!$AL$22:$AL$71), "Exclude")&lt;&gt;"Exclude") *
    Transactions_and_Customer_Information_Joined[Gross Revenue])</f>
        <v>318.18</v>
      </c>
      <c r="K262" s="24">
        <f>SUMIF(Transactions_and_Customer_Information_Joined[Customer ID], 'V1-Based Churn Model (Step 3)'!$A262, Transactions_and_Customer_Information_Joined[Gross Revenue])</f>
        <v>318.18</v>
      </c>
      <c r="L262" s="3">
        <f t="shared" si="18"/>
        <v>1</v>
      </c>
      <c r="M262" s="21">
        <v>0.18762795201583557</v>
      </c>
      <c r="N262" s="21" cm="1">
        <f t="array" ref="N262">SUMPRODUCT(
    (Transactions_and_Customer_Information_Joined[Customer ID]=$A262)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62" s="21" cm="1">
        <f t="array" ref="O262">IFERROR(
    SUMPRODUCT(
        (Transactions_and_Customer_Information_Joined[Customer ID]=$A262)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$J262,
0)</f>
        <v>0.18762795201583557</v>
      </c>
      <c r="P262" s="5" cm="1">
        <f t="array" ref="P262">_xlfn.IFS(B262="At-Risk Churner",$B$2,$B262="Dormant",$B$3,$B262="Deal Hunter",$B$4,$B262="New Customer",$B$5,$B262="Occasional Buyer",$B$6,$B262="Loyal High-Value",$B$7)</f>
        <v>65</v>
      </c>
      <c r="Q262" s="9" cm="1">
        <f t="array" ref="Q262">_xlfn.IFS($B262 = "At-Risk Churner", $B$8, $B262="Dormant",$B$9, $B262="Deal Hunter", $B$10, $B262="New Customer", $B$11, $B262="Occasional Buyer", $B$12, $B262 = "Loyal High-Value",$B$13)</f>
        <v>0.6</v>
      </c>
      <c r="R262" s="5">
        <v>5</v>
      </c>
      <c r="S262" s="5">
        <v>10</v>
      </c>
      <c r="T262" s="5">
        <v>15</v>
      </c>
      <c r="U262" s="5">
        <f t="shared" si="19"/>
        <v>15</v>
      </c>
      <c r="V262" s="5">
        <f t="shared" si="20"/>
        <v>7.505118080633423</v>
      </c>
      <c r="W262" s="43">
        <f t="shared" si="21"/>
        <v>100</v>
      </c>
      <c r="X262" s="5" t="str" cm="1">
        <f t="array" ref="X262">_xlfn.IFS($W262 &lt;= 30, "Low", $W262 &lt;=50, "Medium", $W262 &lt;= 70, "High", $W262 &gt; 70, "Critical")</f>
        <v>Critical</v>
      </c>
      <c r="Y262" s="9">
        <f t="shared" si="22"/>
        <v>0.59598428944542914</v>
      </c>
      <c r="Z262" s="22">
        <f t="shared" si="23"/>
        <v>29.930331015949452</v>
      </c>
    </row>
    <row r="263" spans="1:26">
      <c r="A263" s="24" t="str">
        <v>CUST-2114</v>
      </c>
      <c r="B263" s="24" t="str">
        <v>Occasional Buyer</v>
      </c>
      <c r="C263" s="24" t="str">
        <v>Organic Search</v>
      </c>
      <c r="D263" s="24" t="str">
        <v>Northeast</v>
      </c>
      <c r="E263" s="24" t="str">
        <v>25-34</v>
      </c>
      <c r="F263" s="24" t="str">
        <v>High</v>
      </c>
      <c r="G263" s="24">
        <v>7</v>
      </c>
      <c r="H263" s="24">
        <v>24</v>
      </c>
      <c r="I263" s="23">
        <v>314.85000000000002</v>
      </c>
      <c r="J263" s="24" cm="1">
        <f t="array" ref="J263">SUMPRODUCT(
    (Transactions_and_Customer_Information_Joined[Customer ID]='V1-Based Churn Model (Step 3)'!$A263)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263" s="24">
        <f>SUMIF(Transactions_and_Customer_Information_Joined[Customer ID], 'V1-Based Churn Model (Step 3)'!$A263, Transactions_and_Customer_Information_Joined[Gross Revenue])</f>
        <v>497.04</v>
      </c>
      <c r="L263" s="3">
        <f t="shared" si="18"/>
        <v>0</v>
      </c>
      <c r="M263" s="21">
        <v>0</v>
      </c>
      <c r="N263" s="21" cm="1">
        <f t="array" ref="N263">SUMPRODUCT(
    (Transactions_and_Customer_Information_Joined[Customer ID]=$A263)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263" s="21" cm="1">
        <f t="array" ref="O263">IFERROR(
    SUMPRODUCT(
        (Transactions_and_Customer_Information_Joined[Customer ID]=$A263)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$J263,
0)</f>
        <v>0</v>
      </c>
      <c r="P263" s="5" cm="1">
        <f t="array" ref="P263">_xlfn.IFS(B263="At-Risk Churner",$B$2,$B263="Dormant",$B$3,$B263="Deal Hunter",$B$4,$B263="New Customer",$B$5,$B263="Occasional Buyer",$B$6,$B263="Loyal High-Value",$B$7)</f>
        <v>25</v>
      </c>
      <c r="Q263" s="9" cm="1">
        <f t="array" ref="Q263">_xlfn.IFS($B263 = "At-Risk Churner", $B$8, $B263="Dormant",$B$9, $B263="Deal Hunter", $B$10, $B263="New Customer", $B$11, $B263="Occasional Buyer", $B$12, $B263 = "Loyal High-Value",$B$13)</f>
        <v>0.18</v>
      </c>
      <c r="R263" s="5">
        <v>15</v>
      </c>
      <c r="S263" s="5">
        <v>-8</v>
      </c>
      <c r="T263" s="5">
        <v>-5</v>
      </c>
      <c r="U263" s="5">
        <f t="shared" si="19"/>
        <v>0</v>
      </c>
      <c r="V263" s="5">
        <f t="shared" si="20"/>
        <v>0</v>
      </c>
      <c r="W263" s="43">
        <f t="shared" si="21"/>
        <v>26.8</v>
      </c>
      <c r="X263" s="5" t="str" cm="1">
        <f t="array" ref="X263">_xlfn.IFS($W263 &lt;= 30, "Low", $W263 &lt;=50, "Medium", $W263 &lt;= 70, "High", $W263 &gt; 70, "Critical")</f>
        <v>Low</v>
      </c>
      <c r="Y263" s="9">
        <f t="shared" si="22"/>
        <v>1.610641068004106E-2</v>
      </c>
      <c r="Z263" s="22">
        <f t="shared" si="23"/>
        <v>5.0711034026109276</v>
      </c>
    </row>
    <row r="264" spans="1:26">
      <c r="A264" s="24" t="str">
        <v>CUST-3277</v>
      </c>
      <c r="B264" s="24" t="str">
        <v>Occasional Buyer</v>
      </c>
      <c r="C264" s="24" t="str">
        <v>Influencer</v>
      </c>
      <c r="D264" s="24" t="str">
        <v>Northeast</v>
      </c>
      <c r="E264" s="24" t="str">
        <v>35-44</v>
      </c>
      <c r="F264" s="24" t="str">
        <v>Low</v>
      </c>
      <c r="G264" s="24">
        <v>7</v>
      </c>
      <c r="H264" s="24">
        <v>231</v>
      </c>
      <c r="I264" s="23">
        <v>646.24</v>
      </c>
      <c r="J264" s="24" cm="1">
        <f t="array" ref="J264">SUMPRODUCT(
    (Transactions_and_Customer_Information_Joined[Customer ID]='V1-Based Churn Model (Step 3)'!$A264) *
    (IFERROR(_xlfn.XLOOKUP(Transactions_and_Customer_Information_Joined[SKU], 'V1 Pricing Model (Step 2)'!$A$22:$A$71, 'V1 Pricing Model (Step 2)'!$AL$22:$AL$71), "Exclude")&lt;&gt;"Exclude") *
    Transactions_and_Customer_Information_Joined[Gross Revenue])</f>
        <v>67.56</v>
      </c>
      <c r="K264" s="24">
        <f>SUMIF(Transactions_and_Customer_Information_Joined[Customer ID], 'V1-Based Churn Model (Step 3)'!$A264, Transactions_and_Customer_Information_Joined[Gross Revenue])</f>
        <v>67.56</v>
      </c>
      <c r="L264" s="3">
        <f t="shared" si="18"/>
        <v>1</v>
      </c>
      <c r="M264" s="21">
        <v>0.10788177153562864</v>
      </c>
      <c r="N264" s="21" cm="1">
        <f t="array" ref="N264">SUMPRODUCT(
    (Transactions_and_Customer_Information_Joined[Customer ID]=$A264)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64" s="21" cm="1">
        <f t="array" ref="O264">IFERROR(
    SUMPRODUCT(
        (Transactions_and_Customer_Information_Joined[Customer ID]=$A264)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$J264,
0)</f>
        <v>0.10788177153562864</v>
      </c>
      <c r="P264" s="5" cm="1">
        <f t="array" ref="P264">_xlfn.IFS(B264="At-Risk Churner",$B$2,$B264="Dormant",$B$3,$B264="Deal Hunter",$B$4,$B264="New Customer",$B$5,$B264="Occasional Buyer",$B$6,$B264="Loyal High-Value",$B$7)</f>
        <v>25</v>
      </c>
      <c r="Q264" s="9" cm="1">
        <f t="array" ref="Q264">_xlfn.IFS($B264 = "At-Risk Churner", $B$8, $B264="Dormant",$B$9, $B264="Deal Hunter", $B$10, $B264="New Customer", $B$11, $B264="Occasional Buyer", $B$12, $B264 = "Loyal High-Value",$B$13)</f>
        <v>0.18</v>
      </c>
      <c r="R264" s="5">
        <v>-5</v>
      </c>
      <c r="S264" s="5">
        <v>-8</v>
      </c>
      <c r="T264" s="5">
        <v>8</v>
      </c>
      <c r="U264" s="5">
        <f t="shared" si="19"/>
        <v>15</v>
      </c>
      <c r="V264" s="5">
        <f t="shared" si="20"/>
        <v>4.3152708614251454</v>
      </c>
      <c r="W264" s="43">
        <f t="shared" si="21"/>
        <v>39.002770861425148</v>
      </c>
      <c r="X264" s="5" t="str" cm="1">
        <f t="array" ref="X264">_xlfn.IFS($W264 &lt;= 30, "Low", $W264 &lt;=50, "Medium", $W264 &lt;= 70, "High", $W264 &gt; 70, "Critical")</f>
        <v>Medium</v>
      </c>
      <c r="Y264" s="9">
        <f t="shared" si="22"/>
        <v>4.496252680837811E-2</v>
      </c>
      <c r="Z264" s="22">
        <f t="shared" si="23"/>
        <v>152.49326665971702</v>
      </c>
    </row>
    <row r="265" spans="1:26">
      <c r="A265" s="24" t="str">
        <v>CUST-2832</v>
      </c>
      <c r="B265" s="24" t="str">
        <v>At-Risk Churner</v>
      </c>
      <c r="C265" s="24" t="str">
        <v>Influencer</v>
      </c>
      <c r="D265" s="24" t="str">
        <v>Southwest</v>
      </c>
      <c r="E265" s="24" t="str">
        <v>45-54</v>
      </c>
      <c r="F265" s="24" t="str">
        <v>Low</v>
      </c>
      <c r="G265" s="24">
        <v>1</v>
      </c>
      <c r="H265" s="24">
        <v>349</v>
      </c>
      <c r="I265" s="23">
        <v>228.74</v>
      </c>
      <c r="J265" s="24" cm="1">
        <f t="array" ref="J265">SUMPRODUCT(
    (Transactions_and_Customer_Information_Joined[Customer ID]='V1-Based Churn Model (Step 3)'!$A265) *
    (IFERROR(_xlfn.XLOOKUP(Transactions_and_Customer_Information_Joined[SKU], 'V1 Pricing Model (Step 2)'!$A$22:$A$71, 'V1 Pricing Model (Step 2)'!$AL$22:$AL$71), "Exclude")&lt;&gt;"Exclude") *
    Transactions_and_Customer_Information_Joined[Gross Revenue])</f>
        <v>354.21</v>
      </c>
      <c r="K265" s="24">
        <f>SUMIF(Transactions_and_Customer_Information_Joined[Customer ID], 'V1-Based Churn Model (Step 3)'!$A265, Transactions_and_Customer_Information_Joined[Gross Revenue])</f>
        <v>354.21</v>
      </c>
      <c r="L265" s="3">
        <f t="shared" si="18"/>
        <v>1</v>
      </c>
      <c r="M265" s="21">
        <v>3.7264027854690532E-2</v>
      </c>
      <c r="N265" s="21" cm="1">
        <f t="array" ref="N265">SUMPRODUCT(
    (Transactions_and_Customer_Information_Joined[Customer ID]=$A265)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65" s="21" cm="1">
        <f t="array" ref="O265">IFERROR(
    SUMPRODUCT(
        (Transactions_and_Customer_Information_Joined[Customer ID]=$A265)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$J265,
0)</f>
        <v>3.7264027854690532E-2</v>
      </c>
      <c r="P265" s="5" cm="1">
        <f t="array" ref="P265">_xlfn.IFS(B265="At-Risk Churner",$B$2,$B265="Dormant",$B$3,$B265="Deal Hunter",$B$4,$B265="New Customer",$B$5,$B265="Occasional Buyer",$B$6,$B265="Loyal High-Value",$B$7)</f>
        <v>70</v>
      </c>
      <c r="Q265" s="9" cm="1">
        <f t="array" ref="Q265">_xlfn.IFS($B265 = "At-Risk Churner", $B$8, $B265="Dormant",$B$9, $B265="Deal Hunter", $B$10, $B265="New Customer", $B$11, $B265="Occasional Buyer", $B$12, $B265 = "Loyal High-Value",$B$13)</f>
        <v>0.45</v>
      </c>
      <c r="R265" s="5">
        <v>-5</v>
      </c>
      <c r="S265" s="5">
        <v>10</v>
      </c>
      <c r="T265" s="5">
        <v>15</v>
      </c>
      <c r="U265" s="5">
        <f t="shared" si="19"/>
        <v>15</v>
      </c>
      <c r="V265" s="5">
        <f t="shared" si="20"/>
        <v>1.4905611141876212</v>
      </c>
      <c r="W265" s="43">
        <f t="shared" si="21"/>
        <v>100</v>
      </c>
      <c r="X265" s="5" t="str" cm="1">
        <f t="array" ref="X265">_xlfn.IFS($W265 &lt;= 30, "Low", $W265 &lt;=50, "Medium", $W265 &lt;= 70, "High", $W265 &gt; 70, "Critical")</f>
        <v>Critical</v>
      </c>
      <c r="Y265" s="9">
        <f t="shared" si="22"/>
        <v>0.44698821708407188</v>
      </c>
      <c r="Z265" s="22">
        <f t="shared" si="23"/>
        <v>102.24408477581061</v>
      </c>
    </row>
    <row r="266" spans="1:26">
      <c r="A266" s="24" t="str">
        <v>CUST-4623</v>
      </c>
      <c r="B266" s="24" t="str">
        <v>New Customer</v>
      </c>
      <c r="C266" s="24" t="str">
        <v>Influencer</v>
      </c>
      <c r="D266" s="24" t="str">
        <v>Southwest</v>
      </c>
      <c r="E266" s="24" t="str">
        <v>35-44</v>
      </c>
      <c r="F266" s="24" t="str">
        <v>Low</v>
      </c>
      <c r="G266" s="24">
        <v>0</v>
      </c>
      <c r="H266" s="24">
        <v>69</v>
      </c>
      <c r="I266" s="23">
        <v>87.65</v>
      </c>
      <c r="J266" s="24" cm="1">
        <f t="array" ref="J266">SUMPRODUCT(
    (Transactions_and_Customer_Information_Joined[Customer ID]='V1-Based Churn Model (Step 3)'!$A266) *
    (IFERROR(_xlfn.XLOOKUP(Transactions_and_Customer_Information_Joined[SKU], 'V1 Pricing Model (Step 2)'!$A$22:$A$71, 'V1 Pricing Model (Step 2)'!$AL$22:$AL$71), "Exclude")&lt;&gt;"Exclude") *
    Transactions_and_Customer_Information_Joined[Gross Revenue])</f>
        <v>52.92</v>
      </c>
      <c r="K266" s="24">
        <f>SUMIF(Transactions_and_Customer_Information_Joined[Customer ID], 'V1-Based Churn Model (Step 3)'!$A266, Transactions_and_Customer_Information_Joined[Gross Revenue])</f>
        <v>52.92</v>
      </c>
      <c r="L266" s="3">
        <f t="shared" si="18"/>
        <v>1</v>
      </c>
      <c r="M266" s="21">
        <v>-4.5975852073346618E-2</v>
      </c>
      <c r="N266" s="21" cm="1">
        <f t="array" ref="N266">SUMPRODUCT(
    (Transactions_and_Customer_Information_Joined[Customer ID]=$A266)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66" s="21" cm="1">
        <f t="array" ref="O266">IFERROR(
    SUMPRODUCT(
        (Transactions_and_Customer_Information_Joined[Customer ID]=$A266)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$J266,
0)</f>
        <v>-4.5975852073346618E-2</v>
      </c>
      <c r="P266" s="5" cm="1">
        <f t="array" ref="P266">_xlfn.IFS(B266="At-Risk Churner",$B$2,$B266="Dormant",$B$3,$B266="Deal Hunter",$B$4,$B266="New Customer",$B$5,$B266="Occasional Buyer",$B$6,$B266="Loyal High-Value",$B$7)</f>
        <v>35</v>
      </c>
      <c r="Q266" s="9" cm="1">
        <f t="array" ref="Q266">_xlfn.IFS($B266 = "At-Risk Churner", $B$8, $B266="Dormant",$B$9, $B266="Deal Hunter", $B$10, $B266="New Customer", $B$11, $B266="Occasional Buyer", $B$12, $B266 = "Loyal High-Value",$B$13)</f>
        <v>0.35</v>
      </c>
      <c r="R266" s="5">
        <v>-5</v>
      </c>
      <c r="S266" s="5">
        <v>10</v>
      </c>
      <c r="T266" s="5">
        <v>0</v>
      </c>
      <c r="U266" s="5">
        <f t="shared" si="19"/>
        <v>15</v>
      </c>
      <c r="V266" s="5">
        <f t="shared" si="20"/>
        <v>1.8390340829338647</v>
      </c>
      <c r="W266" s="43">
        <f t="shared" si="21"/>
        <v>57.076534082933868</v>
      </c>
      <c r="X266" s="5" t="str" cm="1">
        <f t="array" ref="X266">_xlfn.IFS($W266 &lt;= 30, "Low", $W266 &lt;=50, "Medium", $W266 &lt;= 70, "High", $W266 &gt; 70, "Critical")</f>
        <v>High</v>
      </c>
      <c r="Y266" s="9">
        <f t="shared" si="22"/>
        <v>0.23445885457552512</v>
      </c>
      <c r="Z266" s="22">
        <f t="shared" si="23"/>
        <v>33.970254882835825</v>
      </c>
    </row>
    <row r="267" spans="1:26">
      <c r="A267" s="24" t="str">
        <v>CUST-1708</v>
      </c>
      <c r="B267" s="24" t="str">
        <v>At-Risk Churner</v>
      </c>
      <c r="C267" s="24" t="str">
        <v>Organic Search</v>
      </c>
      <c r="D267" s="24" t="str">
        <v>Northeast</v>
      </c>
      <c r="E267" s="24" t="str">
        <v>55+</v>
      </c>
      <c r="F267" s="24" t="str">
        <v>Medium</v>
      </c>
      <c r="G267" s="24">
        <v>8</v>
      </c>
      <c r="H267" s="24">
        <v>66</v>
      </c>
      <c r="I267" s="23">
        <v>171.18</v>
      </c>
      <c r="J267" s="24" cm="1">
        <f t="array" ref="J267">SUMPRODUCT(
    (Transactions_and_Customer_Information_Joined[Customer ID]='V1-Based Churn Model (Step 3)'!$A267) *
    (IFERROR(_xlfn.XLOOKUP(Transactions_and_Customer_Information_Joined[SKU], 'V1 Pricing Model (Step 2)'!$A$22:$A$71, 'V1 Pricing Model (Step 2)'!$AL$22:$AL$71), "Exclude")&lt;&gt;"Exclude") *
    Transactions_and_Customer_Information_Joined[Gross Revenue])</f>
        <v>354.82</v>
      </c>
      <c r="K267" s="24">
        <f>SUMIF(Transactions_and_Customer_Information_Joined[Customer ID], 'V1-Based Churn Model (Step 3)'!$A267, Transactions_and_Customer_Information_Joined[Gross Revenue])</f>
        <v>354.82</v>
      </c>
      <c r="L267" s="3">
        <f t="shared" si="18"/>
        <v>1</v>
      </c>
      <c r="M267" s="21">
        <v>9.4555309750757724E-2</v>
      </c>
      <c r="N267" s="21" cm="1">
        <f t="array" ref="N267">SUMPRODUCT(
    (Transactions_and_Customer_Information_Joined[Customer ID]=$A267)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67" s="21" cm="1">
        <f t="array" ref="O267">IFERROR(
    SUMPRODUCT(
        (Transactions_and_Customer_Information_Joined[Customer ID]=$A267)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$J267,
0)</f>
        <v>9.4555309750757724E-2</v>
      </c>
      <c r="P267" s="5" cm="1">
        <f t="array" ref="P267">_xlfn.IFS(B267="At-Risk Churner",$B$2,$B267="Dormant",$B$3,$B267="Deal Hunter",$B$4,$B267="New Customer",$B$5,$B267="Occasional Buyer",$B$6,$B267="Loyal High-Value",$B$7)</f>
        <v>70</v>
      </c>
      <c r="Q267" s="9" cm="1">
        <f t="array" ref="Q267">_xlfn.IFS($B267 = "At-Risk Churner", $B$8, $B267="Dormant",$B$9, $B267="Deal Hunter", $B$10, $B267="New Customer", $B$11, $B267="Occasional Buyer", $B$12, $B267 = "Loyal High-Value",$B$13)</f>
        <v>0.45</v>
      </c>
      <c r="R267" s="5">
        <v>5</v>
      </c>
      <c r="S267" s="5">
        <v>-8</v>
      </c>
      <c r="T267" s="5">
        <v>0</v>
      </c>
      <c r="U267" s="5">
        <f t="shared" si="19"/>
        <v>15</v>
      </c>
      <c r="V267" s="5">
        <f t="shared" si="20"/>
        <v>3.7822123900303088</v>
      </c>
      <c r="W267" s="43">
        <f t="shared" si="21"/>
        <v>85.334712390030305</v>
      </c>
      <c r="X267" s="5" t="str" cm="1">
        <f t="array" ref="X267">_xlfn.IFS($W267 &lt;= 30, "Low", $W267 &lt;=50, "Medium", $W267 &lt;= 70, "High", $W267 &gt; 70, "Critical")</f>
        <v>Critical</v>
      </c>
      <c r="Y267" s="9">
        <f t="shared" si="22"/>
        <v>0.43723137142438956</v>
      </c>
      <c r="Z267" s="22">
        <f t="shared" si="23"/>
        <v>74.845266160427002</v>
      </c>
    </row>
    <row r="268" spans="1:26">
      <c r="A268" s="24" t="str">
        <v>CUST-4186</v>
      </c>
      <c r="B268" s="24" t="str">
        <v>Occasional Buyer</v>
      </c>
      <c r="C268" s="24" t="str">
        <v>Direct</v>
      </c>
      <c r="D268" s="24" t="str">
        <v>Northeast</v>
      </c>
      <c r="E268" s="24" t="str">
        <v>18-24</v>
      </c>
      <c r="F268" s="24" t="str">
        <v>Medium</v>
      </c>
      <c r="G268" s="24">
        <v>7</v>
      </c>
      <c r="H268" s="24">
        <v>289</v>
      </c>
      <c r="I268" s="23">
        <v>221.13</v>
      </c>
      <c r="J268" s="24" cm="1">
        <f t="array" ref="J268">SUMPRODUCT(
    (Transactions_and_Customer_Information_Joined[Customer ID]='V1-Based Churn Model (Step 3)'!$A268)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268" s="24">
        <f>SUMIF(Transactions_and_Customer_Information_Joined[Customer ID], 'V1-Based Churn Model (Step 3)'!$A268, Transactions_and_Customer_Information_Joined[Gross Revenue])</f>
        <v>124.26</v>
      </c>
      <c r="L268" s="3">
        <f t="shared" si="18"/>
        <v>0</v>
      </c>
      <c r="M268" s="21">
        <v>0</v>
      </c>
      <c r="N268" s="21" cm="1">
        <f t="array" ref="N268">SUMPRODUCT(
    (Transactions_and_Customer_Information_Joined[Customer ID]=$A268)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268" s="21" cm="1">
        <f t="array" ref="O268">IFERROR(
    SUMPRODUCT(
        (Transactions_and_Customer_Information_Joined[Customer ID]=$A268)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$J268,
0)</f>
        <v>0</v>
      </c>
      <c r="P268" s="5" cm="1">
        <f t="array" ref="P268">_xlfn.IFS(B268="At-Risk Churner",$B$2,$B268="Dormant",$B$3,$B268="Deal Hunter",$B$4,$B268="New Customer",$B$5,$B268="Occasional Buyer",$B$6,$B268="Loyal High-Value",$B$7)</f>
        <v>25</v>
      </c>
      <c r="Q268" s="9" cm="1">
        <f t="array" ref="Q268">_xlfn.IFS($B268 = "At-Risk Churner", $B$8, $B268="Dormant",$B$9, $B268="Deal Hunter", $B$10, $B268="New Customer", $B$11, $B268="Occasional Buyer", $B$12, $B268 = "Loyal High-Value",$B$13)</f>
        <v>0.18</v>
      </c>
      <c r="R268" s="5">
        <v>5</v>
      </c>
      <c r="S268" s="5">
        <v>-8</v>
      </c>
      <c r="T268" s="5">
        <v>8</v>
      </c>
      <c r="U268" s="5">
        <f t="shared" si="19"/>
        <v>0</v>
      </c>
      <c r="V268" s="5">
        <f t="shared" si="20"/>
        <v>0</v>
      </c>
      <c r="W268" s="43">
        <f t="shared" si="21"/>
        <v>29.8</v>
      </c>
      <c r="X268" s="5" t="str" cm="1">
        <f t="array" ref="X268">_xlfn.IFS($W268 &lt;= 30, "Low", $W268 &lt;=50, "Medium", $W268 &lt;= 70, "High", $W268 &gt; 70, "Critical")</f>
        <v>Low</v>
      </c>
      <c r="Y268" s="9">
        <f t="shared" si="22"/>
        <v>2.1081418357640495E-2</v>
      </c>
      <c r="Z268" s="22">
        <f t="shared" si="23"/>
        <v>4.6617340414250421</v>
      </c>
    </row>
    <row r="269" spans="1:26">
      <c r="A269" s="24" t="str">
        <v>CUST-1173</v>
      </c>
      <c r="B269" s="24" t="str">
        <v>New Customer</v>
      </c>
      <c r="C269" s="24" t="str">
        <v>Email Campaign</v>
      </c>
      <c r="D269" s="24" t="str">
        <v>Southwest</v>
      </c>
      <c r="E269" s="24" t="str">
        <v>18-24</v>
      </c>
      <c r="F269" s="24" t="str">
        <v>High</v>
      </c>
      <c r="G269" s="24">
        <v>1</v>
      </c>
      <c r="H269" s="24">
        <v>79</v>
      </c>
      <c r="I269" s="23">
        <v>135.91</v>
      </c>
      <c r="J269" s="24" cm="1">
        <f t="array" ref="J269">SUMPRODUCT(
    (Transactions_and_Customer_Information_Joined[Customer ID]='V1-Based Churn Model (Step 3)'!$A269) *
    (IFERROR(_xlfn.XLOOKUP(Transactions_and_Customer_Information_Joined[SKU], 'V1 Pricing Model (Step 2)'!$A$22:$A$71, 'V1 Pricing Model (Step 2)'!$AL$22:$AL$71), "Exclude")&lt;&gt;"Exclude") *
    Transactions_and_Customer_Information_Joined[Gross Revenue])</f>
        <v>140.44</v>
      </c>
      <c r="K269" s="24">
        <f>SUMIF(Transactions_and_Customer_Information_Joined[Customer ID], 'V1-Based Churn Model (Step 3)'!$A269, Transactions_and_Customer_Information_Joined[Gross Revenue])</f>
        <v>140.44</v>
      </c>
      <c r="L269" s="3">
        <f t="shared" si="18"/>
        <v>1</v>
      </c>
      <c r="M269" s="21">
        <v>0.25581555939754186</v>
      </c>
      <c r="N269" s="21" cm="1">
        <f t="array" ref="N269">SUMPRODUCT(
    (Transactions_and_Customer_Information_Joined[Customer ID]=$A269)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69" s="21" cm="1">
        <f t="array" ref="O269">IFERROR(
    SUMPRODUCT(
        (Transactions_and_Customer_Information_Joined[Customer ID]=$A269)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$J269,
0)</f>
        <v>0.25581555939754186</v>
      </c>
      <c r="P269" s="5" cm="1">
        <f t="array" ref="P269">_xlfn.IFS(B269="At-Risk Churner",$B$2,$B269="Dormant",$B$3,$B269="Deal Hunter",$B$4,$B269="New Customer",$B$5,$B269="Occasional Buyer",$B$6,$B269="Loyal High-Value",$B$7)</f>
        <v>35</v>
      </c>
      <c r="Q269" s="9" cm="1">
        <f t="array" ref="Q269">_xlfn.IFS($B269 = "At-Risk Churner", $B$8, $B269="Dormant",$B$9, $B269="Deal Hunter", $B$10, $B269="New Customer", $B$11, $B269="Occasional Buyer", $B$12, $B269 = "Loyal High-Value",$B$13)</f>
        <v>0.35</v>
      </c>
      <c r="R269" s="5">
        <v>15</v>
      </c>
      <c r="S269" s="5">
        <v>10</v>
      </c>
      <c r="T269" s="5">
        <v>0</v>
      </c>
      <c r="U269" s="5">
        <f t="shared" si="19"/>
        <v>15</v>
      </c>
      <c r="V269" s="5">
        <f t="shared" si="20"/>
        <v>10.232622375901673</v>
      </c>
      <c r="W269" s="43">
        <f t="shared" si="21"/>
        <v>85.92012237590167</v>
      </c>
      <c r="X269" s="5" t="str" cm="1">
        <f t="array" ref="X269">_xlfn.IFS($W269 &lt;= 30, "Low", $W269 &lt;=50, "Medium", $W269 &lt;= 70, "High", $W269 &gt; 70, "Critical")</f>
        <v>Critical</v>
      </c>
      <c r="Y269" s="9">
        <f t="shared" si="22"/>
        <v>0.34061839792446441</v>
      </c>
      <c r="Z269" s="22">
        <f t="shared" si="23"/>
        <v>46.293446461913959</v>
      </c>
    </row>
    <row r="270" spans="1:26">
      <c r="A270" s="24" t="str">
        <v>CUST-4037</v>
      </c>
      <c r="B270" s="24" t="str">
        <v>At-Risk Churner</v>
      </c>
      <c r="C270" s="24" t="str">
        <v>Influencer</v>
      </c>
      <c r="D270" s="24" t="str">
        <v>Northeast</v>
      </c>
      <c r="E270" s="24" t="str">
        <v>18-24</v>
      </c>
      <c r="F270" s="24" t="str">
        <v>Medium</v>
      </c>
      <c r="G270" s="24">
        <v>7</v>
      </c>
      <c r="H270" s="24">
        <v>297</v>
      </c>
      <c r="I270" s="23">
        <v>319.49</v>
      </c>
      <c r="J270" s="24" cm="1">
        <f t="array" ref="J270">SUMPRODUCT(
    (Transactions_and_Customer_Information_Joined[Customer ID]='V1-Based Churn Model (Step 3)'!$A270) *
    (IFERROR(_xlfn.XLOOKUP(Transactions_and_Customer_Information_Joined[SKU], 'V1 Pricing Model (Step 2)'!$A$22:$A$71, 'V1 Pricing Model (Step 2)'!$AL$22:$AL$71), "Exclude")&lt;&gt;"Exclude") *
    Transactions_and_Customer_Information_Joined[Gross Revenue])</f>
        <v>52.92</v>
      </c>
      <c r="K270" s="24">
        <f>SUMIF(Transactions_and_Customer_Information_Joined[Customer ID], 'V1-Based Churn Model (Step 3)'!$A270, Transactions_and_Customer_Information_Joined[Gross Revenue])</f>
        <v>52.92</v>
      </c>
      <c r="L270" s="3">
        <f t="shared" si="18"/>
        <v>1</v>
      </c>
      <c r="M270" s="21">
        <v>-4.5975852073346618E-2</v>
      </c>
      <c r="N270" s="21" cm="1">
        <f t="array" ref="N270">SUMPRODUCT(
    (Transactions_and_Customer_Information_Joined[Customer ID]=$A270)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70" s="21" cm="1">
        <f t="array" ref="O270">IFERROR(
    SUMPRODUCT(
        (Transactions_and_Customer_Information_Joined[Customer ID]=$A270)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$J270,
0)</f>
        <v>-4.5975852073346618E-2</v>
      </c>
      <c r="P270" s="5" cm="1">
        <f t="array" ref="P270">_xlfn.IFS(B270="At-Risk Churner",$B$2,$B270="Dormant",$B$3,$B270="Deal Hunter",$B$4,$B270="New Customer",$B$5,$B270="Occasional Buyer",$B$6,$B270="Loyal High-Value",$B$7)</f>
        <v>70</v>
      </c>
      <c r="Q270" s="9" cm="1">
        <f t="array" ref="Q270">_xlfn.IFS($B270 = "At-Risk Churner", $B$8, $B270="Dormant",$B$9, $B270="Deal Hunter", $B$10, $B270="New Customer", $B$11, $B270="Occasional Buyer", $B$12, $B270 = "Loyal High-Value",$B$13)</f>
        <v>0.45</v>
      </c>
      <c r="R270" s="5">
        <v>5</v>
      </c>
      <c r="S270" s="5">
        <v>-8</v>
      </c>
      <c r="T270" s="5">
        <v>8</v>
      </c>
      <c r="U270" s="5">
        <f t="shared" si="19"/>
        <v>15</v>
      </c>
      <c r="V270" s="5">
        <f t="shared" si="20"/>
        <v>1.8390340829338647</v>
      </c>
      <c r="W270" s="43">
        <f t="shared" si="21"/>
        <v>91.391534082933859</v>
      </c>
      <c r="X270" s="5" t="str" cm="1">
        <f t="array" ref="X270">_xlfn.IFS($W270 &lt;= 30, "Low", $W270 &lt;=50, "Medium", $W270 &lt;= 70, "High", $W270 &gt; 70, "Critical")</f>
        <v>Critical</v>
      </c>
      <c r="Y270" s="9">
        <f t="shared" si="22"/>
        <v>0.44294114055079326</v>
      </c>
      <c r="Z270" s="22">
        <f t="shared" si="23"/>
        <v>141.51526499457293</v>
      </c>
    </row>
    <row r="271" spans="1:26">
      <c r="A271" s="24" t="str">
        <v>CUST-2821</v>
      </c>
      <c r="B271" s="24" t="str">
        <v>Occasional Buyer</v>
      </c>
      <c r="C271" s="24" t="str">
        <v>Influencer</v>
      </c>
      <c r="D271" s="24" t="str">
        <v>Canada</v>
      </c>
      <c r="E271" s="24" t="str">
        <v>18-24</v>
      </c>
      <c r="F271" s="24" t="str">
        <v>High</v>
      </c>
      <c r="G271" s="24">
        <v>2</v>
      </c>
      <c r="H271" s="24">
        <v>68</v>
      </c>
      <c r="I271" s="23">
        <v>704.41</v>
      </c>
      <c r="J271" s="24" cm="1">
        <f t="array" ref="J271">SUMPRODUCT(
    (Transactions_and_Customer_Information_Joined[Customer ID]='V1-Based Churn Model (Step 3)'!$A271)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271" s="24">
        <f>SUMIF(Transactions_and_Customer_Information_Joined[Customer ID], 'V1-Based Churn Model (Step 3)'!$A271, Transactions_and_Customer_Information_Joined[Gross Revenue])</f>
        <v>196.29000000000002</v>
      </c>
      <c r="L271" s="3">
        <f t="shared" si="18"/>
        <v>0</v>
      </c>
      <c r="M271" s="21">
        <v>0</v>
      </c>
      <c r="N271" s="21" cm="1">
        <f t="array" ref="N271">SUMPRODUCT(
    (Transactions_and_Customer_Information_Joined[Customer ID]=$A271)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271" s="21" cm="1">
        <f t="array" ref="O271">IFERROR(
    SUMPRODUCT(
        (Transactions_and_Customer_Information_Joined[Customer ID]=$A271)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$J271,
0)</f>
        <v>0</v>
      </c>
      <c r="P271" s="5" cm="1">
        <f t="array" ref="P271">_xlfn.IFS(B271="At-Risk Churner",$B$2,$B271="Dormant",$B$3,$B271="Deal Hunter",$B$4,$B271="New Customer",$B$5,$B271="Occasional Buyer",$B$6,$B271="Loyal High-Value",$B$7)</f>
        <v>25</v>
      </c>
      <c r="Q271" s="9" cm="1">
        <f t="array" ref="Q271">_xlfn.IFS($B271 = "At-Risk Churner", $B$8, $B271="Dormant",$B$9, $B271="Deal Hunter", $B$10, $B271="New Customer", $B$11, $B271="Occasional Buyer", $B$12, $B271 = "Loyal High-Value",$B$13)</f>
        <v>0.18</v>
      </c>
      <c r="R271" s="5">
        <v>15</v>
      </c>
      <c r="S271" s="5">
        <v>10</v>
      </c>
      <c r="T271" s="5">
        <v>0</v>
      </c>
      <c r="U271" s="5">
        <f t="shared" si="19"/>
        <v>0</v>
      </c>
      <c r="V271" s="5">
        <f t="shared" si="20"/>
        <v>0</v>
      </c>
      <c r="W271" s="43">
        <f t="shared" si="21"/>
        <v>50.25</v>
      </c>
      <c r="X271" s="5" t="str" cm="1">
        <f t="array" ref="X271">_xlfn.IFS($W271 &lt;= 30, "Low", $W271 &lt;=50, "Medium", $W271 &lt;= 70, "High", $W271 &gt; 70, "Critical")</f>
        <v>High</v>
      </c>
      <c r="Y271" s="9">
        <f t="shared" si="22"/>
        <v>9.1124941409911869E-2</v>
      </c>
      <c r="Z271" s="22">
        <f t="shared" si="23"/>
        <v>192.23345598284482</v>
      </c>
    </row>
    <row r="272" spans="1:26">
      <c r="A272" s="24" t="str">
        <v>CUST-1596</v>
      </c>
      <c r="B272" s="24" t="str">
        <v>New Customer</v>
      </c>
      <c r="C272" s="24" t="str">
        <v>Referral</v>
      </c>
      <c r="D272" s="24" t="str">
        <v>UK</v>
      </c>
      <c r="E272" s="24" t="str">
        <v>18-24</v>
      </c>
      <c r="F272" s="24" t="str">
        <v>High</v>
      </c>
      <c r="G272" s="24">
        <v>9</v>
      </c>
      <c r="H272" s="24">
        <v>270</v>
      </c>
      <c r="I272" s="23">
        <v>112.07</v>
      </c>
      <c r="J272" s="24" cm="1">
        <f t="array" ref="J272">SUMPRODUCT(
    (Transactions_and_Customer_Information_Joined[Customer ID]='V1-Based Churn Model (Step 3)'!$A272) *
    (IFERROR(_xlfn.XLOOKUP(Transactions_and_Customer_Information_Joined[SKU], 'V1 Pricing Model (Step 2)'!$A$22:$A$71, 'V1 Pricing Model (Step 2)'!$AL$22:$AL$71), "Exclude")&lt;&gt;"Exclude") *
    Transactions_and_Customer_Information_Joined[Gross Revenue])</f>
        <v>584.61</v>
      </c>
      <c r="K272" s="24">
        <f>SUMIF(Transactions_and_Customer_Information_Joined[Customer ID], 'V1-Based Churn Model (Step 3)'!$A272, Transactions_and_Customer_Information_Joined[Gross Revenue])</f>
        <v>584.61</v>
      </c>
      <c r="L272" s="3">
        <f t="shared" si="18"/>
        <v>1</v>
      </c>
      <c r="M272" s="21">
        <v>0.14790650353694867</v>
      </c>
      <c r="N272" s="21" cm="1">
        <f t="array" ref="N272">SUMPRODUCT(
    (Transactions_and_Customer_Information_Joined[Customer ID]=$A272)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72" s="21" cm="1">
        <f t="array" ref="O272">IFERROR(
    SUMPRODUCT(
        (Transactions_and_Customer_Information_Joined[Customer ID]=$A272)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$J272,
0)</f>
        <v>0.14790650353694867</v>
      </c>
      <c r="P272" s="5" cm="1">
        <f t="array" ref="P272">_xlfn.IFS(B272="At-Risk Churner",$B$2,$B272="Dormant",$B$3,$B272="Deal Hunter",$B$4,$B272="New Customer",$B$5,$B272="Occasional Buyer",$B$6,$B272="Loyal High-Value",$B$7)</f>
        <v>35</v>
      </c>
      <c r="Q272" s="9" cm="1">
        <f t="array" ref="Q272">_xlfn.IFS($B272 = "At-Risk Churner", $B$8, $B272="Dormant",$B$9, $B272="Deal Hunter", $B$10, $B272="New Customer", $B$11, $B272="Occasional Buyer", $B$12, $B272 = "Loyal High-Value",$B$13)</f>
        <v>0.35</v>
      </c>
      <c r="R272" s="5">
        <v>15</v>
      </c>
      <c r="S272" s="5">
        <v>-8</v>
      </c>
      <c r="T272" s="5">
        <v>8</v>
      </c>
      <c r="U272" s="5">
        <f t="shared" si="19"/>
        <v>15</v>
      </c>
      <c r="V272" s="5">
        <f t="shared" si="20"/>
        <v>5.916260141477947</v>
      </c>
      <c r="W272" s="43">
        <f t="shared" si="21"/>
        <v>70.973760141477953</v>
      </c>
      <c r="X272" s="5" t="str" cm="1">
        <f t="array" ref="X272">_xlfn.IFS($W272 &lt;= 30, "Low", $W272 &lt;=50, "Medium", $W272 &lt;= 70, "High", $W272 &gt; 70, "Critical")</f>
        <v>Critical</v>
      </c>
      <c r="Y272" s="9">
        <f t="shared" si="22"/>
        <v>0.31172675784386217</v>
      </c>
      <c r="Z272" s="22">
        <f t="shared" si="23"/>
        <v>34.93521775156163</v>
      </c>
    </row>
    <row r="273" spans="1:26">
      <c r="A273" s="24" t="str">
        <v>CUST-2012</v>
      </c>
      <c r="B273" s="24" t="str">
        <v>At-Risk Churner</v>
      </c>
      <c r="C273" s="24" t="str">
        <v>Email Campaign</v>
      </c>
      <c r="D273" s="24" t="str">
        <v>Southwest</v>
      </c>
      <c r="E273" s="24" t="str">
        <v>35-44</v>
      </c>
      <c r="F273" s="24" t="str">
        <v>High</v>
      </c>
      <c r="G273" s="24">
        <v>2</v>
      </c>
      <c r="H273" s="24">
        <v>132</v>
      </c>
      <c r="I273" s="23">
        <v>390.88</v>
      </c>
      <c r="J273" s="24" cm="1">
        <f t="array" ref="J273">SUMPRODUCT(
    (Transactions_and_Customer_Information_Joined[Customer ID]='V1-Based Churn Model (Step 3)'!$A273)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273" s="24">
        <f>SUMIF(Transactions_and_Customer_Information_Joined[Customer ID], 'V1-Based Churn Model (Step 3)'!$A273, Transactions_and_Customer_Information_Joined[Gross Revenue])</f>
        <v>248.52</v>
      </c>
      <c r="L273" s="3">
        <f t="shared" si="18"/>
        <v>0</v>
      </c>
      <c r="M273" s="21">
        <v>0</v>
      </c>
      <c r="N273" s="21" cm="1">
        <f t="array" ref="N273">SUMPRODUCT(
    (Transactions_and_Customer_Information_Joined[Customer ID]=$A273)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273" s="21" cm="1">
        <f t="array" ref="O273">IFERROR(
    SUMPRODUCT(
        (Transactions_and_Customer_Information_Joined[Customer ID]=$A273)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$J273,
0)</f>
        <v>0</v>
      </c>
      <c r="P273" s="5" cm="1">
        <f t="array" ref="P273">_xlfn.IFS(B273="At-Risk Churner",$B$2,$B273="Dormant",$B$3,$B273="Deal Hunter",$B$4,$B273="New Customer",$B$5,$B273="Occasional Buyer",$B$6,$B273="Loyal High-Value",$B$7)</f>
        <v>70</v>
      </c>
      <c r="Q273" s="9" cm="1">
        <f t="array" ref="Q273">_xlfn.IFS($B273 = "At-Risk Churner", $B$8, $B273="Dormant",$B$9, $B273="Deal Hunter", $B$10, $B273="New Customer", $B$11, $B273="Occasional Buyer", $B$12, $B273 = "Loyal High-Value",$B$13)</f>
        <v>0.45</v>
      </c>
      <c r="R273" s="5">
        <v>15</v>
      </c>
      <c r="S273" s="5">
        <v>10</v>
      </c>
      <c r="T273" s="5">
        <v>0</v>
      </c>
      <c r="U273" s="5">
        <f t="shared" si="19"/>
        <v>0</v>
      </c>
      <c r="V273" s="5">
        <f t="shared" si="20"/>
        <v>0</v>
      </c>
      <c r="W273" s="43">
        <f t="shared" si="21"/>
        <v>95.7</v>
      </c>
      <c r="X273" s="5" t="str" cm="1">
        <f t="array" ref="X273">_xlfn.IFS($W273 &lt;= 30, "Low", $W273 &lt;=50, "Medium", $W273 &lt;= 70, "High", $W273 &gt; 70, "Critical")</f>
        <v>Critical</v>
      </c>
      <c r="Y273" s="9">
        <f t="shared" si="22"/>
        <v>0.44538670247698259</v>
      </c>
      <c r="Z273" s="22">
        <f t="shared" si="23"/>
        <v>174.09275426420294</v>
      </c>
    </row>
    <row r="274" spans="1:26">
      <c r="A274" s="24" t="str">
        <v>CUST-4956</v>
      </c>
      <c r="B274" s="24" t="str">
        <v>New Customer</v>
      </c>
      <c r="C274" s="24" t="str">
        <v>Paid Social</v>
      </c>
      <c r="D274" s="24" t="str">
        <v>UK</v>
      </c>
      <c r="E274" s="24" t="str">
        <v>25-34</v>
      </c>
      <c r="F274" s="24" t="str">
        <v>High</v>
      </c>
      <c r="G274" s="24">
        <v>8</v>
      </c>
      <c r="H274" s="24">
        <v>283</v>
      </c>
      <c r="I274" s="23">
        <v>83.69</v>
      </c>
      <c r="J274" s="24" cm="1">
        <f t="array" ref="J274">SUMPRODUCT(
    (Transactions_and_Customer_Information_Joined[Customer ID]='V1-Based Churn Model (Step 3)'!$A274)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274" s="24">
        <f>SUMIF(Transactions_and_Customer_Information_Joined[Customer ID], 'V1-Based Churn Model (Step 3)'!$A274, Transactions_and_Customer_Information_Joined[Gross Revenue])</f>
        <v>616.20000000000005</v>
      </c>
      <c r="L274" s="3">
        <f t="shared" si="18"/>
        <v>0</v>
      </c>
      <c r="M274" s="21">
        <v>0</v>
      </c>
      <c r="N274" s="21" cm="1">
        <f t="array" ref="N274">SUMPRODUCT(
    (Transactions_and_Customer_Information_Joined[Customer ID]=$A274)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274" s="21" cm="1">
        <f t="array" ref="O274">IFERROR(
    SUMPRODUCT(
        (Transactions_and_Customer_Information_Joined[Customer ID]=$A274)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$J274,
0)</f>
        <v>0</v>
      </c>
      <c r="P274" s="5" cm="1">
        <f t="array" ref="P274">_xlfn.IFS(B274="At-Risk Churner",$B$2,$B274="Dormant",$B$3,$B274="Deal Hunter",$B$4,$B274="New Customer",$B$5,$B274="Occasional Buyer",$B$6,$B274="Loyal High-Value",$B$7)</f>
        <v>35</v>
      </c>
      <c r="Q274" s="9" cm="1">
        <f t="array" ref="Q274">_xlfn.IFS($B274 = "At-Risk Churner", $B$8, $B274="Dormant",$B$9, $B274="Deal Hunter", $B$10, $B274="New Customer", $B$11, $B274="Occasional Buyer", $B$12, $B274 = "Loyal High-Value",$B$13)</f>
        <v>0.35</v>
      </c>
      <c r="R274" s="5">
        <v>15</v>
      </c>
      <c r="S274" s="5">
        <v>-8</v>
      </c>
      <c r="T274" s="5">
        <v>8</v>
      </c>
      <c r="U274" s="5">
        <f t="shared" si="19"/>
        <v>0</v>
      </c>
      <c r="V274" s="5">
        <f t="shared" si="20"/>
        <v>0</v>
      </c>
      <c r="W274" s="43">
        <f t="shared" si="21"/>
        <v>49.72</v>
      </c>
      <c r="X274" s="5" t="str" cm="1">
        <f t="array" ref="X274">_xlfn.IFS($W274 &lt;= 30, "Low", $W274 &lt;=50, "Medium", $W274 &lt;= 70, "High", $W274 &gt; 70, "Critical")</f>
        <v>Medium</v>
      </c>
      <c r="Y274" s="9">
        <f t="shared" si="22"/>
        <v>0.17255016005411844</v>
      </c>
      <c r="Z274" s="22">
        <f t="shared" si="23"/>
        <v>28.290578315943339</v>
      </c>
    </row>
    <row r="275" spans="1:26">
      <c r="A275" s="24" t="str">
        <v>CUST-2460</v>
      </c>
      <c r="B275" s="24" t="str">
        <v>Occasional Buyer</v>
      </c>
      <c r="C275" s="24" t="str">
        <v>Referral</v>
      </c>
      <c r="D275" s="24" t="str">
        <v>Northeast</v>
      </c>
      <c r="E275" s="24" t="str">
        <v>45-54</v>
      </c>
      <c r="F275" s="24" t="str">
        <v>Low</v>
      </c>
      <c r="G275" s="24">
        <v>9</v>
      </c>
      <c r="H275" s="24">
        <v>11</v>
      </c>
      <c r="I275" s="23">
        <v>791.19</v>
      </c>
      <c r="J275" s="24" cm="1">
        <f t="array" ref="J275">SUMPRODUCT(
    (Transactions_and_Customer_Information_Joined[Customer ID]='V1-Based Churn Model (Step 3)'!$A275)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275" s="24">
        <f>SUMIF(Transactions_and_Customer_Information_Joined[Customer ID], 'V1-Based Churn Model (Step 3)'!$A275, Transactions_and_Customer_Information_Joined[Gross Revenue])</f>
        <v>497.04</v>
      </c>
      <c r="L275" s="3">
        <f t="shared" si="18"/>
        <v>0</v>
      </c>
      <c r="M275" s="21">
        <v>0</v>
      </c>
      <c r="N275" s="21" cm="1">
        <f t="array" ref="N275">SUMPRODUCT(
    (Transactions_and_Customer_Information_Joined[Customer ID]=$A275)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275" s="21" cm="1">
        <f t="array" ref="O275">IFERROR(
    SUMPRODUCT(
        (Transactions_and_Customer_Information_Joined[Customer ID]=$A275)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$J275,
0)</f>
        <v>0</v>
      </c>
      <c r="P275" s="5" cm="1">
        <f t="array" ref="P275">_xlfn.IFS(B275="At-Risk Churner",$B$2,$B275="Dormant",$B$3,$B275="Deal Hunter",$B$4,$B275="New Customer",$B$5,$B275="Occasional Buyer",$B$6,$B275="Loyal High-Value",$B$7)</f>
        <v>25</v>
      </c>
      <c r="Q275" s="9" cm="1">
        <f t="array" ref="Q275">_xlfn.IFS($B275 = "At-Risk Churner", $B$8, $B275="Dormant",$B$9, $B275="Deal Hunter", $B$10, $B275="New Customer", $B$11, $B275="Occasional Buyer", $B$12, $B275 = "Loyal High-Value",$B$13)</f>
        <v>0.18</v>
      </c>
      <c r="R275" s="5">
        <v>-5</v>
      </c>
      <c r="S275" s="5">
        <v>-8</v>
      </c>
      <c r="T275" s="5">
        <v>-5</v>
      </c>
      <c r="U275" s="5">
        <f t="shared" si="19"/>
        <v>0</v>
      </c>
      <c r="V275" s="5">
        <f t="shared" si="20"/>
        <v>0</v>
      </c>
      <c r="W275" s="43">
        <f t="shared" si="21"/>
        <v>6.8</v>
      </c>
      <c r="X275" s="5" t="str" cm="1">
        <f t="array" ref="X275">_xlfn.IFS($W275 &lt;= 30, "Low", $W275 &lt;=50, "Medium", $W275 &lt;= 70, "High", $W275 &gt; 70, "Critical")</f>
        <v>Low</v>
      </c>
      <c r="Y275" s="9">
        <f t="shared" si="22"/>
        <v>2.3625573006785037E-3</v>
      </c>
      <c r="Z275" s="22">
        <f t="shared" si="23"/>
        <v>1.8692317107238254</v>
      </c>
    </row>
    <row r="276" spans="1:26">
      <c r="A276" s="24" t="str">
        <v>CUST-4054</v>
      </c>
      <c r="B276" s="24" t="str">
        <v>New Customer</v>
      </c>
      <c r="C276" s="24" t="str">
        <v>Direct</v>
      </c>
      <c r="D276" s="24" t="str">
        <v>West</v>
      </c>
      <c r="E276" s="24" t="str">
        <v>25-34</v>
      </c>
      <c r="F276" s="24" t="str">
        <v>Low</v>
      </c>
      <c r="G276" s="24">
        <v>7</v>
      </c>
      <c r="H276" s="24">
        <v>113</v>
      </c>
      <c r="I276" s="23">
        <v>57.97</v>
      </c>
      <c r="J276" s="24" cm="1">
        <f t="array" ref="J276">SUMPRODUCT(
    (Transactions_and_Customer_Information_Joined[Customer ID]='V1-Based Churn Model (Step 3)'!$A276) *
    (IFERROR(_xlfn.XLOOKUP(Transactions_and_Customer_Information_Joined[SKU], 'V1 Pricing Model (Step 2)'!$A$22:$A$71, 'V1 Pricing Model (Step 2)'!$AL$22:$AL$71), "Exclude")&lt;&gt;"Exclude") *
    Transactions_and_Customer_Information_Joined[Gross Revenue])</f>
        <v>424.24</v>
      </c>
      <c r="K276" s="24">
        <f>SUMIF(Transactions_and_Customer_Information_Joined[Customer ID], 'V1-Based Churn Model (Step 3)'!$A276, Transactions_and_Customer_Information_Joined[Gross Revenue])</f>
        <v>642.29</v>
      </c>
      <c r="L276" s="3">
        <f t="shared" si="18"/>
        <v>0.66051160690653765</v>
      </c>
      <c r="M276" s="21">
        <v>0.18762795201583557</v>
      </c>
      <c r="N276" s="21" cm="1">
        <f t="array" ref="N276">SUMPRODUCT(
    (Transactions_and_Customer_Information_Joined[Customer ID]=$A276)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76" s="21" cm="1">
        <f t="array" ref="O276">IFERROR(
    SUMPRODUCT(
        (Transactions_and_Customer_Information_Joined[Customer ID]=$A276)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$J276,
0)</f>
        <v>0.18762795201583557</v>
      </c>
      <c r="P276" s="5" cm="1">
        <f t="array" ref="P276">_xlfn.IFS(B276="At-Risk Churner",$B$2,$B276="Dormant",$B$3,$B276="Deal Hunter",$B$4,$B276="New Customer",$B$5,$B276="Occasional Buyer",$B$6,$B276="Loyal High-Value",$B$7)</f>
        <v>35</v>
      </c>
      <c r="Q276" s="9" cm="1">
        <f t="array" ref="Q276">_xlfn.IFS($B276 = "At-Risk Churner", $B$8, $B276="Dormant",$B$9, $B276="Deal Hunter", $B$10, $B276="New Customer", $B$11, $B276="Occasional Buyer", $B$12, $B276 = "Loyal High-Value",$B$13)</f>
        <v>0.35</v>
      </c>
      <c r="R276" s="5">
        <v>-5</v>
      </c>
      <c r="S276" s="5">
        <v>-8</v>
      </c>
      <c r="T276" s="5">
        <v>0</v>
      </c>
      <c r="U276" s="5">
        <f t="shared" si="19"/>
        <v>15</v>
      </c>
      <c r="V276" s="5">
        <f t="shared" si="20"/>
        <v>7.505118080633423</v>
      </c>
      <c r="W276" s="43">
        <f t="shared" si="21"/>
        <v>44.112618080633425</v>
      </c>
      <c r="X276" s="5" t="str" cm="1">
        <f t="array" ref="X276">_xlfn.IFS($W276 &lt;= 30, "Low", $W276 &lt;=50, "Medium", $W276 &lt;= 70, "High", $W276 &gt; 70, "Critical")</f>
        <v>Medium</v>
      </c>
      <c r="Y276" s="9">
        <f t="shared" si="22"/>
        <v>0.1249235484041729</v>
      </c>
      <c r="Z276" s="22">
        <f t="shared" si="23"/>
        <v>17.387454480791924</v>
      </c>
    </row>
    <row r="277" spans="1:26">
      <c r="A277" s="24" t="str">
        <v>CUST-1279</v>
      </c>
      <c r="B277" s="24" t="str">
        <v>Loyal High-Value</v>
      </c>
      <c r="C277" s="24" t="str">
        <v>Paid Social</v>
      </c>
      <c r="D277" s="24" t="str">
        <v>Northeast</v>
      </c>
      <c r="E277" s="24" t="str">
        <v>35-44</v>
      </c>
      <c r="F277" s="24" t="str">
        <v>Medium</v>
      </c>
      <c r="G277" s="24">
        <v>10</v>
      </c>
      <c r="H277" s="24">
        <v>181</v>
      </c>
      <c r="I277" s="23">
        <v>2070.69</v>
      </c>
      <c r="J277" s="24" cm="1">
        <f t="array" ref="J277">SUMPRODUCT(
    (Transactions_and_Customer_Information_Joined[Customer ID]='V1-Based Churn Model (Step 3)'!$A277) *
    (IFERROR(_xlfn.XLOOKUP(Transactions_and_Customer_Information_Joined[SKU], 'V1 Pricing Model (Step 2)'!$A$22:$A$71, 'V1 Pricing Model (Step 2)'!$AL$22:$AL$71), "Exclude")&lt;&gt;"Exclude") *
    Transactions_and_Customer_Information_Joined[Gross Revenue])</f>
        <v>74.699999999999989</v>
      </c>
      <c r="K277" s="24">
        <f>SUMIF(Transactions_and_Customer_Information_Joined[Customer ID], 'V1-Based Churn Model (Step 3)'!$A277, Transactions_and_Customer_Information_Joined[Gross Revenue])</f>
        <v>74.699999999999989</v>
      </c>
      <c r="L277" s="3">
        <f t="shared" si="18"/>
        <v>1</v>
      </c>
      <c r="M277" s="21">
        <v>-0.13274948234794526</v>
      </c>
      <c r="N277" s="21" cm="1">
        <f t="array" ref="N277">SUMPRODUCT(
    (Transactions_and_Customer_Information_Joined[Customer ID]=$A277)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77" s="21" cm="1">
        <f t="array" ref="O277">IFERROR(
    SUMPRODUCT(
        (Transactions_and_Customer_Information_Joined[Customer ID]=$A277)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$J277,
0)</f>
        <v>-0.13274948234794526</v>
      </c>
      <c r="P277" s="5" cm="1">
        <f t="array" ref="P277">_xlfn.IFS(B277="At-Risk Churner",$B$2,$B277="Dormant",$B$3,$B277="Deal Hunter",$B$4,$B277="New Customer",$B$5,$B277="Occasional Buyer",$B$6,$B277="Loyal High-Value",$B$7)</f>
        <v>15</v>
      </c>
      <c r="Q277" s="9" cm="1">
        <f t="array" ref="Q277">_xlfn.IFS($B277 = "At-Risk Churner", $B$8, $B277="Dormant",$B$9, $B277="Deal Hunter", $B$10, $B277="New Customer", $B$11, $B277="Occasional Buyer", $B$12, $B277 = "Loyal High-Value",$B$13)</f>
        <v>0.05</v>
      </c>
      <c r="R277" s="5">
        <v>5</v>
      </c>
      <c r="S277" s="5">
        <v>-8</v>
      </c>
      <c r="T277" s="5">
        <v>8</v>
      </c>
      <c r="U277" s="5">
        <f t="shared" si="19"/>
        <v>15</v>
      </c>
      <c r="V277" s="5">
        <f t="shared" si="20"/>
        <v>5.3099792939178103</v>
      </c>
      <c r="W277" s="43">
        <f t="shared" si="21"/>
        <v>40.302479293917813</v>
      </c>
      <c r="X277" s="5" t="str" cm="1">
        <f t="array" ref="X277">_xlfn.IFS($W277 &lt;= 30, "Low", $W277 &lt;=50, "Medium", $W277 &lt;= 70, "High", $W277 &gt; 70, "Critical")</f>
        <v>Medium</v>
      </c>
      <c r="Y277" s="9">
        <f t="shared" si="22"/>
        <v>1.3746496127752382E-2</v>
      </c>
      <c r="Z277" s="22">
        <f t="shared" si="23"/>
        <v>436.9097856534205</v>
      </c>
    </row>
    <row r="278" spans="1:26">
      <c r="A278" s="24" t="str">
        <v>CUST-2672</v>
      </c>
      <c r="B278" s="24" t="str">
        <v>Loyal High-Value</v>
      </c>
      <c r="C278" s="24" t="str">
        <v>Organic Search</v>
      </c>
      <c r="D278" s="24" t="str">
        <v>Southwest</v>
      </c>
      <c r="E278" s="24" t="str">
        <v>35-44</v>
      </c>
      <c r="F278" s="24" t="str">
        <v>Medium</v>
      </c>
      <c r="G278" s="24">
        <v>4</v>
      </c>
      <c r="H278" s="24">
        <v>92</v>
      </c>
      <c r="I278" s="23">
        <v>2231.96</v>
      </c>
      <c r="J278" s="24" cm="1">
        <f t="array" ref="J278">SUMPRODUCT(
    (Transactions_and_Customer_Information_Joined[Customer ID]='V1-Based Churn Model (Step 3)'!$A278) *
    (IFERROR(_xlfn.XLOOKUP(Transactions_and_Customer_Information_Joined[SKU], 'V1 Pricing Model (Step 2)'!$A$22:$A$71, 'V1 Pricing Model (Step 2)'!$AL$22:$AL$71), "Exclude")&lt;&gt;"Exclude") *
    Transactions_and_Customer_Information_Joined[Gross Revenue])</f>
        <v>135.12</v>
      </c>
      <c r="K278" s="24">
        <f>SUMIF(Transactions_and_Customer_Information_Joined[Customer ID], 'V1-Based Churn Model (Step 3)'!$A278, Transactions_and_Customer_Information_Joined[Gross Revenue])</f>
        <v>135.12</v>
      </c>
      <c r="L278" s="3">
        <f t="shared" si="18"/>
        <v>1</v>
      </c>
      <c r="M278" s="21">
        <v>0.10788177153562864</v>
      </c>
      <c r="N278" s="21" cm="1">
        <f t="array" ref="N278">SUMPRODUCT(
    (Transactions_and_Customer_Information_Joined[Customer ID]=$A278)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78" s="21" cm="1">
        <f t="array" ref="O278">IFERROR(
    SUMPRODUCT(
        (Transactions_and_Customer_Information_Joined[Customer ID]=$A278)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$J278,
0)</f>
        <v>0.10788177153562864</v>
      </c>
      <c r="P278" s="5" cm="1">
        <f t="array" ref="P278">_xlfn.IFS(B278="At-Risk Churner",$B$2,$B278="Dormant",$B$3,$B278="Deal Hunter",$B$4,$B278="New Customer",$B$5,$B278="Occasional Buyer",$B$6,$B278="Loyal High-Value",$B$7)</f>
        <v>15</v>
      </c>
      <c r="Q278" s="9" cm="1">
        <f t="array" ref="Q278">_xlfn.IFS($B278 = "At-Risk Churner", $B$8, $B278="Dormant",$B$9, $B278="Deal Hunter", $B$10, $B278="New Customer", $B$11, $B278="Occasional Buyer", $B$12, $B278 = "Loyal High-Value",$B$13)</f>
        <v>0.05</v>
      </c>
      <c r="R278" s="5">
        <v>5</v>
      </c>
      <c r="S278" s="5">
        <v>0</v>
      </c>
      <c r="T278" s="5">
        <v>0</v>
      </c>
      <c r="U278" s="5">
        <f t="shared" si="19"/>
        <v>15</v>
      </c>
      <c r="V278" s="5">
        <f t="shared" si="20"/>
        <v>4.3152708614251454</v>
      </c>
      <c r="W278" s="43">
        <f t="shared" si="21"/>
        <v>39.427770861425145</v>
      </c>
      <c r="X278" s="5" t="str" cm="1">
        <f t="array" ref="X278">_xlfn.IFS($W278 &lt;= 30, "Low", $W278 &lt;=50, "Medium", $W278 &lt;= 70, "High", $W278 &gt; 70, "Critical")</f>
        <v>Medium</v>
      </c>
      <c r="Y278" s="9">
        <f t="shared" si="22"/>
        <v>1.2892025852366885E-2</v>
      </c>
      <c r="Z278" s="22">
        <f t="shared" si="23"/>
        <v>469.41158881715904</v>
      </c>
    </row>
    <row r="279" spans="1:26">
      <c r="A279" s="24" t="str">
        <v>CUST-3748</v>
      </c>
      <c r="B279" s="24" t="str">
        <v>Occasional Buyer</v>
      </c>
      <c r="C279" s="24" t="str">
        <v>Referral</v>
      </c>
      <c r="D279" s="24" t="str">
        <v>Midwest</v>
      </c>
      <c r="E279" s="24" t="str">
        <v>45-54</v>
      </c>
      <c r="F279" s="24" t="str">
        <v>Low</v>
      </c>
      <c r="G279" s="24">
        <v>5</v>
      </c>
      <c r="H279" s="24">
        <v>22</v>
      </c>
      <c r="I279" s="23">
        <v>683.03</v>
      </c>
      <c r="J279" s="24" cm="1">
        <f t="array" ref="J279">SUMPRODUCT(
    (Transactions_and_Customer_Information_Joined[Customer ID]='V1-Based Churn Model (Step 3)'!$A279) *
    (IFERROR(_xlfn.XLOOKUP(Transactions_and_Customer_Information_Joined[SKU], 'V1 Pricing Model (Step 2)'!$A$22:$A$71, 'V1 Pricing Model (Step 2)'!$AL$22:$AL$71), "Exclude")&lt;&gt;"Exclude") *
    Transactions_and_Customer_Information_Joined[Gross Revenue])</f>
        <v>588.84</v>
      </c>
      <c r="K279" s="24">
        <f>SUMIF(Transactions_and_Customer_Information_Joined[Customer ID], 'V1-Based Churn Model (Step 3)'!$A279, Transactions_and_Customer_Information_Joined[Gross Revenue])</f>
        <v>999.6400000000001</v>
      </c>
      <c r="L279" s="3">
        <f t="shared" si="18"/>
        <v>0.58905205874114674</v>
      </c>
      <c r="M279" s="21">
        <v>0.16615780750618397</v>
      </c>
      <c r="N279" s="21" cm="1">
        <f t="array" ref="N279">SUMPRODUCT(
    (Transactions_and_Customer_Information_Joined[Customer ID]=$A279)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79" s="21" cm="1">
        <f t="array" ref="O279">IFERROR(
    SUMPRODUCT(
        (Transactions_and_Customer_Information_Joined[Customer ID]=$A279)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$J279,
0)</f>
        <v>0.16615780750618397</v>
      </c>
      <c r="P279" s="5" cm="1">
        <f t="array" ref="P279">_xlfn.IFS(B279="At-Risk Churner",$B$2,$B279="Dormant",$B$3,$B279="Deal Hunter",$B$4,$B279="New Customer",$B$5,$B279="Occasional Buyer",$B$6,$B279="Loyal High-Value",$B$7)</f>
        <v>25</v>
      </c>
      <c r="Q279" s="9" cm="1">
        <f t="array" ref="Q279">_xlfn.IFS($B279 = "At-Risk Churner", $B$8, $B279="Dormant",$B$9, $B279="Deal Hunter", $B$10, $B279="New Customer", $B$11, $B279="Occasional Buyer", $B$12, $B279 = "Loyal High-Value",$B$13)</f>
        <v>0.18</v>
      </c>
      <c r="R279" s="5">
        <v>-5</v>
      </c>
      <c r="S279" s="5">
        <v>0</v>
      </c>
      <c r="T279" s="5">
        <v>-5</v>
      </c>
      <c r="U279" s="5">
        <f t="shared" si="19"/>
        <v>14.726301468528668</v>
      </c>
      <c r="V279" s="5">
        <f t="shared" si="20"/>
        <v>6.6463123002473594</v>
      </c>
      <c r="W279" s="43">
        <f t="shared" si="21"/>
        <v>36.262166507762061</v>
      </c>
      <c r="X279" s="5" t="str" cm="1">
        <f t="array" ref="X279">_xlfn.IFS($W279 &lt;= 30, "Low", $W279 &lt;=50, "Medium", $W279 &lt;= 70, "High", $W279 &gt; 70, "Critical")</f>
        <v>Medium</v>
      </c>
      <c r="Y279" s="9">
        <f t="shared" si="22"/>
        <v>3.6361669881934358E-2</v>
      </c>
      <c r="Z279" s="22">
        <f t="shared" si="23"/>
        <v>156.47488910356611</v>
      </c>
    </row>
    <row r="280" spans="1:26">
      <c r="A280" s="24" t="str">
        <v>CUST-2702</v>
      </c>
      <c r="B280" s="24" t="str">
        <v>Deal Hunter</v>
      </c>
      <c r="C280" s="24" t="str">
        <v>Influencer</v>
      </c>
      <c r="D280" s="24" t="str">
        <v>UK</v>
      </c>
      <c r="E280" s="24" t="str">
        <v>35-44</v>
      </c>
      <c r="F280" s="24" t="str">
        <v>High</v>
      </c>
      <c r="G280" s="24">
        <v>3</v>
      </c>
      <c r="H280" s="24">
        <v>168</v>
      </c>
      <c r="I280" s="23">
        <v>235.97</v>
      </c>
      <c r="J280" s="24" cm="1">
        <f t="array" ref="J280">SUMPRODUCT(
    (Transactions_and_Customer_Information_Joined[Customer ID]='V1-Based Churn Model (Step 3)'!$A280) *
    (IFERROR(_xlfn.XLOOKUP(Transactions_and_Customer_Information_Joined[SKU], 'V1 Pricing Model (Step 2)'!$A$22:$A$71, 'V1 Pricing Model (Step 2)'!$AL$22:$AL$71), "Exclude")&lt;&gt;"Exclude") *
    Transactions_and_Customer_Information_Joined[Gross Revenue])</f>
        <v>144.94999999999999</v>
      </c>
      <c r="K280" s="24">
        <f>SUMIF(Transactions_and_Customer_Information_Joined[Customer ID], 'V1-Based Churn Model (Step 3)'!$A280, Transactions_and_Customer_Information_Joined[Gross Revenue])</f>
        <v>144.94999999999999</v>
      </c>
      <c r="L280" s="3">
        <f t="shared" si="18"/>
        <v>1</v>
      </c>
      <c r="M280" s="21">
        <v>0.25481331848064742</v>
      </c>
      <c r="N280" s="21" cm="1">
        <f t="array" ref="N280">SUMPRODUCT(
    (Transactions_and_Customer_Information_Joined[Customer ID]=$A280)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80" s="21" cm="1">
        <f t="array" ref="O280">IFERROR(
    SUMPRODUCT(
        (Transactions_and_Customer_Information_Joined[Customer ID]=$A280)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$J280,
0)</f>
        <v>0.25481331848064742</v>
      </c>
      <c r="P280" s="5" cm="1">
        <f t="array" ref="P280">_xlfn.IFS(B280="At-Risk Churner",$B$2,$B280="Dormant",$B$3,$B280="Deal Hunter",$B$4,$B280="New Customer",$B$5,$B280="Occasional Buyer",$B$6,$B280="Loyal High-Value",$B$7)</f>
        <v>45</v>
      </c>
      <c r="Q280" s="9" cm="1">
        <f t="array" ref="Q280">_xlfn.IFS($B280 = "At-Risk Churner", $B$8, $B280="Dormant",$B$9, $B280="Deal Hunter", $B$10, $B280="New Customer", $B$11, $B280="Occasional Buyer", $B$12, $B280 = "Loyal High-Value",$B$13)</f>
        <v>0.25</v>
      </c>
      <c r="R280" s="5">
        <v>15</v>
      </c>
      <c r="S280" s="5">
        <v>10</v>
      </c>
      <c r="T280" s="5">
        <v>0</v>
      </c>
      <c r="U280" s="5">
        <f t="shared" si="19"/>
        <v>15</v>
      </c>
      <c r="V280" s="5">
        <f t="shared" si="20"/>
        <v>10.192532739225896</v>
      </c>
      <c r="W280" s="43">
        <f t="shared" si="21"/>
        <v>95.980032739225905</v>
      </c>
      <c r="X280" s="5" t="str" cm="1">
        <f t="array" ref="X280">_xlfn.IFS($W280 &lt;= 30, "Low", $W280 &lt;=50, "Medium", $W280 &lt;= 70, "High", $W280 &gt; 70, "Critical")</f>
        <v>Critical</v>
      </c>
      <c r="Y280" s="9">
        <f t="shared" si="22"/>
        <v>0.24750712640020617</v>
      </c>
      <c r="Z280" s="22">
        <f t="shared" si="23"/>
        <v>58.404256616656646</v>
      </c>
    </row>
    <row r="281" spans="1:26">
      <c r="A281" s="24" t="str">
        <v>CUST-1593</v>
      </c>
      <c r="B281" s="24" t="str">
        <v>Occasional Buyer</v>
      </c>
      <c r="C281" s="24" t="str">
        <v>Influencer</v>
      </c>
      <c r="D281" s="24" t="str">
        <v>UK</v>
      </c>
      <c r="E281" s="24" t="str">
        <v>45-54</v>
      </c>
      <c r="F281" s="24" t="str">
        <v>High</v>
      </c>
      <c r="G281" s="24">
        <v>10</v>
      </c>
      <c r="H281" s="24">
        <v>191</v>
      </c>
      <c r="I281" s="23">
        <v>711.4</v>
      </c>
      <c r="J281" s="24" cm="1">
        <f t="array" ref="J281">SUMPRODUCT(
    (Transactions_and_Customer_Information_Joined[Customer ID]='V1-Based Churn Model (Step 3)'!$A281) *
    (IFERROR(_xlfn.XLOOKUP(Transactions_and_Customer_Information_Joined[SKU], 'V1 Pricing Model (Step 2)'!$A$22:$A$71, 'V1 Pricing Model (Step 2)'!$AL$22:$AL$71), "Exclude")&lt;&gt;"Exclude") *
    Transactions_and_Customer_Information_Joined[Gross Revenue])</f>
        <v>218.56</v>
      </c>
      <c r="K281" s="24">
        <f>SUMIF(Transactions_and_Customer_Information_Joined[Customer ID], 'V1-Based Churn Model (Step 3)'!$A281, Transactions_and_Customer_Information_Joined[Gross Revenue])</f>
        <v>218.56</v>
      </c>
      <c r="L281" s="3">
        <f t="shared" si="18"/>
        <v>1</v>
      </c>
      <c r="M281" s="21">
        <v>0.24833629343146826</v>
      </c>
      <c r="N281" s="21" cm="1">
        <f t="array" ref="N281">SUMPRODUCT(
    (Transactions_and_Customer_Information_Joined[Customer ID]=$A281)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81" s="21" cm="1">
        <f t="array" ref="O281">IFERROR(
    SUMPRODUCT(
        (Transactions_and_Customer_Information_Joined[Customer ID]=$A281)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$J281,
0)</f>
        <v>0.24833629343146826</v>
      </c>
      <c r="P281" s="5" cm="1">
        <f t="array" ref="P281">_xlfn.IFS(B281="At-Risk Churner",$B$2,$B281="Dormant",$B$3,$B281="Deal Hunter",$B$4,$B281="New Customer",$B$5,$B281="Occasional Buyer",$B$6,$B281="Loyal High-Value",$B$7)</f>
        <v>25</v>
      </c>
      <c r="Q281" s="9" cm="1">
        <f t="array" ref="Q281">_xlfn.IFS($B281 = "At-Risk Churner", $B$8, $B281="Dormant",$B$9, $B281="Deal Hunter", $B$10, $B281="New Customer", $B$11, $B281="Occasional Buyer", $B$12, $B281 = "Loyal High-Value",$B$13)</f>
        <v>0.18</v>
      </c>
      <c r="R281" s="5">
        <v>15</v>
      </c>
      <c r="S281" s="5">
        <v>-8</v>
      </c>
      <c r="T281" s="5">
        <v>8</v>
      </c>
      <c r="U281" s="5">
        <f t="shared" si="19"/>
        <v>15</v>
      </c>
      <c r="V281" s="5">
        <f t="shared" si="20"/>
        <v>9.9334517372587303</v>
      </c>
      <c r="W281" s="43">
        <f t="shared" si="21"/>
        <v>65.070951737258738</v>
      </c>
      <c r="X281" s="5" t="str" cm="1">
        <f t="array" ref="X281">_xlfn.IFS($W281 &lt;= 30, "Low", $W281 &lt;=50, "Medium", $W281 &lt;= 70, "High", $W281 &gt; 70, "Critical")</f>
        <v>High</v>
      </c>
      <c r="Y281" s="9">
        <f t="shared" si="22"/>
        <v>0.14735345628471594</v>
      </c>
      <c r="Z281" s="22">
        <f t="shared" si="23"/>
        <v>226.14179904075755</v>
      </c>
    </row>
    <row r="282" spans="1:26">
      <c r="A282" s="24" t="str">
        <v>CUST-1324</v>
      </c>
      <c r="B282" s="24" t="str">
        <v>Dormant</v>
      </c>
      <c r="C282" s="24" t="str">
        <v>Organic Search</v>
      </c>
      <c r="D282" s="24" t="str">
        <v>UK</v>
      </c>
      <c r="E282" s="24" t="str">
        <v>45-54</v>
      </c>
      <c r="F282" s="24" t="str">
        <v>Medium</v>
      </c>
      <c r="G282" s="24">
        <v>10</v>
      </c>
      <c r="H282" s="24">
        <v>293</v>
      </c>
      <c r="I282" s="23">
        <v>65.83</v>
      </c>
      <c r="J282" s="24" cm="1">
        <f t="array" ref="J282">SUMPRODUCT(
    (Transactions_and_Customer_Information_Joined[Customer ID]='V1-Based Churn Model (Step 3)'!$A282) *
    (IFERROR(_xlfn.XLOOKUP(Transactions_and_Customer_Information_Joined[SKU], 'V1 Pricing Model (Step 2)'!$A$22:$A$71, 'V1 Pricing Model (Step 2)'!$AL$22:$AL$71), "Exclude")&lt;&gt;"Exclude") *
    Transactions_and_Customer_Information_Joined[Gross Revenue])</f>
        <v>79.38</v>
      </c>
      <c r="K282" s="24">
        <f>SUMIF(Transactions_and_Customer_Information_Joined[Customer ID], 'V1-Based Churn Model (Step 3)'!$A282, Transactions_and_Customer_Information_Joined[Gross Revenue])</f>
        <v>79.38</v>
      </c>
      <c r="L282" s="3">
        <f t="shared" si="18"/>
        <v>1</v>
      </c>
      <c r="M282" s="21">
        <v>-4.5975852073346618E-2</v>
      </c>
      <c r="N282" s="21" cm="1">
        <f t="array" ref="N282">SUMPRODUCT(
    (Transactions_and_Customer_Information_Joined[Customer ID]=$A282)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82" s="21" cm="1">
        <f t="array" ref="O282">IFERROR(
    SUMPRODUCT(
        (Transactions_and_Customer_Information_Joined[Customer ID]=$A282)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$J282,
0)</f>
        <v>-4.5975852073346618E-2</v>
      </c>
      <c r="P282" s="5" cm="1">
        <f t="array" ref="P282">_xlfn.IFS(B282="At-Risk Churner",$B$2,$B282="Dormant",$B$3,$B282="Deal Hunter",$B$4,$B282="New Customer",$B$5,$B282="Occasional Buyer",$B$6,$B282="Loyal High-Value",$B$7)</f>
        <v>65</v>
      </c>
      <c r="Q282" s="9" cm="1">
        <f t="array" ref="Q282">_xlfn.IFS($B282 = "At-Risk Churner", $B$8, $B282="Dormant",$B$9, $B282="Deal Hunter", $B$10, $B282="New Customer", $B$11, $B282="Occasional Buyer", $B$12, $B282 = "Loyal High-Value",$B$13)</f>
        <v>0.6</v>
      </c>
      <c r="R282" s="5">
        <v>5</v>
      </c>
      <c r="S282" s="5">
        <v>-8</v>
      </c>
      <c r="T282" s="5">
        <v>8</v>
      </c>
      <c r="U282" s="5">
        <f t="shared" si="19"/>
        <v>15</v>
      </c>
      <c r="V282" s="5">
        <f t="shared" si="20"/>
        <v>1.8390340829338647</v>
      </c>
      <c r="W282" s="43">
        <f t="shared" si="21"/>
        <v>86.431534082933865</v>
      </c>
      <c r="X282" s="5" t="str" cm="1">
        <f t="array" ref="X282">_xlfn.IFS($W282 &lt;= 30, "Low", $W282 &lt;=50, "Medium", $W282 &lt;= 70, "High", $W282 &gt; 70, "Critical")</f>
        <v>Critical</v>
      </c>
      <c r="Y282" s="9">
        <f t="shared" si="22"/>
        <v>0.58469861841507265</v>
      </c>
      <c r="Z282" s="22">
        <f t="shared" si="23"/>
        <v>38.490710050264234</v>
      </c>
    </row>
    <row r="283" spans="1:26">
      <c r="A283" s="24" t="str">
        <v>CUST-3323</v>
      </c>
      <c r="B283" s="24" t="str">
        <v>At-Risk Churner</v>
      </c>
      <c r="C283" s="24" t="str">
        <v>Direct</v>
      </c>
      <c r="D283" s="24" t="str">
        <v>West</v>
      </c>
      <c r="E283" s="24" t="str">
        <v>45-54</v>
      </c>
      <c r="F283" s="24" t="str">
        <v>High</v>
      </c>
      <c r="G283" s="24">
        <v>4</v>
      </c>
      <c r="H283" s="24">
        <v>286</v>
      </c>
      <c r="I283" s="23">
        <v>155.07</v>
      </c>
      <c r="J283" s="24" cm="1">
        <f t="array" ref="J283">SUMPRODUCT(
    (Transactions_and_Customer_Information_Joined[Customer ID]='V1-Based Churn Model (Step 3)'!$A283) *
    (IFERROR(_xlfn.XLOOKUP(Transactions_and_Customer_Information_Joined[SKU], 'V1 Pricing Model (Step 2)'!$A$22:$A$71, 'V1 Pricing Model (Step 2)'!$AL$22:$AL$71), "Exclude")&lt;&gt;"Exclude") *
    Transactions_and_Customer_Information_Joined[Gross Revenue])</f>
        <v>339.8</v>
      </c>
      <c r="K283" s="24">
        <f>SUMIF(Transactions_and_Customer_Information_Joined[Customer ID], 'V1-Based Churn Model (Step 3)'!$A283, Transactions_and_Customer_Information_Joined[Gross Revenue])</f>
        <v>339.8</v>
      </c>
      <c r="L283" s="3">
        <f t="shared" si="18"/>
        <v>1</v>
      </c>
      <c r="M283" s="21">
        <v>0</v>
      </c>
      <c r="N283" s="21" cm="1">
        <f t="array" ref="N283">SUMPRODUCT(
    (Transactions_and_Customer_Information_Joined[Customer ID]=$A283)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83" s="21" cm="1">
        <f t="array" ref="O283">IFERROR(
    SUMPRODUCT(
        (Transactions_and_Customer_Information_Joined[Customer ID]=$A283)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$J283,
0)</f>
        <v>0</v>
      </c>
      <c r="P283" s="5" cm="1">
        <f t="array" ref="P283">_xlfn.IFS(B283="At-Risk Churner",$B$2,$B283="Dormant",$B$3,$B283="Deal Hunter",$B$4,$B283="New Customer",$B$5,$B283="Occasional Buyer",$B$6,$B283="Loyal High-Value",$B$7)</f>
        <v>70</v>
      </c>
      <c r="Q283" s="9" cm="1">
        <f t="array" ref="Q283">_xlfn.IFS($B283 = "At-Risk Churner", $B$8, $B283="Dormant",$B$9, $B283="Deal Hunter", $B$10, $B283="New Customer", $B$11, $B283="Occasional Buyer", $B$12, $B283 = "Loyal High-Value",$B$13)</f>
        <v>0.45</v>
      </c>
      <c r="R283" s="5">
        <v>15</v>
      </c>
      <c r="S283" s="5">
        <v>0</v>
      </c>
      <c r="T283" s="5">
        <v>8</v>
      </c>
      <c r="U283" s="5">
        <f t="shared" si="19"/>
        <v>15</v>
      </c>
      <c r="V283" s="5">
        <f t="shared" si="20"/>
        <v>0</v>
      </c>
      <c r="W283" s="43">
        <f t="shared" si="21"/>
        <v>100</v>
      </c>
      <c r="X283" s="5" t="str" cm="1">
        <f t="array" ref="X283">_xlfn.IFS($W283 &lt;= 30, "Low", $W283 &lt;=50, "Medium", $W283 &lt;= 70, "High", $W283 &gt; 70, "Critical")</f>
        <v>Critical</v>
      </c>
      <c r="Y283" s="9">
        <f t="shared" si="22"/>
        <v>0.44698821708407188</v>
      </c>
      <c r="Z283" s="22">
        <f t="shared" si="23"/>
        <v>69.314462823227018</v>
      </c>
    </row>
    <row r="284" spans="1:26">
      <c r="A284" s="24" t="str">
        <v>CUST-1475</v>
      </c>
      <c r="B284" s="24" t="str">
        <v>Occasional Buyer</v>
      </c>
      <c r="C284" s="24" t="str">
        <v>Organic Search</v>
      </c>
      <c r="D284" s="24" t="str">
        <v>Southeast</v>
      </c>
      <c r="E284" s="24" t="str">
        <v>35-44</v>
      </c>
      <c r="F284" s="24" t="str">
        <v>High</v>
      </c>
      <c r="G284" s="24">
        <v>7</v>
      </c>
      <c r="H284" s="24">
        <v>125</v>
      </c>
      <c r="I284" s="23">
        <v>619.85</v>
      </c>
      <c r="J284" s="24" cm="1">
        <f t="array" ref="J284">SUMPRODUCT(
    (Transactions_and_Customer_Information_Joined[Customer ID]='V1-Based Churn Model (Step 3)'!$A284)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284" s="24">
        <f>SUMIF(Transactions_and_Customer_Information_Joined[Customer ID], 'V1-Based Churn Model (Step 3)'!$A284, Transactions_and_Customer_Information_Joined[Gross Revenue])</f>
        <v>308.06</v>
      </c>
      <c r="L284" s="3">
        <f t="shared" si="18"/>
        <v>0</v>
      </c>
      <c r="M284" s="21">
        <v>0</v>
      </c>
      <c r="N284" s="21" cm="1">
        <f t="array" ref="N284">SUMPRODUCT(
    (Transactions_and_Customer_Information_Joined[Customer ID]=$A284)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284" s="21" cm="1">
        <f t="array" ref="O284">IFERROR(
    SUMPRODUCT(
        (Transactions_and_Customer_Information_Joined[Customer ID]=$A284)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$J284,
0)</f>
        <v>0</v>
      </c>
      <c r="P284" s="5" cm="1">
        <f t="array" ref="P284">_xlfn.IFS(B284="At-Risk Churner",$B$2,$B284="Dormant",$B$3,$B284="Deal Hunter",$B$4,$B284="New Customer",$B$5,$B284="Occasional Buyer",$B$6,$B284="Loyal High-Value",$B$7)</f>
        <v>25</v>
      </c>
      <c r="Q284" s="9" cm="1">
        <f t="array" ref="Q284">_xlfn.IFS($B284 = "At-Risk Churner", $B$8, $B284="Dormant",$B$9, $B284="Deal Hunter", $B$10, $B284="New Customer", $B$11, $B284="Occasional Buyer", $B$12, $B284 = "Loyal High-Value",$B$13)</f>
        <v>0.18</v>
      </c>
      <c r="R284" s="5">
        <v>15</v>
      </c>
      <c r="S284" s="5">
        <v>-8</v>
      </c>
      <c r="T284" s="5">
        <v>0</v>
      </c>
      <c r="U284" s="5">
        <f t="shared" si="19"/>
        <v>0</v>
      </c>
      <c r="V284" s="5">
        <f t="shared" si="20"/>
        <v>0</v>
      </c>
      <c r="W284" s="43">
        <f t="shared" si="21"/>
        <v>31.8</v>
      </c>
      <c r="X284" s="5" t="str" cm="1">
        <f t="array" ref="X284">_xlfn.IFS($W284 &lt;= 30, "Low", $W284 &lt;=50, "Medium", $W284 &lt;= 70, "High", $W284 &gt; 70, "Critical")</f>
        <v>Medium</v>
      </c>
      <c r="Y284" s="9">
        <f t="shared" si="22"/>
        <v>2.5098097133097019E-2</v>
      </c>
      <c r="Z284" s="22">
        <f t="shared" si="23"/>
        <v>136.41564440636017</v>
      </c>
    </row>
    <row r="285" spans="1:26">
      <c r="A285" s="24" t="str">
        <v>CUST-4014</v>
      </c>
      <c r="B285" s="24" t="str">
        <v>New Customer</v>
      </c>
      <c r="C285" s="24" t="str">
        <v>Paid Social</v>
      </c>
      <c r="D285" s="24" t="str">
        <v>Midwest</v>
      </c>
      <c r="E285" s="24" t="str">
        <v>25-34</v>
      </c>
      <c r="F285" s="24" t="str">
        <v>Medium</v>
      </c>
      <c r="G285" s="24">
        <v>9</v>
      </c>
      <c r="H285" s="24">
        <v>66</v>
      </c>
      <c r="I285" s="23">
        <v>110.32</v>
      </c>
      <c r="J285" s="24" cm="1">
        <f t="array" ref="J285">SUMPRODUCT(
    (Transactions_and_Customer_Information_Joined[Customer ID]='V1-Based Churn Model (Step 3)'!$A285) *
    (IFERROR(_xlfn.XLOOKUP(Transactions_and_Customer_Information_Joined[SKU], 'V1 Pricing Model (Step 2)'!$A$22:$A$71, 'V1 Pricing Model (Step 2)'!$AL$22:$AL$71), "Exclude")&lt;&gt;"Exclude") *
    Transactions_and_Customer_Information_Joined[Gross Revenue])</f>
        <v>1033.96</v>
      </c>
      <c r="K285" s="24">
        <f>SUMIF(Transactions_and_Customer_Information_Joined[Customer ID], 'V1-Based Churn Model (Step 3)'!$A285, Transactions_and_Customer_Information_Joined[Gross Revenue])</f>
        <v>1033.96</v>
      </c>
      <c r="L285" s="3">
        <f t="shared" si="18"/>
        <v>1</v>
      </c>
      <c r="M285" s="21">
        <v>0.16615780750618397</v>
      </c>
      <c r="N285" s="21" cm="1">
        <f t="array" ref="N285">SUMPRODUCT(
    (Transactions_and_Customer_Information_Joined[Customer ID]=$A285)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85" s="21" cm="1">
        <f t="array" ref="O285">IFERROR(
    SUMPRODUCT(
        (Transactions_and_Customer_Information_Joined[Customer ID]=$A285)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$J285,
0)</f>
        <v>0.14795170539728891</v>
      </c>
      <c r="P285" s="5" cm="1">
        <f t="array" ref="P285">_xlfn.IFS(B285="At-Risk Churner",$B$2,$B285="Dormant",$B$3,$B285="Deal Hunter",$B$4,$B285="New Customer",$B$5,$B285="Occasional Buyer",$B$6,$B285="Loyal High-Value",$B$7)</f>
        <v>35</v>
      </c>
      <c r="Q285" s="9" cm="1">
        <f t="array" ref="Q285">_xlfn.IFS($B285 = "At-Risk Churner", $B$8, $B285="Dormant",$B$9, $B285="Deal Hunter", $B$10, $B285="New Customer", $B$11, $B285="Occasional Buyer", $B$12, $B285 = "Loyal High-Value",$B$13)</f>
        <v>0.35</v>
      </c>
      <c r="R285" s="5">
        <v>5</v>
      </c>
      <c r="S285" s="5">
        <v>-8</v>
      </c>
      <c r="T285" s="5">
        <v>0</v>
      </c>
      <c r="U285" s="5">
        <f t="shared" si="19"/>
        <v>15</v>
      </c>
      <c r="V285" s="5">
        <f t="shared" si="20"/>
        <v>6.2821902580694582</v>
      </c>
      <c r="W285" s="43">
        <f t="shared" si="21"/>
        <v>53.114690258069452</v>
      </c>
      <c r="X285" s="5" t="str" cm="1">
        <f t="array" ref="X285">_xlfn.IFS($W285 &lt;= 30, "Low", $W285 &lt;=50, "Medium", $W285 &lt;= 70, "High", $W285 &gt; 70, "Critical")</f>
        <v>High</v>
      </c>
      <c r="Y285" s="9">
        <f t="shared" si="22"/>
        <v>0.2020353275879469</v>
      </c>
      <c r="Z285" s="22">
        <f t="shared" si="23"/>
        <v>39.894829871601843</v>
      </c>
    </row>
    <row r="286" spans="1:26">
      <c r="A286" s="24" t="str">
        <v>CUST-2186</v>
      </c>
      <c r="B286" s="24" t="str">
        <v>Deal Hunter</v>
      </c>
      <c r="C286" s="24" t="str">
        <v>Influencer</v>
      </c>
      <c r="D286" s="24" t="str">
        <v>Southeast</v>
      </c>
      <c r="E286" s="24" t="str">
        <v>18-24</v>
      </c>
      <c r="F286" s="24" t="str">
        <v>Low</v>
      </c>
      <c r="G286" s="24">
        <v>9</v>
      </c>
      <c r="H286" s="24">
        <v>26</v>
      </c>
      <c r="I286" s="23">
        <v>100.41</v>
      </c>
      <c r="J286" s="24" cm="1">
        <f t="array" ref="J286">SUMPRODUCT(
    (Transactions_and_Customer_Information_Joined[Customer ID]='V1-Based Churn Model (Step 3)'!$A286) *
    (IFERROR(_xlfn.XLOOKUP(Transactions_and_Customer_Information_Joined[SKU], 'V1 Pricing Model (Step 2)'!$A$22:$A$71, 'V1 Pricing Model (Step 2)'!$AL$22:$AL$71), "Exclude")&lt;&gt;"Exclude") *
    Transactions_and_Customer_Information_Joined[Gross Revenue])</f>
        <v>174.23</v>
      </c>
      <c r="K286" s="24">
        <f>SUMIF(Transactions_and_Customer_Information_Joined[Customer ID], 'V1-Based Churn Model (Step 3)'!$A286, Transactions_and_Customer_Information_Joined[Gross Revenue])</f>
        <v>174.23</v>
      </c>
      <c r="L286" s="3">
        <f t="shared" si="18"/>
        <v>1</v>
      </c>
      <c r="M286" s="21">
        <v>5.8348079685156623E-2</v>
      </c>
      <c r="N286" s="21" cm="1">
        <f t="array" ref="N286">SUMPRODUCT(
    (Transactions_and_Customer_Information_Joined[Customer ID]=$A286)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86" s="21" cm="1">
        <f t="array" ref="O286">IFERROR(
    SUMPRODUCT(
        (Transactions_and_Customer_Information_Joined[Customer ID]=$A286)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$J286,
0)</f>
        <v>5.8348079685156623E-2</v>
      </c>
      <c r="P286" s="5" cm="1">
        <f t="array" ref="P286">_xlfn.IFS(B286="At-Risk Churner",$B$2,$B286="Dormant",$B$3,$B286="Deal Hunter",$B$4,$B286="New Customer",$B$5,$B286="Occasional Buyer",$B$6,$B286="Loyal High-Value",$B$7)</f>
        <v>45</v>
      </c>
      <c r="Q286" s="9" cm="1">
        <f t="array" ref="Q286">_xlfn.IFS($B286 = "At-Risk Churner", $B$8, $B286="Dormant",$B$9, $B286="Deal Hunter", $B$10, $B286="New Customer", $B$11, $B286="Occasional Buyer", $B$12, $B286 = "Loyal High-Value",$B$13)</f>
        <v>0.25</v>
      </c>
      <c r="R286" s="5">
        <v>-5</v>
      </c>
      <c r="S286" s="5">
        <v>-8</v>
      </c>
      <c r="T286" s="5">
        <v>-5</v>
      </c>
      <c r="U286" s="5">
        <f t="shared" si="19"/>
        <v>15</v>
      </c>
      <c r="V286" s="5">
        <f t="shared" si="20"/>
        <v>2.3339231874062651</v>
      </c>
      <c r="W286" s="43">
        <f t="shared" si="21"/>
        <v>43.861423187406267</v>
      </c>
      <c r="X286" s="5" t="str" cm="1">
        <f t="array" ref="X286">_xlfn.IFS($W286 &lt;= 30, "Low", $W286 &lt;=50, "Medium", $W286 &lt;= 70, "High", $W286 &gt; 70, "Critical")</f>
        <v>Medium</v>
      </c>
      <c r="Y286" s="9">
        <f t="shared" si="22"/>
        <v>8.7794927923175864E-2</v>
      </c>
      <c r="Z286" s="22">
        <f t="shared" si="23"/>
        <v>27.13439097021287</v>
      </c>
    </row>
    <row r="287" spans="1:26">
      <c r="A287" s="24" t="str">
        <v>CUST-3467</v>
      </c>
      <c r="B287" s="24" t="str">
        <v>At-Risk Churner</v>
      </c>
      <c r="C287" s="24" t="str">
        <v>Influencer</v>
      </c>
      <c r="D287" s="24" t="str">
        <v>Canada</v>
      </c>
      <c r="E287" s="24" t="str">
        <v>55+</v>
      </c>
      <c r="F287" s="24" t="str">
        <v>High</v>
      </c>
      <c r="G287" s="24">
        <v>5</v>
      </c>
      <c r="H287" s="24">
        <v>344</v>
      </c>
      <c r="I287" s="23">
        <v>165.43</v>
      </c>
      <c r="J287" s="24" cm="1">
        <f t="array" ref="J287">SUMPRODUCT(
    (Transactions_and_Customer_Information_Joined[Customer ID]='V1-Based Churn Model (Step 3)'!$A287) *
    (IFERROR(_xlfn.XLOOKUP(Transactions_and_Customer_Information_Joined[SKU], 'V1 Pricing Model (Step 2)'!$A$22:$A$71, 'V1 Pricing Model (Step 2)'!$AL$22:$AL$71), "Exclude")&lt;&gt;"Exclude") *
    Transactions_and_Customer_Information_Joined[Gross Revenue])</f>
        <v>105.84</v>
      </c>
      <c r="K287" s="24">
        <f>SUMIF(Transactions_and_Customer_Information_Joined[Customer ID], 'V1-Based Churn Model (Step 3)'!$A287, Transactions_and_Customer_Information_Joined[Gross Revenue])</f>
        <v>105.84</v>
      </c>
      <c r="L287" s="3">
        <f t="shared" si="18"/>
        <v>1</v>
      </c>
      <c r="M287" s="21">
        <v>-4.5975852073346618E-2</v>
      </c>
      <c r="N287" s="21" cm="1">
        <f t="array" ref="N287">SUMPRODUCT(
    (Transactions_and_Customer_Information_Joined[Customer ID]=$A287)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87" s="21" cm="1">
        <f t="array" ref="O287">IFERROR(
    SUMPRODUCT(
        (Transactions_and_Customer_Information_Joined[Customer ID]=$A287)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$J287,
0)</f>
        <v>-4.5975852073346618E-2</v>
      </c>
      <c r="P287" s="5" cm="1">
        <f t="array" ref="P287">_xlfn.IFS(B287="At-Risk Churner",$B$2,$B287="Dormant",$B$3,$B287="Deal Hunter",$B$4,$B287="New Customer",$B$5,$B287="Occasional Buyer",$B$6,$B287="Loyal High-Value",$B$7)</f>
        <v>70</v>
      </c>
      <c r="Q287" s="9" cm="1">
        <f t="array" ref="Q287">_xlfn.IFS($B287 = "At-Risk Churner", $B$8, $B287="Dormant",$B$9, $B287="Deal Hunter", $B$10, $B287="New Customer", $B$11, $B287="Occasional Buyer", $B$12, $B287 = "Loyal High-Value",$B$13)</f>
        <v>0.45</v>
      </c>
      <c r="R287" s="5">
        <v>15</v>
      </c>
      <c r="S287" s="5">
        <v>0</v>
      </c>
      <c r="T287" s="5">
        <v>15</v>
      </c>
      <c r="U287" s="5">
        <f t="shared" si="19"/>
        <v>15</v>
      </c>
      <c r="V287" s="5">
        <f t="shared" si="20"/>
        <v>1.8390340829338647</v>
      </c>
      <c r="W287" s="43">
        <f t="shared" si="21"/>
        <v>100</v>
      </c>
      <c r="X287" s="5" t="str" cm="1">
        <f t="array" ref="X287">_xlfn.IFS($W287 &lt;= 30, "Low", $W287 &lt;=50, "Medium", $W287 &lt;= 70, "High", $W287 &gt; 70, "Critical")</f>
        <v>Critical</v>
      </c>
      <c r="Y287" s="9">
        <f t="shared" si="22"/>
        <v>0.44698821708407188</v>
      </c>
      <c r="Z287" s="22">
        <f t="shared" si="23"/>
        <v>73.945260752218019</v>
      </c>
    </row>
    <row r="288" spans="1:26">
      <c r="A288" s="24" t="str">
        <v>CUST-1773</v>
      </c>
      <c r="B288" s="24" t="str">
        <v>Loyal High-Value</v>
      </c>
      <c r="C288" s="24" t="str">
        <v>Email Campaign</v>
      </c>
      <c r="D288" s="24" t="str">
        <v>Canada</v>
      </c>
      <c r="E288" s="24" t="str">
        <v>55+</v>
      </c>
      <c r="F288" s="24" t="str">
        <v>High</v>
      </c>
      <c r="G288" s="24">
        <v>6</v>
      </c>
      <c r="H288" s="24">
        <v>9</v>
      </c>
      <c r="I288" s="23">
        <v>1473.94</v>
      </c>
      <c r="J288" s="24" cm="1">
        <f t="array" ref="J288">SUMPRODUCT(
    (Transactions_and_Customer_Information_Joined[Customer ID]='V1-Based Churn Model (Step 3)'!$A288) *
    (IFERROR(_xlfn.XLOOKUP(Transactions_and_Customer_Information_Joined[SKU], 'V1 Pricing Model (Step 2)'!$A$22:$A$71, 'V1 Pricing Model (Step 2)'!$AL$22:$AL$71), "Exclude")&lt;&gt;"Exclude") *
    Transactions_and_Customer_Information_Joined[Gross Revenue])</f>
        <v>394.32</v>
      </c>
      <c r="K288" s="24">
        <f>SUMIF(Transactions_and_Customer_Information_Joined[Customer ID], 'V1-Based Churn Model (Step 3)'!$A288, Transactions_and_Customer_Information_Joined[Gross Revenue])</f>
        <v>394.32</v>
      </c>
      <c r="L288" s="3">
        <f t="shared" si="18"/>
        <v>1</v>
      </c>
      <c r="M288" s="21">
        <v>0</v>
      </c>
      <c r="N288" s="21" cm="1">
        <f t="array" ref="N288">SUMPRODUCT(
    (Transactions_and_Customer_Information_Joined[Customer ID]=$A288)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88" s="21" cm="1">
        <f t="array" ref="O288">IFERROR(
    SUMPRODUCT(
        (Transactions_and_Customer_Information_Joined[Customer ID]=$A288)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$J288,
0)</f>
        <v>0</v>
      </c>
      <c r="P288" s="5" cm="1">
        <f t="array" ref="P288">_xlfn.IFS(B288="At-Risk Churner",$B$2,$B288="Dormant",$B$3,$B288="Deal Hunter",$B$4,$B288="New Customer",$B$5,$B288="Occasional Buyer",$B$6,$B288="Loyal High-Value",$B$7)</f>
        <v>15</v>
      </c>
      <c r="Q288" s="9" cm="1">
        <f t="array" ref="Q288">_xlfn.IFS($B288 = "At-Risk Churner", $B$8, $B288="Dormant",$B$9, $B288="Deal Hunter", $B$10, $B288="New Customer", $B$11, $B288="Occasional Buyer", $B$12, $B288 = "Loyal High-Value",$B$13)</f>
        <v>0.05</v>
      </c>
      <c r="R288" s="5">
        <v>15</v>
      </c>
      <c r="S288" s="5">
        <v>0</v>
      </c>
      <c r="T288" s="5">
        <v>-5</v>
      </c>
      <c r="U288" s="5">
        <f t="shared" si="19"/>
        <v>15</v>
      </c>
      <c r="V288" s="5">
        <f t="shared" si="20"/>
        <v>0</v>
      </c>
      <c r="W288" s="43">
        <f t="shared" si="21"/>
        <v>40.337499999999999</v>
      </c>
      <c r="X288" s="5" t="str" cm="1">
        <f t="array" ref="X288">_xlfn.IFS($W288 &lt;= 30, "Low", $W288 &lt;=50, "Medium", $W288 &lt;= 70, "High", $W288 &gt; 70, "Critical")</f>
        <v>Medium</v>
      </c>
      <c r="Y288" s="9">
        <f t="shared" si="22"/>
        <v>1.3781429370478097E-2</v>
      </c>
      <c r="Z288" s="22">
        <f t="shared" si="23"/>
        <v>311.03840000505801</v>
      </c>
    </row>
    <row r="289" spans="1:26">
      <c r="A289" s="24" t="str">
        <v>CUST-2592</v>
      </c>
      <c r="B289" s="24" t="str">
        <v>New Customer</v>
      </c>
      <c r="C289" s="24" t="str">
        <v>Paid Social</v>
      </c>
      <c r="D289" s="24" t="str">
        <v>Midwest</v>
      </c>
      <c r="E289" s="24" t="str">
        <v>25-34</v>
      </c>
      <c r="F289" s="24" t="str">
        <v>Low</v>
      </c>
      <c r="G289" s="24">
        <v>5</v>
      </c>
      <c r="H289" s="24">
        <v>29</v>
      </c>
      <c r="I289" s="23">
        <v>38.56</v>
      </c>
      <c r="J289" s="24" cm="1">
        <f t="array" ref="J289">SUMPRODUCT(
    (Transactions_and_Customer_Information_Joined[Customer ID]='V1-Based Churn Model (Step 3)'!$A289) *
    (IFERROR(_xlfn.XLOOKUP(Transactions_and_Customer_Information_Joined[SKU], 'V1 Pricing Model (Step 2)'!$A$22:$A$71, 'V1 Pricing Model (Step 2)'!$AL$22:$AL$71), "Exclude")&lt;&gt;"Exclude") *
    Transactions_and_Customer_Information_Joined[Gross Revenue])</f>
        <v>67.8</v>
      </c>
      <c r="K289" s="24">
        <f>SUMIF(Transactions_and_Customer_Information_Joined[Customer ID], 'V1-Based Churn Model (Step 3)'!$A289, Transactions_and_Customer_Information_Joined[Gross Revenue])</f>
        <v>67.8</v>
      </c>
      <c r="L289" s="3">
        <f t="shared" si="18"/>
        <v>1</v>
      </c>
      <c r="M289" s="21">
        <v>-7.0269238925823692E-3</v>
      </c>
      <c r="N289" s="21" cm="1">
        <f t="array" ref="N289">SUMPRODUCT(
    (Transactions_and_Customer_Information_Joined[Customer ID]=$A289)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89" s="21" cm="1">
        <f t="array" ref="O289">IFERROR(
    SUMPRODUCT(
        (Transactions_and_Customer_Information_Joined[Customer ID]=$A289)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$J289,
0)</f>
        <v>-7.0269238925823692E-3</v>
      </c>
      <c r="P289" s="5" cm="1">
        <f t="array" ref="P289">_xlfn.IFS(B289="At-Risk Churner",$B$2,$B289="Dormant",$B$3,$B289="Deal Hunter",$B$4,$B289="New Customer",$B$5,$B289="Occasional Buyer",$B$6,$B289="Loyal High-Value",$B$7)</f>
        <v>35</v>
      </c>
      <c r="Q289" s="9" cm="1">
        <f t="array" ref="Q289">_xlfn.IFS($B289 = "At-Risk Churner", $B$8, $B289="Dormant",$B$9, $B289="Deal Hunter", $B$10, $B289="New Customer", $B$11, $B289="Occasional Buyer", $B$12, $B289 = "Loyal High-Value",$B$13)</f>
        <v>0.35</v>
      </c>
      <c r="R289" s="5">
        <v>-5</v>
      </c>
      <c r="S289" s="5">
        <v>0</v>
      </c>
      <c r="T289" s="5">
        <v>-5</v>
      </c>
      <c r="U289" s="5">
        <f t="shared" si="19"/>
        <v>15</v>
      </c>
      <c r="V289" s="5">
        <f t="shared" si="20"/>
        <v>0.28107695570329477</v>
      </c>
      <c r="W289" s="43">
        <f t="shared" si="21"/>
        <v>40.168576955703294</v>
      </c>
      <c r="X289" s="5" t="str" cm="1">
        <f t="array" ref="X289">_xlfn.IFS($W289 &lt;= 30, "Low", $W289 &lt;=50, "Medium", $W289 &lt;= 70, "High", $W289 &gt; 70, "Critical")</f>
        <v>Medium</v>
      </c>
      <c r="Y289" s="9">
        <f t="shared" si="22"/>
        <v>9.5294054424855612E-2</v>
      </c>
      <c r="Z289" s="22">
        <f t="shared" si="23"/>
        <v>10.651630990897946</v>
      </c>
    </row>
    <row r="290" spans="1:26">
      <c r="A290" s="24" t="str">
        <v>CUST-3110</v>
      </c>
      <c r="B290" s="24" t="str">
        <v>New Customer</v>
      </c>
      <c r="C290" s="24" t="str">
        <v>Influencer</v>
      </c>
      <c r="D290" s="24" t="str">
        <v>Canada</v>
      </c>
      <c r="E290" s="24" t="str">
        <v>35-44</v>
      </c>
      <c r="F290" s="24" t="str">
        <v>Low</v>
      </c>
      <c r="G290" s="24">
        <v>4</v>
      </c>
      <c r="H290" s="24">
        <v>10</v>
      </c>
      <c r="I290" s="23">
        <v>72.08</v>
      </c>
      <c r="J290" s="24" cm="1">
        <f t="array" ref="J290">SUMPRODUCT(
    (Transactions_and_Customer_Information_Joined[Customer ID]='V1-Based Churn Model (Step 3)'!$A290) *
    (IFERROR(_xlfn.XLOOKUP(Transactions_and_Customer_Information_Joined[SKU], 'V1 Pricing Model (Step 2)'!$A$22:$A$71, 'V1 Pricing Model (Step 2)'!$AL$22:$AL$71), "Exclude")&lt;&gt;"Exclude") *
    Transactions_and_Customer_Information_Joined[Gross Revenue])</f>
        <v>759.96</v>
      </c>
      <c r="K290" s="24">
        <f>SUMIF(Transactions_and_Customer_Information_Joined[Customer ID], 'V1-Based Churn Model (Step 3)'!$A290, Transactions_and_Customer_Information_Joined[Gross Revenue])</f>
        <v>759.96</v>
      </c>
      <c r="L290" s="3">
        <f t="shared" si="18"/>
        <v>1</v>
      </c>
      <c r="M290" s="21">
        <v>0.22185784964769206</v>
      </c>
      <c r="N290" s="21" cm="1">
        <f t="array" ref="N290">SUMPRODUCT(
    (Transactions_and_Customer_Information_Joined[Customer ID]=$A290)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90" s="21" cm="1">
        <f t="array" ref="O290">IFERROR(
    SUMPRODUCT(
        (Transactions_and_Customer_Information_Joined[Customer ID]=$A290)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$J290,
0)</f>
        <v>0.22185784964769206</v>
      </c>
      <c r="P290" s="5" cm="1">
        <f t="array" ref="P290">_xlfn.IFS(B290="At-Risk Churner",$B$2,$B290="Dormant",$B$3,$B290="Deal Hunter",$B$4,$B290="New Customer",$B$5,$B290="Occasional Buyer",$B$6,$B290="Loyal High-Value",$B$7)</f>
        <v>35</v>
      </c>
      <c r="Q290" s="9" cm="1">
        <f t="array" ref="Q290">_xlfn.IFS($B290 = "At-Risk Churner", $B$8, $B290="Dormant",$B$9, $B290="Deal Hunter", $B$10, $B290="New Customer", $B$11, $B290="Occasional Buyer", $B$12, $B290 = "Loyal High-Value",$B$13)</f>
        <v>0.35</v>
      </c>
      <c r="R290" s="5">
        <v>-5</v>
      </c>
      <c r="S290" s="5">
        <v>0</v>
      </c>
      <c r="T290" s="5">
        <v>-5</v>
      </c>
      <c r="U290" s="5">
        <f t="shared" si="19"/>
        <v>15</v>
      </c>
      <c r="V290" s="5">
        <f t="shared" si="20"/>
        <v>8.8743139859076834</v>
      </c>
      <c r="W290" s="43">
        <f t="shared" si="21"/>
        <v>48.761813985907686</v>
      </c>
      <c r="X290" s="5" t="str" cm="1">
        <f t="array" ref="X290">_xlfn.IFS($W290 &lt;= 30, "Low", $W290 &lt;=50, "Medium", $W290 &lt;= 70, "High", $W290 &gt; 70, "Critical")</f>
        <v>Medium</v>
      </c>
      <c r="Y290" s="9">
        <f t="shared" si="22"/>
        <v>0.16417969273149249</v>
      </c>
      <c r="Z290" s="22">
        <f t="shared" si="23"/>
        <v>23.883257801668783</v>
      </c>
    </row>
    <row r="291" spans="1:26">
      <c r="A291" s="24" t="str">
        <v>CUST-3476</v>
      </c>
      <c r="B291" s="24" t="str">
        <v>Dormant</v>
      </c>
      <c r="C291" s="24" t="str">
        <v>Influencer</v>
      </c>
      <c r="D291" s="24" t="str">
        <v>Southeast</v>
      </c>
      <c r="E291" s="24" t="str">
        <v>55+</v>
      </c>
      <c r="F291" s="24" t="str">
        <v>Low</v>
      </c>
      <c r="G291" s="24">
        <v>10</v>
      </c>
      <c r="H291" s="24">
        <v>322</v>
      </c>
      <c r="I291" s="23">
        <v>70.239999999999995</v>
      </c>
      <c r="J291" s="24" cm="1">
        <f t="array" ref="J291">SUMPRODUCT(
    (Transactions_and_Customer_Information_Joined[Customer ID]='V1-Based Churn Model (Step 3)'!$A291) *
    (IFERROR(_xlfn.XLOOKUP(Transactions_and_Customer_Information_Joined[SKU], 'V1 Pricing Model (Step 2)'!$A$22:$A$71, 'V1 Pricing Model (Step 2)'!$AL$22:$AL$71), "Exclude")&lt;&gt;"Exclude") *
    Transactions_and_Customer_Information_Joined[Gross Revenue])</f>
        <v>53.4</v>
      </c>
      <c r="K291" s="24">
        <f>SUMIF(Transactions_and_Customer_Information_Joined[Customer ID], 'V1-Based Churn Model (Step 3)'!$A291, Transactions_and_Customer_Information_Joined[Gross Revenue])</f>
        <v>53.4</v>
      </c>
      <c r="L291" s="3">
        <f t="shared" si="18"/>
        <v>1</v>
      </c>
      <c r="M291" s="21">
        <v>7.5818801139291682E-3</v>
      </c>
      <c r="N291" s="21" cm="1">
        <f t="array" ref="N291">SUMPRODUCT(
    (Transactions_and_Customer_Information_Joined[Customer ID]=$A291)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91" s="21" cm="1">
        <f t="array" ref="O291">IFERROR(
    SUMPRODUCT(
        (Transactions_and_Customer_Information_Joined[Customer ID]=$A291)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$J291,
0)</f>
        <v>7.5818801139291682E-3</v>
      </c>
      <c r="P291" s="5" cm="1">
        <f t="array" ref="P291">_xlfn.IFS(B291="At-Risk Churner",$B$2,$B291="Dormant",$B$3,$B291="Deal Hunter",$B$4,$B291="New Customer",$B$5,$B291="Occasional Buyer",$B$6,$B291="Loyal High-Value",$B$7)</f>
        <v>65</v>
      </c>
      <c r="Q291" s="9" cm="1">
        <f t="array" ref="Q291">_xlfn.IFS($B291 = "At-Risk Churner", $B$8, $B291="Dormant",$B$9, $B291="Deal Hunter", $B$10, $B291="New Customer", $B$11, $B291="Occasional Buyer", $B$12, $B291 = "Loyal High-Value",$B$13)</f>
        <v>0.6</v>
      </c>
      <c r="R291" s="5">
        <v>-5</v>
      </c>
      <c r="S291" s="5">
        <v>-8</v>
      </c>
      <c r="T291" s="5">
        <v>15</v>
      </c>
      <c r="U291" s="5">
        <f t="shared" si="19"/>
        <v>15</v>
      </c>
      <c r="V291" s="5">
        <f t="shared" si="20"/>
        <v>0.30327520455716672</v>
      </c>
      <c r="W291" s="43">
        <f t="shared" si="21"/>
        <v>81.670775204557174</v>
      </c>
      <c r="X291" s="5" t="str" cm="1">
        <f t="array" ref="X291">_xlfn.IFS($W291 &lt;= 30, "Low", $W291 &lt;=50, "Medium", $W291 &lt;= 70, "High", $W291 &gt; 70, "Critical")</f>
        <v>Critical</v>
      </c>
      <c r="Y291" s="9">
        <f t="shared" si="22"/>
        <v>0.57574582501642368</v>
      </c>
      <c r="Z291" s="22">
        <f t="shared" si="23"/>
        <v>40.440386749153596</v>
      </c>
    </row>
    <row r="292" spans="1:26">
      <c r="A292" s="24" t="str">
        <v>CUST-3204</v>
      </c>
      <c r="B292" s="24" t="str">
        <v>Loyal High-Value</v>
      </c>
      <c r="C292" s="24" t="str">
        <v>Direct</v>
      </c>
      <c r="D292" s="24" t="str">
        <v>Midwest</v>
      </c>
      <c r="E292" s="24" t="str">
        <v>25-34</v>
      </c>
      <c r="F292" s="24" t="str">
        <v>Medium</v>
      </c>
      <c r="G292" s="24">
        <v>0</v>
      </c>
      <c r="H292" s="24">
        <v>313</v>
      </c>
      <c r="I292" s="23">
        <v>1175.21</v>
      </c>
      <c r="J292" s="24" cm="1">
        <f t="array" ref="J292">SUMPRODUCT(
    (Transactions_and_Customer_Information_Joined[Customer ID]='V1-Based Churn Model (Step 3)'!$A292) *
    (IFERROR(_xlfn.XLOOKUP(Transactions_and_Customer_Information_Joined[SKU], 'V1 Pricing Model (Step 2)'!$A$22:$A$71, 'V1 Pricing Model (Step 2)'!$AL$22:$AL$71), "Exclude")&lt;&gt;"Exclude") *
    Transactions_and_Customer_Information_Joined[Gross Revenue])</f>
        <v>315.36</v>
      </c>
      <c r="K292" s="24">
        <f>SUMIF(Transactions_and_Customer_Information_Joined[Customer ID], 'V1-Based Churn Model (Step 3)'!$A292, Transactions_and_Customer_Information_Joined[Gross Revenue])</f>
        <v>315.36</v>
      </c>
      <c r="L292" s="3">
        <f t="shared" si="18"/>
        <v>1</v>
      </c>
      <c r="M292" s="21">
        <v>9.1108129362620652E-2</v>
      </c>
      <c r="N292" s="21" cm="1">
        <f t="array" ref="N292">SUMPRODUCT(
    (Transactions_and_Customer_Information_Joined[Customer ID]=$A292)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92" s="21" cm="1">
        <f t="array" ref="O292">IFERROR(
    SUMPRODUCT(
        (Transactions_and_Customer_Information_Joined[Customer ID]=$A292)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$J292,
0)</f>
        <v>9.1108129362620652E-2</v>
      </c>
      <c r="P292" s="5" cm="1">
        <f t="array" ref="P292">_xlfn.IFS(B292="At-Risk Churner",$B$2,$B292="Dormant",$B$3,$B292="Deal Hunter",$B$4,$B292="New Customer",$B$5,$B292="Occasional Buyer",$B$6,$B292="Loyal High-Value",$B$7)</f>
        <v>15</v>
      </c>
      <c r="Q292" s="9" cm="1">
        <f t="array" ref="Q292">_xlfn.IFS($B292 = "At-Risk Churner", $B$8, $B292="Dormant",$B$9, $B292="Deal Hunter", $B$10, $B292="New Customer", $B$11, $B292="Occasional Buyer", $B$12, $B292 = "Loyal High-Value",$B$13)</f>
        <v>0.05</v>
      </c>
      <c r="R292" s="5">
        <v>5</v>
      </c>
      <c r="S292" s="5">
        <v>10</v>
      </c>
      <c r="T292" s="5">
        <v>15</v>
      </c>
      <c r="U292" s="5">
        <f t="shared" si="19"/>
        <v>15</v>
      </c>
      <c r="V292" s="5">
        <f t="shared" si="20"/>
        <v>3.644325174504826</v>
      </c>
      <c r="W292" s="43">
        <f t="shared" si="21"/>
        <v>63.906825174504824</v>
      </c>
      <c r="X292" s="5" t="str" cm="1">
        <f t="array" ref="X292">_xlfn.IFS($W292 &lt;= 30, "Low", $W292 &lt;=50, "Medium", $W292 &lt;= 70, "High", $W292 &gt; 70, "Critical")</f>
        <v>High</v>
      </c>
      <c r="Y292" s="9">
        <f t="shared" si="22"/>
        <v>4.0035059041021087E-2</v>
      </c>
      <c r="Z292" s="22">
        <f t="shared" si="23"/>
        <v>272.68168138847869</v>
      </c>
    </row>
    <row r="293" spans="1:26">
      <c r="A293" s="24" t="str">
        <v>CUST-2871</v>
      </c>
      <c r="B293" s="24" t="str">
        <v>At-Risk Churner</v>
      </c>
      <c r="C293" s="24" t="str">
        <v>Referral</v>
      </c>
      <c r="D293" s="24" t="str">
        <v>Southwest</v>
      </c>
      <c r="E293" s="24" t="str">
        <v>45-54</v>
      </c>
      <c r="F293" s="24" t="str">
        <v>Low</v>
      </c>
      <c r="G293" s="24">
        <v>3</v>
      </c>
      <c r="H293" s="24">
        <v>268</v>
      </c>
      <c r="I293" s="23">
        <v>186.97</v>
      </c>
      <c r="J293" s="24" cm="1">
        <f t="array" ref="J293">SUMPRODUCT(
    (Transactions_and_Customer_Information_Joined[Customer ID]='V1-Based Churn Model (Step 3)'!$A293) *
    (IFERROR(_xlfn.XLOOKUP(Transactions_and_Customer_Information_Joined[SKU], 'V1 Pricing Model (Step 2)'!$A$22:$A$71, 'V1 Pricing Model (Step 2)'!$AL$22:$AL$71), "Exclude")&lt;&gt;"Exclude") *
    Transactions_and_Customer_Information_Joined[Gross Revenue])</f>
        <v>249.54</v>
      </c>
      <c r="K293" s="24">
        <f>SUMIF(Transactions_and_Customer_Information_Joined[Customer ID], 'V1-Based Churn Model (Step 3)'!$A293, Transactions_and_Customer_Information_Joined[Gross Revenue])</f>
        <v>249.54</v>
      </c>
      <c r="L293" s="3">
        <f t="shared" si="18"/>
        <v>1</v>
      </c>
      <c r="M293" s="21">
        <v>0.1130897018443069</v>
      </c>
      <c r="N293" s="21" cm="1">
        <f t="array" ref="N293">SUMPRODUCT(
    (Transactions_and_Customer_Information_Joined[Customer ID]=$A293)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93" s="21" cm="1">
        <f t="array" ref="O293">IFERROR(
    SUMPRODUCT(
        (Transactions_and_Customer_Information_Joined[Customer ID]=$A293)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$J293,
0)</f>
        <v>0.1130897018443069</v>
      </c>
      <c r="P293" s="5" cm="1">
        <f t="array" ref="P293">_xlfn.IFS(B293="At-Risk Churner",$B$2,$B293="Dormant",$B$3,$B293="Deal Hunter",$B$4,$B293="New Customer",$B$5,$B293="Occasional Buyer",$B$6,$B293="Loyal High-Value",$B$7)</f>
        <v>70</v>
      </c>
      <c r="Q293" s="9" cm="1">
        <f t="array" ref="Q293">_xlfn.IFS($B293 = "At-Risk Churner", $B$8, $B293="Dormant",$B$9, $B293="Deal Hunter", $B$10, $B293="New Customer", $B$11, $B293="Occasional Buyer", $B$12, $B293 = "Loyal High-Value",$B$13)</f>
        <v>0.45</v>
      </c>
      <c r="R293" s="5">
        <v>-5</v>
      </c>
      <c r="S293" s="5">
        <v>10</v>
      </c>
      <c r="T293" s="5">
        <v>8</v>
      </c>
      <c r="U293" s="5">
        <f t="shared" si="19"/>
        <v>15</v>
      </c>
      <c r="V293" s="5">
        <f t="shared" si="20"/>
        <v>4.5235880737722765</v>
      </c>
      <c r="W293" s="43">
        <f t="shared" si="21"/>
        <v>100</v>
      </c>
      <c r="X293" s="5" t="str" cm="1">
        <f t="array" ref="X293">_xlfn.IFS($W293 &lt;= 30, "Low", $W293 &lt;=50, "Medium", $W293 &lt;= 70, "High", $W293 &gt; 70, "Critical")</f>
        <v>Critical</v>
      </c>
      <c r="Y293" s="9">
        <f t="shared" si="22"/>
        <v>0.44698821708407188</v>
      </c>
      <c r="Z293" s="22">
        <f t="shared" si="23"/>
        <v>83.57338694820892</v>
      </c>
    </row>
    <row r="294" spans="1:26">
      <c r="A294" s="24" t="str">
        <v>CUST-2392</v>
      </c>
      <c r="B294" s="24" t="str">
        <v>New Customer</v>
      </c>
      <c r="C294" s="24" t="str">
        <v>Direct</v>
      </c>
      <c r="D294" s="24" t="str">
        <v>UK</v>
      </c>
      <c r="E294" s="24" t="str">
        <v>25-34</v>
      </c>
      <c r="F294" s="24" t="str">
        <v>Medium</v>
      </c>
      <c r="G294" s="24">
        <v>6</v>
      </c>
      <c r="H294" s="24">
        <v>15</v>
      </c>
      <c r="I294" s="23">
        <v>61.65</v>
      </c>
      <c r="J294" s="24" cm="1">
        <f t="array" ref="J294">SUMPRODUCT(
    (Transactions_and_Customer_Information_Joined[Customer ID]='V1-Based Churn Model (Step 3)'!$A294) *
    (IFERROR(_xlfn.XLOOKUP(Transactions_and_Customer_Information_Joined[SKU], 'V1 Pricing Model (Step 2)'!$A$22:$A$71, 'V1 Pricing Model (Step 2)'!$AL$22:$AL$71), "Exclude")&lt;&gt;"Exclude") *
    Transactions_and_Customer_Information_Joined[Gross Revenue])</f>
        <v>55.17</v>
      </c>
      <c r="K294" s="24">
        <f>SUMIF(Transactions_and_Customer_Information_Joined[Customer ID], 'V1-Based Churn Model (Step 3)'!$A294, Transactions_and_Customer_Information_Joined[Gross Revenue])</f>
        <v>55.17</v>
      </c>
      <c r="L294" s="3">
        <f t="shared" si="18"/>
        <v>1</v>
      </c>
      <c r="M294" s="21">
        <v>0.10525403225213746</v>
      </c>
      <c r="N294" s="21" cm="1">
        <f t="array" ref="N294">SUMPRODUCT(
    (Transactions_and_Customer_Information_Joined[Customer ID]=$A294)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94" s="21" cm="1">
        <f t="array" ref="O294">IFERROR(
    SUMPRODUCT(
        (Transactions_and_Customer_Information_Joined[Customer ID]=$A294)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$J294,
0)</f>
        <v>0.10525403225213746</v>
      </c>
      <c r="P294" s="5" cm="1">
        <f t="array" ref="P294">_xlfn.IFS(B294="At-Risk Churner",$B$2,$B294="Dormant",$B$3,$B294="Deal Hunter",$B$4,$B294="New Customer",$B$5,$B294="Occasional Buyer",$B$6,$B294="Loyal High-Value",$B$7)</f>
        <v>35</v>
      </c>
      <c r="Q294" s="9" cm="1">
        <f t="array" ref="Q294">_xlfn.IFS($B294 = "At-Risk Churner", $B$8, $B294="Dormant",$B$9, $B294="Deal Hunter", $B$10, $B294="New Customer", $B$11, $B294="Occasional Buyer", $B$12, $B294 = "Loyal High-Value",$B$13)</f>
        <v>0.35</v>
      </c>
      <c r="R294" s="5">
        <v>5</v>
      </c>
      <c r="S294" s="5">
        <v>0</v>
      </c>
      <c r="T294" s="5">
        <v>-5</v>
      </c>
      <c r="U294" s="5">
        <f t="shared" si="19"/>
        <v>15</v>
      </c>
      <c r="V294" s="5">
        <f t="shared" si="20"/>
        <v>4.2101612900854981</v>
      </c>
      <c r="W294" s="43">
        <f t="shared" si="21"/>
        <v>54.322661290085492</v>
      </c>
      <c r="X294" s="5" t="str" cm="1">
        <f t="array" ref="X294">_xlfn.IFS($W294 &lt;= 30, "Low", $W294 &lt;=50, "Medium", $W294 &lt;= 70, "High", $W294 &gt; 70, "Critical")</f>
        <v>High</v>
      </c>
      <c r="Y294" s="9">
        <f t="shared" si="22"/>
        <v>0.21224513417943192</v>
      </c>
      <c r="Z294" s="22">
        <f t="shared" si="23"/>
        <v>22.797930017729584</v>
      </c>
    </row>
    <row r="295" spans="1:26">
      <c r="A295" s="24" t="str">
        <v>CUST-1571</v>
      </c>
      <c r="B295" s="24" t="str">
        <v>At-Risk Churner</v>
      </c>
      <c r="C295" s="24" t="str">
        <v>Direct</v>
      </c>
      <c r="D295" s="24" t="str">
        <v>Midwest</v>
      </c>
      <c r="E295" s="24" t="str">
        <v>35-44</v>
      </c>
      <c r="F295" s="24" t="str">
        <v>Medium</v>
      </c>
      <c r="G295" s="24">
        <v>9</v>
      </c>
      <c r="H295" s="24">
        <v>135</v>
      </c>
      <c r="I295" s="23">
        <v>203.54</v>
      </c>
      <c r="J295" s="24" cm="1">
        <f t="array" ref="J295">SUMPRODUCT(
    (Transactions_and_Customer_Information_Joined[Customer ID]='V1-Based Churn Model (Step 3)'!$A295) *
    (IFERROR(_xlfn.XLOOKUP(Transactions_and_Customer_Information_Joined[SKU], 'V1 Pricing Model (Step 2)'!$A$22:$A$71, 'V1 Pricing Model (Step 2)'!$AL$22:$AL$71), "Exclude")&lt;&gt;"Exclude") *
    Transactions_and_Customer_Information_Joined[Gross Revenue])</f>
        <v>140.44</v>
      </c>
      <c r="K295" s="24">
        <f>SUMIF(Transactions_and_Customer_Information_Joined[Customer ID], 'V1-Based Churn Model (Step 3)'!$A295, Transactions_and_Customer_Information_Joined[Gross Revenue])</f>
        <v>140.44</v>
      </c>
      <c r="L295" s="3">
        <f t="shared" ref="L295:L358" si="24">IFERROR($J295/$K295, 0)</f>
        <v>1</v>
      </c>
      <c r="M295" s="21">
        <v>0.25581555939754186</v>
      </c>
      <c r="N295" s="21" cm="1">
        <f t="array" ref="N295">SUMPRODUCT(
    (Transactions_and_Customer_Information_Joined[Customer ID]=$A295)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95" s="21" cm="1">
        <f t="array" ref="O295">IFERROR(
    SUMPRODUCT(
        (Transactions_and_Customer_Information_Joined[Customer ID]=$A295)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$J295,
0)</f>
        <v>0.25581555939754186</v>
      </c>
      <c r="P295" s="5" cm="1">
        <f t="array" ref="P295">_xlfn.IFS(B295="At-Risk Churner",$B$2,$B295="Dormant",$B$3,$B295="Deal Hunter",$B$4,$B295="New Customer",$B$5,$B295="Occasional Buyer",$B$6,$B295="Loyal High-Value",$B$7)</f>
        <v>70</v>
      </c>
      <c r="Q295" s="9" cm="1">
        <f t="array" ref="Q295">_xlfn.IFS($B295 = "At-Risk Churner", $B$8, $B295="Dormant",$B$9, $B295="Deal Hunter", $B$10, $B295="New Customer", $B$11, $B295="Occasional Buyer", $B$12, $B295 = "Loyal High-Value",$B$13)</f>
        <v>0.45</v>
      </c>
      <c r="R295" s="5">
        <v>5</v>
      </c>
      <c r="S295" s="5">
        <v>-8</v>
      </c>
      <c r="T295" s="5">
        <v>0</v>
      </c>
      <c r="U295" s="5">
        <f t="shared" si="19"/>
        <v>15</v>
      </c>
      <c r="V295" s="5">
        <f t="shared" si="20"/>
        <v>10.232622375901673</v>
      </c>
      <c r="W295" s="43">
        <f t="shared" si="21"/>
        <v>91.785122375901665</v>
      </c>
      <c r="X295" s="5" t="str" cm="1">
        <f t="array" ref="X295">_xlfn.IFS($W295 &lt;= 30, "Low", $W295 &lt;=50, "Medium", $W295 &lt;= 70, "High", $W295 &gt; 70, "Critical")</f>
        <v>Critical</v>
      </c>
      <c r="Y295" s="9">
        <f t="shared" si="22"/>
        <v>0.44320946150312096</v>
      </c>
      <c r="Z295" s="22">
        <f t="shared" si="23"/>
        <v>90.21085379434524</v>
      </c>
    </row>
    <row r="296" spans="1:26">
      <c r="A296" s="24" t="str">
        <v>CUST-4563</v>
      </c>
      <c r="B296" s="24" t="str">
        <v>Deal Hunter</v>
      </c>
      <c r="C296" s="24" t="str">
        <v>Influencer</v>
      </c>
      <c r="D296" s="24" t="str">
        <v>UK</v>
      </c>
      <c r="E296" s="24" t="str">
        <v>55+</v>
      </c>
      <c r="F296" s="24" t="str">
        <v>Low</v>
      </c>
      <c r="G296" s="24">
        <v>7</v>
      </c>
      <c r="H296" s="24">
        <v>313</v>
      </c>
      <c r="I296" s="23">
        <v>529.29</v>
      </c>
      <c r="J296" s="24" cm="1">
        <f t="array" ref="J296">SUMPRODUCT(
    (Transactions_and_Customer_Information_Joined[Customer ID]='V1-Based Churn Model (Step 3)'!$A296) *
    (IFERROR(_xlfn.XLOOKUP(Transactions_and_Customer_Information_Joined[SKU], 'V1 Pricing Model (Step 2)'!$A$22:$A$71, 'V1 Pricing Model (Step 2)'!$AL$22:$AL$71), "Exclude")&lt;&gt;"Exclude") *
    Transactions_and_Customer_Information_Joined[Gross Revenue])</f>
        <v>143.80000000000001</v>
      </c>
      <c r="K296" s="24">
        <f>SUMIF(Transactions_and_Customer_Information_Joined[Customer ID], 'V1-Based Churn Model (Step 3)'!$A296, Transactions_and_Customer_Information_Joined[Gross Revenue])</f>
        <v>143.80000000000001</v>
      </c>
      <c r="L296" s="3">
        <f t="shared" si="24"/>
        <v>1</v>
      </c>
      <c r="M296" s="21">
        <v>0.22457947495613381</v>
      </c>
      <c r="N296" s="21" cm="1">
        <f t="array" ref="N296">SUMPRODUCT(
    (Transactions_and_Customer_Information_Joined[Customer ID]=$A296)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96" s="21" cm="1">
        <f t="array" ref="O296">IFERROR(
    SUMPRODUCT(
        (Transactions_and_Customer_Information_Joined[Customer ID]=$A296)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$J296,
0)</f>
        <v>0.22457947495613381</v>
      </c>
      <c r="P296" s="5" cm="1">
        <f t="array" ref="P296">_xlfn.IFS(B296="At-Risk Churner",$B$2,$B296="Dormant",$B$3,$B296="Deal Hunter",$B$4,$B296="New Customer",$B$5,$B296="Occasional Buyer",$B$6,$B296="Loyal High-Value",$B$7)</f>
        <v>45</v>
      </c>
      <c r="Q296" s="9" cm="1">
        <f t="array" ref="Q296">_xlfn.IFS($B296 = "At-Risk Churner", $B$8, $B296="Dormant",$B$9, $B296="Deal Hunter", $B$10, $B296="New Customer", $B$11, $B296="Occasional Buyer", $B$12, $B296 = "Loyal High-Value",$B$13)</f>
        <v>0.25</v>
      </c>
      <c r="R296" s="5">
        <v>-5</v>
      </c>
      <c r="S296" s="5">
        <v>-8</v>
      </c>
      <c r="T296" s="5">
        <v>15</v>
      </c>
      <c r="U296" s="5">
        <f t="shared" ref="U296:U359" si="25">MIN(
    $L296 * $B$26 * (1 + $B$28 * LN(MAX($N296, 1))),
    $B$27
)</f>
        <v>15</v>
      </c>
      <c r="V296" s="5">
        <f t="shared" ref="V296:V359" si="26">MIN(
    $B$29 * ABS($O296) + $B$30 * ABS($M296),
    $B$31
)</f>
        <v>8.9831789982453518</v>
      </c>
      <c r="W296" s="43">
        <f t="shared" ref="W296:W359" si="27">MIN(MAX(
    $P296 + $R296 + $S296 + $T296 + $U296 + $V296
    + $B$32 * ($R296 * $U296) / 100
    + $B$33 * ($P296 * $S296) / 100,
0), 100)</f>
        <v>70.510678998245353</v>
      </c>
      <c r="X296" s="5" t="str" cm="1">
        <f t="array" ref="X296">_xlfn.IFS($W296 &lt;= 30, "Low", $W296 &lt;=50, "Medium", $W296 &lt;= 70, "High", $W296 &gt; 70, "Critical")</f>
        <v>Critical</v>
      </c>
      <c r="Y296" s="9">
        <f t="shared" ref="Y296:Y359" si="28">$Q296 * (1 / (1 + EXP(-($W296 - 50) / $B$34)))</f>
        <v>0.22151386989744679</v>
      </c>
      <c r="Z296" s="22">
        <f t="shared" ref="Z296:Z359" si="29">_xlfn.LET(
    _xlpm.full_churn, $Y296 * $I296,
    _xlpm.partial_rate, IF(OR($X296="Medium", $X296="High"), (1 - $Y296) * 0.5 * $B$35, 0),
    _xlpm.partial_churn, _xlpm.partial_rate * $I296,
    _xlpm.full_churn + _xlpm.partial_churn
)</f>
        <v>117.2450761980196</v>
      </c>
    </row>
    <row r="297" spans="1:26">
      <c r="A297" s="24" t="str">
        <v>CUST-4800</v>
      </c>
      <c r="B297" s="24" t="str">
        <v>At-Risk Churner</v>
      </c>
      <c r="C297" s="24" t="str">
        <v>Influencer</v>
      </c>
      <c r="D297" s="24" t="str">
        <v>West</v>
      </c>
      <c r="E297" s="24" t="str">
        <v>25-34</v>
      </c>
      <c r="F297" s="24" t="str">
        <v>Medium</v>
      </c>
      <c r="G297" s="24">
        <v>9</v>
      </c>
      <c r="H297" s="24">
        <v>43</v>
      </c>
      <c r="I297" s="23">
        <v>220.87</v>
      </c>
      <c r="J297" s="24" cm="1">
        <f t="array" ref="J297">SUMPRODUCT(
    (Transactions_and_Customer_Information_Joined[Customer ID]='V1-Based Churn Model (Step 3)'!$A297) *
    (IFERROR(_xlfn.XLOOKUP(Transactions_and_Customer_Information_Joined[SKU], 'V1 Pricing Model (Step 2)'!$A$22:$A$71, 'V1 Pricing Model (Step 2)'!$AL$22:$AL$71), "Exclude")&lt;&gt;"Exclude") *
    Transactions_and_Customer_Information_Joined[Gross Revenue])</f>
        <v>394.04</v>
      </c>
      <c r="K297" s="24">
        <f>SUMIF(Transactions_and_Customer_Information_Joined[Customer ID], 'V1-Based Churn Model (Step 3)'!$A297, Transactions_and_Customer_Information_Joined[Gross Revenue])</f>
        <v>394.04</v>
      </c>
      <c r="L297" s="3">
        <f t="shared" si="24"/>
        <v>1</v>
      </c>
      <c r="M297" s="21">
        <v>0.17380489413507264</v>
      </c>
      <c r="N297" s="21" cm="1">
        <f t="array" ref="N297">SUMPRODUCT(
    (Transactions_and_Customer_Information_Joined[Customer ID]=$A297)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97" s="21" cm="1">
        <f t="array" ref="O297">IFERROR(
    SUMPRODUCT(
        (Transactions_and_Customer_Information_Joined[Customer ID]=$A297)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$J297,
0)</f>
        <v>0.17380489413507264</v>
      </c>
      <c r="P297" s="5" cm="1">
        <f t="array" ref="P297">_xlfn.IFS(B297="At-Risk Churner",$B$2,$B297="Dormant",$B$3,$B297="Deal Hunter",$B$4,$B297="New Customer",$B$5,$B297="Occasional Buyer",$B$6,$B297="Loyal High-Value",$B$7)</f>
        <v>70</v>
      </c>
      <c r="Q297" s="9" cm="1">
        <f t="array" ref="Q297">_xlfn.IFS($B297 = "At-Risk Churner", $B$8, $B297="Dormant",$B$9, $B297="Deal Hunter", $B$10, $B297="New Customer", $B$11, $B297="Occasional Buyer", $B$12, $B297 = "Loyal High-Value",$B$13)</f>
        <v>0.45</v>
      </c>
      <c r="R297" s="5">
        <v>5</v>
      </c>
      <c r="S297" s="5">
        <v>-8</v>
      </c>
      <c r="T297" s="5">
        <v>-5</v>
      </c>
      <c r="U297" s="5">
        <f t="shared" si="25"/>
        <v>15</v>
      </c>
      <c r="V297" s="5">
        <f t="shared" si="26"/>
        <v>6.9521957654029052</v>
      </c>
      <c r="W297" s="43">
        <f t="shared" si="27"/>
        <v>83.5046957654029</v>
      </c>
      <c r="X297" s="5" t="str" cm="1">
        <f t="array" ref="X297">_xlfn.IFS($W297 &lt;= 30, "Low", $W297 &lt;=50, "Medium", $W297 &lt;= 70, "High", $W297 &gt; 70, "Critical")</f>
        <v>Critical</v>
      </c>
      <c r="Y297" s="9">
        <f t="shared" si="28"/>
        <v>0.43475409421268374</v>
      </c>
      <c r="Z297" s="22">
        <f t="shared" si="29"/>
        <v>96.024136788755456</v>
      </c>
    </row>
    <row r="298" spans="1:26">
      <c r="A298" s="24" t="str">
        <v>CUST-4150</v>
      </c>
      <c r="B298" s="24" t="str">
        <v>New Customer</v>
      </c>
      <c r="C298" s="24" t="str">
        <v>Direct</v>
      </c>
      <c r="D298" s="24" t="str">
        <v>West</v>
      </c>
      <c r="E298" s="24" t="str">
        <v>25-34</v>
      </c>
      <c r="F298" s="24" t="str">
        <v>Medium</v>
      </c>
      <c r="G298" s="24">
        <v>10</v>
      </c>
      <c r="H298" s="24">
        <v>108</v>
      </c>
      <c r="I298" s="23">
        <v>20.86</v>
      </c>
      <c r="J298" s="24" cm="1">
        <f t="array" ref="J298">SUMPRODUCT(
    (Transactions_and_Customer_Information_Joined[Customer ID]='V1-Based Churn Model (Step 3)'!$A298) *
    (IFERROR(_xlfn.XLOOKUP(Transactions_and_Customer_Information_Joined[SKU], 'V1 Pricing Model (Step 2)'!$A$22:$A$71, 'V1 Pricing Model (Step 2)'!$AL$22:$AL$71), "Exclude")&lt;&gt;"Exclude") *
    Transactions_and_Customer_Information_Joined[Gross Revenue])</f>
        <v>379.04</v>
      </c>
      <c r="K298" s="24">
        <f>SUMIF(Transactions_and_Customer_Information_Joined[Customer ID], 'V1-Based Churn Model (Step 3)'!$A298, Transactions_and_Customer_Information_Joined[Gross Revenue])</f>
        <v>379.04</v>
      </c>
      <c r="L298" s="3">
        <f t="shared" si="24"/>
        <v>1</v>
      </c>
      <c r="M298" s="21">
        <v>1.2225679304209092E-2</v>
      </c>
      <c r="N298" s="21" cm="1">
        <f t="array" ref="N298">SUMPRODUCT(
    (Transactions_and_Customer_Information_Joined[Customer ID]=$A298)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98" s="21" cm="1">
        <f t="array" ref="O298">IFERROR(
    SUMPRODUCT(
        (Transactions_and_Customer_Information_Joined[Customer ID]=$A298)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$J298,
0)</f>
        <v>1.2225679304209092E-2</v>
      </c>
      <c r="P298" s="5" cm="1">
        <f t="array" ref="P298">_xlfn.IFS(B298="At-Risk Churner",$B$2,$B298="Dormant",$B$3,$B298="Deal Hunter",$B$4,$B298="New Customer",$B$5,$B298="Occasional Buyer",$B$6,$B298="Loyal High-Value",$B$7)</f>
        <v>35</v>
      </c>
      <c r="Q298" s="9" cm="1">
        <f t="array" ref="Q298">_xlfn.IFS($B298 = "At-Risk Churner", $B$8, $B298="Dormant",$B$9, $B298="Deal Hunter", $B$10, $B298="New Customer", $B$11, $B298="Occasional Buyer", $B$12, $B298 = "Loyal High-Value",$B$13)</f>
        <v>0.35</v>
      </c>
      <c r="R298" s="5">
        <v>5</v>
      </c>
      <c r="S298" s="5">
        <v>-8</v>
      </c>
      <c r="T298" s="5">
        <v>0</v>
      </c>
      <c r="U298" s="5">
        <f t="shared" si="25"/>
        <v>15</v>
      </c>
      <c r="V298" s="5">
        <f t="shared" si="26"/>
        <v>0.48902717216836367</v>
      </c>
      <c r="W298" s="43">
        <f t="shared" si="27"/>
        <v>47.321527172168359</v>
      </c>
      <c r="X298" s="5" t="str" cm="1">
        <f t="array" ref="X298">_xlfn.IFS($W298 &lt;= 30, "Low", $W298 &lt;=50, "Medium", $W298 &lt;= 70, "High", $W298 &gt; 70, "Critical")</f>
        <v>Medium</v>
      </c>
      <c r="Y298" s="9">
        <f t="shared" si="28"/>
        <v>0.15170248103865935</v>
      </c>
      <c r="Z298" s="22">
        <f t="shared" si="29"/>
        <v>6.7036110035731475</v>
      </c>
    </row>
    <row r="299" spans="1:26">
      <c r="A299" s="24" t="str">
        <v>CUST-4763</v>
      </c>
      <c r="B299" s="24" t="str">
        <v>Loyal High-Value</v>
      </c>
      <c r="C299" s="24" t="str">
        <v>Direct</v>
      </c>
      <c r="D299" s="24" t="str">
        <v>Southwest</v>
      </c>
      <c r="E299" s="24" t="str">
        <v>18-24</v>
      </c>
      <c r="F299" s="24" t="str">
        <v>Medium</v>
      </c>
      <c r="G299" s="24">
        <v>4</v>
      </c>
      <c r="H299" s="24">
        <v>340</v>
      </c>
      <c r="I299" s="23">
        <v>2224.1999999999998</v>
      </c>
      <c r="J299" s="24" cm="1">
        <f t="array" ref="J299">SUMPRODUCT(
    (Transactions_and_Customer_Information_Joined[Customer ID]='V1-Based Churn Model (Step 3)'!$A299) *
    (IFERROR(_xlfn.XLOOKUP(Transactions_and_Customer_Information_Joined[SKU], 'V1 Pricing Model (Step 2)'!$A$22:$A$71, 'V1 Pricing Model (Step 2)'!$AL$22:$AL$71), "Exclude")&lt;&gt;"Exclude") *
    Transactions_and_Customer_Information_Joined[Gross Revenue])</f>
        <v>93.88</v>
      </c>
      <c r="K299" s="24">
        <f>SUMIF(Transactions_and_Customer_Information_Joined[Customer ID], 'V1-Based Churn Model (Step 3)'!$A299, Transactions_and_Customer_Information_Joined[Gross Revenue])</f>
        <v>93.88</v>
      </c>
      <c r="L299" s="3">
        <f t="shared" si="24"/>
        <v>1</v>
      </c>
      <c r="M299" s="21">
        <v>0.10702390858761081</v>
      </c>
      <c r="N299" s="21" cm="1">
        <f t="array" ref="N299">SUMPRODUCT(
    (Transactions_and_Customer_Information_Joined[Customer ID]=$A299)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299" s="21" cm="1">
        <f t="array" ref="O299">IFERROR(
    SUMPRODUCT(
        (Transactions_and_Customer_Information_Joined[Customer ID]=$A299)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$J299,
0)</f>
        <v>0.10702390858761079</v>
      </c>
      <c r="P299" s="5" cm="1">
        <f t="array" ref="P299">_xlfn.IFS(B299="At-Risk Churner",$B$2,$B299="Dormant",$B$3,$B299="Deal Hunter",$B$4,$B299="New Customer",$B$5,$B299="Occasional Buyer",$B$6,$B299="Loyal High-Value",$B$7)</f>
        <v>15</v>
      </c>
      <c r="Q299" s="9" cm="1">
        <f t="array" ref="Q299">_xlfn.IFS($B299 = "At-Risk Churner", $B$8, $B299="Dormant",$B$9, $B299="Deal Hunter", $B$10, $B299="New Customer", $B$11, $B299="Occasional Buyer", $B$12, $B299 = "Loyal High-Value",$B$13)</f>
        <v>0.05</v>
      </c>
      <c r="R299" s="5">
        <v>5</v>
      </c>
      <c r="S299" s="5">
        <v>0</v>
      </c>
      <c r="T299" s="5">
        <v>15</v>
      </c>
      <c r="U299" s="5">
        <f t="shared" si="25"/>
        <v>15</v>
      </c>
      <c r="V299" s="5">
        <f t="shared" si="26"/>
        <v>4.2809563435044318</v>
      </c>
      <c r="W299" s="43">
        <f t="shared" si="27"/>
        <v>54.393456343504425</v>
      </c>
      <c r="X299" s="5" t="str" cm="1">
        <f t="array" ref="X299">_xlfn.IFS($W299 &lt;= 30, "Low", $W299 &lt;=50, "Medium", $W299 &lt;= 70, "High", $W299 &gt; 70, "Critical")</f>
        <v>High</v>
      </c>
      <c r="Y299" s="9">
        <f t="shared" si="28"/>
        <v>3.0405154873512075E-2</v>
      </c>
      <c r="Z299" s="22">
        <f t="shared" si="29"/>
        <v>498.94171637573243</v>
      </c>
    </row>
    <row r="300" spans="1:26">
      <c r="A300" s="24" t="str">
        <v>CUST-1496</v>
      </c>
      <c r="B300" s="24" t="str">
        <v>Loyal High-Value</v>
      </c>
      <c r="C300" s="24" t="str">
        <v>Direct</v>
      </c>
      <c r="D300" s="24" t="str">
        <v>Northeast</v>
      </c>
      <c r="E300" s="24" t="str">
        <v>18-24</v>
      </c>
      <c r="F300" s="24" t="str">
        <v>High</v>
      </c>
      <c r="G300" s="24">
        <v>5</v>
      </c>
      <c r="H300" s="24">
        <v>159</v>
      </c>
      <c r="I300" s="23">
        <v>1157.22</v>
      </c>
      <c r="J300" s="24" cm="1">
        <f t="array" ref="J300">SUMPRODUCT(
    (Transactions_and_Customer_Information_Joined[Customer ID]='V1-Based Churn Model (Step 3)'!$A300)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300" s="24">
        <f>SUMIF(Transactions_and_Customer_Information_Joined[Customer ID], 'V1-Based Churn Model (Step 3)'!$A300, Transactions_and_Customer_Information_Joined[Gross Revenue])</f>
        <v>616.20000000000005</v>
      </c>
      <c r="L300" s="3">
        <f t="shared" si="24"/>
        <v>0</v>
      </c>
      <c r="M300" s="21">
        <v>0</v>
      </c>
      <c r="N300" s="21" cm="1">
        <f t="array" ref="N300">SUMPRODUCT(
    (Transactions_and_Customer_Information_Joined[Customer ID]=$A300)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300" s="21" cm="1">
        <f t="array" ref="O300">IFERROR(
    SUMPRODUCT(
        (Transactions_and_Customer_Information_Joined[Customer ID]=$A300)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$J300,
0)</f>
        <v>0</v>
      </c>
      <c r="P300" s="5" cm="1">
        <f t="array" ref="P300">_xlfn.IFS(B300="At-Risk Churner",$B$2,$B300="Dormant",$B$3,$B300="Deal Hunter",$B$4,$B300="New Customer",$B$5,$B300="Occasional Buyer",$B$6,$B300="Loyal High-Value",$B$7)</f>
        <v>15</v>
      </c>
      <c r="Q300" s="9" cm="1">
        <f t="array" ref="Q300">_xlfn.IFS($B300 = "At-Risk Churner", $B$8, $B300="Dormant",$B$9, $B300="Deal Hunter", $B$10, $B300="New Customer", $B$11, $B300="Occasional Buyer", $B$12, $B300 = "Loyal High-Value",$B$13)</f>
        <v>0.05</v>
      </c>
      <c r="R300" s="5">
        <v>15</v>
      </c>
      <c r="S300" s="5">
        <v>0</v>
      </c>
      <c r="T300" s="5">
        <v>0</v>
      </c>
      <c r="U300" s="5">
        <f t="shared" si="25"/>
        <v>0</v>
      </c>
      <c r="V300" s="5">
        <f t="shared" si="26"/>
        <v>0</v>
      </c>
      <c r="W300" s="43">
        <f t="shared" si="27"/>
        <v>30</v>
      </c>
      <c r="X300" s="5" t="str" cm="1">
        <f t="array" ref="X300">_xlfn.IFS($W300 &lt;= 30, "Low", $W300 &lt;=50, "Medium", $W300 &lt;= 70, "High", $W300 &gt; 70, "Critical")</f>
        <v>Low</v>
      </c>
      <c r="Y300" s="9">
        <f t="shared" si="28"/>
        <v>5.9601461011058775E-3</v>
      </c>
      <c r="Z300" s="22">
        <f t="shared" si="29"/>
        <v>6.8972002711217435</v>
      </c>
    </row>
    <row r="301" spans="1:26">
      <c r="A301" s="24" t="str">
        <v>CUST-3756</v>
      </c>
      <c r="B301" s="24" t="str">
        <v>Occasional Buyer</v>
      </c>
      <c r="C301" s="24" t="str">
        <v>Email Campaign</v>
      </c>
      <c r="D301" s="24" t="str">
        <v>Midwest</v>
      </c>
      <c r="E301" s="24" t="str">
        <v>18-24</v>
      </c>
      <c r="F301" s="24" t="str">
        <v>Low</v>
      </c>
      <c r="G301" s="24">
        <v>8</v>
      </c>
      <c r="H301" s="24">
        <v>24</v>
      </c>
      <c r="I301" s="23">
        <v>171.41</v>
      </c>
      <c r="J301" s="24" cm="1">
        <f t="array" ref="J301">SUMPRODUCT(
    (Transactions_and_Customer_Information_Joined[Customer ID]='V1-Based Churn Model (Step 3)'!$A301) *
    (IFERROR(_xlfn.XLOOKUP(Transactions_and_Customer_Information_Joined[SKU], 'V1 Pricing Model (Step 2)'!$A$22:$A$71, 'V1 Pricing Model (Step 2)'!$AL$22:$AL$71), "Exclude")&lt;&gt;"Exclude") *
    Transactions_and_Customer_Information_Joined[Gross Revenue])</f>
        <v>103.56</v>
      </c>
      <c r="K301" s="24">
        <f>SUMIF(Transactions_and_Customer_Information_Joined[Customer ID], 'V1-Based Churn Model (Step 3)'!$A301, Transactions_and_Customer_Information_Joined[Gross Revenue])</f>
        <v>103.56</v>
      </c>
      <c r="L301" s="3">
        <f t="shared" si="24"/>
        <v>1</v>
      </c>
      <c r="M301" s="21">
        <v>1.0827913756041518E-3</v>
      </c>
      <c r="N301" s="21" cm="1">
        <f t="array" ref="N301">SUMPRODUCT(
    (Transactions_and_Customer_Information_Joined[Customer ID]=$A301)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01" s="21" cm="1">
        <f t="array" ref="O301">IFERROR(
    SUMPRODUCT(
        (Transactions_and_Customer_Information_Joined[Customer ID]=$A301)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$J301,
0)</f>
        <v>1.0827913756041518E-3</v>
      </c>
      <c r="P301" s="5" cm="1">
        <f t="array" ref="P301">_xlfn.IFS(B301="At-Risk Churner",$B$2,$B301="Dormant",$B$3,$B301="Deal Hunter",$B$4,$B301="New Customer",$B$5,$B301="Occasional Buyer",$B$6,$B301="Loyal High-Value",$B$7)</f>
        <v>25</v>
      </c>
      <c r="Q301" s="9" cm="1">
        <f t="array" ref="Q301">_xlfn.IFS($B301 = "At-Risk Churner", $B$8, $B301="Dormant",$B$9, $B301="Deal Hunter", $B$10, $B301="New Customer", $B$11, $B301="Occasional Buyer", $B$12, $B301 = "Loyal High-Value",$B$13)</f>
        <v>0.18</v>
      </c>
      <c r="R301" s="5">
        <v>-5</v>
      </c>
      <c r="S301" s="5">
        <v>-8</v>
      </c>
      <c r="T301" s="5">
        <v>-5</v>
      </c>
      <c r="U301" s="5">
        <f t="shared" si="25"/>
        <v>15</v>
      </c>
      <c r="V301" s="5">
        <f t="shared" si="26"/>
        <v>4.3311655024166069E-2</v>
      </c>
      <c r="W301" s="43">
        <f t="shared" si="27"/>
        <v>21.730811655024166</v>
      </c>
      <c r="X301" s="5" t="str" cm="1">
        <f t="array" ref="X301">_xlfn.IFS($W301 &lt;= 30, "Low", $W301 &lt;=50, "Medium", $W301 &lt;= 70, "High", $W301 &gt; 70, "Critical")</f>
        <v>Low</v>
      </c>
      <c r="Y301" s="9">
        <f t="shared" si="28"/>
        <v>1.0059614724757183E-2</v>
      </c>
      <c r="Z301" s="22">
        <f t="shared" si="29"/>
        <v>1.7243185599706288</v>
      </c>
    </row>
    <row r="302" spans="1:26">
      <c r="A302" s="24" t="str">
        <v>CUST-1737</v>
      </c>
      <c r="B302" s="24" t="str">
        <v>Occasional Buyer</v>
      </c>
      <c r="C302" s="24" t="str">
        <v>Organic Search</v>
      </c>
      <c r="D302" s="24" t="str">
        <v>West</v>
      </c>
      <c r="E302" s="24" t="str">
        <v>55+</v>
      </c>
      <c r="F302" s="24" t="str">
        <v>Low</v>
      </c>
      <c r="G302" s="24">
        <v>4</v>
      </c>
      <c r="H302" s="24">
        <v>162</v>
      </c>
      <c r="I302" s="23">
        <v>294.17</v>
      </c>
      <c r="J302" s="24" cm="1">
        <f t="array" ref="J302">SUMPRODUCT(
    (Transactions_and_Customer_Information_Joined[Customer ID]='V1-Based Churn Model (Step 3)'!$A302) *
    (IFERROR(_xlfn.XLOOKUP(Transactions_and_Customer_Information_Joined[SKU], 'V1 Pricing Model (Step 2)'!$A$22:$A$71, 'V1 Pricing Model (Step 2)'!$AL$22:$AL$71), "Exclude")&lt;&gt;"Exclude") *
    Transactions_and_Customer_Information_Joined[Gross Revenue])</f>
        <v>54.64</v>
      </c>
      <c r="K302" s="24">
        <f>SUMIF(Transactions_and_Customer_Information_Joined[Customer ID], 'V1-Based Churn Model (Step 3)'!$A302, Transactions_and_Customer_Information_Joined[Gross Revenue])</f>
        <v>54.64</v>
      </c>
      <c r="L302" s="3">
        <f t="shared" si="24"/>
        <v>1</v>
      </c>
      <c r="M302" s="21">
        <v>0.24833629343146826</v>
      </c>
      <c r="N302" s="21" cm="1">
        <f t="array" ref="N302">SUMPRODUCT(
    (Transactions_and_Customer_Information_Joined[Customer ID]=$A302)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02" s="21" cm="1">
        <f t="array" ref="O302">IFERROR(
    SUMPRODUCT(
        (Transactions_and_Customer_Information_Joined[Customer ID]=$A302)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$J302,
0)</f>
        <v>0.24833629343146826</v>
      </c>
      <c r="P302" s="5" cm="1">
        <f t="array" ref="P302">_xlfn.IFS(B302="At-Risk Churner",$B$2,$B302="Dormant",$B$3,$B302="Deal Hunter",$B$4,$B302="New Customer",$B$5,$B302="Occasional Buyer",$B$6,$B302="Loyal High-Value",$B$7)</f>
        <v>25</v>
      </c>
      <c r="Q302" s="9" cm="1">
        <f t="array" ref="Q302">_xlfn.IFS($B302 = "At-Risk Churner", $B$8, $B302="Dormant",$B$9, $B302="Deal Hunter", $B$10, $B302="New Customer", $B$11, $B302="Occasional Buyer", $B$12, $B302 = "Loyal High-Value",$B$13)</f>
        <v>0.18</v>
      </c>
      <c r="R302" s="5">
        <v>-5</v>
      </c>
      <c r="S302" s="5">
        <v>0</v>
      </c>
      <c r="T302" s="5">
        <v>0</v>
      </c>
      <c r="U302" s="5">
        <f t="shared" si="25"/>
        <v>15</v>
      </c>
      <c r="V302" s="5">
        <f t="shared" si="26"/>
        <v>9.9334517372587303</v>
      </c>
      <c r="W302" s="43">
        <f t="shared" si="27"/>
        <v>44.820951737258731</v>
      </c>
      <c r="X302" s="5" t="str" cm="1">
        <f t="array" ref="X302">_xlfn.IFS($W302 &lt;= 30, "Low", $W302 &lt;=50, "Medium", $W302 &lt;= 70, "High", $W302 &gt; 70, "Critical")</f>
        <v>Medium</v>
      </c>
      <c r="Y302" s="9">
        <f t="shared" si="28"/>
        <v>6.7201611434470093E-2</v>
      </c>
      <c r="Z302" s="22">
        <f t="shared" si="29"/>
        <v>74.648958428542457</v>
      </c>
    </row>
    <row r="303" spans="1:26">
      <c r="A303" s="24" t="str">
        <v>CUST-4034</v>
      </c>
      <c r="B303" s="24" t="str">
        <v>At-Risk Churner</v>
      </c>
      <c r="C303" s="24" t="str">
        <v>Email Campaign</v>
      </c>
      <c r="D303" s="24" t="str">
        <v>Midwest</v>
      </c>
      <c r="E303" s="24" t="str">
        <v>55+</v>
      </c>
      <c r="F303" s="24" t="str">
        <v>Low</v>
      </c>
      <c r="G303" s="24">
        <v>2</v>
      </c>
      <c r="H303" s="24">
        <v>169</v>
      </c>
      <c r="I303" s="23">
        <v>268.64</v>
      </c>
      <c r="J303" s="24" cm="1">
        <f t="array" ref="J303">SUMPRODUCT(
    (Transactions_and_Customer_Information_Joined[Customer ID]='V1-Based Churn Model (Step 3)'!$A303) *
    (IFERROR(_xlfn.XLOOKUP(Transactions_and_Customer_Information_Joined[SKU], 'V1 Pricing Model (Step 2)'!$A$22:$A$71, 'V1 Pricing Model (Step 2)'!$AL$22:$AL$71), "Exclude")&lt;&gt;"Exclude") *
    Transactions_and_Customer_Information_Joined[Gross Revenue])</f>
        <v>348.46</v>
      </c>
      <c r="K303" s="24">
        <f>SUMIF(Transactions_and_Customer_Information_Joined[Customer ID], 'V1-Based Churn Model (Step 3)'!$A303, Transactions_and_Customer_Information_Joined[Gross Revenue])</f>
        <v>348.46</v>
      </c>
      <c r="L303" s="3">
        <f t="shared" si="24"/>
        <v>1</v>
      </c>
      <c r="M303" s="21">
        <v>5.8348079685156623E-2</v>
      </c>
      <c r="N303" s="21" cm="1">
        <f t="array" ref="N303">SUMPRODUCT(
    (Transactions_and_Customer_Information_Joined[Customer ID]=$A303)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03" s="21" cm="1">
        <f t="array" ref="O303">IFERROR(
    SUMPRODUCT(
        (Transactions_and_Customer_Information_Joined[Customer ID]=$A303)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$J303,
0)</f>
        <v>5.8348079685156623E-2</v>
      </c>
      <c r="P303" s="5" cm="1">
        <f t="array" ref="P303">_xlfn.IFS(B303="At-Risk Churner",$B$2,$B303="Dormant",$B$3,$B303="Deal Hunter",$B$4,$B303="New Customer",$B$5,$B303="Occasional Buyer",$B$6,$B303="Loyal High-Value",$B$7)</f>
        <v>70</v>
      </c>
      <c r="Q303" s="9" cm="1">
        <f t="array" ref="Q303">_xlfn.IFS($B303 = "At-Risk Churner", $B$8, $B303="Dormant",$B$9, $B303="Deal Hunter", $B$10, $B303="New Customer", $B$11, $B303="Occasional Buyer", $B$12, $B303 = "Loyal High-Value",$B$13)</f>
        <v>0.45</v>
      </c>
      <c r="R303" s="5">
        <v>-5</v>
      </c>
      <c r="S303" s="5">
        <v>10</v>
      </c>
      <c r="T303" s="5">
        <v>0</v>
      </c>
      <c r="U303" s="5">
        <f t="shared" si="25"/>
        <v>15</v>
      </c>
      <c r="V303" s="5">
        <f t="shared" si="26"/>
        <v>2.3339231874062651</v>
      </c>
      <c r="W303" s="43">
        <f t="shared" si="27"/>
        <v>92.921423187406276</v>
      </c>
      <c r="X303" s="5" t="str" cm="1">
        <f t="array" ref="X303">_xlfn.IFS($W303 &lt;= 30, "Low", $W303 &lt;=50, "Medium", $W303 &lt;= 70, "High", $W303 &gt; 70, "Critical")</f>
        <v>Critical</v>
      </c>
      <c r="Y303" s="9">
        <f t="shared" si="28"/>
        <v>0.44392900607984864</v>
      </c>
      <c r="Z303" s="22">
        <f t="shared" si="29"/>
        <v>119.25708819329053</v>
      </c>
    </row>
    <row r="304" spans="1:26">
      <c r="A304" s="24" t="str">
        <v>CUST-1589</v>
      </c>
      <c r="B304" s="24" t="str">
        <v>Dormant</v>
      </c>
      <c r="C304" s="24" t="str">
        <v>Organic Search</v>
      </c>
      <c r="D304" s="24" t="str">
        <v>Southeast</v>
      </c>
      <c r="E304" s="24" t="str">
        <v>45-54</v>
      </c>
      <c r="F304" s="24" t="str">
        <v>Medium</v>
      </c>
      <c r="G304" s="24">
        <v>6</v>
      </c>
      <c r="H304" s="24">
        <v>46</v>
      </c>
      <c r="I304" s="23">
        <v>86.6</v>
      </c>
      <c r="J304" s="24" cm="1">
        <f t="array" ref="J304">SUMPRODUCT(
    (Transactions_and_Customer_Information_Joined[Customer ID]='V1-Based Churn Model (Step 3)'!$A304)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304" s="24">
        <f>SUMIF(Transactions_and_Customer_Information_Joined[Customer ID], 'V1-Based Churn Model (Step 3)'!$A304, Transactions_and_Customer_Information_Joined[Gross Revenue])</f>
        <v>130.86000000000001</v>
      </c>
      <c r="L304" s="3">
        <f t="shared" si="24"/>
        <v>0</v>
      </c>
      <c r="M304" s="21">
        <v>0</v>
      </c>
      <c r="N304" s="21" cm="1">
        <f t="array" ref="N304">SUMPRODUCT(
    (Transactions_and_Customer_Information_Joined[Customer ID]=$A304)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304" s="21" cm="1">
        <f t="array" ref="O304">IFERROR(
    SUMPRODUCT(
        (Transactions_and_Customer_Information_Joined[Customer ID]=$A304)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$J304,
0)</f>
        <v>0</v>
      </c>
      <c r="P304" s="5" cm="1">
        <f t="array" ref="P304">_xlfn.IFS(B304="At-Risk Churner",$B$2,$B304="Dormant",$B$3,$B304="Deal Hunter",$B$4,$B304="New Customer",$B$5,$B304="Occasional Buyer",$B$6,$B304="Loyal High-Value",$B$7)</f>
        <v>65</v>
      </c>
      <c r="Q304" s="9" cm="1">
        <f t="array" ref="Q304">_xlfn.IFS($B304 = "At-Risk Churner", $B$8, $B304="Dormant",$B$9, $B304="Deal Hunter", $B$10, $B304="New Customer", $B$11, $B304="Occasional Buyer", $B$12, $B304 = "Loyal High-Value",$B$13)</f>
        <v>0.6</v>
      </c>
      <c r="R304" s="5">
        <v>5</v>
      </c>
      <c r="S304" s="5">
        <v>0</v>
      </c>
      <c r="T304" s="5">
        <v>-5</v>
      </c>
      <c r="U304" s="5">
        <f t="shared" si="25"/>
        <v>0</v>
      </c>
      <c r="V304" s="5">
        <f t="shared" si="26"/>
        <v>0</v>
      </c>
      <c r="W304" s="43">
        <f t="shared" si="27"/>
        <v>65</v>
      </c>
      <c r="X304" s="5" t="str" cm="1">
        <f t="array" ref="X304">_xlfn.IFS($W304 &lt;= 30, "Low", $W304 &lt;=50, "Medium", $W304 &lt;= 70, "High", $W304 &gt; 70, "Critical")</f>
        <v>High</v>
      </c>
      <c r="Y304" s="9">
        <f t="shared" si="28"/>
        <v>0.49054468571618615</v>
      </c>
      <c r="Z304" s="22">
        <f t="shared" si="29"/>
        <v>51.304935826417378</v>
      </c>
    </row>
    <row r="305" spans="1:26">
      <c r="A305" s="24" t="str">
        <v>CUST-3531</v>
      </c>
      <c r="B305" s="24" t="str">
        <v>Occasional Buyer</v>
      </c>
      <c r="C305" s="24" t="str">
        <v>Paid Social</v>
      </c>
      <c r="D305" s="24" t="str">
        <v>Canada</v>
      </c>
      <c r="E305" s="24" t="str">
        <v>55+</v>
      </c>
      <c r="F305" s="24" t="str">
        <v>Medium</v>
      </c>
      <c r="G305" s="24">
        <v>6</v>
      </c>
      <c r="H305" s="24">
        <v>227</v>
      </c>
      <c r="I305" s="23">
        <v>609.07000000000005</v>
      </c>
      <c r="J305" s="24" cm="1">
        <f t="array" ref="J305">SUMPRODUCT(
    (Transactions_and_Customer_Information_Joined[Customer ID]='V1-Based Churn Model (Step 3)'!$A305)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305" s="24">
        <f>SUMIF(Transactions_and_Customer_Information_Joined[Customer ID], 'V1-Based Churn Model (Step 3)'!$A305, Transactions_and_Customer_Information_Joined[Gross Revenue])</f>
        <v>410.8</v>
      </c>
      <c r="L305" s="3">
        <f t="shared" si="24"/>
        <v>0</v>
      </c>
      <c r="M305" s="21">
        <v>0</v>
      </c>
      <c r="N305" s="21" cm="1">
        <f t="array" ref="N305">SUMPRODUCT(
    (Transactions_and_Customer_Information_Joined[Customer ID]=$A305)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305" s="21" cm="1">
        <f t="array" ref="O305">IFERROR(
    SUMPRODUCT(
        (Transactions_and_Customer_Information_Joined[Customer ID]=$A305)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$J305,
0)</f>
        <v>0</v>
      </c>
      <c r="P305" s="5" cm="1">
        <f t="array" ref="P305">_xlfn.IFS(B305="At-Risk Churner",$B$2,$B305="Dormant",$B$3,$B305="Deal Hunter",$B$4,$B305="New Customer",$B$5,$B305="Occasional Buyer",$B$6,$B305="Loyal High-Value",$B$7)</f>
        <v>25</v>
      </c>
      <c r="Q305" s="9" cm="1">
        <f t="array" ref="Q305">_xlfn.IFS($B305 = "At-Risk Churner", $B$8, $B305="Dormant",$B$9, $B305="Deal Hunter", $B$10, $B305="New Customer", $B$11, $B305="Occasional Buyer", $B$12, $B305 = "Loyal High-Value",$B$13)</f>
        <v>0.18</v>
      </c>
      <c r="R305" s="5">
        <v>5</v>
      </c>
      <c r="S305" s="5">
        <v>0</v>
      </c>
      <c r="T305" s="5">
        <v>8</v>
      </c>
      <c r="U305" s="5">
        <f t="shared" si="25"/>
        <v>0</v>
      </c>
      <c r="V305" s="5">
        <f t="shared" si="26"/>
        <v>0</v>
      </c>
      <c r="W305" s="43">
        <f t="shared" si="27"/>
        <v>38</v>
      </c>
      <c r="X305" s="5" t="str" cm="1">
        <f t="array" ref="X305">_xlfn.IFS($W305 &lt;= 30, "Low", $W305 &lt;=50, "Medium", $W305 &lt;= 70, "High", $W305 &gt; 70, "Critical")</f>
        <v>Medium</v>
      </c>
      <c r="Y305" s="9">
        <f t="shared" si="28"/>
        <v>4.166553897017683E-2</v>
      </c>
      <c r="Z305" s="22">
        <f t="shared" si="29"/>
        <v>142.11578385645251</v>
      </c>
    </row>
    <row r="306" spans="1:26">
      <c r="A306" s="24" t="str">
        <v>CUST-1999</v>
      </c>
      <c r="B306" s="24" t="str">
        <v>Loyal High-Value</v>
      </c>
      <c r="C306" s="24" t="str">
        <v>Direct</v>
      </c>
      <c r="D306" s="24" t="str">
        <v>Northeast</v>
      </c>
      <c r="E306" s="24" t="str">
        <v>55+</v>
      </c>
      <c r="F306" s="24" t="str">
        <v>Medium</v>
      </c>
      <c r="G306" s="24">
        <v>1</v>
      </c>
      <c r="H306" s="24">
        <v>80</v>
      </c>
      <c r="I306" s="23">
        <v>1917.43</v>
      </c>
      <c r="J306" s="24" cm="1">
        <f t="array" ref="J306">SUMPRODUCT(
    (Transactions_and_Customer_Information_Joined[Customer ID]='V1-Based Churn Model (Step 3)'!$A306) *
    (IFERROR(_xlfn.XLOOKUP(Transactions_and_Customer_Information_Joined[SKU], 'V1 Pricing Model (Step 2)'!$A$22:$A$71, 'V1 Pricing Model (Step 2)'!$AL$22:$AL$71), "Exclude")&lt;&gt;"Exclude") *
    Transactions_and_Customer_Information_Joined[Gross Revenue])</f>
        <v>379.04</v>
      </c>
      <c r="K306" s="24">
        <f>SUMIF(Transactions_and_Customer_Information_Joined[Customer ID], 'V1-Based Churn Model (Step 3)'!$A306, Transactions_and_Customer_Information_Joined[Gross Revenue])</f>
        <v>379.04</v>
      </c>
      <c r="L306" s="3">
        <f t="shared" si="24"/>
        <v>1</v>
      </c>
      <c r="M306" s="21">
        <v>1.2225679304209092E-2</v>
      </c>
      <c r="N306" s="21" cm="1">
        <f t="array" ref="N306">SUMPRODUCT(
    (Transactions_and_Customer_Information_Joined[Customer ID]=$A306)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06" s="21" cm="1">
        <f t="array" ref="O306">IFERROR(
    SUMPRODUCT(
        (Transactions_and_Customer_Information_Joined[Customer ID]=$A306)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$J306,
0)</f>
        <v>1.2225679304209092E-2</v>
      </c>
      <c r="P306" s="5" cm="1">
        <f t="array" ref="P306">_xlfn.IFS(B306="At-Risk Churner",$B$2,$B306="Dormant",$B$3,$B306="Deal Hunter",$B$4,$B306="New Customer",$B$5,$B306="Occasional Buyer",$B$6,$B306="Loyal High-Value",$B$7)</f>
        <v>15</v>
      </c>
      <c r="Q306" s="9" cm="1">
        <f t="array" ref="Q306">_xlfn.IFS($B306 = "At-Risk Churner", $B$8, $B306="Dormant",$B$9, $B306="Deal Hunter", $B$10, $B306="New Customer", $B$11, $B306="Occasional Buyer", $B$12, $B306 = "Loyal High-Value",$B$13)</f>
        <v>0.05</v>
      </c>
      <c r="R306" s="5">
        <v>5</v>
      </c>
      <c r="S306" s="5">
        <v>10</v>
      </c>
      <c r="T306" s="5">
        <v>0</v>
      </c>
      <c r="U306" s="5">
        <f t="shared" si="25"/>
        <v>15</v>
      </c>
      <c r="V306" s="5">
        <f t="shared" si="26"/>
        <v>0.48902717216836367</v>
      </c>
      <c r="W306" s="43">
        <f t="shared" si="27"/>
        <v>45.751527172168359</v>
      </c>
      <c r="X306" s="5" t="str" cm="1">
        <f t="array" ref="X306">_xlfn.IFS($W306 &lt;= 30, "Low", $W306 &lt;=50, "Medium", $W306 &lt;= 70, "High", $W306 &gt; 70, "Critical")</f>
        <v>Medium</v>
      </c>
      <c r="Y306" s="9">
        <f t="shared" si="28"/>
        <v>1.9767871087131957E-2</v>
      </c>
      <c r="Z306" s="22">
        <f t="shared" si="29"/>
        <v>413.80880724687955</v>
      </c>
    </row>
    <row r="307" spans="1:26">
      <c r="A307" s="24" t="str">
        <v>CUST-2045</v>
      </c>
      <c r="B307" s="24" t="str">
        <v>Dormant</v>
      </c>
      <c r="C307" s="24" t="str">
        <v>Influencer</v>
      </c>
      <c r="D307" s="24" t="str">
        <v>UK</v>
      </c>
      <c r="E307" s="24" t="str">
        <v>25-34</v>
      </c>
      <c r="F307" s="24" t="str">
        <v>High</v>
      </c>
      <c r="G307" s="24">
        <v>5</v>
      </c>
      <c r="H307" s="24">
        <v>266</v>
      </c>
      <c r="I307" s="23">
        <v>151.83000000000001</v>
      </c>
      <c r="J307" s="24" cm="1">
        <f t="array" ref="J307">SUMPRODUCT(
    (Transactions_and_Customer_Information_Joined[Customer ID]='V1-Based Churn Model (Step 3)'!$A307) *
    (IFERROR(_xlfn.XLOOKUP(Transactions_and_Customer_Information_Joined[SKU], 'V1 Pricing Model (Step 2)'!$A$22:$A$71, 'V1 Pricing Model (Step 2)'!$AL$22:$AL$71), "Exclude")&lt;&gt;"Exclude") *
    Transactions_and_Customer_Information_Joined[Gross Revenue])</f>
        <v>394.32</v>
      </c>
      <c r="K307" s="24">
        <f>SUMIF(Transactions_and_Customer_Information_Joined[Customer ID], 'V1-Based Churn Model (Step 3)'!$A307, Transactions_and_Customer_Information_Joined[Gross Revenue])</f>
        <v>394.32</v>
      </c>
      <c r="L307" s="3">
        <f t="shared" si="24"/>
        <v>1</v>
      </c>
      <c r="M307" s="21">
        <v>0</v>
      </c>
      <c r="N307" s="21" cm="1">
        <f t="array" ref="N307">SUMPRODUCT(
    (Transactions_and_Customer_Information_Joined[Customer ID]=$A307)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07" s="21" cm="1">
        <f t="array" ref="O307">IFERROR(
    SUMPRODUCT(
        (Transactions_and_Customer_Information_Joined[Customer ID]=$A307)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$J307,
0)</f>
        <v>0</v>
      </c>
      <c r="P307" s="5" cm="1">
        <f t="array" ref="P307">_xlfn.IFS(B307="At-Risk Churner",$B$2,$B307="Dormant",$B$3,$B307="Deal Hunter",$B$4,$B307="New Customer",$B$5,$B307="Occasional Buyer",$B$6,$B307="Loyal High-Value",$B$7)</f>
        <v>65</v>
      </c>
      <c r="Q307" s="9" cm="1">
        <f t="array" ref="Q307">_xlfn.IFS($B307 = "At-Risk Churner", $B$8, $B307="Dormant",$B$9, $B307="Deal Hunter", $B$10, $B307="New Customer", $B$11, $B307="Occasional Buyer", $B$12, $B307 = "Loyal High-Value",$B$13)</f>
        <v>0.6</v>
      </c>
      <c r="R307" s="5">
        <v>15</v>
      </c>
      <c r="S307" s="5">
        <v>0</v>
      </c>
      <c r="T307" s="5">
        <v>8</v>
      </c>
      <c r="U307" s="5">
        <f t="shared" si="25"/>
        <v>15</v>
      </c>
      <c r="V307" s="5">
        <f t="shared" si="26"/>
        <v>0</v>
      </c>
      <c r="W307" s="43">
        <f t="shared" si="27"/>
        <v>100</v>
      </c>
      <c r="X307" s="5" t="str" cm="1">
        <f t="array" ref="X307">_xlfn.IFS($W307 &lt;= 30, "Low", $W307 &lt;=50, "Medium", $W307 &lt;= 70, "High", $W307 &gt; 70, "Critical")</f>
        <v>Critical</v>
      </c>
      <c r="Y307" s="9">
        <f t="shared" si="28"/>
        <v>0.59598428944542914</v>
      </c>
      <c r="Z307" s="22">
        <f t="shared" si="29"/>
        <v>90.488294666499513</v>
      </c>
    </row>
    <row r="308" spans="1:26">
      <c r="A308" s="24" t="str">
        <v>CUST-2928</v>
      </c>
      <c r="B308" s="24" t="str">
        <v>Occasional Buyer</v>
      </c>
      <c r="C308" s="24" t="str">
        <v>Organic Search</v>
      </c>
      <c r="D308" s="24" t="str">
        <v>Canada</v>
      </c>
      <c r="E308" s="24" t="str">
        <v>25-34</v>
      </c>
      <c r="F308" s="24" t="str">
        <v>Medium</v>
      </c>
      <c r="G308" s="24">
        <v>10</v>
      </c>
      <c r="H308" s="24">
        <v>346</v>
      </c>
      <c r="I308" s="23">
        <v>692.8</v>
      </c>
      <c r="J308" s="24" cm="1">
        <f t="array" ref="J308">SUMPRODUCT(
    (Transactions_and_Customer_Information_Joined[Customer ID]='V1-Based Churn Model (Step 3)'!$A308) *
    (IFERROR(_xlfn.XLOOKUP(Transactions_and_Customer_Information_Joined[SKU], 'V1 Pricing Model (Step 2)'!$A$22:$A$71, 'V1 Pricing Model (Step 2)'!$AL$22:$AL$71), "Exclude")&lt;&gt;"Exclude") *
    Transactions_and_Customer_Information_Joined[Gross Revenue])</f>
        <v>54.64</v>
      </c>
      <c r="K308" s="24">
        <f>SUMIF(Transactions_and_Customer_Information_Joined[Customer ID], 'V1-Based Churn Model (Step 3)'!$A308, Transactions_and_Customer_Information_Joined[Gross Revenue])</f>
        <v>54.64</v>
      </c>
      <c r="L308" s="3">
        <f t="shared" si="24"/>
        <v>1</v>
      </c>
      <c r="M308" s="21">
        <v>0.24833629343146826</v>
      </c>
      <c r="N308" s="21" cm="1">
        <f t="array" ref="N308">SUMPRODUCT(
    (Transactions_and_Customer_Information_Joined[Customer ID]=$A308)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08" s="21" cm="1">
        <f t="array" ref="O308">IFERROR(
    SUMPRODUCT(
        (Transactions_and_Customer_Information_Joined[Customer ID]=$A308)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$J308,
0)</f>
        <v>0.24833629343146826</v>
      </c>
      <c r="P308" s="5" cm="1">
        <f t="array" ref="P308">_xlfn.IFS(B308="At-Risk Churner",$B$2,$B308="Dormant",$B$3,$B308="Deal Hunter",$B$4,$B308="New Customer",$B$5,$B308="Occasional Buyer",$B$6,$B308="Loyal High-Value",$B$7)</f>
        <v>25</v>
      </c>
      <c r="Q308" s="9" cm="1">
        <f t="array" ref="Q308">_xlfn.IFS($B308 = "At-Risk Churner", $B$8, $B308="Dormant",$B$9, $B308="Deal Hunter", $B$10, $B308="New Customer", $B$11, $B308="Occasional Buyer", $B$12, $B308 = "Loyal High-Value",$B$13)</f>
        <v>0.18</v>
      </c>
      <c r="R308" s="5">
        <v>5</v>
      </c>
      <c r="S308" s="5">
        <v>-8</v>
      </c>
      <c r="T308" s="5">
        <v>15</v>
      </c>
      <c r="U308" s="5">
        <f t="shared" si="25"/>
        <v>15</v>
      </c>
      <c r="V308" s="5">
        <f t="shared" si="26"/>
        <v>9.9334517372587303</v>
      </c>
      <c r="W308" s="43">
        <f t="shared" si="27"/>
        <v>61.845951737258723</v>
      </c>
      <c r="X308" s="5" t="str" cm="1">
        <f t="array" ref="X308">_xlfn.IFS($W308 &lt;= 30, "Low", $W308 &lt;=50, "Medium", $W308 &lt;= 70, "High", $W308 &gt; 70, "Critical")</f>
        <v>High</v>
      </c>
      <c r="Y308" s="9">
        <f t="shared" si="28"/>
        <v>0.13783914397599401</v>
      </c>
      <c r="Z308" s="22">
        <f t="shared" si="29"/>
        <v>214.95596715725492</v>
      </c>
    </row>
    <row r="309" spans="1:26">
      <c r="A309" s="24" t="str">
        <v>CUST-1306</v>
      </c>
      <c r="B309" s="24" t="str">
        <v>Loyal High-Value</v>
      </c>
      <c r="C309" s="24" t="str">
        <v>Influencer</v>
      </c>
      <c r="D309" s="24" t="str">
        <v>Southwest</v>
      </c>
      <c r="E309" s="24" t="str">
        <v>35-44</v>
      </c>
      <c r="F309" s="24" t="str">
        <v>Medium</v>
      </c>
      <c r="G309" s="24">
        <v>7</v>
      </c>
      <c r="H309" s="24">
        <v>72</v>
      </c>
      <c r="I309" s="23">
        <v>1788.92</v>
      </c>
      <c r="J309" s="24" cm="1">
        <f t="array" ref="J309">SUMPRODUCT(
    (Transactions_and_Customer_Information_Joined[Customer ID]='V1-Based Churn Model (Step 3)'!$A309) *
    (IFERROR(_xlfn.XLOOKUP(Transactions_and_Customer_Information_Joined[SKU], 'V1 Pricing Model (Step 2)'!$A$22:$A$71, 'V1 Pricing Model (Step 2)'!$AL$22:$AL$71), "Exclude")&lt;&gt;"Exclude") *
    Transactions_and_Customer_Information_Joined[Gross Revenue])</f>
        <v>444.92</v>
      </c>
      <c r="K309" s="24">
        <f>SUMIF(Transactions_and_Customer_Information_Joined[Customer ID], 'V1-Based Churn Model (Step 3)'!$A309, Transactions_and_Customer_Information_Joined[Gross Revenue])</f>
        <v>444.92</v>
      </c>
      <c r="L309" s="3">
        <f t="shared" si="24"/>
        <v>1</v>
      </c>
      <c r="M309" s="21">
        <v>0.24833629343146826</v>
      </c>
      <c r="N309" s="21" cm="1">
        <f t="array" ref="N309">SUMPRODUCT(
    (Transactions_and_Customer_Information_Joined[Customer ID]=$A309)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2</v>
      </c>
      <c r="O309" s="21" cm="1">
        <f t="array" ref="O309">IFERROR(
    SUMPRODUCT(
        (Transactions_and_Customer_Information_Joined[Customer ID]=$A309)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$J309,
0)</f>
        <v>0.16196935352200681</v>
      </c>
      <c r="P309" s="5" cm="1">
        <f t="array" ref="P309">_xlfn.IFS(B309="At-Risk Churner",$B$2,$B309="Dormant",$B$3,$B309="Deal Hunter",$B$4,$B309="New Customer",$B$5,$B309="Occasional Buyer",$B$6,$B309="Loyal High-Value",$B$7)</f>
        <v>15</v>
      </c>
      <c r="Q309" s="9" cm="1">
        <f t="array" ref="Q309">_xlfn.IFS($B309 = "At-Risk Churner", $B$8, $B309="Dormant",$B$9, $B309="Deal Hunter", $B$10, $B309="New Customer", $B$11, $B309="Occasional Buyer", $B$12, $B309 = "Loyal High-Value",$B$13)</f>
        <v>0.05</v>
      </c>
      <c r="R309" s="5">
        <v>5</v>
      </c>
      <c r="S309" s="5">
        <v>-8</v>
      </c>
      <c r="T309" s="5">
        <v>0</v>
      </c>
      <c r="U309" s="5">
        <f t="shared" si="25"/>
        <v>15</v>
      </c>
      <c r="V309" s="5">
        <f t="shared" si="26"/>
        <v>8.2061129390695022</v>
      </c>
      <c r="W309" s="43">
        <f t="shared" si="27"/>
        <v>35.198612939069498</v>
      </c>
      <c r="X309" s="5" t="str" cm="1">
        <f t="array" ref="X309">_xlfn.IFS($W309 &lt;= 30, "Low", $W309 &lt;=50, "Medium", $W309 &lt;= 70, "High", $W309 &gt; 70, "Critical")</f>
        <v>Medium</v>
      </c>
      <c r="Y309" s="9">
        <f t="shared" si="28"/>
        <v>9.2703234735658242E-3</v>
      </c>
      <c r="Z309" s="22">
        <f t="shared" si="29"/>
        <v>371.05109365466512</v>
      </c>
    </row>
    <row r="310" spans="1:26">
      <c r="A310" s="24" t="str">
        <v>CUST-4263</v>
      </c>
      <c r="B310" s="24" t="str">
        <v>Occasional Buyer</v>
      </c>
      <c r="C310" s="24" t="str">
        <v>Influencer</v>
      </c>
      <c r="D310" s="24" t="str">
        <v>Southwest</v>
      </c>
      <c r="E310" s="24" t="str">
        <v>45-54</v>
      </c>
      <c r="F310" s="24" t="str">
        <v>Medium</v>
      </c>
      <c r="G310" s="24">
        <v>3</v>
      </c>
      <c r="H310" s="24">
        <v>112</v>
      </c>
      <c r="I310" s="23">
        <v>514.23</v>
      </c>
      <c r="J310" s="24" cm="1">
        <f t="array" ref="J310">SUMPRODUCT(
    (Transactions_and_Customer_Information_Joined[Customer ID]='V1-Based Churn Model (Step 3)'!$A310) *
    (IFERROR(_xlfn.XLOOKUP(Transactions_and_Customer_Information_Joined[SKU], 'V1 Pricing Model (Step 2)'!$A$22:$A$71, 'V1 Pricing Model (Step 2)'!$AL$22:$AL$71), "Exclude")&lt;&gt;"Exclude") *
    Transactions_and_Customer_Information_Joined[Gross Revenue])</f>
        <v>70.22</v>
      </c>
      <c r="K310" s="24">
        <f>SUMIF(Transactions_and_Customer_Information_Joined[Customer ID], 'V1-Based Churn Model (Step 3)'!$A310, Transactions_and_Customer_Information_Joined[Gross Revenue])</f>
        <v>70.22</v>
      </c>
      <c r="L310" s="3">
        <f t="shared" si="24"/>
        <v>1</v>
      </c>
      <c r="M310" s="21">
        <v>0.25581555939754186</v>
      </c>
      <c r="N310" s="21" cm="1">
        <f t="array" ref="N310">SUMPRODUCT(
    (Transactions_and_Customer_Information_Joined[Customer ID]=$A310)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10" s="21" cm="1">
        <f t="array" ref="O310">IFERROR(
    SUMPRODUCT(
        (Transactions_and_Customer_Information_Joined[Customer ID]=$A310)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$J310,
0)</f>
        <v>0.25581555939754186</v>
      </c>
      <c r="P310" s="5" cm="1">
        <f t="array" ref="P310">_xlfn.IFS(B310="At-Risk Churner",$B$2,$B310="Dormant",$B$3,$B310="Deal Hunter",$B$4,$B310="New Customer",$B$5,$B310="Occasional Buyer",$B$6,$B310="Loyal High-Value",$B$7)</f>
        <v>25</v>
      </c>
      <c r="Q310" s="9" cm="1">
        <f t="array" ref="Q310">_xlfn.IFS($B310 = "At-Risk Churner", $B$8, $B310="Dormant",$B$9, $B310="Deal Hunter", $B$10, $B310="New Customer", $B$11, $B310="Occasional Buyer", $B$12, $B310 = "Loyal High-Value",$B$13)</f>
        <v>0.18</v>
      </c>
      <c r="R310" s="5">
        <v>5</v>
      </c>
      <c r="S310" s="5">
        <v>10</v>
      </c>
      <c r="T310" s="5">
        <v>0</v>
      </c>
      <c r="U310" s="5">
        <f t="shared" si="25"/>
        <v>15</v>
      </c>
      <c r="V310" s="5">
        <f t="shared" si="26"/>
        <v>10.232622375901673</v>
      </c>
      <c r="W310" s="43">
        <f t="shared" si="27"/>
        <v>65.595122375901667</v>
      </c>
      <c r="X310" s="5" t="str" cm="1">
        <f t="array" ref="X310">_xlfn.IFS($W310 &lt;= 30, "Low", $W310 &lt;=50, "Medium", $W310 &lt;= 70, "High", $W310 &gt; 70, "Critical")</f>
        <v>High</v>
      </c>
      <c r="Y310" s="9">
        <f t="shared" si="28"/>
        <v>0.1487310031996727</v>
      </c>
      <c r="Z310" s="22">
        <f t="shared" si="29"/>
        <v>164.03155502029415</v>
      </c>
    </row>
    <row r="311" spans="1:26">
      <c r="A311" s="24" t="str">
        <v>CUST-3791</v>
      </c>
      <c r="B311" s="24" t="str">
        <v>Occasional Buyer</v>
      </c>
      <c r="C311" s="24" t="str">
        <v>Organic Search</v>
      </c>
      <c r="D311" s="24" t="str">
        <v>Northeast</v>
      </c>
      <c r="E311" s="24" t="str">
        <v>45-54</v>
      </c>
      <c r="F311" s="24" t="str">
        <v>Low</v>
      </c>
      <c r="G311" s="24">
        <v>4</v>
      </c>
      <c r="H311" s="24">
        <v>60</v>
      </c>
      <c r="I311" s="23">
        <v>497.21</v>
      </c>
      <c r="J311" s="24" cm="1">
        <f t="array" ref="J311">SUMPRODUCT(
    (Transactions_and_Customer_Information_Joined[Customer ID]='V1-Based Churn Model (Step 3)'!$A311) *
    (IFERROR(_xlfn.XLOOKUP(Transactions_and_Customer_Information_Joined[SKU], 'V1 Pricing Model (Step 2)'!$A$22:$A$71, 'V1 Pricing Model (Step 2)'!$AL$22:$AL$71), "Exclude")&lt;&gt;"Exclude") *
    Transactions_and_Customer_Information_Joined[Gross Revenue])</f>
        <v>626.26</v>
      </c>
      <c r="K311" s="24">
        <f>SUMIF(Transactions_and_Customer_Information_Joined[Customer ID], 'V1-Based Churn Model (Step 3)'!$A311, Transactions_and_Customer_Information_Joined[Gross Revenue])</f>
        <v>626.26</v>
      </c>
      <c r="L311" s="3">
        <f t="shared" si="24"/>
        <v>1</v>
      </c>
      <c r="M311" s="21">
        <v>0.14790650353694867</v>
      </c>
      <c r="N311" s="21" cm="1">
        <f t="array" ref="N311">SUMPRODUCT(
    (Transactions_and_Customer_Information_Joined[Customer ID]=$A311)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11" s="21" cm="1">
        <f t="array" ref="O311">IFERROR(
    SUMPRODUCT(
        (Transactions_and_Customer_Information_Joined[Customer ID]=$A311)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$J311,
0)</f>
        <v>0.12645542657256956</v>
      </c>
      <c r="P311" s="5" cm="1">
        <f t="array" ref="P311">_xlfn.IFS(B311="At-Risk Churner",$B$2,$B311="Dormant",$B$3,$B311="Deal Hunter",$B$4,$B311="New Customer",$B$5,$B311="Occasional Buyer",$B$6,$B311="Loyal High-Value",$B$7)</f>
        <v>25</v>
      </c>
      <c r="Q311" s="9" cm="1">
        <f t="array" ref="Q311">_xlfn.IFS($B311 = "At-Risk Churner", $B$8, $B311="Dormant",$B$9, $B311="Deal Hunter", $B$10, $B311="New Customer", $B$11, $B311="Occasional Buyer", $B$12, $B311 = "Loyal High-Value",$B$13)</f>
        <v>0.18</v>
      </c>
      <c r="R311" s="5">
        <v>-5</v>
      </c>
      <c r="S311" s="5">
        <v>0</v>
      </c>
      <c r="T311" s="5">
        <v>0</v>
      </c>
      <c r="U311" s="5">
        <f t="shared" si="25"/>
        <v>15</v>
      </c>
      <c r="V311" s="5">
        <f t="shared" si="26"/>
        <v>5.4872386021903647</v>
      </c>
      <c r="W311" s="43">
        <f t="shared" si="27"/>
        <v>40.374738602190369</v>
      </c>
      <c r="X311" s="5" t="str" cm="1">
        <f t="array" ref="X311">_xlfn.IFS($W311 &lt;= 30, "Low", $W311 &lt;=50, "Medium", $W311 &lt;= 70, "High", $W311 &gt; 70, "Critical")</f>
        <v>Medium</v>
      </c>
      <c r="Y311" s="9">
        <f t="shared" si="28"/>
        <v>4.9747086861738482E-2</v>
      </c>
      <c r="Z311" s="22">
        <f t="shared" si="29"/>
        <v>119.22979924681999</v>
      </c>
    </row>
    <row r="312" spans="1:26">
      <c r="A312" s="24" t="str">
        <v>CUST-2297</v>
      </c>
      <c r="B312" s="24" t="str">
        <v>Occasional Buyer</v>
      </c>
      <c r="C312" s="24" t="str">
        <v>Paid Social</v>
      </c>
      <c r="D312" s="24" t="str">
        <v>West</v>
      </c>
      <c r="E312" s="24" t="str">
        <v>35-44</v>
      </c>
      <c r="F312" s="24" t="str">
        <v>High</v>
      </c>
      <c r="G312" s="24">
        <v>2</v>
      </c>
      <c r="H312" s="24">
        <v>321</v>
      </c>
      <c r="I312" s="23">
        <v>797.23</v>
      </c>
      <c r="J312" s="24" cm="1">
        <f t="array" ref="J312">SUMPRODUCT(
    (Transactions_and_Customer_Information_Joined[Customer ID]='V1-Based Churn Model (Step 3)'!$A312) *
    (IFERROR(_xlfn.XLOOKUP(Transactions_and_Customer_Information_Joined[SKU], 'V1 Pricing Model (Step 2)'!$A$22:$A$71, 'V1 Pricing Model (Step 2)'!$AL$22:$AL$71), "Exclude")&lt;&gt;"Exclude") *
    Transactions_and_Customer_Information_Joined[Gross Revenue])</f>
        <v>341.46999999999997</v>
      </c>
      <c r="K312" s="24">
        <f>SUMIF(Transactions_and_Customer_Information_Joined[Customer ID], 'V1-Based Churn Model (Step 3)'!$A312, Transactions_and_Customer_Information_Joined[Gross Revenue])</f>
        <v>341.46999999999997</v>
      </c>
      <c r="L312" s="3">
        <f t="shared" si="24"/>
        <v>1</v>
      </c>
      <c r="M312" s="21">
        <v>0.25581555939754186</v>
      </c>
      <c r="N312" s="21" cm="1">
        <f t="array" ref="N312">SUMPRODUCT(
    (Transactions_and_Customer_Information_Joined[Customer ID]=$A312)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12" s="21" cm="1">
        <f t="array" ref="O312">IFERROR(
    SUMPRODUCT(
        (Transactions_and_Customer_Information_Joined[Customer ID]=$A312)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$J312,
0)</f>
        <v>0.10467853811154627</v>
      </c>
      <c r="P312" s="5" cm="1">
        <f t="array" ref="P312">_xlfn.IFS(B312="At-Risk Churner",$B$2,$B312="Dormant",$B$3,$B312="Deal Hunter",$B$4,$B312="New Customer",$B$5,$B312="Occasional Buyer",$B$6,$B312="Loyal High-Value",$B$7)</f>
        <v>25</v>
      </c>
      <c r="Q312" s="9" cm="1">
        <f t="array" ref="Q312">_xlfn.IFS($B312 = "At-Risk Churner", $B$8, $B312="Dormant",$B$9, $B312="Deal Hunter", $B$10, $B312="New Customer", $B$11, $B312="Occasional Buyer", $B$12, $B312 = "Loyal High-Value",$B$13)</f>
        <v>0.18</v>
      </c>
      <c r="R312" s="5">
        <v>15</v>
      </c>
      <c r="S312" s="5">
        <v>10</v>
      </c>
      <c r="T312" s="5">
        <v>15</v>
      </c>
      <c r="U312" s="5">
        <f t="shared" si="25"/>
        <v>15</v>
      </c>
      <c r="V312" s="5">
        <f t="shared" si="26"/>
        <v>7.2098819501817619</v>
      </c>
      <c r="W312" s="43">
        <f t="shared" si="27"/>
        <v>87.797381950181773</v>
      </c>
      <c r="X312" s="5" t="str" cm="1">
        <f t="array" ref="X312">_xlfn.IFS($W312 &lt;= 30, "Low", $W312 &lt;=50, "Medium", $W312 &lt;= 70, "High", $W312 &gt; 70, "Critical")</f>
        <v>Critical</v>
      </c>
      <c r="Y312" s="9">
        <f t="shared" si="28"/>
        <v>0.17598255285009376</v>
      </c>
      <c r="Z312" s="22">
        <f t="shared" si="29"/>
        <v>140.29857060868025</v>
      </c>
    </row>
    <row r="313" spans="1:26">
      <c r="A313" s="24" t="str">
        <v>CUST-3773</v>
      </c>
      <c r="B313" s="24" t="str">
        <v>Loyal High-Value</v>
      </c>
      <c r="C313" s="24" t="str">
        <v>Paid Social</v>
      </c>
      <c r="D313" s="24" t="str">
        <v>Canada</v>
      </c>
      <c r="E313" s="24" t="str">
        <v>35-44</v>
      </c>
      <c r="F313" s="24" t="str">
        <v>Medium</v>
      </c>
      <c r="G313" s="24">
        <v>7</v>
      </c>
      <c r="H313" s="24">
        <v>356</v>
      </c>
      <c r="I313" s="23">
        <v>1047.27</v>
      </c>
      <c r="J313" s="24" cm="1">
        <f t="array" ref="J313">SUMPRODUCT(
    (Transactions_and_Customer_Information_Joined[Customer ID]='V1-Based Churn Model (Step 3)'!$A313) *
    (IFERROR(_xlfn.XLOOKUP(Transactions_and_Customer_Information_Joined[SKU], 'V1 Pricing Model (Step 2)'!$A$22:$A$71, 'V1 Pricing Model (Step 2)'!$AL$22:$AL$71), "Exclude")&lt;&gt;"Exclude") *
    Transactions_and_Customer_Information_Joined[Gross Revenue])</f>
        <v>72.7</v>
      </c>
      <c r="K313" s="24">
        <f>SUMIF(Transactions_and_Customer_Information_Joined[Customer ID], 'V1-Based Churn Model (Step 3)'!$A313, Transactions_and_Customer_Information_Joined[Gross Revenue])</f>
        <v>72.7</v>
      </c>
      <c r="L313" s="3">
        <f t="shared" si="24"/>
        <v>1</v>
      </c>
      <c r="M313" s="21">
        <v>6.4419042005321461E-2</v>
      </c>
      <c r="N313" s="21" cm="1">
        <f t="array" ref="N313">SUMPRODUCT(
    (Transactions_and_Customer_Information_Joined[Customer ID]=$A313)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13" s="21" cm="1">
        <f t="array" ref="O313">IFERROR(
    SUMPRODUCT(
        (Transactions_and_Customer_Information_Joined[Customer ID]=$A313)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$J313,
0)</f>
        <v>6.4419042005321461E-2</v>
      </c>
      <c r="P313" s="5" cm="1">
        <f t="array" ref="P313">_xlfn.IFS(B313="At-Risk Churner",$B$2,$B313="Dormant",$B$3,$B313="Deal Hunter",$B$4,$B313="New Customer",$B$5,$B313="Occasional Buyer",$B$6,$B313="Loyal High-Value",$B$7)</f>
        <v>15</v>
      </c>
      <c r="Q313" s="9" cm="1">
        <f t="array" ref="Q313">_xlfn.IFS($B313 = "At-Risk Churner", $B$8, $B313="Dormant",$B$9, $B313="Deal Hunter", $B$10, $B313="New Customer", $B$11, $B313="Occasional Buyer", $B$12, $B313 = "Loyal High-Value",$B$13)</f>
        <v>0.05</v>
      </c>
      <c r="R313" s="5">
        <v>5</v>
      </c>
      <c r="S313" s="5">
        <v>-8</v>
      </c>
      <c r="T313" s="5">
        <v>15</v>
      </c>
      <c r="U313" s="5">
        <f t="shared" si="25"/>
        <v>15</v>
      </c>
      <c r="V313" s="5">
        <f t="shared" si="26"/>
        <v>2.5767616802128583</v>
      </c>
      <c r="W313" s="43">
        <f t="shared" si="27"/>
        <v>44.569261680212861</v>
      </c>
      <c r="X313" s="5" t="str" cm="1">
        <f t="array" ref="X313">_xlfn.IFS($W313 &lt;= 30, "Low", $W313 &lt;=50, "Medium", $W313 &lt;= 70, "High", $W313 &gt; 70, "Critical")</f>
        <v>Medium</v>
      </c>
      <c r="Y313" s="9">
        <f t="shared" si="28"/>
        <v>1.8373641038324028E-2</v>
      </c>
      <c r="Z313" s="22">
        <f t="shared" si="29"/>
        <v>224.84773044016447</v>
      </c>
    </row>
    <row r="314" spans="1:26">
      <c r="A314" s="24" t="str">
        <v>CUST-3923</v>
      </c>
      <c r="B314" s="24" t="str">
        <v>At-Risk Churner</v>
      </c>
      <c r="C314" s="24" t="str">
        <v>Referral</v>
      </c>
      <c r="D314" s="24" t="str">
        <v>West</v>
      </c>
      <c r="E314" s="24" t="str">
        <v>45-54</v>
      </c>
      <c r="F314" s="24" t="str">
        <v>Medium</v>
      </c>
      <c r="G314" s="24">
        <v>4</v>
      </c>
      <c r="H314" s="24">
        <v>191</v>
      </c>
      <c r="I314" s="23">
        <v>291.95999999999998</v>
      </c>
      <c r="J314" s="24" cm="1">
        <f t="array" ref="J314">SUMPRODUCT(
    (Transactions_and_Customer_Information_Joined[Customer ID]='V1-Based Churn Model (Step 3)'!$A314) *
    (IFERROR(_xlfn.XLOOKUP(Transactions_and_Customer_Information_Joined[SKU], 'V1 Pricing Model (Step 2)'!$A$22:$A$71, 'V1 Pricing Model (Step 2)'!$AL$22:$AL$71), "Exclude")&lt;&gt;"Exclude") *
    Transactions_and_Customer_Information_Joined[Gross Revenue])</f>
        <v>334.49</v>
      </c>
      <c r="K314" s="24">
        <f>SUMIF(Transactions_and_Customer_Information_Joined[Customer ID], 'V1-Based Churn Model (Step 3)'!$A314, Transactions_and_Customer_Information_Joined[Gross Revenue])</f>
        <v>334.49</v>
      </c>
      <c r="L314" s="3">
        <f t="shared" si="24"/>
        <v>1</v>
      </c>
      <c r="M314" s="21">
        <v>0.1130897018443069</v>
      </c>
      <c r="N314" s="21" cm="1">
        <f t="array" ref="N314">SUMPRODUCT(
    (Transactions_and_Customer_Information_Joined[Customer ID]=$A314)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14" s="21" cm="1">
        <f t="array" ref="O314">IFERROR(
    SUMPRODUCT(
        (Transactions_and_Customer_Information_Joined[Customer ID]=$A314)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$J314,
0)</f>
        <v>8.4368454059099957E-2</v>
      </c>
      <c r="P314" s="5" cm="1">
        <f t="array" ref="P314">_xlfn.IFS(B314="At-Risk Churner",$B$2,$B314="Dormant",$B$3,$B314="Deal Hunter",$B$4,$B314="New Customer",$B$5,$B314="Occasional Buyer",$B$6,$B314="Loyal High-Value",$B$7)</f>
        <v>70</v>
      </c>
      <c r="Q314" s="9" cm="1">
        <f t="array" ref="Q314">_xlfn.IFS($B314 = "At-Risk Churner", $B$8, $B314="Dormant",$B$9, $B314="Deal Hunter", $B$10, $B314="New Customer", $B$11, $B314="Occasional Buyer", $B$12, $B314 = "Loyal High-Value",$B$13)</f>
        <v>0.45</v>
      </c>
      <c r="R314" s="5">
        <v>5</v>
      </c>
      <c r="S314" s="5">
        <v>0</v>
      </c>
      <c r="T314" s="5">
        <v>8</v>
      </c>
      <c r="U314" s="5">
        <f t="shared" si="25"/>
        <v>15</v>
      </c>
      <c r="V314" s="5">
        <f t="shared" si="26"/>
        <v>3.9491631180681375</v>
      </c>
      <c r="W314" s="43">
        <f t="shared" si="27"/>
        <v>100</v>
      </c>
      <c r="X314" s="5" t="str" cm="1">
        <f t="array" ref="X314">_xlfn.IFS($W314 &lt;= 30, "Low", $W314 &lt;=50, "Medium", $W314 &lt;= 70, "High", $W314 &gt; 70, "Critical")</f>
        <v>Critical</v>
      </c>
      <c r="Y314" s="9">
        <f t="shared" si="28"/>
        <v>0.44698821708407188</v>
      </c>
      <c r="Z314" s="22">
        <f t="shared" si="29"/>
        <v>130.50267985986562</v>
      </c>
    </row>
    <row r="315" spans="1:26">
      <c r="A315" s="24" t="str">
        <v>CUST-2362</v>
      </c>
      <c r="B315" s="24" t="str">
        <v>Deal Hunter</v>
      </c>
      <c r="C315" s="24" t="str">
        <v>Influencer</v>
      </c>
      <c r="D315" s="24" t="str">
        <v>West</v>
      </c>
      <c r="E315" s="24" t="str">
        <v>55+</v>
      </c>
      <c r="F315" s="24" t="str">
        <v>Medium</v>
      </c>
      <c r="G315" s="24">
        <v>0</v>
      </c>
      <c r="H315" s="24">
        <v>45</v>
      </c>
      <c r="I315" s="23">
        <v>394.06</v>
      </c>
      <c r="J315" s="24" cm="1">
        <f t="array" ref="J315">SUMPRODUCT(
    (Transactions_and_Customer_Information_Joined[Customer ID]='V1-Based Churn Model (Step 3)'!$A315) *
    (IFERROR(_xlfn.XLOOKUP(Transactions_and_Customer_Information_Joined[SKU], 'V1 Pricing Model (Step 2)'!$A$22:$A$71, 'V1 Pricing Model (Step 2)'!$AL$22:$AL$71), "Exclude")&lt;&gt;"Exclude") *
    Transactions_and_Customer_Information_Joined[Gross Revenue])</f>
        <v>56.33</v>
      </c>
      <c r="K315" s="24">
        <f>SUMIF(Transactions_and_Customer_Information_Joined[Customer ID], 'V1-Based Churn Model (Step 3)'!$A315, Transactions_and_Customer_Information_Joined[Gross Revenue])</f>
        <v>56.33</v>
      </c>
      <c r="L315" s="3">
        <f t="shared" si="24"/>
        <v>1</v>
      </c>
      <c r="M315" s="21">
        <v>1.5146952408836394E-2</v>
      </c>
      <c r="N315" s="21" cm="1">
        <f t="array" ref="N315">SUMPRODUCT(
    (Transactions_and_Customer_Information_Joined[Customer ID]=$A315)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15" s="21" cm="1">
        <f t="array" ref="O315">IFERROR(
    SUMPRODUCT(
        (Transactions_and_Customer_Information_Joined[Customer ID]=$A315)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$J315,
0)</f>
        <v>1.5146952408836394E-2</v>
      </c>
      <c r="P315" s="5" cm="1">
        <f t="array" ref="P315">_xlfn.IFS(B315="At-Risk Churner",$B$2,$B315="Dormant",$B$3,$B315="Deal Hunter",$B$4,$B315="New Customer",$B$5,$B315="Occasional Buyer",$B$6,$B315="Loyal High-Value",$B$7)</f>
        <v>45</v>
      </c>
      <c r="Q315" s="9" cm="1">
        <f t="array" ref="Q315">_xlfn.IFS($B315 = "At-Risk Churner", $B$8, $B315="Dormant",$B$9, $B315="Deal Hunter", $B$10, $B315="New Customer", $B$11, $B315="Occasional Buyer", $B$12, $B315 = "Loyal High-Value",$B$13)</f>
        <v>0.25</v>
      </c>
      <c r="R315" s="5">
        <v>5</v>
      </c>
      <c r="S315" s="5">
        <v>10</v>
      </c>
      <c r="T315" s="5">
        <v>-5</v>
      </c>
      <c r="U315" s="5">
        <f t="shared" si="25"/>
        <v>15</v>
      </c>
      <c r="V315" s="5">
        <f t="shared" si="26"/>
        <v>0.6058780963534558</v>
      </c>
      <c r="W315" s="43">
        <f t="shared" si="27"/>
        <v>71.16837809635345</v>
      </c>
      <c r="X315" s="5" t="str" cm="1">
        <f t="array" ref="X315">_xlfn.IFS($W315 &lt;= 30, "Low", $W315 &lt;=50, "Medium", $W315 &lt;= 70, "High", $W315 &gt; 70, "Critical")</f>
        <v>Critical</v>
      </c>
      <c r="Y315" s="9">
        <f t="shared" si="28"/>
        <v>0.22313224633688081</v>
      </c>
      <c r="Z315" s="22">
        <f t="shared" si="29"/>
        <v>87.927492991511258</v>
      </c>
    </row>
    <row r="316" spans="1:26">
      <c r="A316" s="24" t="str">
        <v>CUST-2847</v>
      </c>
      <c r="B316" s="24" t="str">
        <v>Occasional Buyer</v>
      </c>
      <c r="C316" s="24" t="str">
        <v>Referral</v>
      </c>
      <c r="D316" s="24" t="str">
        <v>West</v>
      </c>
      <c r="E316" s="24" t="str">
        <v>45-54</v>
      </c>
      <c r="F316" s="24" t="str">
        <v>Medium</v>
      </c>
      <c r="G316" s="24">
        <v>0</v>
      </c>
      <c r="H316" s="24">
        <v>96</v>
      </c>
      <c r="I316" s="23">
        <v>391.1</v>
      </c>
      <c r="J316" s="24" cm="1">
        <f t="array" ref="J316">SUMPRODUCT(
    (Transactions_and_Customer_Information_Joined[Customer ID]='V1-Based Churn Model (Step 3)'!$A316) *
    (IFERROR(_xlfn.XLOOKUP(Transactions_and_Customer_Information_Joined[SKU], 'V1 Pricing Model (Step 2)'!$A$22:$A$71, 'V1 Pricing Model (Step 2)'!$AL$22:$AL$71), "Exclude")&lt;&gt;"Exclude") *
    Transactions_and_Customer_Information_Joined[Gross Revenue])</f>
        <v>431.40000000000003</v>
      </c>
      <c r="K316" s="24">
        <f>SUMIF(Transactions_and_Customer_Information_Joined[Customer ID], 'V1-Based Churn Model (Step 3)'!$A316, Transactions_and_Customer_Information_Joined[Gross Revenue])</f>
        <v>431.40000000000003</v>
      </c>
      <c r="L316" s="3">
        <f t="shared" si="24"/>
        <v>1</v>
      </c>
      <c r="M316" s="21">
        <v>0.22457947495613381</v>
      </c>
      <c r="N316" s="21" cm="1">
        <f t="array" ref="N316">SUMPRODUCT(
    (Transactions_and_Customer_Information_Joined[Customer ID]=$A316)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16" s="21" cm="1">
        <f t="array" ref="O316">IFERROR(
    SUMPRODUCT(
        (Transactions_and_Customer_Information_Joined[Customer ID]=$A316)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$J316,
0)</f>
        <v>0.22457947495613381</v>
      </c>
      <c r="P316" s="5" cm="1">
        <f t="array" ref="P316">_xlfn.IFS(B316="At-Risk Churner",$B$2,$B316="Dormant",$B$3,$B316="Deal Hunter",$B$4,$B316="New Customer",$B$5,$B316="Occasional Buyer",$B$6,$B316="Loyal High-Value",$B$7)</f>
        <v>25</v>
      </c>
      <c r="Q316" s="9" cm="1">
        <f t="array" ref="Q316">_xlfn.IFS($B316 = "At-Risk Churner", $B$8, $B316="Dormant",$B$9, $B316="Deal Hunter", $B$10, $B316="New Customer", $B$11, $B316="Occasional Buyer", $B$12, $B316 = "Loyal High-Value",$B$13)</f>
        <v>0.18</v>
      </c>
      <c r="R316" s="5">
        <v>5</v>
      </c>
      <c r="S316" s="5">
        <v>10</v>
      </c>
      <c r="T316" s="5">
        <v>0</v>
      </c>
      <c r="U316" s="5">
        <f t="shared" si="25"/>
        <v>15</v>
      </c>
      <c r="V316" s="5">
        <f t="shared" si="26"/>
        <v>8.9831789982453518</v>
      </c>
      <c r="W316" s="43">
        <f t="shared" si="27"/>
        <v>64.345678998245347</v>
      </c>
      <c r="X316" s="5" t="str" cm="1">
        <f t="array" ref="X316">_xlfn.IFS($W316 &lt;= 30, "Low", $W316 &lt;=50, "Medium", $W316 &lt;= 70, "High", $W316 &gt; 70, "Critical")</f>
        <v>High</v>
      </c>
      <c r="Y316" s="9">
        <f t="shared" si="28"/>
        <v>0.14537016897418484</v>
      </c>
      <c r="Z316" s="22">
        <f t="shared" si="29"/>
        <v>123.70341846864295</v>
      </c>
    </row>
    <row r="317" spans="1:26">
      <c r="A317" s="24" t="str">
        <v>CUST-4192</v>
      </c>
      <c r="B317" s="24" t="str">
        <v>Loyal High-Value</v>
      </c>
      <c r="C317" s="24" t="str">
        <v>Direct</v>
      </c>
      <c r="D317" s="24" t="str">
        <v>Canada</v>
      </c>
      <c r="E317" s="24" t="str">
        <v>45-54</v>
      </c>
      <c r="F317" s="24" t="str">
        <v>High</v>
      </c>
      <c r="G317" s="24">
        <v>0</v>
      </c>
      <c r="H317" s="24">
        <v>125</v>
      </c>
      <c r="I317" s="23">
        <v>2857.51</v>
      </c>
      <c r="J317" s="24" cm="1">
        <f t="array" ref="J317">SUMPRODUCT(
    (Transactions_and_Customer_Information_Joined[Customer ID]='V1-Based Churn Model (Step 3)'!$A317) *
    (IFERROR(_xlfn.XLOOKUP(Transactions_and_Customer_Information_Joined[SKU], 'V1 Pricing Model (Step 2)'!$A$22:$A$71, 'V1 Pricing Model (Step 2)'!$AL$22:$AL$71), "Exclude")&lt;&gt;"Exclude") *
    Transactions_and_Customer_Information_Joined[Gross Revenue])</f>
        <v>106.52</v>
      </c>
      <c r="K317" s="24">
        <f>SUMIF(Transactions_and_Customer_Information_Joined[Customer ID], 'V1-Based Churn Model (Step 3)'!$A317, Transactions_and_Customer_Information_Joined[Gross Revenue])</f>
        <v>106.52</v>
      </c>
      <c r="L317" s="3">
        <f t="shared" si="24"/>
        <v>1</v>
      </c>
      <c r="M317" s="21">
        <v>8.081096121299744E-2</v>
      </c>
      <c r="N317" s="21" cm="1">
        <f t="array" ref="N317">SUMPRODUCT(
    (Transactions_and_Customer_Information_Joined[Customer ID]=$A317)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17" s="21" cm="1">
        <f t="array" ref="O317">IFERROR(
    SUMPRODUCT(
        (Transactions_and_Customer_Information_Joined[Customer ID]=$A317)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$J317,
0)</f>
        <v>8.081096121299744E-2</v>
      </c>
      <c r="P317" s="5" cm="1">
        <f t="array" ref="P317">_xlfn.IFS(B317="At-Risk Churner",$B$2,$B317="Dormant",$B$3,$B317="Deal Hunter",$B$4,$B317="New Customer",$B$5,$B317="Occasional Buyer",$B$6,$B317="Loyal High-Value",$B$7)</f>
        <v>15</v>
      </c>
      <c r="Q317" s="9" cm="1">
        <f t="array" ref="Q317">_xlfn.IFS($B317 = "At-Risk Churner", $B$8, $B317="Dormant",$B$9, $B317="Deal Hunter", $B$10, $B317="New Customer", $B$11, $B317="Occasional Buyer", $B$12, $B317 = "Loyal High-Value",$B$13)</f>
        <v>0.05</v>
      </c>
      <c r="R317" s="5">
        <v>15</v>
      </c>
      <c r="S317" s="5">
        <v>10</v>
      </c>
      <c r="T317" s="5">
        <v>0</v>
      </c>
      <c r="U317" s="5">
        <f t="shared" si="25"/>
        <v>15</v>
      </c>
      <c r="V317" s="5">
        <f t="shared" si="26"/>
        <v>3.2324384485198978</v>
      </c>
      <c r="W317" s="43">
        <f t="shared" si="27"/>
        <v>58.719938448519898</v>
      </c>
      <c r="X317" s="5" t="str" cm="1">
        <f t="array" ref="X317">_xlfn.IFS($W317 &lt;= 30, "Low", $W317 &lt;=50, "Medium", $W317 &lt;= 70, "High", $W317 &gt; 70, "Critical")</f>
        <v>High</v>
      </c>
      <c r="Y317" s="9">
        <f t="shared" si="28"/>
        <v>3.5258020310196418E-2</v>
      </c>
      <c r="Z317" s="22">
        <f t="shared" si="29"/>
        <v>652.10211649327164</v>
      </c>
    </row>
    <row r="318" spans="1:26">
      <c r="A318" s="24" t="str">
        <v>CUST-1334</v>
      </c>
      <c r="B318" s="24" t="str">
        <v>Occasional Buyer</v>
      </c>
      <c r="C318" s="24" t="str">
        <v>Organic Search</v>
      </c>
      <c r="D318" s="24" t="str">
        <v>Southeast</v>
      </c>
      <c r="E318" s="24" t="str">
        <v>55+</v>
      </c>
      <c r="F318" s="24" t="str">
        <v>High</v>
      </c>
      <c r="G318" s="24">
        <v>0</v>
      </c>
      <c r="H318" s="24">
        <v>30</v>
      </c>
      <c r="I318" s="23">
        <v>559.72</v>
      </c>
      <c r="J318" s="24" cm="1">
        <f t="array" ref="J318">SUMPRODUCT(
    (Transactions_and_Customer_Information_Joined[Customer ID]='V1-Based Churn Model (Step 3)'!$A318)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318" s="24">
        <f>SUMIF(Transactions_and_Customer_Information_Joined[Customer ID], 'V1-Based Churn Model (Step 3)'!$A318, Transactions_and_Customer_Information_Joined[Gross Revenue])</f>
        <v>654.15000000000009</v>
      </c>
      <c r="L318" s="3">
        <f t="shared" si="24"/>
        <v>0</v>
      </c>
      <c r="M318" s="21">
        <v>0</v>
      </c>
      <c r="N318" s="21" cm="1">
        <f t="array" ref="N318">SUMPRODUCT(
    (Transactions_and_Customer_Information_Joined[Customer ID]=$A318)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318" s="21" cm="1">
        <f t="array" ref="O318">IFERROR(
    SUMPRODUCT(
        (Transactions_and_Customer_Information_Joined[Customer ID]=$A318)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$J318,
0)</f>
        <v>0</v>
      </c>
      <c r="P318" s="5" cm="1">
        <f t="array" ref="P318">_xlfn.IFS(B318="At-Risk Churner",$B$2,$B318="Dormant",$B$3,$B318="Deal Hunter",$B$4,$B318="New Customer",$B$5,$B318="Occasional Buyer",$B$6,$B318="Loyal High-Value",$B$7)</f>
        <v>25</v>
      </c>
      <c r="Q318" s="9" cm="1">
        <f t="array" ref="Q318">_xlfn.IFS($B318 = "At-Risk Churner", $B$8, $B318="Dormant",$B$9, $B318="Deal Hunter", $B$10, $B318="New Customer", $B$11, $B318="Occasional Buyer", $B$12, $B318 = "Loyal High-Value",$B$13)</f>
        <v>0.18</v>
      </c>
      <c r="R318" s="5">
        <v>15</v>
      </c>
      <c r="S318" s="5">
        <v>10</v>
      </c>
      <c r="T318" s="5">
        <v>-5</v>
      </c>
      <c r="U318" s="5">
        <f t="shared" si="25"/>
        <v>0</v>
      </c>
      <c r="V318" s="5">
        <f t="shared" si="26"/>
        <v>0</v>
      </c>
      <c r="W318" s="43">
        <f t="shared" si="27"/>
        <v>45.25</v>
      </c>
      <c r="X318" s="5" t="str" cm="1">
        <f t="array" ref="X318">_xlfn.IFS($W318 &lt;= 30, "Low", $W318 &lt;=50, "Medium", $W318 &lt;= 70, "High", $W318 &gt; 70, "Critical")</f>
        <v>Medium</v>
      </c>
      <c r="Y318" s="9">
        <f t="shared" si="28"/>
        <v>6.9018029186162511E-2</v>
      </c>
      <c r="Z318" s="22">
        <f t="shared" si="29"/>
        <v>142.84861703686312</v>
      </c>
    </row>
    <row r="319" spans="1:26">
      <c r="A319" s="24" t="str">
        <v>CUST-1050</v>
      </c>
      <c r="B319" s="24" t="str">
        <v>Loyal High-Value</v>
      </c>
      <c r="C319" s="24" t="str">
        <v>Paid Social</v>
      </c>
      <c r="D319" s="24" t="str">
        <v>Southeast</v>
      </c>
      <c r="E319" s="24" t="str">
        <v>35-44</v>
      </c>
      <c r="F319" s="24" t="str">
        <v>Low</v>
      </c>
      <c r="G319" s="24">
        <v>5</v>
      </c>
      <c r="H319" s="24">
        <v>19</v>
      </c>
      <c r="I319" s="23">
        <v>2654.34</v>
      </c>
      <c r="J319" s="24" cm="1">
        <f t="array" ref="J319">SUMPRODUCT(
    (Transactions_and_Customer_Information_Joined[Customer ID]='V1-Based Churn Model (Step 3)'!$A319) *
    (IFERROR(_xlfn.XLOOKUP(Transactions_and_Customer_Information_Joined[SKU], 'V1 Pricing Model (Step 2)'!$A$22:$A$71, 'V1 Pricing Model (Step 2)'!$AL$22:$AL$71), "Exclude")&lt;&gt;"Exclude") *
    Transactions_and_Customer_Information_Joined[Gross Revenue])</f>
        <v>233.01</v>
      </c>
      <c r="K319" s="24">
        <f>SUMIF(Transactions_and_Customer_Information_Joined[Customer ID], 'V1-Based Churn Model (Step 3)'!$A319, Transactions_and_Customer_Information_Joined[Gross Revenue])</f>
        <v>233.01</v>
      </c>
      <c r="L319" s="3">
        <f t="shared" si="24"/>
        <v>1</v>
      </c>
      <c r="M319" s="21">
        <v>-0.1229980207344718</v>
      </c>
      <c r="N319" s="21" cm="1">
        <f t="array" ref="N319">SUMPRODUCT(
    (Transactions_and_Customer_Information_Joined[Customer ID]=$A319)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19" s="21" cm="1">
        <f t="array" ref="O319">IFERROR(
    SUMPRODUCT(
        (Transactions_and_Customer_Information_Joined[Customer ID]=$A319)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$J319,
0)</f>
        <v>-0.1229980207344718</v>
      </c>
      <c r="P319" s="5" cm="1">
        <f t="array" ref="P319">_xlfn.IFS(B319="At-Risk Churner",$B$2,$B319="Dormant",$B$3,$B319="Deal Hunter",$B$4,$B319="New Customer",$B$5,$B319="Occasional Buyer",$B$6,$B319="Loyal High-Value",$B$7)</f>
        <v>15</v>
      </c>
      <c r="Q319" s="9" cm="1">
        <f t="array" ref="Q319">_xlfn.IFS($B319 = "At-Risk Churner", $B$8, $B319="Dormant",$B$9, $B319="Deal Hunter", $B$10, $B319="New Customer", $B$11, $B319="Occasional Buyer", $B$12, $B319 = "Loyal High-Value",$B$13)</f>
        <v>0.05</v>
      </c>
      <c r="R319" s="5">
        <v>-5</v>
      </c>
      <c r="S319" s="5">
        <v>0</v>
      </c>
      <c r="T319" s="5">
        <v>-5</v>
      </c>
      <c r="U319" s="5">
        <f t="shared" si="25"/>
        <v>15</v>
      </c>
      <c r="V319" s="5">
        <f t="shared" si="26"/>
        <v>4.9199208293788725</v>
      </c>
      <c r="W319" s="43">
        <f t="shared" si="27"/>
        <v>24.807420829378874</v>
      </c>
      <c r="X319" s="5" t="str" cm="1">
        <f t="array" ref="X319">_xlfn.IFS($W319 &lt;= 30, "Low", $W319 &lt;=50, "Medium", $W319 &lt;= 70, "High", $W319 &gt; 70, "Critical")</f>
        <v>Low</v>
      </c>
      <c r="Y319" s="9">
        <f t="shared" si="28"/>
        <v>3.7259553754491006E-3</v>
      </c>
      <c r="Z319" s="22">
        <f t="shared" si="29"/>
        <v>9.889952391269567</v>
      </c>
    </row>
    <row r="320" spans="1:26">
      <c r="A320" s="24" t="str">
        <v>CUST-1974</v>
      </c>
      <c r="B320" s="24" t="str">
        <v>New Customer</v>
      </c>
      <c r="C320" s="24" t="str">
        <v>Direct</v>
      </c>
      <c r="D320" s="24" t="str">
        <v>Southeast</v>
      </c>
      <c r="E320" s="24" t="str">
        <v>25-34</v>
      </c>
      <c r="F320" s="24" t="str">
        <v>Low</v>
      </c>
      <c r="G320" s="24">
        <v>1</v>
      </c>
      <c r="H320" s="24">
        <v>361</v>
      </c>
      <c r="I320" s="23">
        <v>98.47</v>
      </c>
      <c r="J320" s="24" cm="1">
        <f t="array" ref="J320">SUMPRODUCT(
    (Transactions_and_Customer_Information_Joined[Customer ID]='V1-Based Churn Model (Step 3)'!$A320) *
    (IFERROR(_xlfn.XLOOKUP(Transactions_and_Customer_Information_Joined[SKU], 'V1 Pricing Model (Step 2)'!$A$22:$A$71, 'V1 Pricing Model (Step 2)'!$AL$22:$AL$71), "Exclude")&lt;&gt;"Exclude") *
    Transactions_and_Customer_Information_Joined[Gross Revenue])</f>
        <v>545.70000000000005</v>
      </c>
      <c r="K320" s="24">
        <f>SUMIF(Transactions_and_Customer_Information_Joined[Customer ID], 'V1-Based Churn Model (Step 3)'!$A320, Transactions_and_Customer_Information_Joined[Gross Revenue])</f>
        <v>545.70000000000005</v>
      </c>
      <c r="L320" s="3">
        <f t="shared" si="24"/>
        <v>1</v>
      </c>
      <c r="M320" s="21">
        <v>0.26791845407776477</v>
      </c>
      <c r="N320" s="21" cm="1">
        <f t="array" ref="N320">SUMPRODUCT(
    (Transactions_and_Customer_Information_Joined[Customer ID]=$A320)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20" s="21" cm="1">
        <f t="array" ref="O320">IFERROR(
    SUMPRODUCT(
        (Transactions_and_Customer_Information_Joined[Customer ID]=$A320)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$J320,
0)</f>
        <v>0.16573977714507676</v>
      </c>
      <c r="P320" s="5" cm="1">
        <f t="array" ref="P320">_xlfn.IFS(B320="At-Risk Churner",$B$2,$B320="Dormant",$B$3,$B320="Deal Hunter",$B$4,$B320="New Customer",$B$5,$B320="Occasional Buyer",$B$6,$B320="Loyal High-Value",$B$7)</f>
        <v>35</v>
      </c>
      <c r="Q320" s="9" cm="1">
        <f t="array" ref="Q320">_xlfn.IFS($B320 = "At-Risk Churner", $B$8, $B320="Dormant",$B$9, $B320="Deal Hunter", $B$10, $B320="New Customer", $B$11, $B320="Occasional Buyer", $B$12, $B320 = "Loyal High-Value",$B$13)</f>
        <v>0.35</v>
      </c>
      <c r="R320" s="5">
        <v>-5</v>
      </c>
      <c r="S320" s="5">
        <v>10</v>
      </c>
      <c r="T320" s="5">
        <v>15</v>
      </c>
      <c r="U320" s="5">
        <f t="shared" si="25"/>
        <v>15</v>
      </c>
      <c r="V320" s="5">
        <f t="shared" si="26"/>
        <v>8.673164624456831</v>
      </c>
      <c r="W320" s="43">
        <f t="shared" si="27"/>
        <v>78.910664624456828</v>
      </c>
      <c r="X320" s="5" t="str" cm="1">
        <f t="array" ref="X320">_xlfn.IFS($W320 &lt;= 30, "Low", $W320 &lt;=50, "Medium", $W320 &lt;= 70, "High", $W320 &gt; 70, "Critical")</f>
        <v>Critical</v>
      </c>
      <c r="Y320" s="9">
        <f t="shared" si="28"/>
        <v>0.33159106725401122</v>
      </c>
      <c r="Z320" s="22">
        <f t="shared" si="29"/>
        <v>32.651772392502487</v>
      </c>
    </row>
    <row r="321" spans="1:26">
      <c r="A321" s="24" t="str">
        <v>CUST-3901</v>
      </c>
      <c r="B321" s="24" t="str">
        <v>Occasional Buyer</v>
      </c>
      <c r="C321" s="24" t="str">
        <v>Referral</v>
      </c>
      <c r="D321" s="24" t="str">
        <v>Northeast</v>
      </c>
      <c r="E321" s="24" t="str">
        <v>55+</v>
      </c>
      <c r="F321" s="24" t="str">
        <v>Medium</v>
      </c>
      <c r="G321" s="24">
        <v>10</v>
      </c>
      <c r="H321" s="24">
        <v>180</v>
      </c>
      <c r="I321" s="23">
        <v>653.32000000000005</v>
      </c>
      <c r="J321" s="24" cm="1">
        <f t="array" ref="J321">SUMPRODUCT(
    (Transactions_and_Customer_Information_Joined[Customer ID]='V1-Based Churn Model (Step 3)'!$A321) *
    (IFERROR(_xlfn.XLOOKUP(Transactions_and_Customer_Information_Joined[SKU], 'V1 Pricing Model (Step 2)'!$A$22:$A$71, 'V1 Pricing Model (Step 2)'!$AL$22:$AL$71), "Exclude")&lt;&gt;"Exclude") *
    Transactions_and_Customer_Information_Joined[Gross Revenue])</f>
        <v>187.76</v>
      </c>
      <c r="K321" s="24">
        <f>SUMIF(Transactions_and_Customer_Information_Joined[Customer ID], 'V1-Based Churn Model (Step 3)'!$A321, Transactions_and_Customer_Information_Joined[Gross Revenue])</f>
        <v>187.76</v>
      </c>
      <c r="L321" s="3">
        <f t="shared" si="24"/>
        <v>1</v>
      </c>
      <c r="M321" s="21">
        <v>0.10702390858761081</v>
      </c>
      <c r="N321" s="21" cm="1">
        <f t="array" ref="N321">SUMPRODUCT(
    (Transactions_and_Customer_Information_Joined[Customer ID]=$A321)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21" s="21" cm="1">
        <f t="array" ref="O321">IFERROR(
    SUMPRODUCT(
        (Transactions_and_Customer_Information_Joined[Customer ID]=$A321)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$J321,
0)</f>
        <v>0.10702390858761079</v>
      </c>
      <c r="P321" s="5" cm="1">
        <f t="array" ref="P321">_xlfn.IFS(B321="At-Risk Churner",$B$2,$B321="Dormant",$B$3,$B321="Deal Hunter",$B$4,$B321="New Customer",$B$5,$B321="Occasional Buyer",$B$6,$B321="Loyal High-Value",$B$7)</f>
        <v>25</v>
      </c>
      <c r="Q321" s="9" cm="1">
        <f t="array" ref="Q321">_xlfn.IFS($B321 = "At-Risk Churner", $B$8, $B321="Dormant",$B$9, $B321="Deal Hunter", $B$10, $B321="New Customer", $B$11, $B321="Occasional Buyer", $B$12, $B321 = "Loyal High-Value",$B$13)</f>
        <v>0.18</v>
      </c>
      <c r="R321" s="5">
        <v>5</v>
      </c>
      <c r="S321" s="5">
        <v>-8</v>
      </c>
      <c r="T321" s="5">
        <v>0</v>
      </c>
      <c r="U321" s="5">
        <f t="shared" si="25"/>
        <v>15</v>
      </c>
      <c r="V321" s="5">
        <f t="shared" si="26"/>
        <v>4.2809563435044318</v>
      </c>
      <c r="W321" s="43">
        <f t="shared" si="27"/>
        <v>41.193456343504423</v>
      </c>
      <c r="X321" s="5" t="str" cm="1">
        <f t="array" ref="X321">_xlfn.IFS($W321 &lt;= 30, "Low", $W321 &lt;=50, "Medium", $W321 &lt;= 70, "High", $W321 &gt; 70, "Critical")</f>
        <v>Medium</v>
      </c>
      <c r="Y321" s="9">
        <f t="shared" si="28"/>
        <v>5.2747595391781955E-2</v>
      </c>
      <c r="Z321" s="22">
        <f t="shared" si="29"/>
        <v>158.23284721708723</v>
      </c>
    </row>
    <row r="322" spans="1:26">
      <c r="A322" s="24" t="str">
        <v>CUST-1220</v>
      </c>
      <c r="B322" s="24" t="str">
        <v>Occasional Buyer</v>
      </c>
      <c r="C322" s="24" t="str">
        <v>Influencer</v>
      </c>
      <c r="D322" s="24" t="str">
        <v>Southwest</v>
      </c>
      <c r="E322" s="24" t="str">
        <v>25-34</v>
      </c>
      <c r="F322" s="24" t="str">
        <v>Medium</v>
      </c>
      <c r="G322" s="24">
        <v>6</v>
      </c>
      <c r="H322" s="24">
        <v>349</v>
      </c>
      <c r="I322" s="23">
        <v>244.58</v>
      </c>
      <c r="J322" s="24" cm="1">
        <f t="array" ref="J322">SUMPRODUCT(
    (Transactions_and_Customer_Information_Joined[Customer ID]='V1-Based Churn Model (Step 3)'!$A322) *
    (IFERROR(_xlfn.XLOOKUP(Transactions_and_Customer_Information_Joined[SKU], 'V1 Pricing Model (Step 2)'!$A$22:$A$71, 'V1 Pricing Model (Step 2)'!$AL$22:$AL$71), "Exclude")&lt;&gt;"Exclude") *
    Transactions_and_Customer_Information_Joined[Gross Revenue])</f>
        <v>54.64</v>
      </c>
      <c r="K322" s="24">
        <f>SUMIF(Transactions_and_Customer_Information_Joined[Customer ID], 'V1-Based Churn Model (Step 3)'!$A322, Transactions_and_Customer_Information_Joined[Gross Revenue])</f>
        <v>54.64</v>
      </c>
      <c r="L322" s="3">
        <f t="shared" si="24"/>
        <v>1</v>
      </c>
      <c r="M322" s="21">
        <v>0.24833629343146826</v>
      </c>
      <c r="N322" s="21" cm="1">
        <f t="array" ref="N322">SUMPRODUCT(
    (Transactions_and_Customer_Information_Joined[Customer ID]=$A322)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22" s="21" cm="1">
        <f t="array" ref="O322">IFERROR(
    SUMPRODUCT(
        (Transactions_and_Customer_Information_Joined[Customer ID]=$A322)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$J322,
0)</f>
        <v>0.24833629343146826</v>
      </c>
      <c r="P322" s="5" cm="1">
        <f t="array" ref="P322">_xlfn.IFS(B322="At-Risk Churner",$B$2,$B322="Dormant",$B$3,$B322="Deal Hunter",$B$4,$B322="New Customer",$B$5,$B322="Occasional Buyer",$B$6,$B322="Loyal High-Value",$B$7)</f>
        <v>25</v>
      </c>
      <c r="Q322" s="9" cm="1">
        <f t="array" ref="Q322">_xlfn.IFS($B322 = "At-Risk Churner", $B$8, $B322="Dormant",$B$9, $B322="Deal Hunter", $B$10, $B322="New Customer", $B$11, $B322="Occasional Buyer", $B$12, $B322 = "Loyal High-Value",$B$13)</f>
        <v>0.18</v>
      </c>
      <c r="R322" s="5">
        <v>5</v>
      </c>
      <c r="S322" s="5">
        <v>0</v>
      </c>
      <c r="T322" s="5">
        <v>15</v>
      </c>
      <c r="U322" s="5">
        <f t="shared" si="25"/>
        <v>15</v>
      </c>
      <c r="V322" s="5">
        <f t="shared" si="26"/>
        <v>9.9334517372587303</v>
      </c>
      <c r="W322" s="43">
        <f t="shared" si="27"/>
        <v>70.045951737258733</v>
      </c>
      <c r="X322" s="5" t="str" cm="1">
        <f t="array" ref="X322">_xlfn.IFS($W322 &lt;= 30, "Low", $W322 &lt;=50, "Medium", $W322 &lt;= 70, "High", $W322 &gt; 70, "Critical")</f>
        <v>Critical</v>
      </c>
      <c r="Y322" s="9">
        <f t="shared" si="28"/>
        <v>0.15863016566567489</v>
      </c>
      <c r="Z322" s="22">
        <f t="shared" si="29"/>
        <v>38.79776591851077</v>
      </c>
    </row>
    <row r="323" spans="1:26">
      <c r="A323" s="24" t="str">
        <v>CUST-2714</v>
      </c>
      <c r="B323" s="24" t="str">
        <v>Occasional Buyer</v>
      </c>
      <c r="C323" s="24" t="str">
        <v>Organic Search</v>
      </c>
      <c r="D323" s="24" t="str">
        <v>West</v>
      </c>
      <c r="E323" s="24" t="str">
        <v>55+</v>
      </c>
      <c r="F323" s="24" t="str">
        <v>Low</v>
      </c>
      <c r="G323" s="24">
        <v>0</v>
      </c>
      <c r="H323" s="24">
        <v>243</v>
      </c>
      <c r="I323" s="23">
        <v>390.9</v>
      </c>
      <c r="J323" s="24" cm="1">
        <f t="array" ref="J323">SUMPRODUCT(
    (Transactions_and_Customer_Information_Joined[Customer ID]='V1-Based Churn Model (Step 3)'!$A323) *
    (IFERROR(_xlfn.XLOOKUP(Transactions_and_Customer_Information_Joined[SKU], 'V1 Pricing Model (Step 2)'!$A$22:$A$71, 'V1 Pricing Model (Step 2)'!$AL$22:$AL$71), "Exclude")&lt;&gt;"Exclude") *
    Transactions_and_Customer_Information_Joined[Gross Revenue])</f>
        <v>233.01</v>
      </c>
      <c r="K323" s="24">
        <f>SUMIF(Transactions_and_Customer_Information_Joined[Customer ID], 'V1-Based Churn Model (Step 3)'!$A323, Transactions_and_Customer_Information_Joined[Gross Revenue])</f>
        <v>233.01</v>
      </c>
      <c r="L323" s="3">
        <f t="shared" si="24"/>
        <v>1</v>
      </c>
      <c r="M323" s="21">
        <v>-0.1229980207344718</v>
      </c>
      <c r="N323" s="21" cm="1">
        <f t="array" ref="N323">SUMPRODUCT(
    (Transactions_and_Customer_Information_Joined[Customer ID]=$A323)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23" s="21" cm="1">
        <f t="array" ref="O323">IFERROR(
    SUMPRODUCT(
        (Transactions_and_Customer_Information_Joined[Customer ID]=$A323)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$J323,
0)</f>
        <v>-0.1229980207344718</v>
      </c>
      <c r="P323" s="5" cm="1">
        <f t="array" ref="P323">_xlfn.IFS(B323="At-Risk Churner",$B$2,$B323="Dormant",$B$3,$B323="Deal Hunter",$B$4,$B323="New Customer",$B$5,$B323="Occasional Buyer",$B$6,$B323="Loyal High-Value",$B$7)</f>
        <v>25</v>
      </c>
      <c r="Q323" s="9" cm="1">
        <f t="array" ref="Q323">_xlfn.IFS($B323 = "At-Risk Churner", $B$8, $B323="Dormant",$B$9, $B323="Deal Hunter", $B$10, $B323="New Customer", $B$11, $B323="Occasional Buyer", $B$12, $B323 = "Loyal High-Value",$B$13)</f>
        <v>0.18</v>
      </c>
      <c r="R323" s="5">
        <v>-5</v>
      </c>
      <c r="S323" s="5">
        <v>10</v>
      </c>
      <c r="T323" s="5">
        <v>8</v>
      </c>
      <c r="U323" s="5">
        <f t="shared" si="25"/>
        <v>15</v>
      </c>
      <c r="V323" s="5">
        <f t="shared" si="26"/>
        <v>4.9199208293788725</v>
      </c>
      <c r="W323" s="43">
        <f t="shared" si="27"/>
        <v>58.057420829378877</v>
      </c>
      <c r="X323" s="5" t="str" cm="1">
        <f t="array" ref="X323">_xlfn.IFS($W323 &lt;= 30, "Low", $W323 &lt;=50, "Medium", $W323 &lt;= 70, "High", $W323 &gt; 70, "Critical")</f>
        <v>High</v>
      </c>
      <c r="Y323" s="9">
        <f t="shared" si="28"/>
        <v>0.12441625678126542</v>
      </c>
      <c r="Z323" s="22">
        <f t="shared" si="29"/>
        <v>117.08745182063731</v>
      </c>
    </row>
    <row r="324" spans="1:26">
      <c r="A324" s="24" t="str">
        <v>CUST-2663</v>
      </c>
      <c r="B324" s="24" t="str">
        <v>Deal Hunter</v>
      </c>
      <c r="C324" s="24" t="str">
        <v>Influencer</v>
      </c>
      <c r="D324" s="24" t="str">
        <v>Northeast</v>
      </c>
      <c r="E324" s="24" t="str">
        <v>35-44</v>
      </c>
      <c r="F324" s="24" t="str">
        <v>Medium</v>
      </c>
      <c r="G324" s="24">
        <v>3</v>
      </c>
      <c r="H324" s="24">
        <v>38</v>
      </c>
      <c r="I324" s="23">
        <v>565.46</v>
      </c>
      <c r="J324" s="24" cm="1">
        <f t="array" ref="J324">SUMPRODUCT(
    (Transactions_and_Customer_Information_Joined[Customer ID]='V1-Based Churn Model (Step 3)'!$A324) *
    (IFERROR(_xlfn.XLOOKUP(Transactions_and_Customer_Information_Joined[SKU], 'V1 Pricing Model (Step 2)'!$A$22:$A$71, 'V1 Pricing Model (Step 2)'!$AL$22:$AL$71), "Exclude")&lt;&gt;"Exclude") *
    Transactions_and_Customer_Information_Joined[Gross Revenue])</f>
        <v>56.099999999999994</v>
      </c>
      <c r="K324" s="24">
        <f>SUMIF(Transactions_and_Customer_Information_Joined[Customer ID], 'V1-Based Churn Model (Step 3)'!$A324, Transactions_and_Customer_Information_Joined[Gross Revenue])</f>
        <v>56.099999999999994</v>
      </c>
      <c r="L324" s="3">
        <f t="shared" si="24"/>
        <v>1</v>
      </c>
      <c r="M324" s="21">
        <v>0</v>
      </c>
      <c r="N324" s="21" cm="1">
        <f t="array" ref="N324">SUMPRODUCT(
    (Transactions_and_Customer_Information_Joined[Customer ID]=$A324)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24" s="21" cm="1">
        <f t="array" ref="O324">IFERROR(
    SUMPRODUCT(
        (Transactions_and_Customer_Information_Joined[Customer ID]=$A324)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$J324,
0)</f>
        <v>0</v>
      </c>
      <c r="P324" s="5" cm="1">
        <f t="array" ref="P324">_xlfn.IFS(B324="At-Risk Churner",$B$2,$B324="Dormant",$B$3,$B324="Deal Hunter",$B$4,$B324="New Customer",$B$5,$B324="Occasional Buyer",$B$6,$B324="Loyal High-Value",$B$7)</f>
        <v>45</v>
      </c>
      <c r="Q324" s="9" cm="1">
        <f t="array" ref="Q324">_xlfn.IFS($B324 = "At-Risk Churner", $B$8, $B324="Dormant",$B$9, $B324="Deal Hunter", $B$10, $B324="New Customer", $B$11, $B324="Occasional Buyer", $B$12, $B324 = "Loyal High-Value",$B$13)</f>
        <v>0.25</v>
      </c>
      <c r="R324" s="5">
        <v>5</v>
      </c>
      <c r="S324" s="5">
        <v>10</v>
      </c>
      <c r="T324" s="5">
        <v>-5</v>
      </c>
      <c r="U324" s="5">
        <f t="shared" si="25"/>
        <v>15</v>
      </c>
      <c r="V324" s="5">
        <f t="shared" si="26"/>
        <v>0</v>
      </c>
      <c r="W324" s="43">
        <f t="shared" si="27"/>
        <v>70.5625</v>
      </c>
      <c r="X324" s="5" t="str" cm="1">
        <f t="array" ref="X324">_xlfn.IFS($W324 &lt;= 30, "Low", $W324 &lt;=50, "Medium", $W324 &lt;= 70, "High", $W324 &gt; 70, "Critical")</f>
        <v>Critical</v>
      </c>
      <c r="Y324" s="9">
        <f t="shared" si="28"/>
        <v>0.22164440617718548</v>
      </c>
      <c r="Z324" s="22">
        <f t="shared" si="29"/>
        <v>125.33104591695131</v>
      </c>
    </row>
    <row r="325" spans="1:26">
      <c r="A325" s="24" t="str">
        <v>CUST-2435</v>
      </c>
      <c r="B325" s="24" t="str">
        <v>Occasional Buyer</v>
      </c>
      <c r="C325" s="24" t="str">
        <v>Referral</v>
      </c>
      <c r="D325" s="24" t="str">
        <v>Canada</v>
      </c>
      <c r="E325" s="24" t="str">
        <v>45-54</v>
      </c>
      <c r="F325" s="24" t="str">
        <v>High</v>
      </c>
      <c r="G325" s="24">
        <v>6</v>
      </c>
      <c r="H325" s="24">
        <v>134</v>
      </c>
      <c r="I325" s="23">
        <v>268.72000000000003</v>
      </c>
      <c r="J325" s="24" cm="1">
        <f t="array" ref="J325">SUMPRODUCT(
    (Transactions_and_Customer_Information_Joined[Customer ID]='V1-Based Churn Model (Step 3)'!$A325) *
    (IFERROR(_xlfn.XLOOKUP(Transactions_and_Customer_Information_Joined[SKU], 'V1 Pricing Model (Step 2)'!$A$22:$A$71, 'V1 Pricing Model (Step 2)'!$AL$22:$AL$71), "Exclude")&lt;&gt;"Exclude") *
    Transactions_and_Customer_Information_Joined[Gross Revenue])</f>
        <v>575.20000000000005</v>
      </c>
      <c r="K325" s="24">
        <f>SUMIF(Transactions_and_Customer_Information_Joined[Customer ID], 'V1-Based Churn Model (Step 3)'!$A325, Transactions_and_Customer_Information_Joined[Gross Revenue])</f>
        <v>575.20000000000005</v>
      </c>
      <c r="L325" s="3">
        <f t="shared" si="24"/>
        <v>1</v>
      </c>
      <c r="M325" s="21">
        <v>0.22457947495613381</v>
      </c>
      <c r="N325" s="21" cm="1">
        <f t="array" ref="N325">SUMPRODUCT(
    (Transactions_and_Customer_Information_Joined[Customer ID]=$A325)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25" s="21" cm="1">
        <f t="array" ref="O325">IFERROR(
    SUMPRODUCT(
        (Transactions_and_Customer_Information_Joined[Customer ID]=$A325)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$J325,
0)</f>
        <v>0.22457947495613381</v>
      </c>
      <c r="P325" s="5" cm="1">
        <f t="array" ref="P325">_xlfn.IFS(B325="At-Risk Churner",$B$2,$B325="Dormant",$B$3,$B325="Deal Hunter",$B$4,$B325="New Customer",$B$5,$B325="Occasional Buyer",$B$6,$B325="Loyal High-Value",$B$7)</f>
        <v>25</v>
      </c>
      <c r="Q325" s="9" cm="1">
        <f t="array" ref="Q325">_xlfn.IFS($B325 = "At-Risk Churner", $B$8, $B325="Dormant",$B$9, $B325="Deal Hunter", $B$10, $B325="New Customer", $B$11, $B325="Occasional Buyer", $B$12, $B325 = "Loyal High-Value",$B$13)</f>
        <v>0.18</v>
      </c>
      <c r="R325" s="5">
        <v>15</v>
      </c>
      <c r="S325" s="5">
        <v>0</v>
      </c>
      <c r="T325" s="5">
        <v>0</v>
      </c>
      <c r="U325" s="5">
        <f t="shared" si="25"/>
        <v>15</v>
      </c>
      <c r="V325" s="5">
        <f t="shared" si="26"/>
        <v>8.9831789982453518</v>
      </c>
      <c r="W325" s="43">
        <f t="shared" si="27"/>
        <v>64.320678998245356</v>
      </c>
      <c r="X325" s="5" t="str" cm="1">
        <f t="array" ref="X325">_xlfn.IFS($W325 &lt;= 30, "Low", $W325 &lt;=50, "Medium", $W325 &lt;= 70, "High", $W325 &gt; 70, "Critical")</f>
        <v>High</v>
      </c>
      <c r="Y325" s="9">
        <f t="shared" si="28"/>
        <v>0.14530019652765719</v>
      </c>
      <c r="Z325" s="22">
        <f t="shared" si="29"/>
        <v>84.980055048729639</v>
      </c>
    </row>
    <row r="326" spans="1:26">
      <c r="A326" s="24" t="str">
        <v>CUST-3513</v>
      </c>
      <c r="B326" s="24" t="str">
        <v>New Customer</v>
      </c>
      <c r="C326" s="24" t="str">
        <v>Organic Search</v>
      </c>
      <c r="D326" s="24" t="str">
        <v>Canada</v>
      </c>
      <c r="E326" s="24" t="str">
        <v>55+</v>
      </c>
      <c r="F326" s="24" t="str">
        <v>Low</v>
      </c>
      <c r="G326" s="24">
        <v>1</v>
      </c>
      <c r="H326" s="24">
        <v>275</v>
      </c>
      <c r="I326" s="23">
        <v>45.07</v>
      </c>
      <c r="J326" s="24" cm="1">
        <f t="array" ref="J326">SUMPRODUCT(
    (Transactions_and_Customer_Information_Joined[Customer ID]='V1-Based Churn Model (Step 3)'!$A326) *
    (IFERROR(_xlfn.XLOOKUP(Transactions_and_Customer_Information_Joined[SKU], 'V1 Pricing Model (Step 2)'!$A$22:$A$71, 'V1 Pricing Model (Step 2)'!$AL$22:$AL$71), "Exclude")&lt;&gt;"Exclude") *
    Transactions_and_Customer_Information_Joined[Gross Revenue])</f>
        <v>358.48</v>
      </c>
      <c r="K326" s="24">
        <f>SUMIF(Transactions_and_Customer_Information_Joined[Customer ID], 'V1-Based Churn Model (Step 3)'!$A326, Transactions_and_Customer_Information_Joined[Gross Revenue])</f>
        <v>358.48</v>
      </c>
      <c r="L326" s="3">
        <f t="shared" si="24"/>
        <v>1</v>
      </c>
      <c r="M326" s="21">
        <v>0.10710868403533827</v>
      </c>
      <c r="N326" s="21" cm="1">
        <f t="array" ref="N326">SUMPRODUCT(
    (Transactions_and_Customer_Information_Joined[Customer ID]=$A326)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26" s="21" cm="1">
        <f t="array" ref="O326">IFERROR(
    SUMPRODUCT(
        (Transactions_and_Customer_Information_Joined[Customer ID]=$A326)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$J326,
0)</f>
        <v>0.10710868403533827</v>
      </c>
      <c r="P326" s="5" cm="1">
        <f t="array" ref="P326">_xlfn.IFS(B326="At-Risk Churner",$B$2,$B326="Dormant",$B$3,$B326="Deal Hunter",$B$4,$B326="New Customer",$B$5,$B326="Occasional Buyer",$B$6,$B326="Loyal High-Value",$B$7)</f>
        <v>35</v>
      </c>
      <c r="Q326" s="9" cm="1">
        <f t="array" ref="Q326">_xlfn.IFS($B326 = "At-Risk Churner", $B$8, $B326="Dormant",$B$9, $B326="Deal Hunter", $B$10, $B326="New Customer", $B$11, $B326="Occasional Buyer", $B$12, $B326 = "Loyal High-Value",$B$13)</f>
        <v>0.35</v>
      </c>
      <c r="R326" s="5">
        <v>-5</v>
      </c>
      <c r="S326" s="5">
        <v>10</v>
      </c>
      <c r="T326" s="5">
        <v>8</v>
      </c>
      <c r="U326" s="5">
        <f t="shared" si="25"/>
        <v>15</v>
      </c>
      <c r="V326" s="5">
        <f t="shared" si="26"/>
        <v>4.2843473614135306</v>
      </c>
      <c r="W326" s="43">
        <f t="shared" si="27"/>
        <v>67.521847361413521</v>
      </c>
      <c r="X326" s="5" t="str" cm="1">
        <f t="array" ref="X326">_xlfn.IFS($W326 &lt;= 30, "Low", $W326 &lt;=50, "Medium", $W326 &lt;= 70, "High", $W326 &gt; 70, "Critical")</f>
        <v>High</v>
      </c>
      <c r="Y326" s="9">
        <f t="shared" si="28"/>
        <v>0.29827985222504971</v>
      </c>
      <c r="Z326" s="22">
        <f t="shared" si="29"/>
        <v>19.768778351826391</v>
      </c>
    </row>
    <row r="327" spans="1:26">
      <c r="A327" s="24" t="str">
        <v>CUST-3595</v>
      </c>
      <c r="B327" s="24" t="str">
        <v>Deal Hunter</v>
      </c>
      <c r="C327" s="24" t="str">
        <v>Direct</v>
      </c>
      <c r="D327" s="24" t="str">
        <v>West</v>
      </c>
      <c r="E327" s="24" t="str">
        <v>25-34</v>
      </c>
      <c r="F327" s="24" t="str">
        <v>High</v>
      </c>
      <c r="G327" s="24">
        <v>3</v>
      </c>
      <c r="H327" s="24">
        <v>142</v>
      </c>
      <c r="I327" s="23">
        <v>191.42</v>
      </c>
      <c r="J327" s="24" cm="1">
        <f t="array" ref="J327">SUMPRODUCT(
    (Transactions_and_Customer_Information_Joined[Customer ID]='V1-Based Churn Model (Step 3)'!$A327)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327" s="24">
        <f>SUMIF(Transactions_and_Customer_Information_Joined[Customer ID], 'V1-Based Churn Model (Step 3)'!$A327, Transactions_and_Customer_Information_Joined[Gross Revenue])</f>
        <v>372.78000000000003</v>
      </c>
      <c r="L327" s="3">
        <f t="shared" si="24"/>
        <v>0</v>
      </c>
      <c r="M327" s="21">
        <v>0</v>
      </c>
      <c r="N327" s="21" cm="1">
        <f t="array" ref="N327">SUMPRODUCT(
    (Transactions_and_Customer_Information_Joined[Customer ID]=$A327)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327" s="21" cm="1">
        <f t="array" ref="O327">IFERROR(
    SUMPRODUCT(
        (Transactions_and_Customer_Information_Joined[Customer ID]=$A327)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$J327,
0)</f>
        <v>0</v>
      </c>
      <c r="P327" s="5" cm="1">
        <f t="array" ref="P327">_xlfn.IFS(B327="At-Risk Churner",$B$2,$B327="Dormant",$B$3,$B327="Deal Hunter",$B$4,$B327="New Customer",$B$5,$B327="Occasional Buyer",$B$6,$B327="Loyal High-Value",$B$7)</f>
        <v>45</v>
      </c>
      <c r="Q327" s="9" cm="1">
        <f t="array" ref="Q327">_xlfn.IFS($B327 = "At-Risk Churner", $B$8, $B327="Dormant",$B$9, $B327="Deal Hunter", $B$10, $B327="New Customer", $B$11, $B327="Occasional Buyer", $B$12, $B327 = "Loyal High-Value",$B$13)</f>
        <v>0.25</v>
      </c>
      <c r="R327" s="5">
        <v>15</v>
      </c>
      <c r="S327" s="5">
        <v>10</v>
      </c>
      <c r="T327" s="5">
        <v>0</v>
      </c>
      <c r="U327" s="5">
        <f t="shared" si="25"/>
        <v>0</v>
      </c>
      <c r="V327" s="5">
        <f t="shared" si="26"/>
        <v>0</v>
      </c>
      <c r="W327" s="43">
        <f t="shared" si="27"/>
        <v>70.45</v>
      </c>
      <c r="X327" s="5" t="str" cm="1">
        <f t="array" ref="X327">_xlfn.IFS($W327 &lt;= 30, "Low", $W327 &lt;=50, "Medium", $W327 &lt;= 70, "High", $W327 &gt; 70, "Critical")</f>
        <v>Critical</v>
      </c>
      <c r="Y327" s="9">
        <f t="shared" si="28"/>
        <v>0.22136035519182354</v>
      </c>
      <c r="Z327" s="22">
        <f t="shared" si="29"/>
        <v>42.37279919081886</v>
      </c>
    </row>
    <row r="328" spans="1:26">
      <c r="A328" s="24" t="str">
        <v>CUST-2538</v>
      </c>
      <c r="B328" s="24" t="str">
        <v>Dormant</v>
      </c>
      <c r="C328" s="24" t="str">
        <v>Influencer</v>
      </c>
      <c r="D328" s="24" t="str">
        <v>Northeast</v>
      </c>
      <c r="E328" s="24" t="str">
        <v>55+</v>
      </c>
      <c r="F328" s="24" t="str">
        <v>High</v>
      </c>
      <c r="G328" s="24">
        <v>4</v>
      </c>
      <c r="H328" s="24">
        <v>180</v>
      </c>
      <c r="I328" s="23">
        <v>110.1</v>
      </c>
      <c r="J328" s="24" cm="1">
        <f t="array" ref="J328">SUMPRODUCT(
    (Transactions_and_Customer_Information_Joined[Customer ID]='V1-Based Churn Model (Step 3)'!$A328) *
    (IFERROR(_xlfn.XLOOKUP(Transactions_and_Customer_Information_Joined[SKU], 'V1 Pricing Model (Step 2)'!$A$22:$A$71, 'V1 Pricing Model (Step 2)'!$AL$22:$AL$71), "Exclude")&lt;&gt;"Exclude") *
    Transactions_and_Customer_Information_Joined[Gross Revenue])</f>
        <v>472.28</v>
      </c>
      <c r="K328" s="24">
        <f>SUMIF(Transactions_and_Customer_Information_Joined[Customer ID], 'V1-Based Churn Model (Step 3)'!$A328, Transactions_and_Customer_Information_Joined[Gross Revenue])</f>
        <v>472.28</v>
      </c>
      <c r="L328" s="3">
        <f t="shared" si="24"/>
        <v>1</v>
      </c>
      <c r="M328" s="21">
        <v>3.7264027854690532E-2</v>
      </c>
      <c r="N328" s="21" cm="1">
        <f t="array" ref="N328">SUMPRODUCT(
    (Transactions_and_Customer_Information_Joined[Customer ID]=$A328)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28" s="21" cm="1">
        <f t="array" ref="O328">IFERROR(
    SUMPRODUCT(
        (Transactions_and_Customer_Information_Joined[Customer ID]=$A328)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$J328,
0)</f>
        <v>3.7264027854690532E-2</v>
      </c>
      <c r="P328" s="5" cm="1">
        <f t="array" ref="P328">_xlfn.IFS(B328="At-Risk Churner",$B$2,$B328="Dormant",$B$3,$B328="Deal Hunter",$B$4,$B328="New Customer",$B$5,$B328="Occasional Buyer",$B$6,$B328="Loyal High-Value",$B$7)</f>
        <v>65</v>
      </c>
      <c r="Q328" s="9" cm="1">
        <f t="array" ref="Q328">_xlfn.IFS($B328 = "At-Risk Churner", $B$8, $B328="Dormant",$B$9, $B328="Deal Hunter", $B$10, $B328="New Customer", $B$11, $B328="Occasional Buyer", $B$12, $B328 = "Loyal High-Value",$B$13)</f>
        <v>0.6</v>
      </c>
      <c r="R328" s="5">
        <v>15</v>
      </c>
      <c r="S328" s="5">
        <v>0</v>
      </c>
      <c r="T328" s="5">
        <v>0</v>
      </c>
      <c r="U328" s="5">
        <f t="shared" si="25"/>
        <v>15</v>
      </c>
      <c r="V328" s="5">
        <f t="shared" si="26"/>
        <v>1.4905611141876212</v>
      </c>
      <c r="W328" s="43">
        <f t="shared" si="27"/>
        <v>96.828061114187634</v>
      </c>
      <c r="X328" s="5" t="str" cm="1">
        <f t="array" ref="X328">_xlfn.IFS($W328 &lt;= 30, "Low", $W328 &lt;=50, "Medium", $W328 &lt;= 70, "High", $W328 &gt; 70, "Critical")</f>
        <v>Critical</v>
      </c>
      <c r="Y328" s="9">
        <f t="shared" si="28"/>
        <v>0.59449909250223121</v>
      </c>
      <c r="Z328" s="22">
        <f t="shared" si="29"/>
        <v>65.454350084495658</v>
      </c>
    </row>
    <row r="329" spans="1:26">
      <c r="A329" s="24" t="str">
        <v>CUST-3526</v>
      </c>
      <c r="B329" s="24" t="str">
        <v>Deal Hunter</v>
      </c>
      <c r="C329" s="24" t="str">
        <v>Paid Social</v>
      </c>
      <c r="D329" s="24" t="str">
        <v>Southeast</v>
      </c>
      <c r="E329" s="24" t="str">
        <v>45-54</v>
      </c>
      <c r="F329" s="24" t="str">
        <v>Medium</v>
      </c>
      <c r="G329" s="24">
        <v>0</v>
      </c>
      <c r="H329" s="24">
        <v>20</v>
      </c>
      <c r="I329" s="23">
        <v>310.49</v>
      </c>
      <c r="J329" s="24" cm="1">
        <f t="array" ref="J329">SUMPRODUCT(
    (Transactions_and_Customer_Information_Joined[Customer ID]='V1-Based Churn Model (Step 3)'!$A329)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329" s="24">
        <f>SUMIF(Transactions_and_Customer_Information_Joined[Customer ID], 'V1-Based Churn Model (Step 3)'!$A329, Transactions_and_Customer_Information_Joined[Gross Revenue])</f>
        <v>821.6</v>
      </c>
      <c r="L329" s="3">
        <f t="shared" si="24"/>
        <v>0</v>
      </c>
      <c r="M329" s="21">
        <v>0</v>
      </c>
      <c r="N329" s="21" cm="1">
        <f t="array" ref="N329">SUMPRODUCT(
    (Transactions_and_Customer_Information_Joined[Customer ID]=$A329)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329" s="21" cm="1">
        <f t="array" ref="O329">IFERROR(
    SUMPRODUCT(
        (Transactions_and_Customer_Information_Joined[Customer ID]=$A329)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$J329,
0)</f>
        <v>0</v>
      </c>
      <c r="P329" s="5" cm="1">
        <f t="array" ref="P329">_xlfn.IFS(B329="At-Risk Churner",$B$2,$B329="Dormant",$B$3,$B329="Deal Hunter",$B$4,$B329="New Customer",$B$5,$B329="Occasional Buyer",$B$6,$B329="Loyal High-Value",$B$7)</f>
        <v>45</v>
      </c>
      <c r="Q329" s="9" cm="1">
        <f t="array" ref="Q329">_xlfn.IFS($B329 = "At-Risk Churner", $B$8, $B329="Dormant",$B$9, $B329="Deal Hunter", $B$10, $B329="New Customer", $B$11, $B329="Occasional Buyer", $B$12, $B329 = "Loyal High-Value",$B$13)</f>
        <v>0.25</v>
      </c>
      <c r="R329" s="5">
        <v>5</v>
      </c>
      <c r="S329" s="5">
        <v>10</v>
      </c>
      <c r="T329" s="5">
        <v>-5</v>
      </c>
      <c r="U329" s="5">
        <f t="shared" si="25"/>
        <v>0</v>
      </c>
      <c r="V329" s="5">
        <f t="shared" si="26"/>
        <v>0</v>
      </c>
      <c r="W329" s="43">
        <f t="shared" si="27"/>
        <v>55.45</v>
      </c>
      <c r="X329" s="5" t="str" cm="1">
        <f t="array" ref="X329">_xlfn.IFS($W329 &lt;= 30, "Low", $W329 &lt;=50, "Medium", $W329 &lt;= 70, "High", $W329 &gt; 70, "Critical")</f>
        <v>High</v>
      </c>
      <c r="Y329" s="9">
        <f t="shared" si="28"/>
        <v>0.15824369417011516</v>
      </c>
      <c r="Z329" s="22">
        <f t="shared" si="29"/>
        <v>101.40446768230325</v>
      </c>
    </row>
    <row r="330" spans="1:26">
      <c r="A330" s="24" t="str">
        <v>CUST-1659</v>
      </c>
      <c r="B330" s="24" t="str">
        <v>Dormant</v>
      </c>
      <c r="C330" s="24" t="str">
        <v>Organic Search</v>
      </c>
      <c r="D330" s="24" t="str">
        <v>Canada</v>
      </c>
      <c r="E330" s="24" t="str">
        <v>55+</v>
      </c>
      <c r="F330" s="24" t="str">
        <v>Low</v>
      </c>
      <c r="G330" s="24">
        <v>2</v>
      </c>
      <c r="H330" s="24">
        <v>7</v>
      </c>
      <c r="I330" s="23">
        <v>173.74</v>
      </c>
      <c r="J330" s="24" cm="1">
        <f t="array" ref="J330">SUMPRODUCT(
    (Transactions_and_Customer_Information_Joined[Customer ID]='V1-Based Churn Model (Step 3)'!$A330) *
    (IFERROR(_xlfn.XLOOKUP(Transactions_and_Customer_Information_Joined[SKU], 'V1 Pricing Model (Step 2)'!$A$22:$A$71, 'V1 Pricing Model (Step 2)'!$AL$22:$AL$71), "Exclude")&lt;&gt;"Exclude") *
    Transactions_and_Customer_Information_Joined[Gross Revenue])</f>
        <v>55.17</v>
      </c>
      <c r="K330" s="24">
        <f>SUMIF(Transactions_and_Customer_Information_Joined[Customer ID], 'V1-Based Churn Model (Step 3)'!$A330, Transactions_and_Customer_Information_Joined[Gross Revenue])</f>
        <v>55.17</v>
      </c>
      <c r="L330" s="3">
        <f t="shared" si="24"/>
        <v>1</v>
      </c>
      <c r="M330" s="21">
        <v>0.10525403225213746</v>
      </c>
      <c r="N330" s="21" cm="1">
        <f t="array" ref="N330">SUMPRODUCT(
    (Transactions_and_Customer_Information_Joined[Customer ID]=$A330)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30" s="21" cm="1">
        <f t="array" ref="O330">IFERROR(
    SUMPRODUCT(
        (Transactions_and_Customer_Information_Joined[Customer ID]=$A330)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$J330,
0)</f>
        <v>0.10525403225213746</v>
      </c>
      <c r="P330" s="5" cm="1">
        <f t="array" ref="P330">_xlfn.IFS(B330="At-Risk Churner",$B$2,$B330="Dormant",$B$3,$B330="Deal Hunter",$B$4,$B330="New Customer",$B$5,$B330="Occasional Buyer",$B$6,$B330="Loyal High-Value",$B$7)</f>
        <v>65</v>
      </c>
      <c r="Q330" s="9" cm="1">
        <f t="array" ref="Q330">_xlfn.IFS($B330 = "At-Risk Churner", $B$8, $B330="Dormant",$B$9, $B330="Deal Hunter", $B$10, $B330="New Customer", $B$11, $B330="Occasional Buyer", $B$12, $B330 = "Loyal High-Value",$B$13)</f>
        <v>0.6</v>
      </c>
      <c r="R330" s="5">
        <v>-5</v>
      </c>
      <c r="S330" s="5">
        <v>10</v>
      </c>
      <c r="T330" s="5">
        <v>-5</v>
      </c>
      <c r="U330" s="5">
        <f t="shared" si="25"/>
        <v>15</v>
      </c>
      <c r="V330" s="5">
        <f t="shared" si="26"/>
        <v>4.2101612900854981</v>
      </c>
      <c r="W330" s="43">
        <f t="shared" si="27"/>
        <v>84.747661290085503</v>
      </c>
      <c r="X330" s="5" t="str" cm="1">
        <f t="array" ref="X330">_xlfn.IFS($W330 &lt;= 30, "Low", $W330 &lt;=50, "Medium", $W330 &lt;= 70, "High", $W330 &gt; 70, "Critical")</f>
        <v>Critical</v>
      </c>
      <c r="Y330" s="9">
        <f t="shared" si="28"/>
        <v>0.58197671891038039</v>
      </c>
      <c r="Z330" s="22">
        <f t="shared" si="29"/>
        <v>101.1126351434895</v>
      </c>
    </row>
    <row r="331" spans="1:26">
      <c r="A331" s="24" t="str">
        <v>CUST-1415</v>
      </c>
      <c r="B331" s="24" t="str">
        <v>Occasional Buyer</v>
      </c>
      <c r="C331" s="24" t="str">
        <v>Referral</v>
      </c>
      <c r="D331" s="24" t="str">
        <v>Canada</v>
      </c>
      <c r="E331" s="24" t="str">
        <v>55+</v>
      </c>
      <c r="F331" s="24" t="str">
        <v>Low</v>
      </c>
      <c r="G331" s="24">
        <v>2</v>
      </c>
      <c r="H331" s="24">
        <v>261</v>
      </c>
      <c r="I331" s="23">
        <v>345.83</v>
      </c>
      <c r="J331" s="24" cm="1">
        <f t="array" ref="J331">SUMPRODUCT(
    (Transactions_and_Customer_Information_Joined[Customer ID]='V1-Based Churn Model (Step 3)'!$A331) *
    (IFERROR(_xlfn.XLOOKUP(Transactions_and_Customer_Information_Joined[SKU], 'V1 Pricing Model (Step 2)'!$A$22:$A$71, 'V1 Pricing Model (Step 2)'!$AL$22:$AL$71), "Exclude")&lt;&gt;"Exclude") *
    Transactions_and_Customer_Information_Joined[Gross Revenue])</f>
        <v>354.21</v>
      </c>
      <c r="K331" s="24">
        <f>SUMIF(Transactions_and_Customer_Information_Joined[Customer ID], 'V1-Based Churn Model (Step 3)'!$A331, Transactions_and_Customer_Information_Joined[Gross Revenue])</f>
        <v>354.21</v>
      </c>
      <c r="L331" s="3">
        <f t="shared" si="24"/>
        <v>1</v>
      </c>
      <c r="M331" s="21">
        <v>3.7264027854690532E-2</v>
      </c>
      <c r="N331" s="21" cm="1">
        <f t="array" ref="N331">SUMPRODUCT(
    (Transactions_and_Customer_Information_Joined[Customer ID]=$A331)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31" s="21" cm="1">
        <f t="array" ref="O331">IFERROR(
    SUMPRODUCT(
        (Transactions_and_Customer_Information_Joined[Customer ID]=$A331)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$J331,
0)</f>
        <v>3.7264027854690532E-2</v>
      </c>
      <c r="P331" s="5" cm="1">
        <f t="array" ref="P331">_xlfn.IFS(B331="At-Risk Churner",$B$2,$B331="Dormant",$B$3,$B331="Deal Hunter",$B$4,$B331="New Customer",$B$5,$B331="Occasional Buyer",$B$6,$B331="Loyal High-Value",$B$7)</f>
        <v>25</v>
      </c>
      <c r="Q331" s="9" cm="1">
        <f t="array" ref="Q331">_xlfn.IFS($B331 = "At-Risk Churner", $B$8, $B331="Dormant",$B$9, $B331="Deal Hunter", $B$10, $B331="New Customer", $B$11, $B331="Occasional Buyer", $B$12, $B331 = "Loyal High-Value",$B$13)</f>
        <v>0.18</v>
      </c>
      <c r="R331" s="5">
        <v>-5</v>
      </c>
      <c r="S331" s="5">
        <v>10</v>
      </c>
      <c r="T331" s="5">
        <v>8</v>
      </c>
      <c r="U331" s="5">
        <f t="shared" si="25"/>
        <v>15</v>
      </c>
      <c r="V331" s="5">
        <f t="shared" si="26"/>
        <v>1.4905611141876212</v>
      </c>
      <c r="W331" s="43">
        <f t="shared" si="27"/>
        <v>54.628061114187624</v>
      </c>
      <c r="X331" s="5" t="str" cm="1">
        <f t="array" ref="X331">_xlfn.IFS($W331 &lt;= 30, "Low", $W331 &lt;=50, "Medium", $W331 &lt;= 70, "High", $W331 &gt; 70, "Critical")</f>
        <v>High</v>
      </c>
      <c r="Y331" s="9">
        <f t="shared" si="28"/>
        <v>0.11046233741168526</v>
      </c>
      <c r="Z331" s="22">
        <f t="shared" si="29"/>
        <v>99.726952117666485</v>
      </c>
    </row>
    <row r="332" spans="1:26">
      <c r="A332" s="24" t="str">
        <v>CUST-3929</v>
      </c>
      <c r="B332" s="24" t="str">
        <v>Occasional Buyer</v>
      </c>
      <c r="C332" s="24" t="str">
        <v>Email Campaign</v>
      </c>
      <c r="D332" s="24" t="str">
        <v>Canada</v>
      </c>
      <c r="E332" s="24" t="str">
        <v>35-44</v>
      </c>
      <c r="F332" s="24" t="str">
        <v>Low</v>
      </c>
      <c r="G332" s="24">
        <v>3</v>
      </c>
      <c r="H332" s="24">
        <v>117</v>
      </c>
      <c r="I332" s="23">
        <v>432.05</v>
      </c>
      <c r="J332" s="24" cm="1">
        <f t="array" ref="J332">SUMPRODUCT(
    (Transactions_and_Customer_Information_Joined[Customer ID]='V1-Based Churn Model (Step 3)'!$A332) *
    (IFERROR(_xlfn.XLOOKUP(Transactions_and_Customer_Information_Joined[SKU], 'V1 Pricing Model (Step 2)'!$A$22:$A$71, 'V1 Pricing Model (Step 2)'!$AL$22:$AL$71), "Exclude")&lt;&gt;"Exclude") *
    Transactions_and_Customer_Information_Joined[Gross Revenue])</f>
        <v>35.11</v>
      </c>
      <c r="K332" s="24">
        <f>SUMIF(Transactions_and_Customer_Information_Joined[Customer ID], 'V1-Based Churn Model (Step 3)'!$A332, Transactions_and_Customer_Information_Joined[Gross Revenue])</f>
        <v>35.11</v>
      </c>
      <c r="L332" s="3">
        <f t="shared" si="24"/>
        <v>1</v>
      </c>
      <c r="M332" s="21">
        <v>0.25581555939754186</v>
      </c>
      <c r="N332" s="21" cm="1">
        <f t="array" ref="N332">SUMPRODUCT(
    (Transactions_and_Customer_Information_Joined[Customer ID]=$A332)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32" s="21" cm="1">
        <f t="array" ref="O332">IFERROR(
    SUMPRODUCT(
        (Transactions_and_Customer_Information_Joined[Customer ID]=$A332)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$J332,
0)</f>
        <v>0.25581555939754186</v>
      </c>
      <c r="P332" s="5" cm="1">
        <f t="array" ref="P332">_xlfn.IFS(B332="At-Risk Churner",$B$2,$B332="Dormant",$B$3,$B332="Deal Hunter",$B$4,$B332="New Customer",$B$5,$B332="Occasional Buyer",$B$6,$B332="Loyal High-Value",$B$7)</f>
        <v>25</v>
      </c>
      <c r="Q332" s="9" cm="1">
        <f t="array" ref="Q332">_xlfn.IFS($B332 = "At-Risk Churner", $B$8, $B332="Dormant",$B$9, $B332="Deal Hunter", $B$10, $B332="New Customer", $B$11, $B332="Occasional Buyer", $B$12, $B332 = "Loyal High-Value",$B$13)</f>
        <v>0.18</v>
      </c>
      <c r="R332" s="5">
        <v>-5</v>
      </c>
      <c r="S332" s="5">
        <v>10</v>
      </c>
      <c r="T332" s="5">
        <v>0</v>
      </c>
      <c r="U332" s="5">
        <f t="shared" si="25"/>
        <v>15</v>
      </c>
      <c r="V332" s="5">
        <f t="shared" si="26"/>
        <v>10.232622375901673</v>
      </c>
      <c r="W332" s="43">
        <f t="shared" si="27"/>
        <v>55.370122375901673</v>
      </c>
      <c r="X332" s="5" t="str" cm="1">
        <f t="array" ref="X332">_xlfn.IFS($W332 &lt;= 30, "Low", $W332 &lt;=50, "Medium", $W332 &lt;= 70, "High", $W332 &gt; 70, "Critical")</f>
        <v>High</v>
      </c>
      <c r="Y332" s="9">
        <f t="shared" si="28"/>
        <v>0.11360108065355488</v>
      </c>
      <c r="Z332" s="22">
        <f t="shared" si="29"/>
        <v>125.67507751709471</v>
      </c>
    </row>
    <row r="333" spans="1:26">
      <c r="A333" s="24" t="str">
        <v>CUST-2495</v>
      </c>
      <c r="B333" s="24" t="str">
        <v>Loyal High-Value</v>
      </c>
      <c r="C333" s="24" t="str">
        <v>Referral</v>
      </c>
      <c r="D333" s="24" t="str">
        <v>Southwest</v>
      </c>
      <c r="E333" s="24" t="str">
        <v>45-54</v>
      </c>
      <c r="F333" s="24" t="str">
        <v>High</v>
      </c>
      <c r="G333" s="24">
        <v>8</v>
      </c>
      <c r="H333" s="24">
        <v>55</v>
      </c>
      <c r="I333" s="23">
        <v>1317.11</v>
      </c>
      <c r="J333" s="24" cm="1">
        <f t="array" ref="J333">SUMPRODUCT(
    (Transactions_and_Customer_Information_Joined[Customer ID]='V1-Based Churn Model (Step 3)'!$A333) *
    (IFERROR(_xlfn.XLOOKUP(Transactions_and_Customer_Information_Joined[SKU], 'V1 Pricing Model (Step 2)'!$A$22:$A$71, 'V1 Pricing Model (Step 2)'!$AL$22:$AL$71), "Exclude")&lt;&gt;"Exclude") *
    Transactions_and_Customer_Information_Joined[Gross Revenue])</f>
        <v>694.01</v>
      </c>
      <c r="K333" s="24">
        <f>SUMIF(Transactions_and_Customer_Information_Joined[Customer ID], 'V1-Based Churn Model (Step 3)'!$A333, Transactions_and_Customer_Information_Joined[Gross Revenue])</f>
        <v>694.01</v>
      </c>
      <c r="L333" s="3">
        <f t="shared" si="24"/>
        <v>1</v>
      </c>
      <c r="M333" s="21">
        <v>3.7264027854690532E-2</v>
      </c>
      <c r="N333" s="21" cm="1">
        <f t="array" ref="N333">SUMPRODUCT(
    (Transactions_and_Customer_Information_Joined[Customer ID]=$A333)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33" s="21" cm="1">
        <f t="array" ref="O333">IFERROR(
    SUMPRODUCT(
        (Transactions_and_Customer_Information_Joined[Customer ID]=$A333)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$J333,
0)</f>
        <v>1.9018877691113864E-2</v>
      </c>
      <c r="P333" s="5" cm="1">
        <f t="array" ref="P333">_xlfn.IFS(B333="At-Risk Churner",$B$2,$B333="Dormant",$B$3,$B333="Deal Hunter",$B$4,$B333="New Customer",$B$5,$B333="Occasional Buyer",$B$6,$B333="Loyal High-Value",$B$7)</f>
        <v>15</v>
      </c>
      <c r="Q333" s="9" cm="1">
        <f t="array" ref="Q333">_xlfn.IFS($B333 = "At-Risk Churner", $B$8, $B333="Dormant",$B$9, $B333="Deal Hunter", $B$10, $B333="New Customer", $B$11, $B333="Occasional Buyer", $B$12, $B333 = "Loyal High-Value",$B$13)</f>
        <v>0.05</v>
      </c>
      <c r="R333" s="5">
        <v>15</v>
      </c>
      <c r="S333" s="5">
        <v>-8</v>
      </c>
      <c r="T333" s="5">
        <v>-5</v>
      </c>
      <c r="U333" s="5">
        <f t="shared" si="25"/>
        <v>15</v>
      </c>
      <c r="V333" s="5">
        <f t="shared" si="26"/>
        <v>1.1256581109160879</v>
      </c>
      <c r="W333" s="43">
        <f t="shared" si="27"/>
        <v>33.343158110916086</v>
      </c>
      <c r="X333" s="5" t="str" cm="1">
        <f t="array" ref="X333">_xlfn.IFS($W333 &lt;= 30, "Low", $W333 &lt;=50, "Medium", $W333 &lt;= 70, "High", $W333 &gt; 70, "Critical")</f>
        <v>Medium</v>
      </c>
      <c r="Y333" s="9">
        <f t="shared" si="28"/>
        <v>7.9500218553540791E-3</v>
      </c>
      <c r="Z333" s="22">
        <f t="shared" si="29"/>
        <v>271.79884262872429</v>
      </c>
    </row>
    <row r="334" spans="1:26">
      <c r="A334" s="24" t="str">
        <v>CUST-4759</v>
      </c>
      <c r="B334" s="24" t="str">
        <v>New Customer</v>
      </c>
      <c r="C334" s="24" t="str">
        <v>Paid Social</v>
      </c>
      <c r="D334" s="24" t="str">
        <v>Southeast</v>
      </c>
      <c r="E334" s="24" t="str">
        <v>35-44</v>
      </c>
      <c r="F334" s="24" t="str">
        <v>Medium</v>
      </c>
      <c r="G334" s="24">
        <v>8</v>
      </c>
      <c r="H334" s="24">
        <v>186</v>
      </c>
      <c r="I334" s="23">
        <v>57.07</v>
      </c>
      <c r="J334" s="24" cm="1">
        <f t="array" ref="J334">SUMPRODUCT(
    (Transactions_and_Customer_Information_Joined[Customer ID]='V1-Based Churn Model (Step 3)'!$A334) *
    (IFERROR(_xlfn.XLOOKUP(Transactions_and_Customer_Information_Joined[SKU], 'V1 Pricing Model (Step 2)'!$A$22:$A$71, 'V1 Pricing Model (Step 2)'!$AL$22:$AL$71), "Exclude")&lt;&gt;"Exclude") *
    Transactions_and_Customer_Information_Joined[Gross Revenue])</f>
        <v>389.74</v>
      </c>
      <c r="K334" s="24">
        <f>SUMIF(Transactions_and_Customer_Information_Joined[Customer ID], 'V1-Based Churn Model (Step 3)'!$A334, Transactions_and_Customer_Information_Joined[Gross Revenue])</f>
        <v>389.74</v>
      </c>
      <c r="L334" s="3">
        <f t="shared" si="24"/>
        <v>1</v>
      </c>
      <c r="M334" s="21">
        <v>0.14790650353694867</v>
      </c>
      <c r="N334" s="21" cm="1">
        <f t="array" ref="N334">SUMPRODUCT(
    (Transactions_and_Customer_Information_Joined[Customer ID]=$A334)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34" s="21" cm="1">
        <f t="array" ref="O334">IFERROR(
    SUMPRODUCT(
        (Transactions_and_Customer_Information_Joined[Customer ID]=$A334)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$J334,
0)</f>
        <v>0.14790650353694867</v>
      </c>
      <c r="P334" s="5" cm="1">
        <f t="array" ref="P334">_xlfn.IFS(B334="At-Risk Churner",$B$2,$B334="Dormant",$B$3,$B334="Deal Hunter",$B$4,$B334="New Customer",$B$5,$B334="Occasional Buyer",$B$6,$B334="Loyal High-Value",$B$7)</f>
        <v>35</v>
      </c>
      <c r="Q334" s="9" cm="1">
        <f t="array" ref="Q334">_xlfn.IFS($B334 = "At-Risk Churner", $B$8, $B334="Dormant",$B$9, $B334="Deal Hunter", $B$10, $B334="New Customer", $B$11, $B334="Occasional Buyer", $B$12, $B334 = "Loyal High-Value",$B$13)</f>
        <v>0.35</v>
      </c>
      <c r="R334" s="5">
        <v>5</v>
      </c>
      <c r="S334" s="5">
        <v>-8</v>
      </c>
      <c r="T334" s="5">
        <v>8</v>
      </c>
      <c r="U334" s="5">
        <f t="shared" si="25"/>
        <v>15</v>
      </c>
      <c r="V334" s="5">
        <f t="shared" si="26"/>
        <v>5.916260141477947</v>
      </c>
      <c r="W334" s="43">
        <f t="shared" si="27"/>
        <v>60.748760141477945</v>
      </c>
      <c r="X334" s="5" t="str" cm="1">
        <f t="array" ref="X334">_xlfn.IFS($W334 &lt;= 30, "Low", $W334 &lt;=50, "Medium", $W334 &lt;= 70, "High", $W334 &gt; 70, "Critical")</f>
        <v>High</v>
      </c>
      <c r="Y334" s="9">
        <f t="shared" si="28"/>
        <v>0.26093308235525614</v>
      </c>
      <c r="Z334" s="22">
        <f t="shared" si="29"/>
        <v>23.327160808011573</v>
      </c>
    </row>
    <row r="335" spans="1:26">
      <c r="A335" s="24" t="str">
        <v>CUST-4690</v>
      </c>
      <c r="B335" s="24" t="str">
        <v>Loyal High-Value</v>
      </c>
      <c r="C335" s="24" t="str">
        <v>Direct</v>
      </c>
      <c r="D335" s="24" t="str">
        <v>Southwest</v>
      </c>
      <c r="E335" s="24" t="str">
        <v>55+</v>
      </c>
      <c r="F335" s="24" t="str">
        <v>Low</v>
      </c>
      <c r="G335" s="24">
        <v>6</v>
      </c>
      <c r="H335" s="24">
        <v>336</v>
      </c>
      <c r="I335" s="23">
        <v>2383.0700000000002</v>
      </c>
      <c r="J335" s="24" cm="1">
        <f t="array" ref="J335">SUMPRODUCT(
    (Transactions_and_Customer_Information_Joined[Customer ID]='V1-Based Churn Model (Step 3)'!$A335)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335" s="24">
        <f>SUMIF(Transactions_and_Customer_Information_Joined[Customer ID], 'V1-Based Churn Model (Step 3)'!$A335, Transactions_and_Customer_Information_Joined[Gross Revenue])</f>
        <v>244.79999999999998</v>
      </c>
      <c r="L335" s="3">
        <f t="shared" si="24"/>
        <v>0</v>
      </c>
      <c r="M335" s="21">
        <v>0</v>
      </c>
      <c r="N335" s="21" cm="1">
        <f t="array" ref="N335">SUMPRODUCT(
    (Transactions_and_Customer_Information_Joined[Customer ID]=$A335)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335" s="21" cm="1">
        <f t="array" ref="O335">IFERROR(
    SUMPRODUCT(
        (Transactions_and_Customer_Information_Joined[Customer ID]=$A335)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$J335,
0)</f>
        <v>0</v>
      </c>
      <c r="P335" s="5" cm="1">
        <f t="array" ref="P335">_xlfn.IFS(B335="At-Risk Churner",$B$2,$B335="Dormant",$B$3,$B335="Deal Hunter",$B$4,$B335="New Customer",$B$5,$B335="Occasional Buyer",$B$6,$B335="Loyal High-Value",$B$7)</f>
        <v>15</v>
      </c>
      <c r="Q335" s="9" cm="1">
        <f t="array" ref="Q335">_xlfn.IFS($B335 = "At-Risk Churner", $B$8, $B335="Dormant",$B$9, $B335="Deal Hunter", $B$10, $B335="New Customer", $B$11, $B335="Occasional Buyer", $B$12, $B335 = "Loyal High-Value",$B$13)</f>
        <v>0.05</v>
      </c>
      <c r="R335" s="5">
        <v>-5</v>
      </c>
      <c r="S335" s="5">
        <v>0</v>
      </c>
      <c r="T335" s="5">
        <v>15</v>
      </c>
      <c r="U335" s="5">
        <f t="shared" si="25"/>
        <v>0</v>
      </c>
      <c r="V335" s="5">
        <f t="shared" si="26"/>
        <v>0</v>
      </c>
      <c r="W335" s="43">
        <f t="shared" si="27"/>
        <v>25</v>
      </c>
      <c r="X335" s="5" t="str" cm="1">
        <f t="array" ref="X335">_xlfn.IFS($W335 &lt;= 30, "Low", $W335 &lt;=50, "Medium", $W335 &lt;= 70, "High", $W335 &gt; 70, "Critical")</f>
        <v>Low</v>
      </c>
      <c r="Y335" s="9">
        <f t="shared" si="28"/>
        <v>3.7929090010621774E-3</v>
      </c>
      <c r="Z335" s="22">
        <f t="shared" si="29"/>
        <v>9.0387676531612442</v>
      </c>
    </row>
    <row r="336" spans="1:26">
      <c r="A336" s="24" t="str">
        <v>CUST-2281</v>
      </c>
      <c r="B336" s="24" t="str">
        <v>Occasional Buyer</v>
      </c>
      <c r="C336" s="24" t="str">
        <v>Direct</v>
      </c>
      <c r="D336" s="24" t="str">
        <v>Canada</v>
      </c>
      <c r="E336" s="24" t="str">
        <v>25-34</v>
      </c>
      <c r="F336" s="24" t="str">
        <v>Medium</v>
      </c>
      <c r="G336" s="24">
        <v>9</v>
      </c>
      <c r="H336" s="24">
        <v>73</v>
      </c>
      <c r="I336" s="23">
        <v>434.17</v>
      </c>
      <c r="J336" s="24" cm="1">
        <f t="array" ref="J336">SUMPRODUCT(
    (Transactions_and_Customer_Information_Joined[Customer ID]='V1-Based Churn Model (Step 3)'!$A336) *
    (IFERROR(_xlfn.XLOOKUP(Transactions_and_Customer_Information_Joined[SKU], 'V1 Pricing Model (Step 2)'!$A$22:$A$71, 'V1 Pricing Model (Step 2)'!$AL$22:$AL$71), "Exclude")&lt;&gt;"Exclude") *
    Transactions_and_Customer_Information_Joined[Gross Revenue])</f>
        <v>236.52</v>
      </c>
      <c r="K336" s="24">
        <f>SUMIF(Transactions_and_Customer_Information_Joined[Customer ID], 'V1-Based Churn Model (Step 3)'!$A336, Transactions_and_Customer_Information_Joined[Gross Revenue])</f>
        <v>236.52</v>
      </c>
      <c r="L336" s="3">
        <f t="shared" si="24"/>
        <v>1</v>
      </c>
      <c r="M336" s="21">
        <v>9.1108129362620652E-2</v>
      </c>
      <c r="N336" s="21" cm="1">
        <f t="array" ref="N336">SUMPRODUCT(
    (Transactions_and_Customer_Information_Joined[Customer ID]=$A336)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36" s="21" cm="1">
        <f t="array" ref="O336">IFERROR(
    SUMPRODUCT(
        (Transactions_and_Customer_Information_Joined[Customer ID]=$A336)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$J336,
0)</f>
        <v>9.1108129362620652E-2</v>
      </c>
      <c r="P336" s="5" cm="1">
        <f t="array" ref="P336">_xlfn.IFS(B336="At-Risk Churner",$B$2,$B336="Dormant",$B$3,$B336="Deal Hunter",$B$4,$B336="New Customer",$B$5,$B336="Occasional Buyer",$B$6,$B336="Loyal High-Value",$B$7)</f>
        <v>25</v>
      </c>
      <c r="Q336" s="9" cm="1">
        <f t="array" ref="Q336">_xlfn.IFS($B336 = "At-Risk Churner", $B$8, $B336="Dormant",$B$9, $B336="Deal Hunter", $B$10, $B336="New Customer", $B$11, $B336="Occasional Buyer", $B$12, $B336 = "Loyal High-Value",$B$13)</f>
        <v>0.18</v>
      </c>
      <c r="R336" s="5">
        <v>5</v>
      </c>
      <c r="S336" s="5">
        <v>-8</v>
      </c>
      <c r="T336" s="5">
        <v>0</v>
      </c>
      <c r="U336" s="5">
        <f t="shared" si="25"/>
        <v>15</v>
      </c>
      <c r="V336" s="5">
        <f t="shared" si="26"/>
        <v>3.644325174504826</v>
      </c>
      <c r="W336" s="43">
        <f t="shared" si="27"/>
        <v>40.556825174504823</v>
      </c>
      <c r="X336" s="5" t="str" cm="1">
        <f t="array" ref="X336">_xlfn.IFS($W336 &lt;= 30, "Low", $W336 &lt;=50, "Medium", $W336 &lt;= 70, "High", $W336 &gt; 70, "Critical")</f>
        <v>Medium</v>
      </c>
      <c r="Y336" s="9">
        <f t="shared" si="28"/>
        <v>5.0405230220689566E-2</v>
      </c>
      <c r="Z336" s="22">
        <f t="shared" si="29"/>
        <v>104.34155104393344</v>
      </c>
    </row>
    <row r="337" spans="1:26">
      <c r="A337" s="24" t="str">
        <v>CUST-3567</v>
      </c>
      <c r="B337" s="24" t="str">
        <v>At-Risk Churner</v>
      </c>
      <c r="C337" s="24" t="str">
        <v>Paid Social</v>
      </c>
      <c r="D337" s="24" t="str">
        <v>UK</v>
      </c>
      <c r="E337" s="24" t="str">
        <v>18-24</v>
      </c>
      <c r="F337" s="24" t="str">
        <v>Medium</v>
      </c>
      <c r="G337" s="24">
        <v>4</v>
      </c>
      <c r="H337" s="24">
        <v>226</v>
      </c>
      <c r="I337" s="23">
        <v>183.84</v>
      </c>
      <c r="J337" s="24" cm="1">
        <f t="array" ref="J337">SUMPRODUCT(
    (Transactions_and_Customer_Information_Joined[Customer ID]='V1-Based Churn Model (Step 3)'!$A337) *
    (IFERROR(_xlfn.XLOOKUP(Transactions_and_Customer_Information_Joined[SKU], 'V1 Pricing Model (Step 2)'!$A$22:$A$71, 'V1 Pricing Model (Step 2)'!$AL$22:$AL$71), "Exclude")&lt;&gt;"Exclude") *
    Transactions_and_Customer_Information_Joined[Gross Revenue])</f>
        <v>379.04</v>
      </c>
      <c r="K337" s="24">
        <f>SUMIF(Transactions_and_Customer_Information_Joined[Customer ID], 'V1-Based Churn Model (Step 3)'!$A337, Transactions_and_Customer_Information_Joined[Gross Revenue])</f>
        <v>379.04</v>
      </c>
      <c r="L337" s="3">
        <f t="shared" si="24"/>
        <v>1</v>
      </c>
      <c r="M337" s="21">
        <v>1.2225679304209092E-2</v>
      </c>
      <c r="N337" s="21" cm="1">
        <f t="array" ref="N337">SUMPRODUCT(
    (Transactions_and_Customer_Information_Joined[Customer ID]=$A337)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37" s="21" cm="1">
        <f t="array" ref="O337">IFERROR(
    SUMPRODUCT(
        (Transactions_and_Customer_Information_Joined[Customer ID]=$A337)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$J337,
0)</f>
        <v>1.2225679304209092E-2</v>
      </c>
      <c r="P337" s="5" cm="1">
        <f t="array" ref="P337">_xlfn.IFS(B337="At-Risk Churner",$B$2,$B337="Dormant",$B$3,$B337="Deal Hunter",$B$4,$B337="New Customer",$B$5,$B337="Occasional Buyer",$B$6,$B337="Loyal High-Value",$B$7)</f>
        <v>70</v>
      </c>
      <c r="Q337" s="9" cm="1">
        <f t="array" ref="Q337">_xlfn.IFS($B337 = "At-Risk Churner", $B$8, $B337="Dormant",$B$9, $B337="Deal Hunter", $B$10, $B337="New Customer", $B$11, $B337="Occasional Buyer", $B$12, $B337 = "Loyal High-Value",$B$13)</f>
        <v>0.45</v>
      </c>
      <c r="R337" s="5">
        <v>5</v>
      </c>
      <c r="S337" s="5">
        <v>0</v>
      </c>
      <c r="T337" s="5">
        <v>8</v>
      </c>
      <c r="U337" s="5">
        <f t="shared" si="25"/>
        <v>15</v>
      </c>
      <c r="V337" s="5">
        <f t="shared" si="26"/>
        <v>0.48902717216836367</v>
      </c>
      <c r="W337" s="43">
        <f t="shared" si="27"/>
        <v>98.60152717216836</v>
      </c>
      <c r="X337" s="5" t="str" cm="1">
        <f t="array" ref="X337">_xlfn.IFS($W337 &lt;= 30, "Low", $W337 &lt;=50, "Medium", $W337 &lt;= 70, "High", $W337 &gt; 70, "Critical")</f>
        <v>Critical</v>
      </c>
      <c r="Y337" s="9">
        <f t="shared" si="28"/>
        <v>0.44653963028709198</v>
      </c>
      <c r="Z337" s="22">
        <f t="shared" si="29"/>
        <v>82.091845631978998</v>
      </c>
    </row>
    <row r="338" spans="1:26">
      <c r="A338" s="24" t="str">
        <v>CUST-2862</v>
      </c>
      <c r="B338" s="24" t="str">
        <v>At-Risk Churner</v>
      </c>
      <c r="C338" s="24" t="str">
        <v>Influencer</v>
      </c>
      <c r="D338" s="24" t="str">
        <v>Midwest</v>
      </c>
      <c r="E338" s="24" t="str">
        <v>55+</v>
      </c>
      <c r="F338" s="24" t="str">
        <v>Medium</v>
      </c>
      <c r="G338" s="24">
        <v>3</v>
      </c>
      <c r="H338" s="24">
        <v>157</v>
      </c>
      <c r="I338" s="23">
        <v>172.01</v>
      </c>
      <c r="J338" s="24" cm="1">
        <f t="array" ref="J338">SUMPRODUCT(
    (Transactions_and_Customer_Information_Joined[Customer ID]='V1-Based Churn Model (Step 3)'!$A338) *
    (IFERROR(_xlfn.XLOOKUP(Transactions_and_Customer_Information_Joined[SKU], 'V1 Pricing Model (Step 2)'!$A$22:$A$71, 'V1 Pricing Model (Step 2)'!$AL$22:$AL$71), "Exclude")&lt;&gt;"Exclude") *
    Transactions_and_Customer_Information_Joined[Gross Revenue])</f>
        <v>532.23</v>
      </c>
      <c r="K338" s="24">
        <f>SUMIF(Transactions_and_Customer_Information_Joined[Customer ID], 'V1-Based Churn Model (Step 3)'!$A338, Transactions_and_Customer_Information_Joined[Gross Revenue])</f>
        <v>532.23</v>
      </c>
      <c r="L338" s="3">
        <f t="shared" si="24"/>
        <v>1</v>
      </c>
      <c r="M338" s="21">
        <v>9.4555309750757724E-2</v>
      </c>
      <c r="N338" s="21" cm="1">
        <f t="array" ref="N338">SUMPRODUCT(
    (Transactions_and_Customer_Information_Joined[Customer ID]=$A338)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38" s="21" cm="1">
        <f t="array" ref="O338">IFERROR(
    SUMPRODUCT(
        (Transactions_and_Customer_Information_Joined[Customer ID]=$A338)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$J338,
0)</f>
        <v>9.4555309750757724E-2</v>
      </c>
      <c r="P338" s="5" cm="1">
        <f t="array" ref="P338">_xlfn.IFS(B338="At-Risk Churner",$B$2,$B338="Dormant",$B$3,$B338="Deal Hunter",$B$4,$B338="New Customer",$B$5,$B338="Occasional Buyer",$B$6,$B338="Loyal High-Value",$B$7)</f>
        <v>70</v>
      </c>
      <c r="Q338" s="9" cm="1">
        <f t="array" ref="Q338">_xlfn.IFS($B338 = "At-Risk Churner", $B$8, $B338="Dormant",$B$9, $B338="Deal Hunter", $B$10, $B338="New Customer", $B$11, $B338="Occasional Buyer", $B$12, $B338 = "Loyal High-Value",$B$13)</f>
        <v>0.45</v>
      </c>
      <c r="R338" s="5">
        <v>5</v>
      </c>
      <c r="S338" s="5">
        <v>10</v>
      </c>
      <c r="T338" s="5">
        <v>0</v>
      </c>
      <c r="U338" s="5">
        <f t="shared" si="25"/>
        <v>15</v>
      </c>
      <c r="V338" s="5">
        <f t="shared" si="26"/>
        <v>3.7822123900303088</v>
      </c>
      <c r="W338" s="43">
        <f t="shared" si="27"/>
        <v>100</v>
      </c>
      <c r="X338" s="5" t="str" cm="1">
        <f t="array" ref="X338">_xlfn.IFS($W338 &lt;= 30, "Low", $W338 &lt;=50, "Medium", $W338 &lt;= 70, "High", $W338 &gt; 70, "Critical")</f>
        <v>Critical</v>
      </c>
      <c r="Y338" s="9">
        <f t="shared" si="28"/>
        <v>0.44698821708407188</v>
      </c>
      <c r="Z338" s="22">
        <f t="shared" si="29"/>
        <v>76.886443220631193</v>
      </c>
    </row>
    <row r="339" spans="1:26">
      <c r="A339" s="24" t="str">
        <v>CUST-4364</v>
      </c>
      <c r="B339" s="24" t="str">
        <v>At-Risk Churner</v>
      </c>
      <c r="C339" s="24" t="str">
        <v>Paid Social</v>
      </c>
      <c r="D339" s="24" t="str">
        <v>Southeast</v>
      </c>
      <c r="E339" s="24" t="str">
        <v>18-24</v>
      </c>
      <c r="F339" s="24" t="str">
        <v>Low</v>
      </c>
      <c r="G339" s="24">
        <v>1</v>
      </c>
      <c r="H339" s="24">
        <v>41</v>
      </c>
      <c r="I339" s="23">
        <v>373.74</v>
      </c>
      <c r="J339" s="24" cm="1">
        <f t="array" ref="J339">SUMPRODUCT(
    (Transactions_and_Customer_Information_Joined[Customer ID]='V1-Based Churn Model (Step 3)'!$A339) *
    (IFERROR(_xlfn.XLOOKUP(Transactions_and_Customer_Information_Joined[SKU], 'V1 Pricing Model (Step 2)'!$A$22:$A$71, 'V1 Pricing Model (Step 2)'!$AL$22:$AL$71), "Exclude")&lt;&gt;"Exclude") *
    Transactions_and_Customer_Information_Joined[Gross Revenue])</f>
        <v>401.97</v>
      </c>
      <c r="K339" s="24">
        <f>SUMIF(Transactions_and_Customer_Information_Joined[Customer ID], 'V1-Based Churn Model (Step 3)'!$A339, Transactions_and_Customer_Information_Joined[Gross Revenue])</f>
        <v>401.97</v>
      </c>
      <c r="L339" s="3">
        <f t="shared" si="24"/>
        <v>1</v>
      </c>
      <c r="M339" s="21">
        <v>0.18240919880904002</v>
      </c>
      <c r="N339" s="21" cm="1">
        <f t="array" ref="N339">SUMPRODUCT(
    (Transactions_and_Customer_Information_Joined[Customer ID]=$A339)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39" s="21" cm="1">
        <f t="array" ref="O339">IFERROR(
    SUMPRODUCT(
        (Transactions_and_Customer_Information_Joined[Customer ID]=$A339)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$J339,
0)</f>
        <v>0.18240919880904002</v>
      </c>
      <c r="P339" s="5" cm="1">
        <f t="array" ref="P339">_xlfn.IFS(B339="At-Risk Churner",$B$2,$B339="Dormant",$B$3,$B339="Deal Hunter",$B$4,$B339="New Customer",$B$5,$B339="Occasional Buyer",$B$6,$B339="Loyal High-Value",$B$7)</f>
        <v>70</v>
      </c>
      <c r="Q339" s="9" cm="1">
        <f t="array" ref="Q339">_xlfn.IFS($B339 = "At-Risk Churner", $B$8, $B339="Dormant",$B$9, $B339="Deal Hunter", $B$10, $B339="New Customer", $B$11, $B339="Occasional Buyer", $B$12, $B339 = "Loyal High-Value",$B$13)</f>
        <v>0.45</v>
      </c>
      <c r="R339" s="5">
        <v>-5</v>
      </c>
      <c r="S339" s="5">
        <v>10</v>
      </c>
      <c r="T339" s="5">
        <v>-5</v>
      </c>
      <c r="U339" s="5">
        <f t="shared" si="25"/>
        <v>15</v>
      </c>
      <c r="V339" s="5">
        <f t="shared" si="26"/>
        <v>7.2963679523616012</v>
      </c>
      <c r="W339" s="43">
        <f t="shared" si="27"/>
        <v>92.883867952361612</v>
      </c>
      <c r="X339" s="5" t="str" cm="1">
        <f t="array" ref="X339">_xlfn.IFS($W339 &lt;= 30, "Low", $W339 &lt;=50, "Medium", $W339 &lt;= 70, "High", $W339 &gt; 70, "Critical")</f>
        <v>Critical</v>
      </c>
      <c r="Y339" s="9">
        <f t="shared" si="28"/>
        <v>0.44390647276924933</v>
      </c>
      <c r="Z339" s="22">
        <f t="shared" si="29"/>
        <v>165.90560513277924</v>
      </c>
    </row>
    <row r="340" spans="1:26">
      <c r="A340" s="24" t="str">
        <v>CUST-3509</v>
      </c>
      <c r="B340" s="24" t="str">
        <v>Loyal High-Value</v>
      </c>
      <c r="C340" s="24" t="str">
        <v>Referral</v>
      </c>
      <c r="D340" s="24" t="str">
        <v>Southwest</v>
      </c>
      <c r="E340" s="24" t="str">
        <v>55+</v>
      </c>
      <c r="F340" s="24" t="str">
        <v>High</v>
      </c>
      <c r="G340" s="24">
        <v>5</v>
      </c>
      <c r="H340" s="24">
        <v>154</v>
      </c>
      <c r="I340" s="23">
        <v>2286.08</v>
      </c>
      <c r="J340" s="24" cm="1">
        <f t="array" ref="J340">SUMPRODUCT(
    (Transactions_and_Customer_Information_Joined[Customer ID]='V1-Based Churn Model (Step 3)'!$A340) *
    (IFERROR(_xlfn.XLOOKUP(Transactions_and_Customer_Information_Joined[SKU], 'V1 Pricing Model (Step 2)'!$A$22:$A$71, 'V1 Pricing Model (Step 2)'!$AL$22:$AL$71), "Exclude")&lt;&gt;"Exclude") *
    Transactions_and_Customer_Information_Joined[Gross Revenue])</f>
        <v>26.61</v>
      </c>
      <c r="K340" s="24">
        <f>SUMIF(Transactions_and_Customer_Information_Joined[Customer ID], 'V1-Based Churn Model (Step 3)'!$A340, Transactions_and_Customer_Information_Joined[Gross Revenue])</f>
        <v>26.61</v>
      </c>
      <c r="L340" s="3">
        <f t="shared" si="24"/>
        <v>1</v>
      </c>
      <c r="M340" s="21">
        <v>0.10709640328514787</v>
      </c>
      <c r="N340" s="21" cm="1">
        <f t="array" ref="N340">SUMPRODUCT(
    (Transactions_and_Customer_Information_Joined[Customer ID]=$A340)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40" s="21" cm="1">
        <f t="array" ref="O340">IFERROR(
    SUMPRODUCT(
        (Transactions_and_Customer_Information_Joined[Customer ID]=$A340)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$J340,
0)</f>
        <v>0.10709640328514787</v>
      </c>
      <c r="P340" s="5" cm="1">
        <f t="array" ref="P340">_xlfn.IFS(B340="At-Risk Churner",$B$2,$B340="Dormant",$B$3,$B340="Deal Hunter",$B$4,$B340="New Customer",$B$5,$B340="Occasional Buyer",$B$6,$B340="Loyal High-Value",$B$7)</f>
        <v>15</v>
      </c>
      <c r="Q340" s="9" cm="1">
        <f t="array" ref="Q340">_xlfn.IFS($B340 = "At-Risk Churner", $B$8, $B340="Dormant",$B$9, $B340="Deal Hunter", $B$10, $B340="New Customer", $B$11, $B340="Occasional Buyer", $B$12, $B340 = "Loyal High-Value",$B$13)</f>
        <v>0.05</v>
      </c>
      <c r="R340" s="5">
        <v>15</v>
      </c>
      <c r="S340" s="5">
        <v>0</v>
      </c>
      <c r="T340" s="5">
        <v>0</v>
      </c>
      <c r="U340" s="5">
        <f t="shared" si="25"/>
        <v>15</v>
      </c>
      <c r="V340" s="5">
        <f t="shared" si="26"/>
        <v>4.2838561314059147</v>
      </c>
      <c r="W340" s="43">
        <f t="shared" si="27"/>
        <v>49.621356131405911</v>
      </c>
      <c r="X340" s="5" t="str" cm="1">
        <f t="array" ref="X340">_xlfn.IFS($W340 &lt;= 30, "Low", $W340 &lt;=50, "Medium", $W340 &lt;= 70, "High", $W340 &gt; 70, "Critical")</f>
        <v>Medium</v>
      </c>
      <c r="Y340" s="9">
        <f t="shared" si="28"/>
        <v>2.4526751704711493E-2</v>
      </c>
      <c r="Z340" s="22">
        <f t="shared" si="29"/>
        <v>502.07209322968549</v>
      </c>
    </row>
    <row r="341" spans="1:26">
      <c r="A341" s="24" t="str">
        <v>CUST-1074</v>
      </c>
      <c r="B341" s="24" t="str">
        <v>Dormant</v>
      </c>
      <c r="C341" s="24" t="str">
        <v>Paid Social</v>
      </c>
      <c r="D341" s="24" t="str">
        <v>Midwest</v>
      </c>
      <c r="E341" s="24" t="str">
        <v>18-24</v>
      </c>
      <c r="F341" s="24" t="str">
        <v>High</v>
      </c>
      <c r="G341" s="24">
        <v>8</v>
      </c>
      <c r="H341" s="24">
        <v>343</v>
      </c>
      <c r="I341" s="23">
        <v>148.75</v>
      </c>
      <c r="J341" s="24" cm="1">
        <f t="array" ref="J341">SUMPRODUCT(
    (Transactions_and_Customer_Information_Joined[Customer ID]='V1-Based Churn Model (Step 3)'!$A341) *
    (IFERROR(_xlfn.XLOOKUP(Transactions_and_Customer_Information_Joined[SKU], 'V1 Pricing Model (Step 2)'!$A$22:$A$71, 'V1 Pricing Model (Step 2)'!$AL$22:$AL$71), "Exclude")&lt;&gt;"Exclude") *
    Transactions_and_Customer_Information_Joined[Gross Revenue])</f>
        <v>373.64</v>
      </c>
      <c r="K341" s="24">
        <f>SUMIF(Transactions_and_Customer_Information_Joined[Customer ID], 'V1-Based Churn Model (Step 3)'!$A341, Transactions_and_Customer_Information_Joined[Gross Revenue])</f>
        <v>373.64</v>
      </c>
      <c r="L341" s="3">
        <f t="shared" si="24"/>
        <v>1</v>
      </c>
      <c r="M341" s="21">
        <v>-6.1928730463004879E-2</v>
      </c>
      <c r="N341" s="21" cm="1">
        <f t="array" ref="N341">SUMPRODUCT(
    (Transactions_and_Customer_Information_Joined[Customer ID]=$A341)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41" s="21" cm="1">
        <f t="array" ref="O341">IFERROR(
    SUMPRODUCT(
        (Transactions_and_Customer_Information_Joined[Customer ID]=$A341)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$J341,
0)</f>
        <v>-6.1928730463004872E-2</v>
      </c>
      <c r="P341" s="5" cm="1">
        <f t="array" ref="P341">_xlfn.IFS(B341="At-Risk Churner",$B$2,$B341="Dormant",$B$3,$B341="Deal Hunter",$B$4,$B341="New Customer",$B$5,$B341="Occasional Buyer",$B$6,$B341="Loyal High-Value",$B$7)</f>
        <v>65</v>
      </c>
      <c r="Q341" s="9" cm="1">
        <f t="array" ref="Q341">_xlfn.IFS($B341 = "At-Risk Churner", $B$8, $B341="Dormant",$B$9, $B341="Deal Hunter", $B$10, $B341="New Customer", $B$11, $B341="Occasional Buyer", $B$12, $B341 = "Loyal High-Value",$B$13)</f>
        <v>0.6</v>
      </c>
      <c r="R341" s="5">
        <v>15</v>
      </c>
      <c r="S341" s="5">
        <v>-8</v>
      </c>
      <c r="T341" s="5">
        <v>15</v>
      </c>
      <c r="U341" s="5">
        <f t="shared" si="25"/>
        <v>15</v>
      </c>
      <c r="V341" s="5">
        <f t="shared" si="26"/>
        <v>2.4771492185201947</v>
      </c>
      <c r="W341" s="43">
        <f t="shared" si="27"/>
        <v>100</v>
      </c>
      <c r="X341" s="5" t="str" cm="1">
        <f t="array" ref="X341">_xlfn.IFS($W341 &lt;= 30, "Low", $W341 &lt;=50, "Medium", $W341 &lt;= 70, "High", $W341 &gt; 70, "Critical")</f>
        <v>Critical</v>
      </c>
      <c r="Y341" s="9">
        <f t="shared" si="28"/>
        <v>0.59598428944542914</v>
      </c>
      <c r="Z341" s="22">
        <f t="shared" si="29"/>
        <v>88.652663055007579</v>
      </c>
    </row>
    <row r="342" spans="1:26">
      <c r="A342" s="24" t="str">
        <v>CUST-2628</v>
      </c>
      <c r="B342" s="24" t="str">
        <v>Loyal High-Value</v>
      </c>
      <c r="C342" s="24" t="str">
        <v>Paid Social</v>
      </c>
      <c r="D342" s="24" t="str">
        <v>Canada</v>
      </c>
      <c r="E342" s="24" t="str">
        <v>35-44</v>
      </c>
      <c r="F342" s="24" t="str">
        <v>Low</v>
      </c>
      <c r="G342" s="24">
        <v>9</v>
      </c>
      <c r="H342" s="24">
        <v>306</v>
      </c>
      <c r="I342" s="23">
        <v>2344.16</v>
      </c>
      <c r="J342" s="24" cm="1">
        <f t="array" ref="J342">SUMPRODUCT(
    (Transactions_and_Customer_Information_Joined[Customer ID]='V1-Based Churn Model (Step 3)'!$A342) *
    (IFERROR(_xlfn.XLOOKUP(Transactions_and_Customer_Information_Joined[SKU], 'V1 Pricing Model (Step 2)'!$A$22:$A$71, 'V1 Pricing Model (Step 2)'!$AL$22:$AL$71), "Exclude")&lt;&gt;"Exclude") *
    Transactions_and_Customer_Information_Joined[Gross Revenue])</f>
        <v>177.41</v>
      </c>
      <c r="K342" s="24">
        <f>SUMIF(Transactions_and_Customer_Information_Joined[Customer ID], 'V1-Based Churn Model (Step 3)'!$A342, Transactions_and_Customer_Information_Joined[Gross Revenue])</f>
        <v>177.41</v>
      </c>
      <c r="L342" s="3">
        <f t="shared" si="24"/>
        <v>1</v>
      </c>
      <c r="M342" s="21">
        <v>9.4555309750757724E-2</v>
      </c>
      <c r="N342" s="21" cm="1">
        <f t="array" ref="N342">SUMPRODUCT(
    (Transactions_and_Customer_Information_Joined[Customer ID]=$A342)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42" s="21" cm="1">
        <f t="array" ref="O342">IFERROR(
    SUMPRODUCT(
        (Transactions_and_Customer_Information_Joined[Customer ID]=$A342)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$J342,
0)</f>
        <v>9.4555309750757724E-2</v>
      </c>
      <c r="P342" s="5" cm="1">
        <f t="array" ref="P342">_xlfn.IFS(B342="At-Risk Churner",$B$2,$B342="Dormant",$B$3,$B342="Deal Hunter",$B$4,$B342="New Customer",$B$5,$B342="Occasional Buyer",$B$6,$B342="Loyal High-Value",$B$7)</f>
        <v>15</v>
      </c>
      <c r="Q342" s="9" cm="1">
        <f t="array" ref="Q342">_xlfn.IFS($B342 = "At-Risk Churner", $B$8, $B342="Dormant",$B$9, $B342="Deal Hunter", $B$10, $B342="New Customer", $B$11, $B342="Occasional Buyer", $B$12, $B342 = "Loyal High-Value",$B$13)</f>
        <v>0.05</v>
      </c>
      <c r="R342" s="5">
        <v>-5</v>
      </c>
      <c r="S342" s="5">
        <v>-8</v>
      </c>
      <c r="T342" s="5">
        <v>15</v>
      </c>
      <c r="U342" s="5">
        <f t="shared" si="25"/>
        <v>15</v>
      </c>
      <c r="V342" s="5">
        <f t="shared" si="26"/>
        <v>3.7822123900303088</v>
      </c>
      <c r="W342" s="43">
        <f t="shared" si="27"/>
        <v>35.549712390030315</v>
      </c>
      <c r="X342" s="5" t="str" cm="1">
        <f t="array" ref="X342">_xlfn.IFS($W342 &lt;= 30, "Low", $W342 &lt;=50, "Medium", $W342 &lt;= 70, "High", $W342 &gt; 70, "Critical")</f>
        <v>Medium</v>
      </c>
      <c r="Y342" s="9">
        <f t="shared" si="28"/>
        <v>9.5383911904130779E-3</v>
      </c>
      <c r="Z342" s="22">
        <f t="shared" si="29"/>
        <v>486.71961207433498</v>
      </c>
    </row>
    <row r="343" spans="1:26">
      <c r="A343" s="24" t="str">
        <v>CUST-2589</v>
      </c>
      <c r="B343" s="24" t="str">
        <v>Loyal High-Value</v>
      </c>
      <c r="C343" s="24" t="str">
        <v>Email Campaign</v>
      </c>
      <c r="D343" s="24" t="str">
        <v>Northeast</v>
      </c>
      <c r="E343" s="24" t="str">
        <v>18-24</v>
      </c>
      <c r="F343" s="24" t="str">
        <v>Low</v>
      </c>
      <c r="G343" s="24">
        <v>5</v>
      </c>
      <c r="H343" s="24">
        <v>322</v>
      </c>
      <c r="I343" s="23">
        <v>2390.79</v>
      </c>
      <c r="J343" s="24" cm="1">
        <f t="array" ref="J343">SUMPRODUCT(
    (Transactions_and_Customer_Information_Joined[Customer ID]='V1-Based Churn Model (Step 3)'!$A343)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343" s="24">
        <f>SUMIF(Transactions_and_Customer_Information_Joined[Customer ID], 'V1-Based Churn Model (Step 3)'!$A343, Transactions_and_Customer_Information_Joined[Gross Revenue])</f>
        <v>130.86000000000001</v>
      </c>
      <c r="L343" s="3">
        <f t="shared" si="24"/>
        <v>0</v>
      </c>
      <c r="M343" s="21">
        <v>0</v>
      </c>
      <c r="N343" s="21" cm="1">
        <f t="array" ref="N343">SUMPRODUCT(
    (Transactions_and_Customer_Information_Joined[Customer ID]=$A343)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343" s="21" cm="1">
        <f t="array" ref="O343">IFERROR(
    SUMPRODUCT(
        (Transactions_and_Customer_Information_Joined[Customer ID]=$A343)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$J343,
0)</f>
        <v>0</v>
      </c>
      <c r="P343" s="5" cm="1">
        <f t="array" ref="P343">_xlfn.IFS(B343="At-Risk Churner",$B$2,$B343="Dormant",$B$3,$B343="Deal Hunter",$B$4,$B343="New Customer",$B$5,$B343="Occasional Buyer",$B$6,$B343="Loyal High-Value",$B$7)</f>
        <v>15</v>
      </c>
      <c r="Q343" s="9" cm="1">
        <f t="array" ref="Q343">_xlfn.IFS($B343 = "At-Risk Churner", $B$8, $B343="Dormant",$B$9, $B343="Deal Hunter", $B$10, $B343="New Customer", $B$11, $B343="Occasional Buyer", $B$12, $B343 = "Loyal High-Value",$B$13)</f>
        <v>0.05</v>
      </c>
      <c r="R343" s="5">
        <v>-5</v>
      </c>
      <c r="S343" s="5">
        <v>0</v>
      </c>
      <c r="T343" s="5">
        <v>15</v>
      </c>
      <c r="U343" s="5">
        <f t="shared" si="25"/>
        <v>0</v>
      </c>
      <c r="V343" s="5">
        <f t="shared" si="26"/>
        <v>0</v>
      </c>
      <c r="W343" s="43">
        <f t="shared" si="27"/>
        <v>25</v>
      </c>
      <c r="X343" s="5" t="str" cm="1">
        <f t="array" ref="X343">_xlfn.IFS($W343 &lt;= 30, "Low", $W343 &lt;=50, "Medium", $W343 &lt;= 70, "High", $W343 &gt; 70, "Critical")</f>
        <v>Low</v>
      </c>
      <c r="Y343" s="9">
        <f t="shared" si="28"/>
        <v>3.7929090010621774E-3</v>
      </c>
      <c r="Z343" s="22">
        <f t="shared" si="29"/>
        <v>9.0680489106494431</v>
      </c>
    </row>
    <row r="344" spans="1:26">
      <c r="A344" s="24" t="str">
        <v>CUST-3354</v>
      </c>
      <c r="B344" s="24" t="str">
        <v>Deal Hunter</v>
      </c>
      <c r="C344" s="24" t="str">
        <v>Influencer</v>
      </c>
      <c r="D344" s="24" t="str">
        <v>Northeast</v>
      </c>
      <c r="E344" s="24" t="str">
        <v>45-54</v>
      </c>
      <c r="F344" s="24" t="str">
        <v>Low</v>
      </c>
      <c r="G344" s="24">
        <v>7</v>
      </c>
      <c r="H344" s="24">
        <v>336</v>
      </c>
      <c r="I344" s="23">
        <v>145.68</v>
      </c>
      <c r="J344" s="24" cm="1">
        <f t="array" ref="J344">SUMPRODUCT(
    (Transactions_and_Customer_Information_Joined[Customer ID]='V1-Based Churn Model (Step 3)'!$A344) *
    (IFERROR(_xlfn.XLOOKUP(Transactions_and_Customer_Information_Joined[SKU], 'V1 Pricing Model (Step 2)'!$A$22:$A$71, 'V1 Pricing Model (Step 2)'!$AL$22:$AL$71), "Exclude")&lt;&gt;"Exclude") *
    Transactions_and_Customer_Information_Joined[Gross Revenue])</f>
        <v>155.34</v>
      </c>
      <c r="K344" s="24">
        <f>SUMIF(Transactions_and_Customer_Information_Joined[Customer ID], 'V1-Based Churn Model (Step 3)'!$A344, Transactions_and_Customer_Information_Joined[Gross Revenue])</f>
        <v>363.26</v>
      </c>
      <c r="L344" s="3">
        <f t="shared" si="24"/>
        <v>0.42762759456037003</v>
      </c>
      <c r="M344" s="21">
        <v>0</v>
      </c>
      <c r="N344" s="21" cm="1">
        <f t="array" ref="N344">SUMPRODUCT(
    (Transactions_and_Customer_Information_Joined[Customer ID]=$A344)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344" s="21" cm="1">
        <f t="array" ref="O344">IFERROR(
    SUMPRODUCT(
        (Transactions_and_Customer_Information_Joined[Customer ID]=$A344)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$J344,
0)</f>
        <v>-0.1229980207344718</v>
      </c>
      <c r="P344" s="5" cm="1">
        <f t="array" ref="P344">_xlfn.IFS(B344="At-Risk Churner",$B$2,$B344="Dormant",$B$3,$B344="Deal Hunter",$B$4,$B344="New Customer",$B$5,$B344="Occasional Buyer",$B$6,$B344="Loyal High-Value",$B$7)</f>
        <v>45</v>
      </c>
      <c r="Q344" s="9" cm="1">
        <f t="array" ref="Q344">_xlfn.IFS($B344 = "At-Risk Churner", $B$8, $B344="Dormant",$B$9, $B344="Deal Hunter", $B$10, $B344="New Customer", $B$11, $B344="Occasional Buyer", $B$12, $B344 = "Loyal High-Value",$B$13)</f>
        <v>0.25</v>
      </c>
      <c r="R344" s="5">
        <v>-5</v>
      </c>
      <c r="S344" s="5">
        <v>-8</v>
      </c>
      <c r="T344" s="5">
        <v>15</v>
      </c>
      <c r="U344" s="5">
        <f t="shared" si="25"/>
        <v>10.690689864009251</v>
      </c>
      <c r="V344" s="5">
        <f t="shared" si="26"/>
        <v>2.4599604146894363</v>
      </c>
      <c r="W344" s="43">
        <f t="shared" si="27"/>
        <v>59.710470104718617</v>
      </c>
      <c r="X344" s="5" t="str" cm="1">
        <f t="array" ref="X344">_xlfn.IFS($W344 &lt;= 30, "Low", $W344 &lt;=50, "Medium", $W344 &lt;= 70, "High", $W344 &gt; 70, "Critical")</f>
        <v>High</v>
      </c>
      <c r="Y344" s="9">
        <f t="shared" si="28"/>
        <v>0.18133203499730266</v>
      </c>
      <c r="Z344" s="22">
        <f t="shared" si="29"/>
        <v>50.269160686725641</v>
      </c>
    </row>
    <row r="345" spans="1:26">
      <c r="A345" s="24" t="str">
        <v>CUST-3640</v>
      </c>
      <c r="B345" s="24" t="str">
        <v>Loyal High-Value</v>
      </c>
      <c r="C345" s="24" t="str">
        <v>Paid Social</v>
      </c>
      <c r="D345" s="24" t="str">
        <v>Canada</v>
      </c>
      <c r="E345" s="24" t="str">
        <v>45-54</v>
      </c>
      <c r="F345" s="24" t="str">
        <v>Medium</v>
      </c>
      <c r="G345" s="24">
        <v>5</v>
      </c>
      <c r="H345" s="24">
        <v>240</v>
      </c>
      <c r="I345" s="23">
        <v>1925.65</v>
      </c>
      <c r="J345" s="24" cm="1">
        <f t="array" ref="J345">SUMPRODUCT(
    (Transactions_and_Customer_Information_Joined[Customer ID]='V1-Based Churn Model (Step 3)'!$A345) *
    (IFERROR(_xlfn.XLOOKUP(Transactions_and_Customer_Information_Joined[SKU], 'V1 Pricing Model (Step 2)'!$A$22:$A$71, 'V1 Pricing Model (Step 2)'!$AL$22:$AL$71), "Exclude")&lt;&gt;"Exclude") *
    Transactions_and_Customer_Information_Joined[Gross Revenue])</f>
        <v>98.51</v>
      </c>
      <c r="K345" s="24">
        <f>SUMIF(Transactions_and_Customer_Information_Joined[Customer ID], 'V1-Based Churn Model (Step 3)'!$A345, Transactions_and_Customer_Information_Joined[Gross Revenue])</f>
        <v>98.51</v>
      </c>
      <c r="L345" s="3">
        <f t="shared" si="24"/>
        <v>1</v>
      </c>
      <c r="M345" s="21">
        <v>0.17380489413507264</v>
      </c>
      <c r="N345" s="21" cm="1">
        <f t="array" ref="N345">SUMPRODUCT(
    (Transactions_and_Customer_Information_Joined[Customer ID]=$A345)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45" s="21" cm="1">
        <f t="array" ref="O345">IFERROR(
    SUMPRODUCT(
        (Transactions_and_Customer_Information_Joined[Customer ID]=$A345)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$J345,
0)</f>
        <v>0.17380489413507264</v>
      </c>
      <c r="P345" s="5" cm="1">
        <f t="array" ref="P345">_xlfn.IFS(B345="At-Risk Churner",$B$2,$B345="Dormant",$B$3,$B345="Deal Hunter",$B$4,$B345="New Customer",$B$5,$B345="Occasional Buyer",$B$6,$B345="Loyal High-Value",$B$7)</f>
        <v>15</v>
      </c>
      <c r="Q345" s="9" cm="1">
        <f t="array" ref="Q345">_xlfn.IFS($B345 = "At-Risk Churner", $B$8, $B345="Dormant",$B$9, $B345="Deal Hunter", $B$10, $B345="New Customer", $B$11, $B345="Occasional Buyer", $B$12, $B345 = "Loyal High-Value",$B$13)</f>
        <v>0.05</v>
      </c>
      <c r="R345" s="5">
        <v>5</v>
      </c>
      <c r="S345" s="5">
        <v>0</v>
      </c>
      <c r="T345" s="5">
        <v>8</v>
      </c>
      <c r="U345" s="5">
        <f t="shared" si="25"/>
        <v>15</v>
      </c>
      <c r="V345" s="5">
        <f t="shared" si="26"/>
        <v>6.9521957654029052</v>
      </c>
      <c r="W345" s="43">
        <f t="shared" si="27"/>
        <v>50.064695765402902</v>
      </c>
      <c r="X345" s="5" t="str" cm="1">
        <f t="array" ref="X345">_xlfn.IFS($W345 &lt;= 30, "Low", $W345 &lt;=50, "Medium", $W345 &lt;= 70, "High", $W345 &gt; 70, "Critical")</f>
        <v>High</v>
      </c>
      <c r="Y345" s="9">
        <f t="shared" si="28"/>
        <v>2.5080869424685178E-2</v>
      </c>
      <c r="Z345" s="22">
        <f t="shared" si="29"/>
        <v>423.76758096611604</v>
      </c>
    </row>
    <row r="346" spans="1:26">
      <c r="A346" s="24" t="str">
        <v>CUST-2554</v>
      </c>
      <c r="B346" s="24" t="str">
        <v>Loyal High-Value</v>
      </c>
      <c r="C346" s="24" t="str">
        <v>Direct</v>
      </c>
      <c r="D346" s="24" t="str">
        <v>Southwest</v>
      </c>
      <c r="E346" s="24" t="str">
        <v>55+</v>
      </c>
      <c r="F346" s="24" t="str">
        <v>Low</v>
      </c>
      <c r="G346" s="24">
        <v>0</v>
      </c>
      <c r="H346" s="24">
        <v>167</v>
      </c>
      <c r="I346" s="23">
        <v>2620.54</v>
      </c>
      <c r="J346" s="24" cm="1">
        <f t="array" ref="J346">SUMPRODUCT(
    (Transactions_and_Customer_Information_Joined[Customer ID]='V1-Based Churn Model (Step 3)'!$A346) *
    (IFERROR(_xlfn.XLOOKUP(Transactions_and_Customer_Information_Joined[SKU], 'V1 Pricing Model (Step 2)'!$A$22:$A$71, 'V1 Pricing Model (Step 2)'!$AL$22:$AL$71), "Exclude")&lt;&gt;"Exclude") *
    Transactions_and_Customer_Information_Joined[Gross Revenue])</f>
        <v>174.23</v>
      </c>
      <c r="K346" s="24">
        <f>SUMIF(Transactions_and_Customer_Information_Joined[Customer ID], 'V1-Based Churn Model (Step 3)'!$A346, Transactions_and_Customer_Information_Joined[Gross Revenue])</f>
        <v>174.23</v>
      </c>
      <c r="L346" s="3">
        <f t="shared" si="24"/>
        <v>1</v>
      </c>
      <c r="M346" s="21">
        <v>5.8348079685156623E-2</v>
      </c>
      <c r="N346" s="21" cm="1">
        <f t="array" ref="N346">SUMPRODUCT(
    (Transactions_and_Customer_Information_Joined[Customer ID]=$A346)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46" s="21" cm="1">
        <f t="array" ref="O346">IFERROR(
    SUMPRODUCT(
        (Transactions_and_Customer_Information_Joined[Customer ID]=$A346)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$J346,
0)</f>
        <v>5.8348079685156623E-2</v>
      </c>
      <c r="P346" s="5" cm="1">
        <f t="array" ref="P346">_xlfn.IFS(B346="At-Risk Churner",$B$2,$B346="Dormant",$B$3,$B346="Deal Hunter",$B$4,$B346="New Customer",$B$5,$B346="Occasional Buyer",$B$6,$B346="Loyal High-Value",$B$7)</f>
        <v>15</v>
      </c>
      <c r="Q346" s="9" cm="1">
        <f t="array" ref="Q346">_xlfn.IFS($B346 = "At-Risk Churner", $B$8, $B346="Dormant",$B$9, $B346="Deal Hunter", $B$10, $B346="New Customer", $B$11, $B346="Occasional Buyer", $B$12, $B346 = "Loyal High-Value",$B$13)</f>
        <v>0.05</v>
      </c>
      <c r="R346" s="5">
        <v>-5</v>
      </c>
      <c r="S346" s="5">
        <v>10</v>
      </c>
      <c r="T346" s="5">
        <v>0</v>
      </c>
      <c r="U346" s="5">
        <f t="shared" si="25"/>
        <v>15</v>
      </c>
      <c r="V346" s="5">
        <f t="shared" si="26"/>
        <v>2.3339231874062651</v>
      </c>
      <c r="W346" s="43">
        <f t="shared" si="27"/>
        <v>37.371423187406265</v>
      </c>
      <c r="X346" s="5" t="str" cm="1">
        <f t="array" ref="X346">_xlfn.IFS($W346 &lt;= 30, "Low", $W346 &lt;=50, "Medium", $W346 &lt;= 70, "High", $W346 &gt; 70, "Critical")</f>
        <v>Medium</v>
      </c>
      <c r="Y346" s="9">
        <f t="shared" si="28"/>
        <v>1.102411752896163E-2</v>
      </c>
      <c r="Z346" s="22">
        <f t="shared" si="29"/>
        <v>547.21931275947611</v>
      </c>
    </row>
    <row r="347" spans="1:26">
      <c r="A347" s="24" t="str">
        <v>CUST-4677</v>
      </c>
      <c r="B347" s="24" t="str">
        <v>Deal Hunter</v>
      </c>
      <c r="C347" s="24" t="str">
        <v>Direct</v>
      </c>
      <c r="D347" s="24" t="str">
        <v>Southeast</v>
      </c>
      <c r="E347" s="24" t="str">
        <v>45-54</v>
      </c>
      <c r="F347" s="24" t="str">
        <v>Low</v>
      </c>
      <c r="G347" s="24">
        <v>9</v>
      </c>
      <c r="H347" s="24">
        <v>81</v>
      </c>
      <c r="I347" s="23">
        <v>402.51</v>
      </c>
      <c r="J347" s="24" cm="1">
        <f t="array" ref="J347">SUMPRODUCT(
    (Transactions_and_Customer_Information_Joined[Customer ID]='V1-Based Churn Model (Step 3)'!$A347) *
    (IFERROR(_xlfn.XLOOKUP(Transactions_and_Customer_Information_Joined[SKU], 'V1 Pricing Model (Step 2)'!$A$22:$A$71, 'V1 Pricing Model (Step 2)'!$AL$22:$AL$71), "Exclude")&lt;&gt;"Exclude") *
    Transactions_and_Customer_Information_Joined[Gross Revenue])</f>
        <v>157.68</v>
      </c>
      <c r="K347" s="24">
        <f>SUMIF(Transactions_and_Customer_Information_Joined[Customer ID], 'V1-Based Churn Model (Step 3)'!$A347, Transactions_and_Customer_Information_Joined[Gross Revenue])</f>
        <v>157.68</v>
      </c>
      <c r="L347" s="3">
        <f t="shared" si="24"/>
        <v>1</v>
      </c>
      <c r="M347" s="21">
        <v>9.1108129362620652E-2</v>
      </c>
      <c r="N347" s="21" cm="1">
        <f t="array" ref="N347">SUMPRODUCT(
    (Transactions_and_Customer_Information_Joined[Customer ID]=$A347)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47" s="21" cm="1">
        <f t="array" ref="O347">IFERROR(
    SUMPRODUCT(
        (Transactions_and_Customer_Information_Joined[Customer ID]=$A347)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$J347,
0)</f>
        <v>9.1108129362620652E-2</v>
      </c>
      <c r="P347" s="5" cm="1">
        <f t="array" ref="P347">_xlfn.IFS(B347="At-Risk Churner",$B$2,$B347="Dormant",$B$3,$B347="Deal Hunter",$B$4,$B347="New Customer",$B$5,$B347="Occasional Buyer",$B$6,$B347="Loyal High-Value",$B$7)</f>
        <v>45</v>
      </c>
      <c r="Q347" s="9" cm="1">
        <f t="array" ref="Q347">_xlfn.IFS($B347 = "At-Risk Churner", $B$8, $B347="Dormant",$B$9, $B347="Deal Hunter", $B$10, $B347="New Customer", $B$11, $B347="Occasional Buyer", $B$12, $B347 = "Loyal High-Value",$B$13)</f>
        <v>0.25</v>
      </c>
      <c r="R347" s="5">
        <v>-5</v>
      </c>
      <c r="S347" s="5">
        <v>-8</v>
      </c>
      <c r="T347" s="5">
        <v>0</v>
      </c>
      <c r="U347" s="5">
        <f t="shared" si="25"/>
        <v>15</v>
      </c>
      <c r="V347" s="5">
        <f t="shared" si="26"/>
        <v>3.644325174504826</v>
      </c>
      <c r="W347" s="43">
        <f t="shared" si="27"/>
        <v>50.171825174504832</v>
      </c>
      <c r="X347" s="5" t="str" cm="1">
        <f t="array" ref="X347">_xlfn.IFS($W347 &lt;= 30, "Low", $W347 &lt;=50, "Medium", $W347 &lt;= 70, "High", $W347 &gt; 70, "Critical")</f>
        <v>High</v>
      </c>
      <c r="Y347" s="9">
        <f t="shared" si="28"/>
        <v>0.1260738809198329</v>
      </c>
      <c r="Z347" s="22">
        <f t="shared" si="29"/>
        <v>121.09879824723355</v>
      </c>
    </row>
    <row r="348" spans="1:26">
      <c r="A348" s="24" t="str">
        <v>CUST-1897</v>
      </c>
      <c r="B348" s="24" t="str">
        <v>Occasional Buyer</v>
      </c>
      <c r="C348" s="24" t="str">
        <v>Influencer</v>
      </c>
      <c r="D348" s="24" t="str">
        <v>Southeast</v>
      </c>
      <c r="E348" s="24" t="str">
        <v>25-34</v>
      </c>
      <c r="F348" s="24" t="str">
        <v>Medium</v>
      </c>
      <c r="G348" s="24">
        <v>2</v>
      </c>
      <c r="H348" s="24">
        <v>30</v>
      </c>
      <c r="I348" s="23">
        <v>661.69</v>
      </c>
      <c r="J348" s="24" cm="1">
        <f t="array" ref="J348">SUMPRODUCT(
    (Transactions_and_Customer_Information_Joined[Customer ID]='V1-Based Churn Model (Step 3)'!$A348) *
    (IFERROR(_xlfn.XLOOKUP(Transactions_and_Customer_Information_Joined[SKU], 'V1 Pricing Model (Step 2)'!$A$22:$A$71, 'V1 Pricing Model (Step 2)'!$AL$22:$AL$71), "Exclude")&lt;&gt;"Exclude") *
    Transactions_and_Customer_Information_Joined[Gross Revenue])</f>
        <v>179.24</v>
      </c>
      <c r="K348" s="24">
        <f>SUMIF(Transactions_and_Customer_Information_Joined[Customer ID], 'V1-Based Churn Model (Step 3)'!$A348, Transactions_and_Customer_Information_Joined[Gross Revenue])</f>
        <v>179.24</v>
      </c>
      <c r="L348" s="3">
        <f t="shared" si="24"/>
        <v>1</v>
      </c>
      <c r="M348" s="21">
        <v>0.10710868403533827</v>
      </c>
      <c r="N348" s="21" cm="1">
        <f t="array" ref="N348">SUMPRODUCT(
    (Transactions_and_Customer_Information_Joined[Customer ID]=$A348)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48" s="21" cm="1">
        <f t="array" ref="O348">IFERROR(
    SUMPRODUCT(
        (Transactions_and_Customer_Information_Joined[Customer ID]=$A348)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$J348,
0)</f>
        <v>0.10710868403533827</v>
      </c>
      <c r="P348" s="5" cm="1">
        <f t="array" ref="P348">_xlfn.IFS(B348="At-Risk Churner",$B$2,$B348="Dormant",$B$3,$B348="Deal Hunter",$B$4,$B348="New Customer",$B$5,$B348="Occasional Buyer",$B$6,$B348="Loyal High-Value",$B$7)</f>
        <v>25</v>
      </c>
      <c r="Q348" s="9" cm="1">
        <f t="array" ref="Q348">_xlfn.IFS($B348 = "At-Risk Churner", $B$8, $B348="Dormant",$B$9, $B348="Deal Hunter", $B$10, $B348="New Customer", $B$11, $B348="Occasional Buyer", $B$12, $B348 = "Loyal High-Value",$B$13)</f>
        <v>0.18</v>
      </c>
      <c r="R348" s="5">
        <v>5</v>
      </c>
      <c r="S348" s="5">
        <v>10</v>
      </c>
      <c r="T348" s="5">
        <v>-5</v>
      </c>
      <c r="U348" s="5">
        <f t="shared" si="25"/>
        <v>15</v>
      </c>
      <c r="V348" s="5">
        <f t="shared" si="26"/>
        <v>4.2843473614135306</v>
      </c>
      <c r="W348" s="43">
        <f t="shared" si="27"/>
        <v>54.646847361413528</v>
      </c>
      <c r="X348" s="5" t="str" cm="1">
        <f t="array" ref="X348">_xlfn.IFS($W348 &lt;= 30, "Low", $W348 &lt;=50, "Medium", $W348 &lt;= 70, "High", $W348 &gt; 70, "Critical")</f>
        <v>High</v>
      </c>
      <c r="Y348" s="9">
        <f t="shared" si="28"/>
        <v>0.11054248841793553</v>
      </c>
      <c r="Z348" s="22">
        <f t="shared" si="29"/>
        <v>190.85388732901103</v>
      </c>
    </row>
    <row r="349" spans="1:26">
      <c r="A349" s="24" t="str">
        <v>CUST-2880</v>
      </c>
      <c r="B349" s="24" t="str">
        <v>New Customer</v>
      </c>
      <c r="C349" s="24" t="str">
        <v>Referral</v>
      </c>
      <c r="D349" s="24" t="str">
        <v>Midwest</v>
      </c>
      <c r="E349" s="24" t="str">
        <v>45-54</v>
      </c>
      <c r="F349" s="24" t="str">
        <v>High</v>
      </c>
      <c r="G349" s="24">
        <v>0</v>
      </c>
      <c r="H349" s="24">
        <v>34</v>
      </c>
      <c r="I349" s="23">
        <v>75.260000000000005</v>
      </c>
      <c r="J349" s="24" cm="1">
        <f t="array" ref="J349">SUMPRODUCT(
    (Transactions_and_Customer_Information_Joined[Customer ID]='V1-Based Churn Model (Step 3)'!$A349) *
    (IFERROR(_xlfn.XLOOKUP(Transactions_and_Customer_Information_Joined[SKU], 'V1 Pricing Model (Step 2)'!$A$22:$A$71, 'V1 Pricing Model (Step 2)'!$AL$22:$AL$71), "Exclude")&lt;&gt;"Exclude") *
    Transactions_and_Customer_Information_Joined[Gross Revenue])</f>
        <v>137.91999999999999</v>
      </c>
      <c r="K349" s="24">
        <f>SUMIF(Transactions_and_Customer_Information_Joined[Customer ID], 'V1-Based Churn Model (Step 3)'!$A349, Transactions_and_Customer_Information_Joined[Gross Revenue])</f>
        <v>137.91999999999999</v>
      </c>
      <c r="L349" s="3">
        <f t="shared" si="24"/>
        <v>1</v>
      </c>
      <c r="M349" s="21">
        <v>7.0422329455997176E-2</v>
      </c>
      <c r="N349" s="21" cm="1">
        <f t="array" ref="N349">SUMPRODUCT(
    (Transactions_and_Customer_Information_Joined[Customer ID]=$A349)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49" s="21" cm="1">
        <f t="array" ref="O349">IFERROR(
    SUMPRODUCT(
        (Transactions_and_Customer_Information_Joined[Customer ID]=$A349)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$J349,
0)</f>
        <v>7.0422329455997176E-2</v>
      </c>
      <c r="P349" s="5" cm="1">
        <f t="array" ref="P349">_xlfn.IFS(B349="At-Risk Churner",$B$2,$B349="Dormant",$B$3,$B349="Deal Hunter",$B$4,$B349="New Customer",$B$5,$B349="Occasional Buyer",$B$6,$B349="Loyal High-Value",$B$7)</f>
        <v>35</v>
      </c>
      <c r="Q349" s="9" cm="1">
        <f t="array" ref="Q349">_xlfn.IFS($B349 = "At-Risk Churner", $B$8, $B349="Dormant",$B$9, $B349="Deal Hunter", $B$10, $B349="New Customer", $B$11, $B349="Occasional Buyer", $B$12, $B349 = "Loyal High-Value",$B$13)</f>
        <v>0.35</v>
      </c>
      <c r="R349" s="5">
        <v>15</v>
      </c>
      <c r="S349" s="5">
        <v>10</v>
      </c>
      <c r="T349" s="5">
        <v>-5</v>
      </c>
      <c r="U349" s="5">
        <f t="shared" si="25"/>
        <v>15</v>
      </c>
      <c r="V349" s="5">
        <f t="shared" si="26"/>
        <v>2.8168931782398872</v>
      </c>
      <c r="W349" s="43">
        <f t="shared" si="27"/>
        <v>73.504393178239894</v>
      </c>
      <c r="X349" s="5" t="str" cm="1">
        <f t="array" ref="X349">_xlfn.IFS($W349 &lt;= 30, "Low", $W349 &lt;=50, "Medium", $W349 &lt;= 70, "High", $W349 &gt; 70, "Critical")</f>
        <v>Critical</v>
      </c>
      <c r="Y349" s="9">
        <f t="shared" si="28"/>
        <v>0.3195391991907765</v>
      </c>
      <c r="Z349" s="22">
        <f t="shared" si="29"/>
        <v>24.048520131097842</v>
      </c>
    </row>
    <row r="350" spans="1:26">
      <c r="A350" s="24" t="str">
        <v>CUST-1383</v>
      </c>
      <c r="B350" s="24" t="str">
        <v>Deal Hunter</v>
      </c>
      <c r="C350" s="24" t="str">
        <v>Direct</v>
      </c>
      <c r="D350" s="24" t="str">
        <v>West</v>
      </c>
      <c r="E350" s="24" t="str">
        <v>55+</v>
      </c>
      <c r="F350" s="24" t="str">
        <v>High</v>
      </c>
      <c r="G350" s="24">
        <v>5</v>
      </c>
      <c r="H350" s="24">
        <v>98</v>
      </c>
      <c r="I350" s="23">
        <v>381.91</v>
      </c>
      <c r="J350" s="24" cm="1">
        <f t="array" ref="J350">SUMPRODUCT(
    (Transactions_and_Customer_Information_Joined[Customer ID]='V1-Based Churn Model (Step 3)'!$A350) *
    (IFERROR(_xlfn.XLOOKUP(Transactions_and_Customer_Information_Joined[SKU], 'V1 Pricing Model (Step 2)'!$A$22:$A$71, 'V1 Pricing Model (Step 2)'!$AL$22:$AL$71), "Exclude")&lt;&gt;"Exclude") *
    Transactions_and_Customer_Information_Joined[Gross Revenue])</f>
        <v>198.68</v>
      </c>
      <c r="K350" s="24">
        <f>SUMIF(Transactions_and_Customer_Information_Joined[Customer ID], 'V1-Based Churn Model (Step 3)'!$A350, Transactions_and_Customer_Information_Joined[Gross Revenue])</f>
        <v>198.68</v>
      </c>
      <c r="L350" s="3">
        <f t="shared" si="24"/>
        <v>1</v>
      </c>
      <c r="M350" s="21">
        <v>1.4049546680818285E-2</v>
      </c>
      <c r="N350" s="21" cm="1">
        <f t="array" ref="N350">SUMPRODUCT(
    (Transactions_and_Customer_Information_Joined[Customer ID]=$A350)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50" s="21" cm="1">
        <f t="array" ref="O350">IFERROR(
    SUMPRODUCT(
        (Transactions_and_Customer_Information_Joined[Customer ID]=$A350)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$J350,
0)</f>
        <v>1.4049546680818285E-2</v>
      </c>
      <c r="P350" s="5" cm="1">
        <f t="array" ref="P350">_xlfn.IFS(B350="At-Risk Churner",$B$2,$B350="Dormant",$B$3,$B350="Deal Hunter",$B$4,$B350="New Customer",$B$5,$B350="Occasional Buyer",$B$6,$B350="Loyal High-Value",$B$7)</f>
        <v>45</v>
      </c>
      <c r="Q350" s="9" cm="1">
        <f t="array" ref="Q350">_xlfn.IFS($B350 = "At-Risk Churner", $B$8, $B350="Dormant",$B$9, $B350="Deal Hunter", $B$10, $B350="New Customer", $B$11, $B350="Occasional Buyer", $B$12, $B350 = "Loyal High-Value",$B$13)</f>
        <v>0.25</v>
      </c>
      <c r="R350" s="5">
        <v>15</v>
      </c>
      <c r="S350" s="5">
        <v>0</v>
      </c>
      <c r="T350" s="5">
        <v>0</v>
      </c>
      <c r="U350" s="5">
        <f t="shared" si="25"/>
        <v>15</v>
      </c>
      <c r="V350" s="5">
        <f t="shared" si="26"/>
        <v>0.56198186723273136</v>
      </c>
      <c r="W350" s="43">
        <f t="shared" si="27"/>
        <v>75.899481867232737</v>
      </c>
      <c r="X350" s="5" t="str" cm="1">
        <f t="array" ref="X350">_xlfn.IFS($W350 &lt;= 30, "Low", $W350 &lt;=50, "Medium", $W350 &lt;= 70, "High", $W350 &gt; 70, "Critical")</f>
        <v>Critical</v>
      </c>
      <c r="Y350" s="9">
        <f t="shared" si="28"/>
        <v>0.23255296339911988</v>
      </c>
      <c r="Z350" s="22">
        <f t="shared" si="29"/>
        <v>88.81430225175788</v>
      </c>
    </row>
    <row r="351" spans="1:26">
      <c r="A351" s="24" t="str">
        <v>CUST-3906</v>
      </c>
      <c r="B351" s="24" t="str">
        <v>New Customer</v>
      </c>
      <c r="C351" s="24" t="str">
        <v>Organic Search</v>
      </c>
      <c r="D351" s="24" t="str">
        <v>Northeast</v>
      </c>
      <c r="E351" s="24" t="str">
        <v>35-44</v>
      </c>
      <c r="F351" s="24" t="str">
        <v>Medium</v>
      </c>
      <c r="G351" s="24">
        <v>8</v>
      </c>
      <c r="H351" s="24">
        <v>105</v>
      </c>
      <c r="I351" s="23">
        <v>36.61</v>
      </c>
      <c r="J351" s="24" cm="1">
        <f t="array" ref="J351">SUMPRODUCT(
    (Transactions_and_Customer_Information_Joined[Customer ID]='V1-Based Churn Model (Step 3)'!$A351) *
    (IFERROR(_xlfn.XLOOKUP(Transactions_and_Customer_Information_Joined[SKU], 'V1 Pricing Model (Step 2)'!$A$22:$A$71, 'V1 Pricing Model (Step 2)'!$AL$22:$AL$71), "Exclude")&lt;&gt;"Exclude") *
    Transactions_and_Customer_Information_Joined[Gross Revenue])</f>
        <v>79.38</v>
      </c>
      <c r="K351" s="24">
        <f>SUMIF(Transactions_and_Customer_Information_Joined[Customer ID], 'V1-Based Churn Model (Step 3)'!$A351, Transactions_and_Customer_Information_Joined[Gross Revenue])</f>
        <v>387.44</v>
      </c>
      <c r="L351" s="3">
        <f t="shared" si="24"/>
        <v>0.20488333677472639</v>
      </c>
      <c r="M351" s="21">
        <v>0</v>
      </c>
      <c r="N351" s="21" cm="1">
        <f t="array" ref="N351">SUMPRODUCT(
    (Transactions_and_Customer_Information_Joined[Customer ID]=$A351)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51" s="21" cm="1">
        <f t="array" ref="O351">IFERROR(
    SUMPRODUCT(
        (Transactions_and_Customer_Information_Joined[Customer ID]=$A351)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$J351,
0)</f>
        <v>-4.5975852073346618E-2</v>
      </c>
      <c r="P351" s="5" cm="1">
        <f t="array" ref="P351">_xlfn.IFS(B351="At-Risk Churner",$B$2,$B351="Dormant",$B$3,$B351="Deal Hunter",$B$4,$B351="New Customer",$B$5,$B351="Occasional Buyer",$B$6,$B351="Loyal High-Value",$B$7)</f>
        <v>35</v>
      </c>
      <c r="Q351" s="9" cm="1">
        <f t="array" ref="Q351">_xlfn.IFS($B351 = "At-Risk Churner", $B$8, $B351="Dormant",$B$9, $B351="Deal Hunter", $B$10, $B351="New Customer", $B$11, $B351="Occasional Buyer", $B$12, $B351 = "Loyal High-Value",$B$13)</f>
        <v>0.35</v>
      </c>
      <c r="R351" s="5">
        <v>5</v>
      </c>
      <c r="S351" s="5">
        <v>-8</v>
      </c>
      <c r="T351" s="5">
        <v>0</v>
      </c>
      <c r="U351" s="5">
        <f t="shared" si="25"/>
        <v>5.1220834193681597</v>
      </c>
      <c r="V351" s="5">
        <f t="shared" si="26"/>
        <v>0.91951704146693236</v>
      </c>
      <c r="W351" s="43">
        <f t="shared" si="27"/>
        <v>37.800016086480355</v>
      </c>
      <c r="X351" s="5" t="str" cm="1">
        <f t="array" ref="X351">_xlfn.IFS($W351 &lt;= 30, "Low", $W351 &lt;=50, "Medium", $W351 &lt;= 70, "High", $W351 &gt; 70, "Critical")</f>
        <v>Medium</v>
      </c>
      <c r="Y351" s="9">
        <f t="shared" si="28"/>
        <v>7.9777856782929854E-2</v>
      </c>
      <c r="Z351" s="22">
        <f t="shared" si="29"/>
        <v>9.6585338694584504</v>
      </c>
    </row>
    <row r="352" spans="1:26">
      <c r="A352" s="24" t="str">
        <v>CUST-2308</v>
      </c>
      <c r="B352" s="24" t="str">
        <v>New Customer</v>
      </c>
      <c r="C352" s="24" t="str">
        <v>Email Campaign</v>
      </c>
      <c r="D352" s="24" t="str">
        <v>UK</v>
      </c>
      <c r="E352" s="24" t="str">
        <v>35-44</v>
      </c>
      <c r="F352" s="24" t="str">
        <v>Low</v>
      </c>
      <c r="G352" s="24">
        <v>5</v>
      </c>
      <c r="H352" s="24">
        <v>118</v>
      </c>
      <c r="I352" s="23">
        <v>124.82</v>
      </c>
      <c r="J352" s="24" cm="1">
        <f t="array" ref="J352">SUMPRODUCT(
    (Transactions_and_Customer_Information_Joined[Customer ID]='V1-Based Churn Model (Step 3)'!$A352)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352" s="24">
        <f>SUMIF(Transactions_and_Customer_Information_Joined[Customer ID], 'V1-Based Churn Model (Step 3)'!$A352, Transactions_and_Customer_Information_Joined[Gross Revenue])</f>
        <v>75.69</v>
      </c>
      <c r="L352" s="3">
        <f t="shared" si="24"/>
        <v>0</v>
      </c>
      <c r="M352" s="21">
        <v>0</v>
      </c>
      <c r="N352" s="21" cm="1">
        <f t="array" ref="N352">SUMPRODUCT(
    (Transactions_and_Customer_Information_Joined[Customer ID]=$A352)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352" s="21" cm="1">
        <f t="array" ref="O352">IFERROR(
    SUMPRODUCT(
        (Transactions_and_Customer_Information_Joined[Customer ID]=$A352)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$J352,
0)</f>
        <v>0</v>
      </c>
      <c r="P352" s="5" cm="1">
        <f t="array" ref="P352">_xlfn.IFS(B352="At-Risk Churner",$B$2,$B352="Dormant",$B$3,$B352="Deal Hunter",$B$4,$B352="New Customer",$B$5,$B352="Occasional Buyer",$B$6,$B352="Loyal High-Value",$B$7)</f>
        <v>35</v>
      </c>
      <c r="Q352" s="9" cm="1">
        <f t="array" ref="Q352">_xlfn.IFS($B352 = "At-Risk Churner", $B$8, $B352="Dormant",$B$9, $B352="Deal Hunter", $B$10, $B352="New Customer", $B$11, $B352="Occasional Buyer", $B$12, $B352 = "Loyal High-Value",$B$13)</f>
        <v>0.35</v>
      </c>
      <c r="R352" s="5">
        <v>-5</v>
      </c>
      <c r="S352" s="5">
        <v>0</v>
      </c>
      <c r="T352" s="5">
        <v>0</v>
      </c>
      <c r="U352" s="5">
        <f t="shared" si="25"/>
        <v>0</v>
      </c>
      <c r="V352" s="5">
        <f t="shared" si="26"/>
        <v>0</v>
      </c>
      <c r="W352" s="43">
        <f t="shared" si="27"/>
        <v>30</v>
      </c>
      <c r="X352" s="5" t="str" cm="1">
        <f t="array" ref="X352">_xlfn.IFS($W352 &lt;= 30, "Low", $W352 &lt;=50, "Medium", $W352 &lt;= 70, "High", $W352 &gt; 70, "Critical")</f>
        <v>Low</v>
      </c>
      <c r="Y352" s="9">
        <f t="shared" si="28"/>
        <v>4.172102270774114E-2</v>
      </c>
      <c r="Z352" s="22">
        <f t="shared" si="29"/>
        <v>5.2076180543802488</v>
      </c>
    </row>
    <row r="353" spans="1:26">
      <c r="A353" s="24" t="str">
        <v>CUST-2720</v>
      </c>
      <c r="B353" s="24" t="str">
        <v>Loyal High-Value</v>
      </c>
      <c r="C353" s="24" t="str">
        <v>Referral</v>
      </c>
      <c r="D353" s="24" t="str">
        <v>West</v>
      </c>
      <c r="E353" s="24" t="str">
        <v>55+</v>
      </c>
      <c r="F353" s="24" t="str">
        <v>Medium</v>
      </c>
      <c r="G353" s="24">
        <v>0</v>
      </c>
      <c r="H353" s="24">
        <v>161</v>
      </c>
      <c r="I353" s="23">
        <v>1602.48</v>
      </c>
      <c r="J353" s="24" cm="1">
        <f t="array" ref="J353">SUMPRODUCT(
    (Transactions_and_Customer_Information_Joined[Customer ID]='V1-Based Churn Model (Step 3)'!$A353) *
    (IFERROR(_xlfn.XLOOKUP(Transactions_and_Customer_Information_Joined[SKU], 'V1 Pricing Model (Step 2)'!$A$22:$A$71, 'V1 Pricing Model (Step 2)'!$AL$22:$AL$71), "Exclude")&lt;&gt;"Exclude") *
    Transactions_and_Customer_Information_Joined[Gross Revenue])</f>
        <v>212.12</v>
      </c>
      <c r="K353" s="24">
        <f>SUMIF(Transactions_and_Customer_Information_Joined[Customer ID], 'V1-Based Churn Model (Step 3)'!$A353, Transactions_and_Customer_Information_Joined[Gross Revenue])</f>
        <v>212.12</v>
      </c>
      <c r="L353" s="3">
        <f t="shared" si="24"/>
        <v>1</v>
      </c>
      <c r="M353" s="21">
        <v>0.18762795201583557</v>
      </c>
      <c r="N353" s="21" cm="1">
        <f t="array" ref="N353">SUMPRODUCT(
    (Transactions_and_Customer_Information_Joined[Customer ID]=$A353)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53" s="21" cm="1">
        <f t="array" ref="O353">IFERROR(
    SUMPRODUCT(
        (Transactions_and_Customer_Information_Joined[Customer ID]=$A353)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$J353,
0)</f>
        <v>0.18762795201583557</v>
      </c>
      <c r="P353" s="5" cm="1">
        <f t="array" ref="P353">_xlfn.IFS(B353="At-Risk Churner",$B$2,$B353="Dormant",$B$3,$B353="Deal Hunter",$B$4,$B353="New Customer",$B$5,$B353="Occasional Buyer",$B$6,$B353="Loyal High-Value",$B$7)</f>
        <v>15</v>
      </c>
      <c r="Q353" s="9" cm="1">
        <f t="array" ref="Q353">_xlfn.IFS($B353 = "At-Risk Churner", $B$8, $B353="Dormant",$B$9, $B353="Deal Hunter", $B$10, $B353="New Customer", $B$11, $B353="Occasional Buyer", $B$12, $B353 = "Loyal High-Value",$B$13)</f>
        <v>0.05</v>
      </c>
      <c r="R353" s="5">
        <v>5</v>
      </c>
      <c r="S353" s="5">
        <v>10</v>
      </c>
      <c r="T353" s="5">
        <v>0</v>
      </c>
      <c r="U353" s="5">
        <f t="shared" si="25"/>
        <v>15</v>
      </c>
      <c r="V353" s="5">
        <f t="shared" si="26"/>
        <v>7.505118080633423</v>
      </c>
      <c r="W353" s="43">
        <f t="shared" si="27"/>
        <v>52.767618080633419</v>
      </c>
      <c r="X353" s="5" t="str" cm="1">
        <f t="array" ref="X353">_xlfn.IFS($W353 &lt;= 30, "Low", $W353 &lt;=50, "Medium", $W353 &lt;= 70, "High", $W353 &gt; 70, "Critical")</f>
        <v>High</v>
      </c>
      <c r="Y353" s="9">
        <f t="shared" si="28"/>
        <v>2.8437607995592064E-2</v>
      </c>
      <c r="Z353" s="22">
        <f t="shared" si="29"/>
        <v>356.95255844862112</v>
      </c>
    </row>
    <row r="354" spans="1:26">
      <c r="A354" s="24" t="str">
        <v>CUST-3868</v>
      </c>
      <c r="B354" s="24" t="str">
        <v>Loyal High-Value</v>
      </c>
      <c r="C354" s="24" t="str">
        <v>Organic Search</v>
      </c>
      <c r="D354" s="24" t="str">
        <v>Midwest</v>
      </c>
      <c r="E354" s="24" t="str">
        <v>18-24</v>
      </c>
      <c r="F354" s="24" t="str">
        <v>High</v>
      </c>
      <c r="G354" s="24">
        <v>9</v>
      </c>
      <c r="H354" s="24">
        <v>152</v>
      </c>
      <c r="I354" s="23">
        <v>1515.22</v>
      </c>
      <c r="J354" s="24" cm="1">
        <f t="array" ref="J354">SUMPRODUCT(
    (Transactions_and_Customer_Information_Joined[Customer ID]='V1-Based Churn Model (Step 3)'!$A354) *
    (IFERROR(_xlfn.XLOOKUP(Transactions_and_Customer_Information_Joined[SKU], 'V1 Pricing Model (Step 2)'!$A$22:$A$71, 'V1 Pricing Model (Step 2)'!$AL$22:$AL$71), "Exclude")&lt;&gt;"Exclude") *
    Transactions_and_Customer_Information_Joined[Gross Revenue])</f>
        <v>18.39</v>
      </c>
      <c r="K354" s="24">
        <f>SUMIF(Transactions_and_Customer_Information_Joined[Customer ID], 'V1-Based Churn Model (Step 3)'!$A354, Transactions_and_Customer_Information_Joined[Gross Revenue])</f>
        <v>18.39</v>
      </c>
      <c r="L354" s="3">
        <f t="shared" si="24"/>
        <v>1</v>
      </c>
      <c r="M354" s="21">
        <v>0.10525403225213746</v>
      </c>
      <c r="N354" s="21" cm="1">
        <f t="array" ref="N354">SUMPRODUCT(
    (Transactions_and_Customer_Information_Joined[Customer ID]=$A354)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54" s="21" cm="1">
        <f t="array" ref="O354">IFERROR(
    SUMPRODUCT(
        (Transactions_and_Customer_Information_Joined[Customer ID]=$A354)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$J354,
0)</f>
        <v>0.10525403225213746</v>
      </c>
      <c r="P354" s="5" cm="1">
        <f t="array" ref="P354">_xlfn.IFS(B354="At-Risk Churner",$B$2,$B354="Dormant",$B$3,$B354="Deal Hunter",$B$4,$B354="New Customer",$B$5,$B354="Occasional Buyer",$B$6,$B354="Loyal High-Value",$B$7)</f>
        <v>15</v>
      </c>
      <c r="Q354" s="9" cm="1">
        <f t="array" ref="Q354">_xlfn.IFS($B354 = "At-Risk Churner", $B$8, $B354="Dormant",$B$9, $B354="Deal Hunter", $B$10, $B354="New Customer", $B$11, $B354="Occasional Buyer", $B$12, $B354 = "Loyal High-Value",$B$13)</f>
        <v>0.05</v>
      </c>
      <c r="R354" s="5">
        <v>15</v>
      </c>
      <c r="S354" s="5">
        <v>-8</v>
      </c>
      <c r="T354" s="5">
        <v>0</v>
      </c>
      <c r="U354" s="5">
        <f t="shared" si="25"/>
        <v>15</v>
      </c>
      <c r="V354" s="5">
        <f t="shared" si="26"/>
        <v>4.2101612900854981</v>
      </c>
      <c r="W354" s="43">
        <f t="shared" si="27"/>
        <v>41.427661290085496</v>
      </c>
      <c r="X354" s="5" t="str" cm="1">
        <f t="array" ref="X354">_xlfn.IFS($W354 &lt;= 30, "Low", $W354 &lt;=50, "Medium", $W354 &lt;= 70, "High", $W354 &gt; 70, "Critical")</f>
        <v>Medium</v>
      </c>
      <c r="Y354" s="9">
        <f t="shared" si="28"/>
        <v>1.4895879653428283E-2</v>
      </c>
      <c r="Z354" s="22">
        <f t="shared" si="29"/>
        <v>321.10042781477409</v>
      </c>
    </row>
    <row r="355" spans="1:26">
      <c r="A355" s="24" t="str">
        <v>CUST-2853</v>
      </c>
      <c r="B355" s="24" t="str">
        <v>Deal Hunter</v>
      </c>
      <c r="C355" s="24" t="str">
        <v>Referral</v>
      </c>
      <c r="D355" s="24" t="str">
        <v>West</v>
      </c>
      <c r="E355" s="24" t="str">
        <v>55+</v>
      </c>
      <c r="F355" s="24" t="str">
        <v>Medium</v>
      </c>
      <c r="G355" s="24">
        <v>7</v>
      </c>
      <c r="H355" s="24">
        <v>24</v>
      </c>
      <c r="I355" s="23">
        <v>469.79</v>
      </c>
      <c r="J355" s="24" cm="1">
        <f t="array" ref="J355">SUMPRODUCT(
    (Transactions_and_Customer_Information_Joined[Customer ID]='V1-Based Churn Model (Step 3)'!$A355)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355" s="24">
        <f>SUMIF(Transactions_and_Customer_Information_Joined[Customer ID], 'V1-Based Churn Model (Step 3)'!$A355, Transactions_and_Customer_Information_Joined[Gross Revenue])</f>
        <v>154.03</v>
      </c>
      <c r="L355" s="3">
        <f t="shared" si="24"/>
        <v>0</v>
      </c>
      <c r="M355" s="21">
        <v>0</v>
      </c>
      <c r="N355" s="21" cm="1">
        <f t="array" ref="N355">SUMPRODUCT(
    (Transactions_and_Customer_Information_Joined[Customer ID]=$A355)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355" s="21" cm="1">
        <f t="array" ref="O355">IFERROR(
    SUMPRODUCT(
        (Transactions_and_Customer_Information_Joined[Customer ID]=$A355)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$J355,
0)</f>
        <v>0</v>
      </c>
      <c r="P355" s="5" cm="1">
        <f t="array" ref="P355">_xlfn.IFS(B355="At-Risk Churner",$B$2,$B355="Dormant",$B$3,$B355="Deal Hunter",$B$4,$B355="New Customer",$B$5,$B355="Occasional Buyer",$B$6,$B355="Loyal High-Value",$B$7)</f>
        <v>45</v>
      </c>
      <c r="Q355" s="9" cm="1">
        <f t="array" ref="Q355">_xlfn.IFS($B355 = "At-Risk Churner", $B$8, $B355="Dormant",$B$9, $B355="Deal Hunter", $B$10, $B355="New Customer", $B$11, $B355="Occasional Buyer", $B$12, $B355 = "Loyal High-Value",$B$13)</f>
        <v>0.25</v>
      </c>
      <c r="R355" s="5">
        <v>5</v>
      </c>
      <c r="S355" s="5">
        <v>-8</v>
      </c>
      <c r="T355" s="5">
        <v>-5</v>
      </c>
      <c r="U355" s="5">
        <f t="shared" si="25"/>
        <v>0</v>
      </c>
      <c r="V355" s="5">
        <f t="shared" si="26"/>
        <v>0</v>
      </c>
      <c r="W355" s="43">
        <f t="shared" si="27"/>
        <v>36.64</v>
      </c>
      <c r="X355" s="5" t="str" cm="1">
        <f t="array" ref="X355">_xlfn.IFS($W355 &lt;= 30, "Low", $W355 &lt;=50, "Medium", $W355 &lt;= 70, "High", $W355 &gt; 70, "Critical")</f>
        <v>Medium</v>
      </c>
      <c r="Y355" s="9">
        <f t="shared" si="28"/>
        <v>5.2042156679104078E-2</v>
      </c>
      <c r="Z355" s="22">
        <f t="shared" si="29"/>
        <v>113.51710782902106</v>
      </c>
    </row>
    <row r="356" spans="1:26">
      <c r="A356" s="24" t="str">
        <v>CUST-3654</v>
      </c>
      <c r="B356" s="24" t="str">
        <v>New Customer</v>
      </c>
      <c r="C356" s="24" t="str">
        <v>Influencer</v>
      </c>
      <c r="D356" s="24" t="str">
        <v>Midwest</v>
      </c>
      <c r="E356" s="24" t="str">
        <v>55+</v>
      </c>
      <c r="F356" s="24" t="str">
        <v>Low</v>
      </c>
      <c r="G356" s="24">
        <v>6</v>
      </c>
      <c r="H356" s="24">
        <v>168</v>
      </c>
      <c r="I356" s="23">
        <v>124.88</v>
      </c>
      <c r="J356" s="24" cm="1">
        <f t="array" ref="J356">SUMPRODUCT(
    (Transactions_and_Customer_Information_Joined[Customer ID]='V1-Based Churn Model (Step 3)'!$A356)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356" s="24">
        <f>SUMIF(Transactions_and_Customer_Information_Joined[Customer ID], 'V1-Based Churn Model (Step 3)'!$A356, Transactions_and_Customer_Information_Joined[Gross Revenue])</f>
        <v>373.49</v>
      </c>
      <c r="L356" s="3">
        <f t="shared" si="24"/>
        <v>0</v>
      </c>
      <c r="M356" s="21">
        <v>0</v>
      </c>
      <c r="N356" s="21" cm="1">
        <f t="array" ref="N356">SUMPRODUCT(
    (Transactions_and_Customer_Information_Joined[Customer ID]=$A356)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356" s="21" cm="1">
        <f t="array" ref="O356">IFERROR(
    SUMPRODUCT(
        (Transactions_and_Customer_Information_Joined[Customer ID]=$A356)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$J356,
0)</f>
        <v>0</v>
      </c>
      <c r="P356" s="5" cm="1">
        <f t="array" ref="P356">_xlfn.IFS(B356="At-Risk Churner",$B$2,$B356="Dormant",$B$3,$B356="Deal Hunter",$B$4,$B356="New Customer",$B$5,$B356="Occasional Buyer",$B$6,$B356="Loyal High-Value",$B$7)</f>
        <v>35</v>
      </c>
      <c r="Q356" s="9" cm="1">
        <f t="array" ref="Q356">_xlfn.IFS($B356 = "At-Risk Churner", $B$8, $B356="Dormant",$B$9, $B356="Deal Hunter", $B$10, $B356="New Customer", $B$11, $B356="Occasional Buyer", $B$12, $B356 = "Loyal High-Value",$B$13)</f>
        <v>0.35</v>
      </c>
      <c r="R356" s="5">
        <v>-5</v>
      </c>
      <c r="S356" s="5">
        <v>0</v>
      </c>
      <c r="T356" s="5">
        <v>0</v>
      </c>
      <c r="U356" s="5">
        <f t="shared" si="25"/>
        <v>0</v>
      </c>
      <c r="V356" s="5">
        <f t="shared" si="26"/>
        <v>0</v>
      </c>
      <c r="W356" s="43">
        <f t="shared" si="27"/>
        <v>30</v>
      </c>
      <c r="X356" s="5" t="str" cm="1">
        <f t="array" ref="X356">_xlfn.IFS($W356 &lt;= 30, "Low", $W356 &lt;=50, "Medium", $W356 &lt;= 70, "High", $W356 &gt; 70, "Critical")</f>
        <v>Low</v>
      </c>
      <c r="Y356" s="9">
        <f t="shared" si="28"/>
        <v>4.172102270774114E-2</v>
      </c>
      <c r="Z356" s="22">
        <f t="shared" si="29"/>
        <v>5.2101213157427138</v>
      </c>
    </row>
    <row r="357" spans="1:26">
      <c r="A357" s="24" t="str">
        <v>CUST-4674</v>
      </c>
      <c r="B357" s="24" t="str">
        <v>Occasional Buyer</v>
      </c>
      <c r="C357" s="24" t="str">
        <v>Direct</v>
      </c>
      <c r="D357" s="24" t="str">
        <v>West</v>
      </c>
      <c r="E357" s="24" t="str">
        <v>35-44</v>
      </c>
      <c r="F357" s="24" t="str">
        <v>Medium</v>
      </c>
      <c r="G357" s="24">
        <v>10</v>
      </c>
      <c r="H357" s="24">
        <v>115</v>
      </c>
      <c r="I357" s="23">
        <v>458.64</v>
      </c>
      <c r="J357" s="24" cm="1">
        <f t="array" ref="J357">SUMPRODUCT(
    (Transactions_and_Customer_Information_Joined[Customer ID]='V1-Based Churn Model (Step 3)'!$A357) *
    (IFERROR(_xlfn.XLOOKUP(Transactions_and_Customer_Information_Joined[SKU], 'V1 Pricing Model (Step 2)'!$A$22:$A$71, 'V1 Pricing Model (Step 2)'!$AL$22:$AL$71), "Exclude")&lt;&gt;"Exclude") *
    Transactions_and_Customer_Information_Joined[Gross Revenue])</f>
        <v>112.66</v>
      </c>
      <c r="K357" s="24">
        <f>SUMIF(Transactions_and_Customer_Information_Joined[Customer ID], 'V1-Based Churn Model (Step 3)'!$A357, Transactions_and_Customer_Information_Joined[Gross Revenue])</f>
        <v>112.66</v>
      </c>
      <c r="L357" s="3">
        <f t="shared" si="24"/>
        <v>1</v>
      </c>
      <c r="M357" s="21">
        <v>1.5146952408836394E-2</v>
      </c>
      <c r="N357" s="21" cm="1">
        <f t="array" ref="N357">SUMPRODUCT(
    (Transactions_and_Customer_Information_Joined[Customer ID]=$A357)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57" s="21" cm="1">
        <f t="array" ref="O357">IFERROR(
    SUMPRODUCT(
        (Transactions_and_Customer_Information_Joined[Customer ID]=$A357)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$J357,
0)</f>
        <v>1.5146952408836394E-2</v>
      </c>
      <c r="P357" s="5" cm="1">
        <f t="array" ref="P357">_xlfn.IFS(B357="At-Risk Churner",$B$2,$B357="Dormant",$B$3,$B357="Deal Hunter",$B$4,$B357="New Customer",$B$5,$B357="Occasional Buyer",$B$6,$B357="Loyal High-Value",$B$7)</f>
        <v>25</v>
      </c>
      <c r="Q357" s="9" cm="1">
        <f t="array" ref="Q357">_xlfn.IFS($B357 = "At-Risk Churner", $B$8, $B357="Dormant",$B$9, $B357="Deal Hunter", $B$10, $B357="New Customer", $B$11, $B357="Occasional Buyer", $B$12, $B357 = "Loyal High-Value",$B$13)</f>
        <v>0.18</v>
      </c>
      <c r="R357" s="5">
        <v>5</v>
      </c>
      <c r="S357" s="5">
        <v>-8</v>
      </c>
      <c r="T357" s="5">
        <v>0</v>
      </c>
      <c r="U357" s="5">
        <f t="shared" si="25"/>
        <v>15</v>
      </c>
      <c r="V357" s="5">
        <f t="shared" si="26"/>
        <v>0.6058780963534558</v>
      </c>
      <c r="W357" s="43">
        <f t="shared" si="27"/>
        <v>37.518378096353452</v>
      </c>
      <c r="X357" s="5" t="str" cm="1">
        <f t="array" ref="X357">_xlfn.IFS($W357 &lt;= 30, "Low", $W357 &lt;=50, "Medium", $W357 &lt;= 70, "High", $W357 &gt; 70, "Critical")</f>
        <v>Medium</v>
      </c>
      <c r="Y357" s="9">
        <f t="shared" si="28"/>
        <v>4.014331822664198E-2</v>
      </c>
      <c r="Z357" s="22">
        <f t="shared" si="29"/>
        <v>106.45706517717366</v>
      </c>
    </row>
    <row r="358" spans="1:26">
      <c r="A358" s="24" t="str">
        <v>CUST-3214</v>
      </c>
      <c r="B358" s="24" t="str">
        <v>Loyal High-Value</v>
      </c>
      <c r="C358" s="24" t="str">
        <v>Referral</v>
      </c>
      <c r="D358" s="24" t="str">
        <v>UK</v>
      </c>
      <c r="E358" s="24" t="str">
        <v>35-44</v>
      </c>
      <c r="F358" s="24" t="str">
        <v>High</v>
      </c>
      <c r="G358" s="24">
        <v>0</v>
      </c>
      <c r="H358" s="24">
        <v>320</v>
      </c>
      <c r="I358" s="23">
        <v>1966.43</v>
      </c>
      <c r="J358" s="24" cm="1">
        <f t="array" ref="J358">SUMPRODUCT(
    (Transactions_and_Customer_Information_Joined[Customer ID]='V1-Based Churn Model (Step 3)'!$A358) *
    (IFERROR(_xlfn.XLOOKUP(Transactions_and_Customer_Information_Joined[SKU], 'V1 Pricing Model (Step 2)'!$A$22:$A$71, 'V1 Pricing Model (Step 2)'!$AL$22:$AL$71), "Exclude")&lt;&gt;"Exclude") *
    Transactions_and_Customer_Information_Joined[Gross Revenue])</f>
        <v>55.17</v>
      </c>
      <c r="K358" s="24">
        <f>SUMIF(Transactions_and_Customer_Information_Joined[Customer ID], 'V1-Based Churn Model (Step 3)'!$A358, Transactions_and_Customer_Information_Joined[Gross Revenue])</f>
        <v>55.17</v>
      </c>
      <c r="L358" s="3">
        <f t="shared" si="24"/>
        <v>1</v>
      </c>
      <c r="M358" s="21">
        <v>0.10525403225213746</v>
      </c>
      <c r="N358" s="21" cm="1">
        <f t="array" ref="N358">SUMPRODUCT(
    (Transactions_and_Customer_Information_Joined[Customer ID]=$A358)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58" s="21" cm="1">
        <f t="array" ref="O358">IFERROR(
    SUMPRODUCT(
        (Transactions_and_Customer_Information_Joined[Customer ID]=$A358)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$J358,
0)</f>
        <v>0.10525403225213746</v>
      </c>
      <c r="P358" s="5" cm="1">
        <f t="array" ref="P358">_xlfn.IFS(B358="At-Risk Churner",$B$2,$B358="Dormant",$B$3,$B358="Deal Hunter",$B$4,$B358="New Customer",$B$5,$B358="Occasional Buyer",$B$6,$B358="Loyal High-Value",$B$7)</f>
        <v>15</v>
      </c>
      <c r="Q358" s="9" cm="1">
        <f t="array" ref="Q358">_xlfn.IFS($B358 = "At-Risk Churner", $B$8, $B358="Dormant",$B$9, $B358="Deal Hunter", $B$10, $B358="New Customer", $B$11, $B358="Occasional Buyer", $B$12, $B358 = "Loyal High-Value",$B$13)</f>
        <v>0.05</v>
      </c>
      <c r="R358" s="5">
        <v>15</v>
      </c>
      <c r="S358" s="5">
        <v>10</v>
      </c>
      <c r="T358" s="5">
        <v>15</v>
      </c>
      <c r="U358" s="5">
        <f t="shared" si="25"/>
        <v>15</v>
      </c>
      <c r="V358" s="5">
        <f t="shared" si="26"/>
        <v>4.2101612900854981</v>
      </c>
      <c r="W358" s="43">
        <f t="shared" si="27"/>
        <v>74.697661290085506</v>
      </c>
      <c r="X358" s="5" t="str" cm="1">
        <f t="array" ref="X358">_xlfn.IFS($W358 &lt;= 30, "Low", $W358 &lt;=50, "Medium", $W358 &lt;= 70, "High", $W358 &gt; 70, "Critical")</f>
        <v>Critical</v>
      </c>
      <c r="Y358" s="9">
        <f t="shared" si="28"/>
        <v>4.6099747323342058E-2</v>
      </c>
      <c r="Z358" s="22">
        <f t="shared" si="29"/>
        <v>90.651926129039524</v>
      </c>
    </row>
    <row r="359" spans="1:26">
      <c r="A359" s="24" t="str">
        <v>CUST-3077</v>
      </c>
      <c r="B359" s="24" t="str">
        <v>Occasional Buyer</v>
      </c>
      <c r="C359" s="24" t="str">
        <v>Direct</v>
      </c>
      <c r="D359" s="24" t="str">
        <v>Midwest</v>
      </c>
      <c r="E359" s="24" t="str">
        <v>18-24</v>
      </c>
      <c r="F359" s="24" t="str">
        <v>Low</v>
      </c>
      <c r="G359" s="24">
        <v>2</v>
      </c>
      <c r="H359" s="24">
        <v>170</v>
      </c>
      <c r="I359" s="23">
        <v>732.82</v>
      </c>
      <c r="J359" s="24" cm="1">
        <f t="array" ref="J359">SUMPRODUCT(
    (Transactions_and_Customer_Information_Joined[Customer ID]='V1-Based Churn Model (Step 3)'!$A359)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359" s="24">
        <f>SUMIF(Transactions_and_Customer_Information_Joined[Customer ID], 'V1-Based Churn Model (Step 3)'!$A359, Transactions_and_Customer_Information_Joined[Gross Revenue])</f>
        <v>654.15000000000009</v>
      </c>
      <c r="L359" s="3">
        <f t="shared" ref="L359:L422" si="30">IFERROR($J359/$K359, 0)</f>
        <v>0</v>
      </c>
      <c r="M359" s="21">
        <v>0</v>
      </c>
      <c r="N359" s="21" cm="1">
        <f t="array" ref="N359">SUMPRODUCT(
    (Transactions_and_Customer_Information_Joined[Customer ID]=$A359)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359" s="21" cm="1">
        <f t="array" ref="O359">IFERROR(
    SUMPRODUCT(
        (Transactions_and_Customer_Information_Joined[Customer ID]=$A359)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$J359,
0)</f>
        <v>0</v>
      </c>
      <c r="P359" s="5" cm="1">
        <f t="array" ref="P359">_xlfn.IFS(B359="At-Risk Churner",$B$2,$B359="Dormant",$B$3,$B359="Deal Hunter",$B$4,$B359="New Customer",$B$5,$B359="Occasional Buyer",$B$6,$B359="Loyal High-Value",$B$7)</f>
        <v>25</v>
      </c>
      <c r="Q359" s="9" cm="1">
        <f t="array" ref="Q359">_xlfn.IFS($B359 = "At-Risk Churner", $B$8, $B359="Dormant",$B$9, $B359="Deal Hunter", $B$10, $B359="New Customer", $B$11, $B359="Occasional Buyer", $B$12, $B359 = "Loyal High-Value",$B$13)</f>
        <v>0.18</v>
      </c>
      <c r="R359" s="5">
        <v>-5</v>
      </c>
      <c r="S359" s="5">
        <v>10</v>
      </c>
      <c r="T359" s="5">
        <v>0</v>
      </c>
      <c r="U359" s="5">
        <f t="shared" si="25"/>
        <v>0</v>
      </c>
      <c r="V359" s="5">
        <f t="shared" si="26"/>
        <v>0</v>
      </c>
      <c r="W359" s="43">
        <f t="shared" si="27"/>
        <v>30.25</v>
      </c>
      <c r="X359" s="5" t="str" cm="1">
        <f t="array" ref="X359">_xlfn.IFS($W359 &lt;= 30, "Low", $W359 &lt;=50, "Medium", $W359 &lt;= 70, "High", $W359 &gt; 70, "Critical")</f>
        <v>Medium</v>
      </c>
      <c r="Y359" s="9">
        <f t="shared" si="28"/>
        <v>2.1933513138531247E-2</v>
      </c>
      <c r="Z359" s="22">
        <f t="shared" si="29"/>
        <v>159.42265367854282</v>
      </c>
    </row>
    <row r="360" spans="1:26">
      <c r="A360" s="24" t="str">
        <v>CUST-4238</v>
      </c>
      <c r="B360" s="24" t="str">
        <v>Loyal High-Value</v>
      </c>
      <c r="C360" s="24" t="str">
        <v>Email Campaign</v>
      </c>
      <c r="D360" s="24" t="str">
        <v>West</v>
      </c>
      <c r="E360" s="24" t="str">
        <v>18-24</v>
      </c>
      <c r="F360" s="24" t="str">
        <v>Medium</v>
      </c>
      <c r="G360" s="24">
        <v>7</v>
      </c>
      <c r="H360" s="24">
        <v>268</v>
      </c>
      <c r="I360" s="23">
        <v>1338.79</v>
      </c>
      <c r="J360" s="24" cm="1">
        <f t="array" ref="J360">SUMPRODUCT(
    (Transactions_and_Customer_Information_Joined[Customer ID]='V1-Based Churn Model (Step 3)'!$A360) *
    (IFERROR(_xlfn.XLOOKUP(Transactions_and_Customer_Information_Joined[SKU], 'V1 Pricing Model (Step 2)'!$A$22:$A$71, 'V1 Pricing Model (Step 2)'!$AL$22:$AL$71), "Exclude")&lt;&gt;"Exclude") *
    Transactions_and_Customer_Information_Joined[Gross Revenue])</f>
        <v>189.52</v>
      </c>
      <c r="K360" s="24">
        <f>SUMIF(Transactions_and_Customer_Information_Joined[Customer ID], 'V1-Based Churn Model (Step 3)'!$A360, Transactions_and_Customer_Information_Joined[Gross Revenue])</f>
        <v>189.52</v>
      </c>
      <c r="L360" s="3">
        <f t="shared" si="30"/>
        <v>1</v>
      </c>
      <c r="M360" s="21">
        <v>1.2225679304209092E-2</v>
      </c>
      <c r="N360" s="21" cm="1">
        <f t="array" ref="N360">SUMPRODUCT(
    (Transactions_and_Customer_Information_Joined[Customer ID]=$A360)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60" s="21" cm="1">
        <f t="array" ref="O360">IFERROR(
    SUMPRODUCT(
        (Transactions_and_Customer_Information_Joined[Customer ID]=$A360)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$J360,
0)</f>
        <v>1.2225679304209092E-2</v>
      </c>
      <c r="P360" s="5" cm="1">
        <f t="array" ref="P360">_xlfn.IFS(B360="At-Risk Churner",$B$2,$B360="Dormant",$B$3,$B360="Deal Hunter",$B$4,$B360="New Customer",$B$5,$B360="Occasional Buyer",$B$6,$B360="Loyal High-Value",$B$7)</f>
        <v>15</v>
      </c>
      <c r="Q360" s="9" cm="1">
        <f t="array" ref="Q360">_xlfn.IFS($B360 = "At-Risk Churner", $B$8, $B360="Dormant",$B$9, $B360="Deal Hunter", $B$10, $B360="New Customer", $B$11, $B360="Occasional Buyer", $B$12, $B360 = "Loyal High-Value",$B$13)</f>
        <v>0.05</v>
      </c>
      <c r="R360" s="5">
        <v>5</v>
      </c>
      <c r="S360" s="5">
        <v>-8</v>
      </c>
      <c r="T360" s="5">
        <v>8</v>
      </c>
      <c r="U360" s="5">
        <f t="shared" ref="U360:U423" si="31">MIN(
    $L360 * $B$26 * (1 + $B$28 * LN(MAX($N360, 1))),
    $B$27
)</f>
        <v>15</v>
      </c>
      <c r="V360" s="5">
        <f t="shared" ref="V360:V423" si="32">MIN(
    $B$29 * ABS($O360) + $B$30 * ABS($M360),
    $B$31
)</f>
        <v>0.48902717216836367</v>
      </c>
      <c r="W360" s="43">
        <f t="shared" ref="W360:W423" si="33">MIN(MAX(
    $P360 + $R360 + $S360 + $T360 + $U360 + $V360
    + $B$32 * ($R360 * $U360) / 100
    + $B$33 * ($P360 * $S360) / 100,
0), 100)</f>
        <v>35.481527172168363</v>
      </c>
      <c r="X360" s="5" t="str" cm="1">
        <f t="array" ref="X360">_xlfn.IFS($W360 &lt;= 30, "Low", $W360 &lt;=50, "Medium", $W360 &lt;= 70, "High", $W360 &gt; 70, "Critical")</f>
        <v>Medium</v>
      </c>
      <c r="Y360" s="9">
        <f t="shared" ref="Y360:Y423" si="34">$Q360 * (1 / (1 + EXP(-($W360 - 50) / $B$34)))</f>
        <v>9.4858715096970362E-3</v>
      </c>
      <c r="Z360" s="22">
        <f t="shared" ref="Z360:Z423" si="35">_xlfn.LET(
    _xlpm.full_churn, $Y360 * $I360,
    _xlpm.partial_rate, IF(OR($X360="Medium", $X360="High"), (1 - $Y360) * 0.5 * $B$35, 0),
    _xlpm.partial_churn, _xlpm.partial_rate * $I360,
    _xlpm.full_churn + _xlpm.partial_churn
)</f>
        <v>277.91767193477381</v>
      </c>
    </row>
    <row r="361" spans="1:26">
      <c r="A361" s="24" t="str">
        <v>CUST-3260</v>
      </c>
      <c r="B361" s="24" t="str">
        <v>Deal Hunter</v>
      </c>
      <c r="C361" s="24" t="str">
        <v>Influencer</v>
      </c>
      <c r="D361" s="24" t="str">
        <v>Canada</v>
      </c>
      <c r="E361" s="24" t="str">
        <v>35-44</v>
      </c>
      <c r="F361" s="24" t="str">
        <v>Medium</v>
      </c>
      <c r="G361" s="24">
        <v>2</v>
      </c>
      <c r="H361" s="24">
        <v>327</v>
      </c>
      <c r="I361" s="23">
        <v>537.66999999999996</v>
      </c>
      <c r="J361" s="24" cm="1">
        <f t="array" ref="J361">SUMPRODUCT(
    (Transactions_and_Customer_Information_Joined[Customer ID]='V1-Based Churn Model (Step 3)'!$A361) *
    (IFERROR(_xlfn.XLOOKUP(Transactions_and_Customer_Information_Joined[SKU], 'V1 Pricing Model (Step 2)'!$A$22:$A$71, 'V1 Pricing Model (Step 2)'!$AL$22:$AL$71), "Exclude")&lt;&gt;"Exclude") *
    Transactions_and_Customer_Information_Joined[Gross Revenue])</f>
        <v>785.12</v>
      </c>
      <c r="K361" s="24">
        <f>SUMIF(Transactions_and_Customer_Information_Joined[Customer ID], 'V1-Based Churn Model (Step 3)'!$A361, Transactions_and_Customer_Information_Joined[Gross Revenue])</f>
        <v>785.12</v>
      </c>
      <c r="L361" s="3">
        <f t="shared" si="30"/>
        <v>1</v>
      </c>
      <c r="M361" s="21">
        <v>0.16615780750618397</v>
      </c>
      <c r="N361" s="21" cm="1">
        <f t="array" ref="N361">SUMPRODUCT(
    (Transactions_and_Customer_Information_Joined[Customer ID]=$A361)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61" s="21" cm="1">
        <f t="array" ref="O361">IFERROR(
    SUMPRODUCT(
        (Transactions_and_Customer_Information_Joined[Customer ID]=$A361)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$J361,
0)</f>
        <v>0.16615780750618397</v>
      </c>
      <c r="P361" s="5" cm="1">
        <f t="array" ref="P361">_xlfn.IFS(B361="At-Risk Churner",$B$2,$B361="Dormant",$B$3,$B361="Deal Hunter",$B$4,$B361="New Customer",$B$5,$B361="Occasional Buyer",$B$6,$B361="Loyal High-Value",$B$7)</f>
        <v>45</v>
      </c>
      <c r="Q361" s="9" cm="1">
        <f t="array" ref="Q361">_xlfn.IFS($B361 = "At-Risk Churner", $B$8, $B361="Dormant",$B$9, $B361="Deal Hunter", $B$10, $B361="New Customer", $B$11, $B361="Occasional Buyer", $B$12, $B361 = "Loyal High-Value",$B$13)</f>
        <v>0.25</v>
      </c>
      <c r="R361" s="5">
        <v>5</v>
      </c>
      <c r="S361" s="5">
        <v>10</v>
      </c>
      <c r="T361" s="5">
        <v>15</v>
      </c>
      <c r="U361" s="5">
        <f t="shared" si="31"/>
        <v>15</v>
      </c>
      <c r="V361" s="5">
        <f t="shared" si="32"/>
        <v>6.6463123002473594</v>
      </c>
      <c r="W361" s="43">
        <f t="shared" si="33"/>
        <v>97.208812300247359</v>
      </c>
      <c r="X361" s="5" t="str" cm="1">
        <f t="array" ref="X361">_xlfn.IFS($W361 &lt;= 30, "Low", $W361 &lt;=50, "Medium", $W361 &lt;= 70, "High", $W361 &gt; 70, "Critical")</f>
        <v>Critical</v>
      </c>
      <c r="Y361" s="9">
        <f t="shared" si="34"/>
        <v>0.24779282857323703</v>
      </c>
      <c r="Z361" s="22">
        <f t="shared" si="35"/>
        <v>133.23077013897233</v>
      </c>
    </row>
    <row r="362" spans="1:26">
      <c r="A362" s="24" t="str">
        <v>CUST-3938</v>
      </c>
      <c r="B362" s="24" t="str">
        <v>At-Risk Churner</v>
      </c>
      <c r="C362" s="24" t="str">
        <v>Organic Search</v>
      </c>
      <c r="D362" s="24" t="str">
        <v>Midwest</v>
      </c>
      <c r="E362" s="24" t="str">
        <v>45-54</v>
      </c>
      <c r="F362" s="24" t="str">
        <v>Low</v>
      </c>
      <c r="G362" s="24">
        <v>3</v>
      </c>
      <c r="H362" s="24">
        <v>243</v>
      </c>
      <c r="I362" s="23">
        <v>132.54</v>
      </c>
      <c r="J362" s="24" cm="1">
        <f t="array" ref="J362">SUMPRODUCT(
    (Transactions_and_Customer_Information_Joined[Customer ID]='V1-Based Churn Model (Step 3)'!$A362) *
    (IFERROR(_xlfn.XLOOKUP(Transactions_and_Customer_Information_Joined[SKU], 'V1 Pricing Model (Step 2)'!$A$22:$A$71, 'V1 Pricing Model (Step 2)'!$AL$22:$AL$71), "Exclude")&lt;&gt;"Exclude") *
    Transactions_and_Customer_Information_Joined[Gross Revenue])</f>
        <v>218.56</v>
      </c>
      <c r="K362" s="24">
        <f>SUMIF(Transactions_and_Customer_Information_Joined[Customer ID], 'V1-Based Churn Model (Step 3)'!$A362, Transactions_and_Customer_Information_Joined[Gross Revenue])</f>
        <v>218.56</v>
      </c>
      <c r="L362" s="3">
        <f t="shared" si="30"/>
        <v>1</v>
      </c>
      <c r="M362" s="21">
        <v>0.24833629343146826</v>
      </c>
      <c r="N362" s="21" cm="1">
        <f t="array" ref="N362">SUMPRODUCT(
    (Transactions_and_Customer_Information_Joined[Customer ID]=$A362)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62" s="21" cm="1">
        <f t="array" ref="O362">IFERROR(
    SUMPRODUCT(
        (Transactions_and_Customer_Information_Joined[Customer ID]=$A362)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$J362,
0)</f>
        <v>0.24833629343146826</v>
      </c>
      <c r="P362" s="5" cm="1">
        <f t="array" ref="P362">_xlfn.IFS(B362="At-Risk Churner",$B$2,$B362="Dormant",$B$3,$B362="Deal Hunter",$B$4,$B362="New Customer",$B$5,$B362="Occasional Buyer",$B$6,$B362="Loyal High-Value",$B$7)</f>
        <v>70</v>
      </c>
      <c r="Q362" s="9" cm="1">
        <f t="array" ref="Q362">_xlfn.IFS($B362 = "At-Risk Churner", $B$8, $B362="Dormant",$B$9, $B362="Deal Hunter", $B$10, $B362="New Customer", $B$11, $B362="Occasional Buyer", $B$12, $B362 = "Loyal High-Value",$B$13)</f>
        <v>0.45</v>
      </c>
      <c r="R362" s="5">
        <v>-5</v>
      </c>
      <c r="S362" s="5">
        <v>10</v>
      </c>
      <c r="T362" s="5">
        <v>8</v>
      </c>
      <c r="U362" s="5">
        <f t="shared" si="31"/>
        <v>15</v>
      </c>
      <c r="V362" s="5">
        <f t="shared" si="32"/>
        <v>9.9334517372587303</v>
      </c>
      <c r="W362" s="43">
        <f t="shared" si="33"/>
        <v>100</v>
      </c>
      <c r="X362" s="5" t="str" cm="1">
        <f t="array" ref="X362">_xlfn.IFS($W362 &lt;= 30, "Low", $W362 &lt;=50, "Medium", $W362 &lt;= 70, "High", $W362 &gt; 70, "Critical")</f>
        <v>Critical</v>
      </c>
      <c r="Y362" s="9">
        <f t="shared" si="34"/>
        <v>0.44698821708407188</v>
      </c>
      <c r="Z362" s="22">
        <f t="shared" si="35"/>
        <v>59.243818292322885</v>
      </c>
    </row>
    <row r="363" spans="1:26">
      <c r="A363" s="24" t="str">
        <v>CUST-2724</v>
      </c>
      <c r="B363" s="24" t="str">
        <v>New Customer</v>
      </c>
      <c r="C363" s="24" t="str">
        <v>Influencer</v>
      </c>
      <c r="D363" s="24" t="str">
        <v>Canada</v>
      </c>
      <c r="E363" s="24" t="str">
        <v>18-24</v>
      </c>
      <c r="F363" s="24" t="str">
        <v>Medium</v>
      </c>
      <c r="G363" s="24">
        <v>0</v>
      </c>
      <c r="H363" s="24">
        <v>38</v>
      </c>
      <c r="I363" s="23">
        <v>119.09</v>
      </c>
      <c r="J363" s="24" cm="1">
        <f t="array" ref="J363">SUMPRODUCT(
    (Transactions_and_Customer_Information_Joined[Customer ID]='V1-Based Churn Model (Step 3)'!$A363) *
    (IFERROR(_xlfn.XLOOKUP(Transactions_and_Customer_Information_Joined[SKU], 'V1 Pricing Model (Step 2)'!$A$22:$A$71, 'V1 Pricing Model (Step 2)'!$AL$22:$AL$71), "Exclude")&lt;&gt;"Exclude") *
    Transactions_and_Customer_Information_Joined[Gross Revenue])</f>
        <v>499.08</v>
      </c>
      <c r="K363" s="24">
        <f>SUMIF(Transactions_and_Customer_Information_Joined[Customer ID], 'V1-Based Churn Model (Step 3)'!$A363, Transactions_and_Customer_Information_Joined[Gross Revenue])</f>
        <v>499.08</v>
      </c>
      <c r="L363" s="3">
        <f t="shared" si="30"/>
        <v>1</v>
      </c>
      <c r="M363" s="21">
        <v>0.1130897018443069</v>
      </c>
      <c r="N363" s="21" cm="1">
        <f t="array" ref="N363">SUMPRODUCT(
    (Transactions_and_Customer_Information_Joined[Customer ID]=$A363)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63" s="21" cm="1">
        <f t="array" ref="O363">IFERROR(
    SUMPRODUCT(
        (Transactions_and_Customer_Information_Joined[Customer ID]=$A363)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$J363,
0)</f>
        <v>0.1130897018443069</v>
      </c>
      <c r="P363" s="5" cm="1">
        <f t="array" ref="P363">_xlfn.IFS(B363="At-Risk Churner",$B$2,$B363="Dormant",$B$3,$B363="Deal Hunter",$B$4,$B363="New Customer",$B$5,$B363="Occasional Buyer",$B$6,$B363="Loyal High-Value",$B$7)</f>
        <v>35</v>
      </c>
      <c r="Q363" s="9" cm="1">
        <f t="array" ref="Q363">_xlfn.IFS($B363 = "At-Risk Churner", $B$8, $B363="Dormant",$B$9, $B363="Deal Hunter", $B$10, $B363="New Customer", $B$11, $B363="Occasional Buyer", $B$12, $B363 = "Loyal High-Value",$B$13)</f>
        <v>0.35</v>
      </c>
      <c r="R363" s="5">
        <v>5</v>
      </c>
      <c r="S363" s="5">
        <v>10</v>
      </c>
      <c r="T363" s="5">
        <v>-5</v>
      </c>
      <c r="U363" s="5">
        <f t="shared" si="31"/>
        <v>15</v>
      </c>
      <c r="V363" s="5">
        <f t="shared" si="32"/>
        <v>4.5235880737722765</v>
      </c>
      <c r="W363" s="43">
        <f t="shared" si="33"/>
        <v>64.986088073772265</v>
      </c>
      <c r="X363" s="5" t="str" cm="1">
        <f t="array" ref="X363">_xlfn.IFS($W363 &lt;= 30, "Low", $W363 &lt;=50, "Medium", $W363 &lt;= 70, "High", $W363 &gt; 70, "Critical")</f>
        <v>High</v>
      </c>
      <c r="Y363" s="9">
        <f t="shared" si="34"/>
        <v>0.2860784125750454</v>
      </c>
      <c r="Z363" s="22">
        <f t="shared" si="35"/>
        <v>51.073262522849731</v>
      </c>
    </row>
    <row r="364" spans="1:26">
      <c r="A364" s="24" t="str">
        <v>CUST-4955</v>
      </c>
      <c r="B364" s="24" t="str">
        <v>Occasional Buyer</v>
      </c>
      <c r="C364" s="24" t="str">
        <v>Influencer</v>
      </c>
      <c r="D364" s="24" t="str">
        <v>Midwest</v>
      </c>
      <c r="E364" s="24" t="str">
        <v>45-54</v>
      </c>
      <c r="F364" s="24" t="str">
        <v>High</v>
      </c>
      <c r="G364" s="24">
        <v>7</v>
      </c>
      <c r="H364" s="24">
        <v>239</v>
      </c>
      <c r="I364" s="23">
        <v>722.22</v>
      </c>
      <c r="J364" s="24" cm="1">
        <f t="array" ref="J364">SUMPRODUCT(
    (Transactions_and_Customer_Information_Joined[Customer ID]='V1-Based Churn Model (Step 3)'!$A364) *
    (IFERROR(_xlfn.XLOOKUP(Transactions_and_Customer_Information_Joined[SKU], 'V1 Pricing Model (Step 2)'!$A$22:$A$71, 'V1 Pricing Model (Step 2)'!$AL$22:$AL$71), "Exclude")&lt;&gt;"Exclude") *
    Transactions_and_Customer_Information_Joined[Gross Revenue])</f>
        <v>145.4</v>
      </c>
      <c r="K364" s="24">
        <f>SUMIF(Transactions_and_Customer_Information_Joined[Customer ID], 'V1-Based Churn Model (Step 3)'!$A364, Transactions_and_Customer_Information_Joined[Gross Revenue])</f>
        <v>145.4</v>
      </c>
      <c r="L364" s="3">
        <f t="shared" si="30"/>
        <v>1</v>
      </c>
      <c r="M364" s="21">
        <v>6.4419042005321461E-2</v>
      </c>
      <c r="N364" s="21" cm="1">
        <f t="array" ref="N364">SUMPRODUCT(
    (Transactions_and_Customer_Information_Joined[Customer ID]=$A364)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64" s="21" cm="1">
        <f t="array" ref="O364">IFERROR(
    SUMPRODUCT(
        (Transactions_and_Customer_Information_Joined[Customer ID]=$A364)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$J364,
0)</f>
        <v>6.4419042005321461E-2</v>
      </c>
      <c r="P364" s="5" cm="1">
        <f t="array" ref="P364">_xlfn.IFS(B364="At-Risk Churner",$B$2,$B364="Dormant",$B$3,$B364="Deal Hunter",$B$4,$B364="New Customer",$B$5,$B364="Occasional Buyer",$B$6,$B364="Loyal High-Value",$B$7)</f>
        <v>25</v>
      </c>
      <c r="Q364" s="9" cm="1">
        <f t="array" ref="Q364">_xlfn.IFS($B364 = "At-Risk Churner", $B$8, $B364="Dormant",$B$9, $B364="Deal Hunter", $B$10, $B364="New Customer", $B$11, $B364="Occasional Buyer", $B$12, $B364 = "Loyal High-Value",$B$13)</f>
        <v>0.18</v>
      </c>
      <c r="R364" s="5">
        <v>15</v>
      </c>
      <c r="S364" s="5">
        <v>-8</v>
      </c>
      <c r="T364" s="5">
        <v>8</v>
      </c>
      <c r="U364" s="5">
        <f t="shared" si="31"/>
        <v>15</v>
      </c>
      <c r="V364" s="5">
        <f t="shared" si="32"/>
        <v>2.5767616802128583</v>
      </c>
      <c r="W364" s="43">
        <f t="shared" si="33"/>
        <v>57.714261680212857</v>
      </c>
      <c r="X364" s="5" t="str" cm="1">
        <f t="array" ref="X364">_xlfn.IFS($W364 &lt;= 30, "Low", $W364 &lt;=50, "Medium", $W364 &lt;= 70, "High", $W364 &gt; 70, "Critical")</f>
        <v>High</v>
      </c>
      <c r="Y364" s="9">
        <f t="shared" si="34"/>
        <v>0.12308927791344476</v>
      </c>
      <c r="Z364" s="22">
        <f t="shared" si="35"/>
        <v>215.56203063571849</v>
      </c>
    </row>
    <row r="365" spans="1:26">
      <c r="A365" s="24" t="str">
        <v>CUST-3759</v>
      </c>
      <c r="B365" s="24" t="str">
        <v>New Customer</v>
      </c>
      <c r="C365" s="24" t="str">
        <v>Influencer</v>
      </c>
      <c r="D365" s="24" t="str">
        <v>Canada</v>
      </c>
      <c r="E365" s="24" t="str">
        <v>55+</v>
      </c>
      <c r="F365" s="24" t="str">
        <v>High</v>
      </c>
      <c r="G365" s="24">
        <v>0</v>
      </c>
      <c r="H365" s="24">
        <v>13</v>
      </c>
      <c r="I365" s="23">
        <v>147.47</v>
      </c>
      <c r="J365" s="24" cm="1">
        <f t="array" ref="J365">SUMPRODUCT(
    (Transactions_and_Customer_Information_Joined[Customer ID]='V1-Based Churn Model (Step 3)'!$A365) *
    (IFERROR(_xlfn.XLOOKUP(Transactions_and_Customer_Information_Joined[SKU], 'V1 Pricing Model (Step 2)'!$A$22:$A$71, 'V1 Pricing Model (Step 2)'!$AL$22:$AL$71), "Exclude")&lt;&gt;"Exclude") *
    Transactions_and_Customer_Information_Joined[Gross Revenue])</f>
        <v>54.64</v>
      </c>
      <c r="K365" s="24">
        <f>SUMIF(Transactions_and_Customer_Information_Joined[Customer ID], 'V1-Based Churn Model (Step 3)'!$A365, Transactions_and_Customer_Information_Joined[Gross Revenue])</f>
        <v>54.64</v>
      </c>
      <c r="L365" s="3">
        <f t="shared" si="30"/>
        <v>1</v>
      </c>
      <c r="M365" s="21">
        <v>0.24833629343146826</v>
      </c>
      <c r="N365" s="21" cm="1">
        <f t="array" ref="N365">SUMPRODUCT(
    (Transactions_and_Customer_Information_Joined[Customer ID]=$A365)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65" s="21" cm="1">
        <f t="array" ref="O365">IFERROR(
    SUMPRODUCT(
        (Transactions_and_Customer_Information_Joined[Customer ID]=$A365)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$J365,
0)</f>
        <v>0.24833629343146826</v>
      </c>
      <c r="P365" s="5" cm="1">
        <f t="array" ref="P365">_xlfn.IFS(B365="At-Risk Churner",$B$2,$B365="Dormant",$B$3,$B365="Deal Hunter",$B$4,$B365="New Customer",$B$5,$B365="Occasional Buyer",$B$6,$B365="Loyal High-Value",$B$7)</f>
        <v>35</v>
      </c>
      <c r="Q365" s="9" cm="1">
        <f t="array" ref="Q365">_xlfn.IFS($B365 = "At-Risk Churner", $B$8, $B365="Dormant",$B$9, $B365="Deal Hunter", $B$10, $B365="New Customer", $B$11, $B365="Occasional Buyer", $B$12, $B365 = "Loyal High-Value",$B$13)</f>
        <v>0.35</v>
      </c>
      <c r="R365" s="5">
        <v>15</v>
      </c>
      <c r="S365" s="5">
        <v>10</v>
      </c>
      <c r="T365" s="5">
        <v>-5</v>
      </c>
      <c r="U365" s="5">
        <f t="shared" si="31"/>
        <v>15</v>
      </c>
      <c r="V365" s="5">
        <f t="shared" si="32"/>
        <v>9.9334517372587303</v>
      </c>
      <c r="W365" s="43">
        <f t="shared" si="33"/>
        <v>80.620951737258736</v>
      </c>
      <c r="X365" s="5" t="str" cm="1">
        <f t="array" ref="X365">_xlfn.IFS($W365 &lt;= 30, "Low", $W365 &lt;=50, "Medium", $W365 &lt;= 70, "High", $W365 &gt; 70, "Critical")</f>
        <v>Critical</v>
      </c>
      <c r="Y365" s="9">
        <f t="shared" si="34"/>
        <v>0.33435564635858156</v>
      </c>
      <c r="Z365" s="22">
        <f t="shared" si="35"/>
        <v>49.30742716850002</v>
      </c>
    </row>
    <row r="366" spans="1:26">
      <c r="A366" s="24" t="str">
        <v>CUST-2910</v>
      </c>
      <c r="B366" s="24" t="str">
        <v>New Customer</v>
      </c>
      <c r="C366" s="24" t="str">
        <v>Direct</v>
      </c>
      <c r="D366" s="24" t="str">
        <v>Canada</v>
      </c>
      <c r="E366" s="24" t="str">
        <v>55+</v>
      </c>
      <c r="F366" s="24" t="str">
        <v>Medium</v>
      </c>
      <c r="G366" s="24">
        <v>1</v>
      </c>
      <c r="H366" s="24">
        <v>344</v>
      </c>
      <c r="I366" s="23">
        <v>110.04</v>
      </c>
      <c r="J366" s="24" cm="1">
        <f t="array" ref="J366">SUMPRODUCT(
    (Transactions_and_Customer_Information_Joined[Customer ID]='V1-Based Churn Model (Step 3)'!$A366) *
    (IFERROR(_xlfn.XLOOKUP(Transactions_and_Customer_Information_Joined[SKU], 'V1 Pricing Model (Step 2)'!$A$22:$A$71, 'V1 Pricing Model (Step 2)'!$AL$22:$AL$71), "Exclude")&lt;&gt;"Exclude") *
    Transactions_and_Customer_Information_Joined[Gross Revenue])</f>
        <v>282.74</v>
      </c>
      <c r="K366" s="24">
        <f>SUMIF(Transactions_and_Customer_Information_Joined[Customer ID], 'V1-Based Churn Model (Step 3)'!$A366, Transactions_and_Customer_Information_Joined[Gross Revenue])</f>
        <v>282.74</v>
      </c>
      <c r="L366" s="3">
        <f t="shared" si="30"/>
        <v>1</v>
      </c>
      <c r="M366" s="21">
        <v>0.25581555939754186</v>
      </c>
      <c r="N366" s="21" cm="1">
        <f t="array" ref="N366">SUMPRODUCT(
    (Transactions_and_Customer_Information_Joined[Customer ID]=$A366)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2</v>
      </c>
      <c r="O366" s="21" cm="1">
        <f t="array" ref="O366">IFERROR(
    SUMPRODUCT(
        (Transactions_and_Customer_Information_Joined[Customer ID]=$A366)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$J366,
0)</f>
        <v>0.15463008549984089</v>
      </c>
      <c r="P366" s="5" cm="1">
        <f t="array" ref="P366">_xlfn.IFS(B366="At-Risk Churner",$B$2,$B366="Dormant",$B$3,$B366="Deal Hunter",$B$4,$B366="New Customer",$B$5,$B366="Occasional Buyer",$B$6,$B366="Loyal High-Value",$B$7)</f>
        <v>35</v>
      </c>
      <c r="Q366" s="9" cm="1">
        <f t="array" ref="Q366">_xlfn.IFS($B366 = "At-Risk Churner", $B$8, $B366="Dormant",$B$9, $B366="Deal Hunter", $B$10, $B366="New Customer", $B$11, $B366="Occasional Buyer", $B$12, $B366 = "Loyal High-Value",$B$13)</f>
        <v>0.35</v>
      </c>
      <c r="R366" s="5">
        <v>5</v>
      </c>
      <c r="S366" s="5">
        <v>10</v>
      </c>
      <c r="T366" s="5">
        <v>15</v>
      </c>
      <c r="U366" s="5">
        <f t="shared" si="31"/>
        <v>15</v>
      </c>
      <c r="V366" s="5">
        <f t="shared" si="32"/>
        <v>8.2089128979476556</v>
      </c>
      <c r="W366" s="43">
        <f t="shared" si="33"/>
        <v>88.671412897947647</v>
      </c>
      <c r="X366" s="5" t="str" cm="1">
        <f t="array" ref="X366">_xlfn.IFS($W366 &lt;= 30, "Low", $W366 &lt;=50, "Medium", $W366 &lt;= 70, "High", $W366 &gt; 70, "Critical")</f>
        <v>Critical</v>
      </c>
      <c r="Y366" s="9">
        <f t="shared" si="34"/>
        <v>0.34282868126939248</v>
      </c>
      <c r="Z366" s="22">
        <f t="shared" si="35"/>
        <v>37.724868086883951</v>
      </c>
    </row>
    <row r="367" spans="1:26">
      <c r="A367" s="24" t="str">
        <v>CUST-2803</v>
      </c>
      <c r="B367" s="24" t="str">
        <v>Loyal High-Value</v>
      </c>
      <c r="C367" s="24" t="str">
        <v>Referral</v>
      </c>
      <c r="D367" s="24" t="str">
        <v>Canada</v>
      </c>
      <c r="E367" s="24" t="str">
        <v>55+</v>
      </c>
      <c r="F367" s="24" t="str">
        <v>High</v>
      </c>
      <c r="G367" s="24">
        <v>1</v>
      </c>
      <c r="H367" s="24">
        <v>245</v>
      </c>
      <c r="I367" s="23">
        <v>1209.3399999999999</v>
      </c>
      <c r="J367" s="24" cm="1">
        <f t="array" ref="J367">SUMPRODUCT(
    (Transactions_and_Customer_Information_Joined[Customer ID]='V1-Based Churn Model (Step 3)'!$A367) *
    (IFERROR(_xlfn.XLOOKUP(Transactions_and_Customer_Information_Joined[SKU], 'V1 Pricing Model (Step 2)'!$A$22:$A$71, 'V1 Pricing Model (Step 2)'!$AL$22:$AL$71), "Exclude")&lt;&gt;"Exclude") *
    Transactions_and_Customer_Information_Joined[Gross Revenue])</f>
        <v>759.96</v>
      </c>
      <c r="K367" s="24">
        <f>SUMIF(Transactions_and_Customer_Information_Joined[Customer ID], 'V1-Based Churn Model (Step 3)'!$A367, Transactions_and_Customer_Information_Joined[Gross Revenue])</f>
        <v>759.96</v>
      </c>
      <c r="L367" s="3">
        <f t="shared" si="30"/>
        <v>1</v>
      </c>
      <c r="M367" s="21">
        <v>0.22185784964769206</v>
      </c>
      <c r="N367" s="21" cm="1">
        <f t="array" ref="N367">SUMPRODUCT(
    (Transactions_and_Customer_Information_Joined[Customer ID]=$A367)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67" s="21" cm="1">
        <f t="array" ref="O367">IFERROR(
    SUMPRODUCT(
        (Transactions_and_Customer_Information_Joined[Customer ID]=$A367)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$J367,
0)</f>
        <v>0.22185784964769206</v>
      </c>
      <c r="P367" s="5" cm="1">
        <f t="array" ref="P367">_xlfn.IFS(B367="At-Risk Churner",$B$2,$B367="Dormant",$B$3,$B367="Deal Hunter",$B$4,$B367="New Customer",$B$5,$B367="Occasional Buyer",$B$6,$B367="Loyal High-Value",$B$7)</f>
        <v>15</v>
      </c>
      <c r="Q367" s="9" cm="1">
        <f t="array" ref="Q367">_xlfn.IFS($B367 = "At-Risk Churner", $B$8, $B367="Dormant",$B$9, $B367="Deal Hunter", $B$10, $B367="New Customer", $B$11, $B367="Occasional Buyer", $B$12, $B367 = "Loyal High-Value",$B$13)</f>
        <v>0.05</v>
      </c>
      <c r="R367" s="5">
        <v>15</v>
      </c>
      <c r="S367" s="5">
        <v>10</v>
      </c>
      <c r="T367" s="5">
        <v>8</v>
      </c>
      <c r="U367" s="5">
        <f t="shared" si="31"/>
        <v>15</v>
      </c>
      <c r="V367" s="5">
        <f t="shared" si="32"/>
        <v>8.8743139859076834</v>
      </c>
      <c r="W367" s="43">
        <f t="shared" si="33"/>
        <v>72.361813985907702</v>
      </c>
      <c r="X367" s="5" t="str" cm="1">
        <f t="array" ref="X367">_xlfn.IFS($W367 &lt;= 30, "Low", $W367 &lt;=50, "Medium", $W367 &lt;= 70, "High", $W367 &gt; 70, "Critical")</f>
        <v>Critical</v>
      </c>
      <c r="Y367" s="9">
        <f t="shared" si="34"/>
        <v>4.5172594376957073E-2</v>
      </c>
      <c r="Z367" s="22">
        <f t="shared" si="35"/>
        <v>54.629025283829264</v>
      </c>
    </row>
    <row r="368" spans="1:26">
      <c r="A368" s="24" t="str">
        <v>CUST-4330</v>
      </c>
      <c r="B368" s="24" t="str">
        <v>At-Risk Churner</v>
      </c>
      <c r="C368" s="24" t="str">
        <v>Influencer</v>
      </c>
      <c r="D368" s="24" t="str">
        <v>Northeast</v>
      </c>
      <c r="E368" s="24" t="str">
        <v>55+</v>
      </c>
      <c r="F368" s="24" t="str">
        <v>High</v>
      </c>
      <c r="G368" s="24">
        <v>4</v>
      </c>
      <c r="H368" s="24">
        <v>342</v>
      </c>
      <c r="I368" s="23">
        <v>136.88999999999999</v>
      </c>
      <c r="J368" s="24" cm="1">
        <f t="array" ref="J368">SUMPRODUCT(
    (Transactions_and_Customer_Information_Joined[Customer ID]='V1-Based Churn Model (Step 3)'!$A368) *
    (IFERROR(_xlfn.XLOOKUP(Transactions_and_Customer_Information_Joined[SKU], 'V1 Pricing Model (Step 2)'!$A$22:$A$71, 'V1 Pricing Model (Step 2)'!$AL$22:$AL$71), "Exclude")&lt;&gt;"Exclude") *
    Transactions_and_Customer_Information_Joined[Gross Revenue])</f>
        <v>641.4</v>
      </c>
      <c r="K368" s="24">
        <f>SUMIF(Transactions_and_Customer_Information_Joined[Customer ID], 'V1-Based Churn Model (Step 3)'!$A368, Transactions_and_Customer_Information_Joined[Gross Revenue])</f>
        <v>641.4</v>
      </c>
      <c r="L368" s="3">
        <f t="shared" si="30"/>
        <v>1</v>
      </c>
      <c r="M368" s="21">
        <v>0.13680891237597953</v>
      </c>
      <c r="N368" s="21" cm="1">
        <f t="array" ref="N368">SUMPRODUCT(
    (Transactions_and_Customer_Information_Joined[Customer ID]=$A368)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68" s="21" cm="1">
        <f t="array" ref="O368">IFERROR(
    SUMPRODUCT(
        (Transactions_and_Customer_Information_Joined[Customer ID]=$A368)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$J368,
0)</f>
        <v>0.13680891237597953</v>
      </c>
      <c r="P368" s="5" cm="1">
        <f t="array" ref="P368">_xlfn.IFS(B368="At-Risk Churner",$B$2,$B368="Dormant",$B$3,$B368="Deal Hunter",$B$4,$B368="New Customer",$B$5,$B368="Occasional Buyer",$B$6,$B368="Loyal High-Value",$B$7)</f>
        <v>70</v>
      </c>
      <c r="Q368" s="9" cm="1">
        <f t="array" ref="Q368">_xlfn.IFS($B368 = "At-Risk Churner", $B$8, $B368="Dormant",$B$9, $B368="Deal Hunter", $B$10, $B368="New Customer", $B$11, $B368="Occasional Buyer", $B$12, $B368 = "Loyal High-Value",$B$13)</f>
        <v>0.45</v>
      </c>
      <c r="R368" s="5">
        <v>15</v>
      </c>
      <c r="S368" s="5">
        <v>0</v>
      </c>
      <c r="T368" s="5">
        <v>15</v>
      </c>
      <c r="U368" s="5">
        <f t="shared" si="31"/>
        <v>15</v>
      </c>
      <c r="V368" s="5">
        <f t="shared" si="32"/>
        <v>5.4723564950391808</v>
      </c>
      <c r="W368" s="43">
        <f t="shared" si="33"/>
        <v>100</v>
      </c>
      <c r="X368" s="5" t="str" cm="1">
        <f t="array" ref="X368">_xlfn.IFS($W368 &lt;= 30, "Low", $W368 &lt;=50, "Medium", $W368 &lt;= 70, "High", $W368 &gt; 70, "Critical")</f>
        <v>Critical</v>
      </c>
      <c r="Y368" s="9">
        <f t="shared" si="34"/>
        <v>0.44698821708407188</v>
      </c>
      <c r="Z368" s="22">
        <f t="shared" si="35"/>
        <v>61.188217036638591</v>
      </c>
    </row>
    <row r="369" spans="1:26">
      <c r="A369" s="24" t="str">
        <v>CUST-1491</v>
      </c>
      <c r="B369" s="24" t="str">
        <v>Dormant</v>
      </c>
      <c r="C369" s="24" t="str">
        <v>Paid Social</v>
      </c>
      <c r="D369" s="24" t="str">
        <v>Midwest</v>
      </c>
      <c r="E369" s="24" t="str">
        <v>55+</v>
      </c>
      <c r="F369" s="24" t="str">
        <v>Medium</v>
      </c>
      <c r="G369" s="24">
        <v>7</v>
      </c>
      <c r="H369" s="24">
        <v>268</v>
      </c>
      <c r="I369" s="23">
        <v>90.93</v>
      </c>
      <c r="J369" s="24" cm="1">
        <f t="array" ref="J369">SUMPRODUCT(
    (Transactions_and_Customer_Information_Joined[Customer ID]='V1-Based Churn Model (Step 3)'!$A369) *
    (IFERROR(_xlfn.XLOOKUP(Transactions_and_Customer_Information_Joined[SKU], 'V1 Pricing Model (Step 2)'!$A$22:$A$71, 'V1 Pricing Model (Step 2)'!$AL$22:$AL$71), "Exclude")&lt;&gt;"Exclude") *
    Transactions_and_Customer_Information_Joined[Gross Revenue])</f>
        <v>289.92</v>
      </c>
      <c r="K369" s="24">
        <f>SUMIF(Transactions_and_Customer_Information_Joined[Customer ID], 'V1-Based Churn Model (Step 3)'!$A369, Transactions_and_Customer_Information_Joined[Gross Revenue])</f>
        <v>289.92</v>
      </c>
      <c r="L369" s="3">
        <f t="shared" si="30"/>
        <v>1</v>
      </c>
      <c r="M369" s="21">
        <v>9.1108129362620652E-2</v>
      </c>
      <c r="N369" s="21" cm="1">
        <f t="array" ref="N369">SUMPRODUCT(
    (Transactions_and_Customer_Information_Joined[Customer ID]=$A369)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69" s="21" cm="1">
        <f t="array" ref="O369">IFERROR(
    SUMPRODUCT(
        (Transactions_and_Customer_Information_Joined[Customer ID]=$A369)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$J369,
0)</f>
        <v>7.5723534612758187E-2</v>
      </c>
      <c r="P369" s="5" cm="1">
        <f t="array" ref="P369">_xlfn.IFS(B369="At-Risk Churner",$B$2,$B369="Dormant",$B$3,$B369="Deal Hunter",$B$4,$B369="New Customer",$B$5,$B369="Occasional Buyer",$B$6,$B369="Loyal High-Value",$B$7)</f>
        <v>65</v>
      </c>
      <c r="Q369" s="9" cm="1">
        <f t="array" ref="Q369">_xlfn.IFS($B369 = "At-Risk Churner", $B$8, $B369="Dormant",$B$9, $B369="Deal Hunter", $B$10, $B369="New Customer", $B$11, $B369="Occasional Buyer", $B$12, $B369 = "Loyal High-Value",$B$13)</f>
        <v>0.6</v>
      </c>
      <c r="R369" s="5">
        <v>5</v>
      </c>
      <c r="S369" s="5">
        <v>-8</v>
      </c>
      <c r="T369" s="5">
        <v>8</v>
      </c>
      <c r="U369" s="5">
        <f t="shared" si="31"/>
        <v>15</v>
      </c>
      <c r="V369" s="5">
        <f t="shared" si="32"/>
        <v>3.3366332795075766</v>
      </c>
      <c r="W369" s="43">
        <f t="shared" si="33"/>
        <v>87.929133279507582</v>
      </c>
      <c r="X369" s="5" t="str" cm="1">
        <f t="array" ref="X369">_xlfn.IFS($W369 &lt;= 30, "Low", $W369 &lt;=50, "Medium", $W369 &lt;= 70, "High", $W369 &gt; 70, "Critical")</f>
        <v>Critical</v>
      </c>
      <c r="Y369" s="9">
        <f t="shared" si="34"/>
        <v>0.58677992501127085</v>
      </c>
      <c r="Z369" s="22">
        <f t="shared" si="35"/>
        <v>53.355898581274865</v>
      </c>
    </row>
    <row r="370" spans="1:26">
      <c r="A370" s="24" t="str">
        <v>CUST-1586</v>
      </c>
      <c r="B370" s="24" t="str">
        <v>At-Risk Churner</v>
      </c>
      <c r="C370" s="24" t="str">
        <v>Paid Social</v>
      </c>
      <c r="D370" s="24" t="str">
        <v>Midwest</v>
      </c>
      <c r="E370" s="24" t="str">
        <v>55+</v>
      </c>
      <c r="F370" s="24" t="str">
        <v>High</v>
      </c>
      <c r="G370" s="24">
        <v>1</v>
      </c>
      <c r="H370" s="24">
        <v>23</v>
      </c>
      <c r="I370" s="23">
        <v>296.76</v>
      </c>
      <c r="J370" s="24" cm="1">
        <f t="array" ref="J370">SUMPRODUCT(
    (Transactions_and_Customer_Information_Joined[Customer ID]='V1-Based Churn Model (Step 3)'!$A370) *
    (IFERROR(_xlfn.XLOOKUP(Transactions_and_Customer_Information_Joined[SKU], 'V1 Pricing Model (Step 2)'!$A$22:$A$71, 'V1 Pricing Model (Step 2)'!$AL$22:$AL$71), "Exclude")&lt;&gt;"Exclude") *
    Transactions_and_Customer_Information_Joined[Gross Revenue])</f>
        <v>298.02</v>
      </c>
      <c r="K370" s="24">
        <f>SUMIF(Transactions_and_Customer_Information_Joined[Customer ID], 'V1-Based Churn Model (Step 3)'!$A370, Transactions_and_Customer_Information_Joined[Gross Revenue])</f>
        <v>298.02</v>
      </c>
      <c r="L370" s="3">
        <f t="shared" si="30"/>
        <v>1</v>
      </c>
      <c r="M370" s="21">
        <v>1.4049546680818285E-2</v>
      </c>
      <c r="N370" s="21" cm="1">
        <f t="array" ref="N370">SUMPRODUCT(
    (Transactions_and_Customer_Information_Joined[Customer ID]=$A370)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70" s="21" cm="1">
        <f t="array" ref="O370">IFERROR(
    SUMPRODUCT(
        (Transactions_and_Customer_Information_Joined[Customer ID]=$A370)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$J370,
0)</f>
        <v>1.4049546680818283E-2</v>
      </c>
      <c r="P370" s="5" cm="1">
        <f t="array" ref="P370">_xlfn.IFS(B370="At-Risk Churner",$B$2,$B370="Dormant",$B$3,$B370="Deal Hunter",$B$4,$B370="New Customer",$B$5,$B370="Occasional Buyer",$B$6,$B370="Loyal High-Value",$B$7)</f>
        <v>70</v>
      </c>
      <c r="Q370" s="9" cm="1">
        <f t="array" ref="Q370">_xlfn.IFS($B370 = "At-Risk Churner", $B$8, $B370="Dormant",$B$9, $B370="Deal Hunter", $B$10, $B370="New Customer", $B$11, $B370="Occasional Buyer", $B$12, $B370 = "Loyal High-Value",$B$13)</f>
        <v>0.45</v>
      </c>
      <c r="R370" s="5">
        <v>15</v>
      </c>
      <c r="S370" s="5">
        <v>10</v>
      </c>
      <c r="T370" s="5">
        <v>-5</v>
      </c>
      <c r="U370" s="5">
        <f t="shared" si="31"/>
        <v>15</v>
      </c>
      <c r="V370" s="5">
        <f t="shared" si="32"/>
        <v>0.56198186723273136</v>
      </c>
      <c r="W370" s="43">
        <f t="shared" si="33"/>
        <v>100</v>
      </c>
      <c r="X370" s="5" t="str" cm="1">
        <f t="array" ref="X370">_xlfn.IFS($W370 &lt;= 30, "Low", $W370 &lt;=50, "Medium", $W370 &lt;= 70, "High", $W370 &gt; 70, "Critical")</f>
        <v>Critical</v>
      </c>
      <c r="Y370" s="9">
        <f t="shared" si="34"/>
        <v>0.44698821708407188</v>
      </c>
      <c r="Z370" s="22">
        <f t="shared" si="35"/>
        <v>132.64822330186917</v>
      </c>
    </row>
    <row r="371" spans="1:26">
      <c r="A371" s="24" t="str">
        <v>CUST-3712</v>
      </c>
      <c r="B371" s="24" t="str">
        <v>Loyal High-Value</v>
      </c>
      <c r="C371" s="24" t="str">
        <v>Organic Search</v>
      </c>
      <c r="D371" s="24" t="str">
        <v>UK</v>
      </c>
      <c r="E371" s="24" t="str">
        <v>55+</v>
      </c>
      <c r="F371" s="24" t="str">
        <v>Low</v>
      </c>
      <c r="G371" s="24">
        <v>9</v>
      </c>
      <c r="H371" s="24">
        <v>11</v>
      </c>
      <c r="I371" s="23">
        <v>969.41</v>
      </c>
      <c r="J371" s="24" cm="1">
        <f t="array" ref="J371">SUMPRODUCT(
    (Transactions_and_Customer_Information_Joined[Customer ID]='V1-Based Churn Model (Step 3)'!$A371) *
    (IFERROR(_xlfn.XLOOKUP(Transactions_and_Customer_Information_Joined[SKU], 'V1 Pricing Model (Step 2)'!$A$22:$A$71, 'V1 Pricing Model (Step 2)'!$AL$22:$AL$71), "Exclude")&lt;&gt;"Exclude") *
    Transactions_and_Customer_Information_Joined[Gross Revenue])</f>
        <v>389.74</v>
      </c>
      <c r="K371" s="24">
        <f>SUMIF(Transactions_and_Customer_Information_Joined[Customer ID], 'V1-Based Churn Model (Step 3)'!$A371, Transactions_and_Customer_Information_Joined[Gross Revenue])</f>
        <v>389.74</v>
      </c>
      <c r="L371" s="3">
        <f t="shared" si="30"/>
        <v>1</v>
      </c>
      <c r="M371" s="21">
        <v>0.14790650353694867</v>
      </c>
      <c r="N371" s="21" cm="1">
        <f t="array" ref="N371">SUMPRODUCT(
    (Transactions_and_Customer_Information_Joined[Customer ID]=$A371)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71" s="21" cm="1">
        <f t="array" ref="O371">IFERROR(
    SUMPRODUCT(
        (Transactions_and_Customer_Information_Joined[Customer ID]=$A371)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$J371,
0)</f>
        <v>0.14790650353694867</v>
      </c>
      <c r="P371" s="5" cm="1">
        <f t="array" ref="P371">_xlfn.IFS(B371="At-Risk Churner",$B$2,$B371="Dormant",$B$3,$B371="Deal Hunter",$B$4,$B371="New Customer",$B$5,$B371="Occasional Buyer",$B$6,$B371="Loyal High-Value",$B$7)</f>
        <v>15</v>
      </c>
      <c r="Q371" s="9" cm="1">
        <f t="array" ref="Q371">_xlfn.IFS($B371 = "At-Risk Churner", $B$8, $B371="Dormant",$B$9, $B371="Deal Hunter", $B$10, $B371="New Customer", $B$11, $B371="Occasional Buyer", $B$12, $B371 = "Loyal High-Value",$B$13)</f>
        <v>0.05</v>
      </c>
      <c r="R371" s="5">
        <v>-5</v>
      </c>
      <c r="S371" s="5">
        <v>-8</v>
      </c>
      <c r="T371" s="5">
        <v>-5</v>
      </c>
      <c r="U371" s="5">
        <f t="shared" si="31"/>
        <v>15</v>
      </c>
      <c r="V371" s="5">
        <f t="shared" si="32"/>
        <v>5.916260141477947</v>
      </c>
      <c r="W371" s="43">
        <f t="shared" si="33"/>
        <v>17.683760141477947</v>
      </c>
      <c r="X371" s="5" t="str" cm="1">
        <f t="array" ref="X371">_xlfn.IFS($W371 &lt;= 30, "Low", $W371 &lt;=50, "Medium", $W371 &lt;= 70, "High", $W371 &gt; 70, "Critical")</f>
        <v>Low</v>
      </c>
      <c r="Y371" s="9">
        <f t="shared" si="34"/>
        <v>1.8996423411756812E-3</v>
      </c>
      <c r="Z371" s="22">
        <f t="shared" si="35"/>
        <v>1.8415322819591171</v>
      </c>
    </row>
    <row r="372" spans="1:26">
      <c r="A372" s="24" t="str">
        <v>CUST-3492</v>
      </c>
      <c r="B372" s="24" t="str">
        <v>Occasional Buyer</v>
      </c>
      <c r="C372" s="24" t="str">
        <v>Referral</v>
      </c>
      <c r="D372" s="24" t="str">
        <v>UK</v>
      </c>
      <c r="E372" s="24" t="str">
        <v>55+</v>
      </c>
      <c r="F372" s="24" t="str">
        <v>Low</v>
      </c>
      <c r="G372" s="24">
        <v>8</v>
      </c>
      <c r="H372" s="24">
        <v>7</v>
      </c>
      <c r="I372" s="23">
        <v>666.32</v>
      </c>
      <c r="J372" s="24" cm="1">
        <f t="array" ref="J372">SUMPRODUCT(
    (Transactions_and_Customer_Information_Joined[Customer ID]='V1-Based Churn Model (Step 3)'!$A372) *
    (IFERROR(_xlfn.XLOOKUP(Transactions_and_Customer_Information_Joined[SKU], 'V1 Pricing Model (Step 2)'!$A$22:$A$71, 'V1 Pricing Model (Step 2)'!$AL$22:$AL$71), "Exclude")&lt;&gt;"Exclude") *
    Transactions_and_Customer_Information_Joined[Gross Revenue])</f>
        <v>315.36</v>
      </c>
      <c r="K372" s="24">
        <f>SUMIF(Transactions_and_Customer_Information_Joined[Customer ID], 'V1-Based Churn Model (Step 3)'!$A372, Transactions_and_Customer_Information_Joined[Gross Revenue])</f>
        <v>315.36</v>
      </c>
      <c r="L372" s="3">
        <f t="shared" si="30"/>
        <v>1</v>
      </c>
      <c r="M372" s="21">
        <v>9.1108129362620652E-2</v>
      </c>
      <c r="N372" s="21" cm="1">
        <f t="array" ref="N372">SUMPRODUCT(
    (Transactions_and_Customer_Information_Joined[Customer ID]=$A372)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72" s="21" cm="1">
        <f t="array" ref="O372">IFERROR(
    SUMPRODUCT(
        (Transactions_and_Customer_Information_Joined[Customer ID]=$A372)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$J372,
0)</f>
        <v>9.1108129362620652E-2</v>
      </c>
      <c r="P372" s="5" cm="1">
        <f t="array" ref="P372">_xlfn.IFS(B372="At-Risk Churner",$B$2,$B372="Dormant",$B$3,$B372="Deal Hunter",$B$4,$B372="New Customer",$B$5,$B372="Occasional Buyer",$B$6,$B372="Loyal High-Value",$B$7)</f>
        <v>25</v>
      </c>
      <c r="Q372" s="9" cm="1">
        <f t="array" ref="Q372">_xlfn.IFS($B372 = "At-Risk Churner", $B$8, $B372="Dormant",$B$9, $B372="Deal Hunter", $B$10, $B372="New Customer", $B$11, $B372="Occasional Buyer", $B$12, $B372 = "Loyal High-Value",$B$13)</f>
        <v>0.18</v>
      </c>
      <c r="R372" s="5">
        <v>-5</v>
      </c>
      <c r="S372" s="5">
        <v>-8</v>
      </c>
      <c r="T372" s="5">
        <v>-5</v>
      </c>
      <c r="U372" s="5">
        <f t="shared" si="31"/>
        <v>15</v>
      </c>
      <c r="V372" s="5">
        <f t="shared" si="32"/>
        <v>3.644325174504826</v>
      </c>
      <c r="W372" s="43">
        <f t="shared" si="33"/>
        <v>25.331825174504825</v>
      </c>
      <c r="X372" s="5" t="str" cm="1">
        <f t="array" ref="X372">_xlfn.IFS($W372 &lt;= 30, "Low", $W372 &lt;=50, "Medium", $W372 &lt;= 70, "High", $W372 &gt; 70, "Critical")</f>
        <v>Low</v>
      </c>
      <c r="Y372" s="9">
        <f t="shared" si="34"/>
        <v>1.4079129303874553E-2</v>
      </c>
      <c r="Z372" s="22">
        <f t="shared" si="35"/>
        <v>9.3812054377576928</v>
      </c>
    </row>
    <row r="373" spans="1:26">
      <c r="A373" s="24" t="str">
        <v>CUST-4573</v>
      </c>
      <c r="B373" s="24" t="str">
        <v>At-Risk Churner</v>
      </c>
      <c r="C373" s="24" t="str">
        <v>Organic Search</v>
      </c>
      <c r="D373" s="24" t="str">
        <v>West</v>
      </c>
      <c r="E373" s="24" t="str">
        <v>18-24</v>
      </c>
      <c r="F373" s="24" t="str">
        <v>Medium</v>
      </c>
      <c r="G373" s="24">
        <v>8</v>
      </c>
      <c r="H373" s="24">
        <v>15</v>
      </c>
      <c r="I373" s="23">
        <v>330.05</v>
      </c>
      <c r="J373" s="24" cm="1">
        <f t="array" ref="J373">SUMPRODUCT(
    (Transactions_and_Customer_Information_Joined[Customer ID]='V1-Based Churn Model (Step 3)'!$A373) *
    (IFERROR(_xlfn.XLOOKUP(Transactions_and_Customer_Information_Joined[SKU], 'V1 Pricing Model (Step 2)'!$A$22:$A$71, 'V1 Pricing Model (Step 2)'!$AL$22:$AL$71), "Exclude")&lt;&gt;"Exclude") *
    Transactions_and_Customer_Information_Joined[Gross Revenue])</f>
        <v>157.68</v>
      </c>
      <c r="K373" s="24">
        <f>SUMIF(Transactions_and_Customer_Information_Joined[Customer ID], 'V1-Based Churn Model (Step 3)'!$A373, Transactions_and_Customer_Information_Joined[Gross Revenue])</f>
        <v>157.68</v>
      </c>
      <c r="L373" s="3">
        <f t="shared" si="30"/>
        <v>1</v>
      </c>
      <c r="M373" s="21">
        <v>9.1108129362620652E-2</v>
      </c>
      <c r="N373" s="21" cm="1">
        <f t="array" ref="N373">SUMPRODUCT(
    (Transactions_and_Customer_Information_Joined[Customer ID]=$A373)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73" s="21" cm="1">
        <f t="array" ref="O373">IFERROR(
    SUMPRODUCT(
        (Transactions_and_Customer_Information_Joined[Customer ID]=$A373)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$J373,
0)</f>
        <v>9.1108129362620652E-2</v>
      </c>
      <c r="P373" s="5" cm="1">
        <f t="array" ref="P373">_xlfn.IFS(B373="At-Risk Churner",$B$2,$B373="Dormant",$B$3,$B373="Deal Hunter",$B$4,$B373="New Customer",$B$5,$B373="Occasional Buyer",$B$6,$B373="Loyal High-Value",$B$7)</f>
        <v>70</v>
      </c>
      <c r="Q373" s="9" cm="1">
        <f t="array" ref="Q373">_xlfn.IFS($B373 = "At-Risk Churner", $B$8, $B373="Dormant",$B$9, $B373="Deal Hunter", $B$10, $B373="New Customer", $B$11, $B373="Occasional Buyer", $B$12, $B373 = "Loyal High-Value",$B$13)</f>
        <v>0.45</v>
      </c>
      <c r="R373" s="5">
        <v>5</v>
      </c>
      <c r="S373" s="5">
        <v>-8</v>
      </c>
      <c r="T373" s="5">
        <v>-5</v>
      </c>
      <c r="U373" s="5">
        <f t="shared" si="31"/>
        <v>15</v>
      </c>
      <c r="V373" s="5">
        <f t="shared" si="32"/>
        <v>3.644325174504826</v>
      </c>
      <c r="W373" s="43">
        <f t="shared" si="33"/>
        <v>80.196825174504824</v>
      </c>
      <c r="X373" s="5" t="str" cm="1">
        <f t="array" ref="X373">_xlfn.IFS($W373 &lt;= 30, "Low", $W373 &lt;=50, "Medium", $W373 &lt;= 70, "High", $W373 &gt; 70, "Critical")</f>
        <v>Critical</v>
      </c>
      <c r="Y373" s="9">
        <f t="shared" si="34"/>
        <v>0.42905494719913823</v>
      </c>
      <c r="Z373" s="22">
        <f t="shared" si="35"/>
        <v>141.60958532307558</v>
      </c>
    </row>
    <row r="374" spans="1:26">
      <c r="A374" s="24" t="str">
        <v>CUST-2103</v>
      </c>
      <c r="B374" s="24" t="str">
        <v>New Customer</v>
      </c>
      <c r="C374" s="24" t="str">
        <v>Referral</v>
      </c>
      <c r="D374" s="24" t="str">
        <v>UK</v>
      </c>
      <c r="E374" s="24" t="str">
        <v>35-44</v>
      </c>
      <c r="F374" s="24" t="str">
        <v>Medium</v>
      </c>
      <c r="G374" s="24">
        <v>7</v>
      </c>
      <c r="H374" s="24">
        <v>233</v>
      </c>
      <c r="I374" s="23">
        <v>140</v>
      </c>
      <c r="J374" s="24" cm="1">
        <f t="array" ref="J374">SUMPRODUCT(
    (Transactions_and_Customer_Information_Joined[Customer ID]='V1-Based Churn Model (Step 3)'!$A374) *
    (IFERROR(_xlfn.XLOOKUP(Transactions_and_Customer_Information_Joined[SKU], 'V1 Pricing Model (Step 2)'!$A$22:$A$71, 'V1 Pricing Model (Step 2)'!$AL$22:$AL$71), "Exclude")&lt;&gt;"Exclude") *
    Transactions_and_Customer_Information_Joined[Gross Revenue])</f>
        <v>641.4</v>
      </c>
      <c r="K374" s="24">
        <f>SUMIF(Transactions_and_Customer_Information_Joined[Customer ID], 'V1-Based Churn Model (Step 3)'!$A374, Transactions_and_Customer_Information_Joined[Gross Revenue])</f>
        <v>641.4</v>
      </c>
      <c r="L374" s="3">
        <f t="shared" si="30"/>
        <v>1</v>
      </c>
      <c r="M374" s="21">
        <v>0.13680891237597953</v>
      </c>
      <c r="N374" s="21" cm="1">
        <f t="array" ref="N374">SUMPRODUCT(
    (Transactions_and_Customer_Information_Joined[Customer ID]=$A374)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74" s="21" cm="1">
        <f t="array" ref="O374">IFERROR(
    SUMPRODUCT(
        (Transactions_and_Customer_Information_Joined[Customer ID]=$A374)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$J374,
0)</f>
        <v>0.13680891237597953</v>
      </c>
      <c r="P374" s="5" cm="1">
        <f t="array" ref="P374">_xlfn.IFS(B374="At-Risk Churner",$B$2,$B374="Dormant",$B$3,$B374="Deal Hunter",$B$4,$B374="New Customer",$B$5,$B374="Occasional Buyer",$B$6,$B374="Loyal High-Value",$B$7)</f>
        <v>35</v>
      </c>
      <c r="Q374" s="9" cm="1">
        <f t="array" ref="Q374">_xlfn.IFS($B374 = "At-Risk Churner", $B$8, $B374="Dormant",$B$9, $B374="Deal Hunter", $B$10, $B374="New Customer", $B$11, $B374="Occasional Buyer", $B$12, $B374 = "Loyal High-Value",$B$13)</f>
        <v>0.35</v>
      </c>
      <c r="R374" s="5">
        <v>5</v>
      </c>
      <c r="S374" s="5">
        <v>-8</v>
      </c>
      <c r="T374" s="5">
        <v>8</v>
      </c>
      <c r="U374" s="5">
        <f t="shared" si="31"/>
        <v>15</v>
      </c>
      <c r="V374" s="5">
        <f t="shared" si="32"/>
        <v>5.4723564950391808</v>
      </c>
      <c r="W374" s="43">
        <f t="shared" si="33"/>
        <v>60.304856495039175</v>
      </c>
      <c r="X374" s="5" t="str" cm="1">
        <f t="array" ref="X374">_xlfn.IFS($W374 &lt;= 30, "Low", $W374 &lt;=50, "Medium", $W374 &lt;= 70, "High", $W374 &gt; 70, "Critical")</f>
        <v>High</v>
      </c>
      <c r="Y374" s="9">
        <f t="shared" si="34"/>
        <v>0.25795351340005712</v>
      </c>
      <c r="Z374" s="22">
        <f t="shared" si="35"/>
        <v>56.890793500806396</v>
      </c>
    </row>
    <row r="375" spans="1:26">
      <c r="A375" s="24" t="str">
        <v>CUST-2016</v>
      </c>
      <c r="B375" s="24" t="str">
        <v>Deal Hunter</v>
      </c>
      <c r="C375" s="24" t="str">
        <v>Paid Social</v>
      </c>
      <c r="D375" s="24" t="str">
        <v>Canada</v>
      </c>
      <c r="E375" s="24" t="str">
        <v>55+</v>
      </c>
      <c r="F375" s="24" t="str">
        <v>Medium</v>
      </c>
      <c r="G375" s="24">
        <v>0</v>
      </c>
      <c r="H375" s="24">
        <v>70</v>
      </c>
      <c r="I375" s="23">
        <v>489.75</v>
      </c>
      <c r="J375" s="24" cm="1">
        <f t="array" ref="J375">SUMPRODUCT(
    (Transactions_and_Customer_Information_Joined[Customer ID]='V1-Based Churn Model (Step 3)'!$A375) *
    (IFERROR(_xlfn.XLOOKUP(Transactions_and_Customer_Information_Joined[SKU], 'V1 Pricing Model (Step 2)'!$A$22:$A$71, 'V1 Pricing Model (Step 2)'!$AL$22:$AL$71), "Exclude")&lt;&gt;"Exclude") *
    Transactions_and_Customer_Information_Joined[Gross Revenue])</f>
        <v>379.04</v>
      </c>
      <c r="K375" s="24">
        <f>SUMIF(Transactions_and_Customer_Information_Joined[Customer ID], 'V1-Based Churn Model (Step 3)'!$A375, Transactions_and_Customer_Information_Joined[Gross Revenue])</f>
        <v>379.04</v>
      </c>
      <c r="L375" s="3">
        <f t="shared" si="30"/>
        <v>1</v>
      </c>
      <c r="M375" s="21">
        <v>1.2225679304209092E-2</v>
      </c>
      <c r="N375" s="21" cm="1">
        <f t="array" ref="N375">SUMPRODUCT(
    (Transactions_and_Customer_Information_Joined[Customer ID]=$A375)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75" s="21" cm="1">
        <f t="array" ref="O375">IFERROR(
    SUMPRODUCT(
        (Transactions_and_Customer_Information_Joined[Customer ID]=$A375)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$J375,
0)</f>
        <v>1.2225679304209092E-2</v>
      </c>
      <c r="P375" s="5" cm="1">
        <f t="array" ref="P375">_xlfn.IFS(B375="At-Risk Churner",$B$2,$B375="Dormant",$B$3,$B375="Deal Hunter",$B$4,$B375="New Customer",$B$5,$B375="Occasional Buyer",$B$6,$B375="Loyal High-Value",$B$7)</f>
        <v>45</v>
      </c>
      <c r="Q375" s="9" cm="1">
        <f t="array" ref="Q375">_xlfn.IFS($B375 = "At-Risk Churner", $B$8, $B375="Dormant",$B$9, $B375="Deal Hunter", $B$10, $B375="New Customer", $B$11, $B375="Occasional Buyer", $B$12, $B375 = "Loyal High-Value",$B$13)</f>
        <v>0.25</v>
      </c>
      <c r="R375" s="5">
        <v>5</v>
      </c>
      <c r="S375" s="5">
        <v>10</v>
      </c>
      <c r="T375" s="5">
        <v>0</v>
      </c>
      <c r="U375" s="5">
        <f t="shared" si="31"/>
        <v>15</v>
      </c>
      <c r="V375" s="5">
        <f t="shared" si="32"/>
        <v>0.48902717216836367</v>
      </c>
      <c r="W375" s="43">
        <f t="shared" si="33"/>
        <v>76.051527172168363</v>
      </c>
      <c r="X375" s="5" t="str" cm="1">
        <f t="array" ref="X375">_xlfn.IFS($W375 &lt;= 30, "Low", $W375 &lt;=50, "Medium", $W375 &lt;= 70, "High", $W375 &gt; 70, "Critical")</f>
        <v>Critical</v>
      </c>
      <c r="Y375" s="9">
        <f t="shared" si="34"/>
        <v>0.23279811611021248</v>
      </c>
      <c r="Z375" s="22">
        <f t="shared" si="35"/>
        <v>114.01287736497656</v>
      </c>
    </row>
    <row r="376" spans="1:26">
      <c r="A376" s="24" t="str">
        <v>CUST-2411</v>
      </c>
      <c r="B376" s="24" t="str">
        <v>New Customer</v>
      </c>
      <c r="C376" s="24" t="str">
        <v>Referral</v>
      </c>
      <c r="D376" s="24" t="str">
        <v>Canada</v>
      </c>
      <c r="E376" s="24" t="str">
        <v>25-34</v>
      </c>
      <c r="F376" s="24" t="str">
        <v>Low</v>
      </c>
      <c r="G376" s="24">
        <v>2</v>
      </c>
      <c r="H376" s="24">
        <v>158</v>
      </c>
      <c r="I376" s="23">
        <v>103.8</v>
      </c>
      <c r="J376" s="24" cm="1">
        <f t="array" ref="J376">SUMPRODUCT(
    (Transactions_and_Customer_Information_Joined[Customer ID]='V1-Based Churn Model (Step 3)'!$A376) *
    (IFERROR(_xlfn.XLOOKUP(Transactions_and_Customer_Information_Joined[SKU], 'V1 Pricing Model (Step 2)'!$A$22:$A$71, 'V1 Pricing Model (Step 2)'!$AL$22:$AL$71), "Exclude")&lt;&gt;"Exclude") *
    Transactions_and_Customer_Information_Joined[Gross Revenue])</f>
        <v>161.85000000000002</v>
      </c>
      <c r="K376" s="24">
        <f>SUMIF(Transactions_and_Customer_Information_Joined[Customer ID], 'V1-Based Churn Model (Step 3)'!$A376, Transactions_and_Customer_Information_Joined[Gross Revenue])</f>
        <v>161.85000000000002</v>
      </c>
      <c r="L376" s="3">
        <f t="shared" si="30"/>
        <v>1</v>
      </c>
      <c r="M376" s="21">
        <v>-6.3633334648082567E-3</v>
      </c>
      <c r="N376" s="21" cm="1">
        <f t="array" ref="N376">SUMPRODUCT(
    (Transactions_and_Customer_Information_Joined[Customer ID]=$A376)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76" s="21" cm="1">
        <f t="array" ref="O376">IFERROR(
    SUMPRODUCT(
        (Transactions_and_Customer_Information_Joined[Customer ID]=$A376)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$J376,
0)</f>
        <v>-6.3633334648082567E-3</v>
      </c>
      <c r="P376" s="5" cm="1">
        <f t="array" ref="P376">_xlfn.IFS(B376="At-Risk Churner",$B$2,$B376="Dormant",$B$3,$B376="Deal Hunter",$B$4,$B376="New Customer",$B$5,$B376="Occasional Buyer",$B$6,$B376="Loyal High-Value",$B$7)</f>
        <v>35</v>
      </c>
      <c r="Q376" s="9" cm="1">
        <f t="array" ref="Q376">_xlfn.IFS($B376 = "At-Risk Churner", $B$8, $B376="Dormant",$B$9, $B376="Deal Hunter", $B$10, $B376="New Customer", $B$11, $B376="Occasional Buyer", $B$12, $B376 = "Loyal High-Value",$B$13)</f>
        <v>0.35</v>
      </c>
      <c r="R376" s="5">
        <v>-5</v>
      </c>
      <c r="S376" s="5">
        <v>10</v>
      </c>
      <c r="T376" s="5">
        <v>0</v>
      </c>
      <c r="U376" s="5">
        <f t="shared" si="31"/>
        <v>15</v>
      </c>
      <c r="V376" s="5">
        <f t="shared" si="32"/>
        <v>0.25453333859233029</v>
      </c>
      <c r="W376" s="43">
        <f t="shared" si="33"/>
        <v>55.492033338592336</v>
      </c>
      <c r="X376" s="5" t="str" cm="1">
        <f t="array" ref="X376">_xlfn.IFS($W376 &lt;= 30, "Low", $W376 &lt;=50, "Medium", $W376 &lt;= 70, "High", $W376 &gt; 70, "Critical")</f>
        <v>High</v>
      </c>
      <c r="Y376" s="9">
        <f t="shared" si="34"/>
        <v>0.2218827585216408</v>
      </c>
      <c r="Z376" s="22">
        <f t="shared" si="35"/>
        <v>39.185144267637057</v>
      </c>
    </row>
    <row r="377" spans="1:26">
      <c r="A377" s="24" t="str">
        <v>CUST-2888</v>
      </c>
      <c r="B377" s="24" t="str">
        <v>Deal Hunter</v>
      </c>
      <c r="C377" s="24" t="str">
        <v>Referral</v>
      </c>
      <c r="D377" s="24" t="str">
        <v>Northeast</v>
      </c>
      <c r="E377" s="24" t="str">
        <v>25-34</v>
      </c>
      <c r="F377" s="24" t="str">
        <v>Medium</v>
      </c>
      <c r="G377" s="24">
        <v>4</v>
      </c>
      <c r="H377" s="24">
        <v>157</v>
      </c>
      <c r="I377" s="23">
        <v>368.64</v>
      </c>
      <c r="J377" s="24" cm="1">
        <f t="array" ref="J377">SUMPRODUCT(
    (Transactions_and_Customer_Information_Joined[Customer ID]='V1-Based Churn Model (Step 3)'!$A377) *
    (IFERROR(_xlfn.XLOOKUP(Transactions_and_Customer_Information_Joined[SKU], 'V1 Pricing Model (Step 2)'!$A$22:$A$71, 'V1 Pricing Model (Step 2)'!$AL$22:$AL$71), "Exclude")&lt;&gt;"Exclude") *
    Transactions_and_Customer_Information_Joined[Gross Revenue])</f>
        <v>26.61</v>
      </c>
      <c r="K377" s="24">
        <f>SUMIF(Transactions_and_Customer_Information_Joined[Customer ID], 'V1-Based Churn Model (Step 3)'!$A377, Transactions_and_Customer_Information_Joined[Gross Revenue])</f>
        <v>26.61</v>
      </c>
      <c r="L377" s="3">
        <f t="shared" si="30"/>
        <v>1</v>
      </c>
      <c r="M377" s="21">
        <v>0.10709640328514787</v>
      </c>
      <c r="N377" s="21" cm="1">
        <f t="array" ref="N377">SUMPRODUCT(
    (Transactions_and_Customer_Information_Joined[Customer ID]=$A377)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77" s="21" cm="1">
        <f t="array" ref="O377">IFERROR(
    SUMPRODUCT(
        (Transactions_and_Customer_Information_Joined[Customer ID]=$A377)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$J377,
0)</f>
        <v>0.10709640328514787</v>
      </c>
      <c r="P377" s="5" cm="1">
        <f t="array" ref="P377">_xlfn.IFS(B377="At-Risk Churner",$B$2,$B377="Dormant",$B$3,$B377="Deal Hunter",$B$4,$B377="New Customer",$B$5,$B377="Occasional Buyer",$B$6,$B377="Loyal High-Value",$B$7)</f>
        <v>45</v>
      </c>
      <c r="Q377" s="9" cm="1">
        <f t="array" ref="Q377">_xlfn.IFS($B377 = "At-Risk Churner", $B$8, $B377="Dormant",$B$9, $B377="Deal Hunter", $B$10, $B377="New Customer", $B$11, $B377="Occasional Buyer", $B$12, $B377 = "Loyal High-Value",$B$13)</f>
        <v>0.25</v>
      </c>
      <c r="R377" s="5">
        <v>5</v>
      </c>
      <c r="S377" s="5">
        <v>0</v>
      </c>
      <c r="T377" s="5">
        <v>0</v>
      </c>
      <c r="U377" s="5">
        <f t="shared" si="31"/>
        <v>15</v>
      </c>
      <c r="V377" s="5">
        <f t="shared" si="32"/>
        <v>4.2838561314059147</v>
      </c>
      <c r="W377" s="43">
        <f t="shared" si="33"/>
        <v>69.396356131405909</v>
      </c>
      <c r="X377" s="5" t="str" cm="1">
        <f t="array" ref="X377">_xlfn.IFS($W377 &lt;= 30, "Low", $W377 &lt;=50, "Medium", $W377 &lt;= 70, "High", $W377 &gt; 70, "Critical")</f>
        <v>High</v>
      </c>
      <c r="Y377" s="9">
        <f t="shared" si="34"/>
        <v>0.2185780265777644</v>
      </c>
      <c r="Z377" s="22">
        <f t="shared" si="35"/>
        <v>138.18928297410164</v>
      </c>
    </row>
    <row r="378" spans="1:26">
      <c r="A378" s="24" t="str">
        <v>CUST-4007</v>
      </c>
      <c r="B378" s="24" t="str">
        <v>Occasional Buyer</v>
      </c>
      <c r="C378" s="24" t="str">
        <v>Paid Social</v>
      </c>
      <c r="D378" s="24" t="str">
        <v>West</v>
      </c>
      <c r="E378" s="24" t="str">
        <v>45-54</v>
      </c>
      <c r="F378" s="24" t="str">
        <v>High</v>
      </c>
      <c r="G378" s="24">
        <v>2</v>
      </c>
      <c r="H378" s="24">
        <v>223</v>
      </c>
      <c r="I378" s="23">
        <v>599.54</v>
      </c>
      <c r="J378" s="24" cm="1">
        <f t="array" ref="J378">SUMPRODUCT(
    (Transactions_and_Customer_Information_Joined[Customer ID]='V1-Based Churn Model (Step 3)'!$A378) *
    (IFERROR(_xlfn.XLOOKUP(Transactions_and_Customer_Information_Joined[SKU], 'V1 Pricing Model (Step 2)'!$A$22:$A$71, 'V1 Pricing Model (Step 2)'!$AL$22:$AL$71), "Exclude")&lt;&gt;"Exclude") *
    Transactions_and_Customer_Information_Joined[Gross Revenue])</f>
        <v>725.31000000000006</v>
      </c>
      <c r="K378" s="24">
        <f>SUMIF(Transactions_and_Customer_Information_Joined[Customer ID], 'V1-Based Churn Model (Step 3)'!$A378, Transactions_and_Customer_Information_Joined[Gross Revenue])</f>
        <v>725.31000000000006</v>
      </c>
      <c r="L378" s="3">
        <f t="shared" si="30"/>
        <v>1</v>
      </c>
      <c r="M378" s="21">
        <v>0.22185784964769206</v>
      </c>
      <c r="N378" s="21" cm="1">
        <f t="array" ref="N378">SUMPRODUCT(
    (Transactions_and_Customer_Information_Joined[Customer ID]=$A378)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2</v>
      </c>
      <c r="O378" s="21" cm="1">
        <f t="array" ref="O378">IFERROR(
    SUMPRODUCT(
        (Transactions_and_Customer_Information_Joined[Customer ID]=$A378)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$J378,
0)</f>
        <v>0.14799989800609695</v>
      </c>
      <c r="P378" s="5" cm="1">
        <f t="array" ref="P378">_xlfn.IFS(B378="At-Risk Churner",$B$2,$B378="Dormant",$B$3,$B378="Deal Hunter",$B$4,$B378="New Customer",$B$5,$B378="Occasional Buyer",$B$6,$B378="Loyal High-Value",$B$7)</f>
        <v>25</v>
      </c>
      <c r="Q378" s="9" cm="1">
        <f t="array" ref="Q378">_xlfn.IFS($B378 = "At-Risk Churner", $B$8, $B378="Dormant",$B$9, $B378="Deal Hunter", $B$10, $B378="New Customer", $B$11, $B378="Occasional Buyer", $B$12, $B378 = "Loyal High-Value",$B$13)</f>
        <v>0.18</v>
      </c>
      <c r="R378" s="5">
        <v>15</v>
      </c>
      <c r="S378" s="5">
        <v>10</v>
      </c>
      <c r="T378" s="5">
        <v>8</v>
      </c>
      <c r="U378" s="5">
        <f t="shared" si="31"/>
        <v>15</v>
      </c>
      <c r="V378" s="5">
        <f t="shared" si="32"/>
        <v>7.3971549530757805</v>
      </c>
      <c r="W378" s="43">
        <f t="shared" si="33"/>
        <v>80.98465495307579</v>
      </c>
      <c r="X378" s="5" t="str" cm="1">
        <f t="array" ref="X378">_xlfn.IFS($W378 &lt;= 30, "Low", $W378 &lt;=50, "Medium", $W378 &lt;= 70, "High", $W378 &gt; 70, "Critical")</f>
        <v>Critical</v>
      </c>
      <c r="Y378" s="9">
        <f t="shared" si="34"/>
        <v>0.17222929269274143</v>
      </c>
      <c r="Z378" s="22">
        <f t="shared" si="35"/>
        <v>103.25835014100619</v>
      </c>
    </row>
    <row r="379" spans="1:26">
      <c r="A379" s="24" t="str">
        <v>CUST-4438</v>
      </c>
      <c r="B379" s="24" t="str">
        <v>Deal Hunter</v>
      </c>
      <c r="C379" s="24" t="str">
        <v>Organic Search</v>
      </c>
      <c r="D379" s="24" t="str">
        <v>Midwest</v>
      </c>
      <c r="E379" s="24" t="str">
        <v>45-54</v>
      </c>
      <c r="F379" s="24" t="str">
        <v>High</v>
      </c>
      <c r="G379" s="24">
        <v>2</v>
      </c>
      <c r="H379" s="24">
        <v>224</v>
      </c>
      <c r="I379" s="23">
        <v>323.04000000000002</v>
      </c>
      <c r="J379" s="24" cm="1">
        <f t="array" ref="J379">SUMPRODUCT(
    (Transactions_and_Customer_Information_Joined[Customer ID]='V1-Based Churn Model (Step 3)'!$A379) *
    (IFERROR(_xlfn.XLOOKUP(Transactions_and_Customer_Information_Joined[SKU], 'V1 Pricing Model (Step 2)'!$A$22:$A$71, 'V1 Pricing Model (Step 2)'!$AL$22:$AL$71), "Exclude")&lt;&gt;"Exclude") *
    Transactions_and_Customer_Information_Joined[Gross Revenue])</f>
        <v>196.28</v>
      </c>
      <c r="K379" s="24">
        <f>SUMIF(Transactions_and_Customer_Information_Joined[Customer ID], 'V1-Based Churn Model (Step 3)'!$A379, Transactions_and_Customer_Information_Joined[Gross Revenue])</f>
        <v>196.28</v>
      </c>
      <c r="L379" s="3">
        <f t="shared" si="30"/>
        <v>1</v>
      </c>
      <c r="M379" s="21">
        <v>0.16615780750618397</v>
      </c>
      <c r="N379" s="21" cm="1">
        <f t="array" ref="N379">SUMPRODUCT(
    (Transactions_and_Customer_Information_Joined[Customer ID]=$A379)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79" s="21" cm="1">
        <f t="array" ref="O379">IFERROR(
    SUMPRODUCT(
        (Transactions_and_Customer_Information_Joined[Customer ID]=$A379)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$J379,
0)</f>
        <v>0.16615780750618397</v>
      </c>
      <c r="P379" s="5" cm="1">
        <f t="array" ref="P379">_xlfn.IFS(B379="At-Risk Churner",$B$2,$B379="Dormant",$B$3,$B379="Deal Hunter",$B$4,$B379="New Customer",$B$5,$B379="Occasional Buyer",$B$6,$B379="Loyal High-Value",$B$7)</f>
        <v>45</v>
      </c>
      <c r="Q379" s="9" cm="1">
        <f t="array" ref="Q379">_xlfn.IFS($B379 = "At-Risk Churner", $B$8, $B379="Dormant",$B$9, $B379="Deal Hunter", $B$10, $B379="New Customer", $B$11, $B379="Occasional Buyer", $B$12, $B379 = "Loyal High-Value",$B$13)</f>
        <v>0.25</v>
      </c>
      <c r="R379" s="5">
        <v>15</v>
      </c>
      <c r="S379" s="5">
        <v>10</v>
      </c>
      <c r="T379" s="5">
        <v>8</v>
      </c>
      <c r="U379" s="5">
        <f t="shared" si="31"/>
        <v>15</v>
      </c>
      <c r="V379" s="5">
        <f t="shared" si="32"/>
        <v>6.6463123002473594</v>
      </c>
      <c r="W379" s="43">
        <f t="shared" si="33"/>
        <v>100</v>
      </c>
      <c r="X379" s="5" t="str" cm="1">
        <f t="array" ref="X379">_xlfn.IFS($W379 &lt;= 30, "Low", $W379 &lt;=50, "Medium", $W379 &lt;= 70, "High", $W379 &gt; 70, "Critical")</f>
        <v>Critical</v>
      </c>
      <c r="Y379" s="9">
        <f t="shared" si="34"/>
        <v>0.24832678726892882</v>
      </c>
      <c r="Z379" s="22">
        <f t="shared" si="35"/>
        <v>80.219485359354763</v>
      </c>
    </row>
    <row r="380" spans="1:26">
      <c r="A380" s="24" t="str">
        <v>CUST-3909</v>
      </c>
      <c r="B380" s="24" t="str">
        <v>Dormant</v>
      </c>
      <c r="C380" s="24" t="str">
        <v>Referral</v>
      </c>
      <c r="D380" s="24" t="str">
        <v>Northeast</v>
      </c>
      <c r="E380" s="24" t="str">
        <v>55+</v>
      </c>
      <c r="F380" s="24" t="str">
        <v>High</v>
      </c>
      <c r="G380" s="24">
        <v>10</v>
      </c>
      <c r="H380" s="24">
        <v>241</v>
      </c>
      <c r="I380" s="23">
        <v>137.24</v>
      </c>
      <c r="J380" s="24" cm="1">
        <f t="array" ref="J380">SUMPRODUCT(
    (Transactions_and_Customer_Information_Joined[Customer ID]='V1-Based Churn Model (Step 3)'!$A380) *
    (IFERROR(_xlfn.XLOOKUP(Transactions_and_Customer_Information_Joined[SKU], 'V1 Pricing Model (Step 2)'!$A$22:$A$71, 'V1 Pricing Model (Step 2)'!$AL$22:$AL$71), "Exclude")&lt;&gt;"Exclude") *
    Transactions_and_Customer_Information_Joined[Gross Revenue])</f>
        <v>249.54</v>
      </c>
      <c r="K380" s="24">
        <f>SUMIF(Transactions_and_Customer_Information_Joined[Customer ID], 'V1-Based Churn Model (Step 3)'!$A380, Transactions_and_Customer_Information_Joined[Gross Revenue])</f>
        <v>249.54</v>
      </c>
      <c r="L380" s="3">
        <f t="shared" si="30"/>
        <v>1</v>
      </c>
      <c r="M380" s="21">
        <v>0.1130897018443069</v>
      </c>
      <c r="N380" s="21" cm="1">
        <f t="array" ref="N380">SUMPRODUCT(
    (Transactions_and_Customer_Information_Joined[Customer ID]=$A380)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80" s="21" cm="1">
        <f t="array" ref="O380">IFERROR(
    SUMPRODUCT(
        (Transactions_and_Customer_Information_Joined[Customer ID]=$A380)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$J380,
0)</f>
        <v>0.1130897018443069</v>
      </c>
      <c r="P380" s="5" cm="1">
        <f t="array" ref="P380">_xlfn.IFS(B380="At-Risk Churner",$B$2,$B380="Dormant",$B$3,$B380="Deal Hunter",$B$4,$B380="New Customer",$B$5,$B380="Occasional Buyer",$B$6,$B380="Loyal High-Value",$B$7)</f>
        <v>65</v>
      </c>
      <c r="Q380" s="9" cm="1">
        <f t="array" ref="Q380">_xlfn.IFS($B380 = "At-Risk Churner", $B$8, $B380="Dormant",$B$9, $B380="Deal Hunter", $B$10, $B380="New Customer", $B$11, $B380="Occasional Buyer", $B$12, $B380 = "Loyal High-Value",$B$13)</f>
        <v>0.6</v>
      </c>
      <c r="R380" s="5">
        <v>15</v>
      </c>
      <c r="S380" s="5">
        <v>-8</v>
      </c>
      <c r="T380" s="5">
        <v>8</v>
      </c>
      <c r="U380" s="5">
        <f t="shared" si="31"/>
        <v>15</v>
      </c>
      <c r="V380" s="5">
        <f t="shared" si="32"/>
        <v>4.5235880737722765</v>
      </c>
      <c r="W380" s="43">
        <f t="shared" si="33"/>
        <v>99.341088073772283</v>
      </c>
      <c r="X380" s="5" t="str" cm="1">
        <f t="array" ref="X380">_xlfn.IFS($W380 &lt;= 30, "Low", $W380 &lt;=50, "Medium", $W380 &lt;= 70, "High", $W380 &gt; 70, "Critical")</f>
        <v>Critical</v>
      </c>
      <c r="Y380" s="9">
        <f t="shared" si="34"/>
        <v>0.59571273178732753</v>
      </c>
      <c r="Z380" s="22">
        <f t="shared" si="35"/>
        <v>81.755615310492843</v>
      </c>
    </row>
    <row r="381" spans="1:26">
      <c r="A381" s="24" t="str">
        <v>CUST-3287</v>
      </c>
      <c r="B381" s="24" t="str">
        <v>Deal Hunter</v>
      </c>
      <c r="C381" s="24" t="str">
        <v>Influencer</v>
      </c>
      <c r="D381" s="24" t="str">
        <v>West</v>
      </c>
      <c r="E381" s="24" t="str">
        <v>25-34</v>
      </c>
      <c r="F381" s="24" t="str">
        <v>Low</v>
      </c>
      <c r="G381" s="24">
        <v>4</v>
      </c>
      <c r="H381" s="24">
        <v>307</v>
      </c>
      <c r="I381" s="23">
        <v>599.47</v>
      </c>
      <c r="J381" s="24" cm="1">
        <f t="array" ref="J381">SUMPRODUCT(
    (Transactions_and_Customer_Information_Joined[Customer ID]='V1-Based Churn Model (Step 3)'!$A381)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381" s="24">
        <f>SUMIF(Transactions_and_Customer_Information_Joined[Customer ID], 'V1-Based Churn Model (Step 3)'!$A381, Transactions_and_Customer_Information_Joined[Gross Revenue])</f>
        <v>326.39999999999998</v>
      </c>
      <c r="L381" s="3">
        <f t="shared" si="30"/>
        <v>0</v>
      </c>
      <c r="M381" s="21">
        <v>0</v>
      </c>
      <c r="N381" s="21" cm="1">
        <f t="array" ref="N381">SUMPRODUCT(
    (Transactions_and_Customer_Information_Joined[Customer ID]=$A381)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381" s="21" cm="1">
        <f t="array" ref="O381">IFERROR(
    SUMPRODUCT(
        (Transactions_and_Customer_Information_Joined[Customer ID]=$A381)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$J381,
0)</f>
        <v>0</v>
      </c>
      <c r="P381" s="5" cm="1">
        <f t="array" ref="P381">_xlfn.IFS(B381="At-Risk Churner",$B$2,$B381="Dormant",$B$3,$B381="Deal Hunter",$B$4,$B381="New Customer",$B$5,$B381="Occasional Buyer",$B$6,$B381="Loyal High-Value",$B$7)</f>
        <v>45</v>
      </c>
      <c r="Q381" s="9" cm="1">
        <f t="array" ref="Q381">_xlfn.IFS($B381 = "At-Risk Churner", $B$8, $B381="Dormant",$B$9, $B381="Deal Hunter", $B$10, $B381="New Customer", $B$11, $B381="Occasional Buyer", $B$12, $B381 = "Loyal High-Value",$B$13)</f>
        <v>0.25</v>
      </c>
      <c r="R381" s="5">
        <v>-5</v>
      </c>
      <c r="S381" s="5">
        <v>0</v>
      </c>
      <c r="T381" s="5">
        <v>15</v>
      </c>
      <c r="U381" s="5">
        <f t="shared" si="31"/>
        <v>0</v>
      </c>
      <c r="V381" s="5">
        <f t="shared" si="32"/>
        <v>0</v>
      </c>
      <c r="W381" s="43">
        <f t="shared" si="33"/>
        <v>55</v>
      </c>
      <c r="X381" s="5" t="str" cm="1">
        <f t="array" ref="X381">_xlfn.IFS($W381 &lt;= 30, "Low", $W381 &lt;=50, "Medium", $W381 &lt;= 70, "High", $W381 &gt; 70, "Critical")</f>
        <v>High</v>
      </c>
      <c r="Y381" s="9">
        <f t="shared" si="34"/>
        <v>0.15561483280046365</v>
      </c>
      <c r="Z381" s="22">
        <f t="shared" si="35"/>
        <v>194.52313905511517</v>
      </c>
    </row>
    <row r="382" spans="1:26">
      <c r="A382" s="24" t="str">
        <v>CUST-4493</v>
      </c>
      <c r="B382" s="24" t="str">
        <v>Dormant</v>
      </c>
      <c r="C382" s="24" t="str">
        <v>Email Campaign</v>
      </c>
      <c r="D382" s="24" t="str">
        <v>Southeast</v>
      </c>
      <c r="E382" s="24" t="str">
        <v>45-54</v>
      </c>
      <c r="F382" s="24" t="str">
        <v>High</v>
      </c>
      <c r="G382" s="24">
        <v>0</v>
      </c>
      <c r="H382" s="24">
        <v>153</v>
      </c>
      <c r="I382" s="23">
        <v>87.45</v>
      </c>
      <c r="J382" s="24" cm="1">
        <f t="array" ref="J382">SUMPRODUCT(
    (Transactions_and_Customer_Information_Joined[Customer ID]='V1-Based Churn Model (Step 3)'!$A382)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382" s="24">
        <f>SUMIF(Transactions_and_Customer_Information_Joined[Customer ID], 'V1-Based Churn Model (Step 3)'!$A382, Transactions_and_Customer_Information_Joined[Gross Revenue])</f>
        <v>497.04</v>
      </c>
      <c r="L382" s="3">
        <f t="shared" si="30"/>
        <v>0</v>
      </c>
      <c r="M382" s="21">
        <v>0</v>
      </c>
      <c r="N382" s="21" cm="1">
        <f t="array" ref="N382">SUMPRODUCT(
    (Transactions_and_Customer_Information_Joined[Customer ID]=$A382)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382" s="21" cm="1">
        <f t="array" ref="O382">IFERROR(
    SUMPRODUCT(
        (Transactions_and_Customer_Information_Joined[Customer ID]=$A382)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$J382,
0)</f>
        <v>0</v>
      </c>
      <c r="P382" s="5" cm="1">
        <f t="array" ref="P382">_xlfn.IFS(B382="At-Risk Churner",$B$2,$B382="Dormant",$B$3,$B382="Deal Hunter",$B$4,$B382="New Customer",$B$5,$B382="Occasional Buyer",$B$6,$B382="Loyal High-Value",$B$7)</f>
        <v>65</v>
      </c>
      <c r="Q382" s="9" cm="1">
        <f t="array" ref="Q382">_xlfn.IFS($B382 = "At-Risk Churner", $B$8, $B382="Dormant",$B$9, $B382="Deal Hunter", $B$10, $B382="New Customer", $B$11, $B382="Occasional Buyer", $B$12, $B382 = "Loyal High-Value",$B$13)</f>
        <v>0.6</v>
      </c>
      <c r="R382" s="5">
        <v>15</v>
      </c>
      <c r="S382" s="5">
        <v>10</v>
      </c>
      <c r="T382" s="5">
        <v>0</v>
      </c>
      <c r="U382" s="5">
        <f t="shared" si="31"/>
        <v>0</v>
      </c>
      <c r="V382" s="5">
        <f t="shared" si="32"/>
        <v>0</v>
      </c>
      <c r="W382" s="43">
        <f t="shared" si="33"/>
        <v>90.65</v>
      </c>
      <c r="X382" s="5" t="str" cm="1">
        <f t="array" ref="X382">_xlfn.IFS($W382 &lt;= 30, "Low", $W382 &lt;=50, "Medium", $W382 &lt;= 70, "High", $W382 &gt; 70, "Critical")</f>
        <v>Critical</v>
      </c>
      <c r="Y382" s="9">
        <f t="shared" si="34"/>
        <v>0.58987596513758755</v>
      </c>
      <c r="Z382" s="22">
        <f t="shared" si="35"/>
        <v>51.584653151282033</v>
      </c>
    </row>
    <row r="383" spans="1:26">
      <c r="A383" s="24" t="str">
        <v>CUST-4793</v>
      </c>
      <c r="B383" s="24" t="str">
        <v>Loyal High-Value</v>
      </c>
      <c r="C383" s="24" t="str">
        <v>Referral</v>
      </c>
      <c r="D383" s="24" t="str">
        <v>Midwest</v>
      </c>
      <c r="E383" s="24" t="str">
        <v>18-24</v>
      </c>
      <c r="F383" s="24" t="str">
        <v>Low</v>
      </c>
      <c r="G383" s="24">
        <v>8</v>
      </c>
      <c r="H383" s="24">
        <v>65</v>
      </c>
      <c r="I383" s="23">
        <v>2300.35</v>
      </c>
      <c r="J383" s="24" cm="1">
        <f t="array" ref="J383">SUMPRODUCT(
    (Transactions_and_Customer_Information_Joined[Customer ID]='V1-Based Churn Model (Step 3)'!$A383) *
    (IFERROR(_xlfn.XLOOKUP(Transactions_and_Customer_Information_Joined[SKU], 'V1 Pricing Model (Step 2)'!$A$22:$A$71, 'V1 Pricing Model (Step 2)'!$AL$22:$AL$71), "Exclude")&lt;&gt;"Exclude") *
    Transactions_and_Customer_Information_Joined[Gross Revenue])</f>
        <v>310.68</v>
      </c>
      <c r="K383" s="24">
        <f>SUMIF(Transactions_and_Customer_Information_Joined[Customer ID], 'V1-Based Churn Model (Step 3)'!$A383, Transactions_and_Customer_Information_Joined[Gross Revenue])</f>
        <v>310.68</v>
      </c>
      <c r="L383" s="3">
        <f t="shared" si="30"/>
        <v>1</v>
      </c>
      <c r="M383" s="21">
        <v>1.0827913756041518E-3</v>
      </c>
      <c r="N383" s="21" cm="1">
        <f t="array" ref="N383">SUMPRODUCT(
    (Transactions_and_Customer_Information_Joined[Customer ID]=$A383)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83" s="21" cm="1">
        <f t="array" ref="O383">IFERROR(
    SUMPRODUCT(
        (Transactions_and_Customer_Information_Joined[Customer ID]=$A383)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$J383,
0)</f>
        <v>1.0827913756041518E-3</v>
      </c>
      <c r="P383" s="5" cm="1">
        <f t="array" ref="P383">_xlfn.IFS(B383="At-Risk Churner",$B$2,$B383="Dormant",$B$3,$B383="Deal Hunter",$B$4,$B383="New Customer",$B$5,$B383="Occasional Buyer",$B$6,$B383="Loyal High-Value",$B$7)</f>
        <v>15</v>
      </c>
      <c r="Q383" s="9" cm="1">
        <f t="array" ref="Q383">_xlfn.IFS($B383 = "At-Risk Churner", $B$8, $B383="Dormant",$B$9, $B383="Deal Hunter", $B$10, $B383="New Customer", $B$11, $B383="Occasional Buyer", $B$12, $B383 = "Loyal High-Value",$B$13)</f>
        <v>0.05</v>
      </c>
      <c r="R383" s="5">
        <v>-5</v>
      </c>
      <c r="S383" s="5">
        <v>-8</v>
      </c>
      <c r="T383" s="5">
        <v>0</v>
      </c>
      <c r="U383" s="5">
        <f t="shared" si="31"/>
        <v>15</v>
      </c>
      <c r="V383" s="5">
        <f t="shared" si="32"/>
        <v>4.3311655024166069E-2</v>
      </c>
      <c r="W383" s="43">
        <f t="shared" si="33"/>
        <v>16.810811655024164</v>
      </c>
      <c r="X383" s="5" t="str" cm="1">
        <f t="array" ref="X383">_xlfn.IFS($W383 &lt;= 30, "Low", $W383 &lt;=50, "Medium", $W383 &lt;= 70, "High", $W383 &gt; 70, "Critical")</f>
        <v>Low</v>
      </c>
      <c r="Y383" s="9">
        <f t="shared" si="34"/>
        <v>1.7463917005100798E-3</v>
      </c>
      <c r="Z383" s="22">
        <f t="shared" si="35"/>
        <v>4.0173121482683616</v>
      </c>
    </row>
    <row r="384" spans="1:26">
      <c r="A384" s="24" t="str">
        <v>CUST-4926</v>
      </c>
      <c r="B384" s="24" t="str">
        <v>New Customer</v>
      </c>
      <c r="C384" s="24" t="str">
        <v>Email Campaign</v>
      </c>
      <c r="D384" s="24" t="str">
        <v>Midwest</v>
      </c>
      <c r="E384" s="24" t="str">
        <v>45-54</v>
      </c>
      <c r="F384" s="24" t="str">
        <v>High</v>
      </c>
      <c r="G384" s="24">
        <v>5</v>
      </c>
      <c r="H384" s="24">
        <v>256</v>
      </c>
      <c r="I384" s="23">
        <v>62.52</v>
      </c>
      <c r="J384" s="24" cm="1">
        <f t="array" ref="J384">SUMPRODUCT(
    (Transactions_and_Customer_Information_Joined[Customer ID]='V1-Based Churn Model (Step 3)'!$A384) *
    (IFERROR(_xlfn.XLOOKUP(Transactions_and_Customer_Information_Joined[SKU], 'V1 Pricing Model (Step 2)'!$A$22:$A$71, 'V1 Pricing Model (Step 2)'!$AL$22:$AL$71), "Exclude")&lt;&gt;"Exclude") *
    Transactions_and_Customer_Information_Joined[Gross Revenue])</f>
        <v>401.97</v>
      </c>
      <c r="K384" s="24">
        <f>SUMIF(Transactions_and_Customer_Information_Joined[Customer ID], 'V1-Based Churn Model (Step 3)'!$A384, Transactions_and_Customer_Information_Joined[Gross Revenue])</f>
        <v>401.97</v>
      </c>
      <c r="L384" s="3">
        <f t="shared" si="30"/>
        <v>1</v>
      </c>
      <c r="M384" s="21">
        <v>0.18240919880904002</v>
      </c>
      <c r="N384" s="21" cm="1">
        <f t="array" ref="N384">SUMPRODUCT(
    (Transactions_and_Customer_Information_Joined[Customer ID]=$A384)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84" s="21" cm="1">
        <f t="array" ref="O384">IFERROR(
    SUMPRODUCT(
        (Transactions_and_Customer_Information_Joined[Customer ID]=$A384)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$J384,
0)</f>
        <v>0.18240919880904002</v>
      </c>
      <c r="P384" s="5" cm="1">
        <f t="array" ref="P384">_xlfn.IFS(B384="At-Risk Churner",$B$2,$B384="Dormant",$B$3,$B384="Deal Hunter",$B$4,$B384="New Customer",$B$5,$B384="Occasional Buyer",$B$6,$B384="Loyal High-Value",$B$7)</f>
        <v>35</v>
      </c>
      <c r="Q384" s="9" cm="1">
        <f t="array" ref="Q384">_xlfn.IFS($B384 = "At-Risk Churner", $B$8, $B384="Dormant",$B$9, $B384="Deal Hunter", $B$10, $B384="New Customer", $B$11, $B384="Occasional Buyer", $B$12, $B384 = "Loyal High-Value",$B$13)</f>
        <v>0.35</v>
      </c>
      <c r="R384" s="5">
        <v>15</v>
      </c>
      <c r="S384" s="5">
        <v>0</v>
      </c>
      <c r="T384" s="5">
        <v>8</v>
      </c>
      <c r="U384" s="5">
        <f t="shared" si="31"/>
        <v>15</v>
      </c>
      <c r="V384" s="5">
        <f t="shared" si="32"/>
        <v>7.2963679523616012</v>
      </c>
      <c r="W384" s="43">
        <f t="shared" si="33"/>
        <v>80.633867952361612</v>
      </c>
      <c r="X384" s="5" t="str" cm="1">
        <f t="array" ref="X384">_xlfn.IFS($W384 &lt;= 30, "Low", $W384 &lt;=50, "Medium", $W384 &lt;= 70, "High", $W384 &gt; 70, "Critical")</f>
        <v>Critical</v>
      </c>
      <c r="Y384" s="9">
        <f t="shared" si="34"/>
        <v>0.33437493839738619</v>
      </c>
      <c r="Z384" s="22">
        <f t="shared" si="35"/>
        <v>20.905121148604586</v>
      </c>
    </row>
    <row r="385" spans="1:26">
      <c r="A385" s="24" t="str">
        <v>CUST-2505</v>
      </c>
      <c r="B385" s="24" t="str">
        <v>At-Risk Churner</v>
      </c>
      <c r="C385" s="24" t="str">
        <v>Email Campaign</v>
      </c>
      <c r="D385" s="24" t="str">
        <v>Southeast</v>
      </c>
      <c r="E385" s="24" t="str">
        <v>45-54</v>
      </c>
      <c r="F385" s="24" t="str">
        <v>High</v>
      </c>
      <c r="G385" s="24">
        <v>2</v>
      </c>
      <c r="H385" s="24">
        <v>164</v>
      </c>
      <c r="I385" s="23">
        <v>119.78</v>
      </c>
      <c r="J385" s="24" cm="1">
        <f t="array" ref="J385">SUMPRODUCT(
    (Transactions_and_Customer_Information_Joined[Customer ID]='V1-Based Churn Model (Step 3)'!$A385) *
    (IFERROR(_xlfn.XLOOKUP(Transactions_and_Customer_Information_Joined[SKU], 'V1 Pricing Model (Step 2)'!$A$22:$A$71, 'V1 Pricing Model (Step 2)'!$AL$22:$AL$71), "Exclude")&lt;&gt;"Exclude") *
    Transactions_and_Customer_Information_Joined[Gross Revenue])</f>
        <v>646.00000000000011</v>
      </c>
      <c r="K385" s="24">
        <f>SUMIF(Transactions_and_Customer_Information_Joined[Customer ID], 'V1-Based Churn Model (Step 3)'!$A385, Transactions_and_Customer_Information_Joined[Gross Revenue])</f>
        <v>646.00000000000011</v>
      </c>
      <c r="L385" s="3">
        <f t="shared" si="30"/>
        <v>1</v>
      </c>
      <c r="M385" s="21">
        <v>7.8578478868305213E-2</v>
      </c>
      <c r="N385" s="21" cm="1">
        <f t="array" ref="N385">SUMPRODUCT(
    (Transactions_and_Customer_Information_Joined[Customer ID]=$A385)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85" s="21" cm="1">
        <f t="array" ref="O385">IFERROR(
    SUMPRODUCT(
        (Transactions_and_Customer_Information_Joined[Customer ID]=$A385)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$J385,
0)</f>
        <v>4.3808802526210479E-2</v>
      </c>
      <c r="P385" s="5" cm="1">
        <f t="array" ref="P385">_xlfn.IFS(B385="At-Risk Churner",$B$2,$B385="Dormant",$B$3,$B385="Deal Hunter",$B$4,$B385="New Customer",$B$5,$B385="Occasional Buyer",$B$6,$B385="Loyal High-Value",$B$7)</f>
        <v>70</v>
      </c>
      <c r="Q385" s="9" cm="1">
        <f t="array" ref="Q385">_xlfn.IFS($B385 = "At-Risk Churner", $B$8, $B385="Dormant",$B$9, $B385="Deal Hunter", $B$10, $B385="New Customer", $B$11, $B385="Occasional Buyer", $B$12, $B385 = "Loyal High-Value",$B$13)</f>
        <v>0.45</v>
      </c>
      <c r="R385" s="5">
        <v>15</v>
      </c>
      <c r="S385" s="5">
        <v>10</v>
      </c>
      <c r="T385" s="5">
        <v>0</v>
      </c>
      <c r="U385" s="5">
        <f t="shared" si="31"/>
        <v>15</v>
      </c>
      <c r="V385" s="5">
        <f t="shared" si="32"/>
        <v>2.4477456278903138</v>
      </c>
      <c r="W385" s="43">
        <f t="shared" si="33"/>
        <v>100</v>
      </c>
      <c r="X385" s="5" t="str" cm="1">
        <f t="array" ref="X385">_xlfn.IFS($W385 &lt;= 30, "Low", $W385 &lt;=50, "Medium", $W385 &lt;= 70, "High", $W385 &gt; 70, "Critical")</f>
        <v>Critical</v>
      </c>
      <c r="Y385" s="9">
        <f t="shared" si="34"/>
        <v>0.44698821708407188</v>
      </c>
      <c r="Z385" s="22">
        <f t="shared" si="35"/>
        <v>53.540248642330134</v>
      </c>
    </row>
    <row r="386" spans="1:26">
      <c r="A386" s="24" t="str">
        <v>CUST-1506</v>
      </c>
      <c r="B386" s="24" t="str">
        <v>At-Risk Churner</v>
      </c>
      <c r="C386" s="24" t="str">
        <v>Email Campaign</v>
      </c>
      <c r="D386" s="24" t="str">
        <v>Northeast</v>
      </c>
      <c r="E386" s="24" t="str">
        <v>55+</v>
      </c>
      <c r="F386" s="24" t="str">
        <v>Medium</v>
      </c>
      <c r="G386" s="24">
        <v>10</v>
      </c>
      <c r="H386" s="24">
        <v>100</v>
      </c>
      <c r="I386" s="23">
        <v>292.24</v>
      </c>
      <c r="J386" s="24" cm="1">
        <f t="array" ref="J386">SUMPRODUCT(
    (Transactions_and_Customer_Information_Joined[Customer ID]='V1-Based Churn Model (Step 3)'!$A386) *
    (IFERROR(_xlfn.XLOOKUP(Transactions_and_Customer_Information_Joined[SKU], 'V1 Pricing Model (Step 2)'!$A$22:$A$71, 'V1 Pricing Model (Step 2)'!$AL$22:$AL$71), "Exclude")&lt;&gt;"Exclude") *
    Transactions_and_Customer_Information_Joined[Gross Revenue])</f>
        <v>106.06</v>
      </c>
      <c r="K386" s="24">
        <f>SUMIF(Transactions_and_Customer_Information_Joined[Customer ID], 'V1-Based Churn Model (Step 3)'!$A386, Transactions_and_Customer_Information_Joined[Gross Revenue])</f>
        <v>106.06</v>
      </c>
      <c r="L386" s="3">
        <f t="shared" si="30"/>
        <v>1</v>
      </c>
      <c r="M386" s="21">
        <v>0.18762795201583557</v>
      </c>
      <c r="N386" s="21" cm="1">
        <f t="array" ref="N386">SUMPRODUCT(
    (Transactions_and_Customer_Information_Joined[Customer ID]=$A386)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86" s="21" cm="1">
        <f t="array" ref="O386">IFERROR(
    SUMPRODUCT(
        (Transactions_and_Customer_Information_Joined[Customer ID]=$A386)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$J386,
0)</f>
        <v>0.18762795201583557</v>
      </c>
      <c r="P386" s="5" cm="1">
        <f t="array" ref="P386">_xlfn.IFS(B386="At-Risk Churner",$B$2,$B386="Dormant",$B$3,$B386="Deal Hunter",$B$4,$B386="New Customer",$B$5,$B386="Occasional Buyer",$B$6,$B386="Loyal High-Value",$B$7)</f>
        <v>70</v>
      </c>
      <c r="Q386" s="9" cm="1">
        <f t="array" ref="Q386">_xlfn.IFS($B386 = "At-Risk Churner", $B$8, $B386="Dormant",$B$9, $B386="Deal Hunter", $B$10, $B386="New Customer", $B$11, $B386="Occasional Buyer", $B$12, $B386 = "Loyal High-Value",$B$13)</f>
        <v>0.45</v>
      </c>
      <c r="R386" s="5">
        <v>5</v>
      </c>
      <c r="S386" s="5">
        <v>-8</v>
      </c>
      <c r="T386" s="5">
        <v>0</v>
      </c>
      <c r="U386" s="5">
        <f t="shared" si="31"/>
        <v>15</v>
      </c>
      <c r="V386" s="5">
        <f t="shared" si="32"/>
        <v>7.505118080633423</v>
      </c>
      <c r="W386" s="43">
        <f t="shared" si="33"/>
        <v>89.057618080633418</v>
      </c>
      <c r="X386" s="5" t="str" cm="1">
        <f t="array" ref="X386">_xlfn.IFS($W386 &lt;= 30, "Low", $W386 &lt;=50, "Medium", $W386 &lt;= 70, "High", $W386 &gt; 70, "Critical")</f>
        <v>Critical</v>
      </c>
      <c r="Y386" s="9">
        <f t="shared" si="34"/>
        <v>0.44112214475587525</v>
      </c>
      <c r="Z386" s="22">
        <f t="shared" si="35"/>
        <v>128.91353558345699</v>
      </c>
    </row>
    <row r="387" spans="1:26">
      <c r="A387" s="24" t="str">
        <v>CUST-4218</v>
      </c>
      <c r="B387" s="24" t="str">
        <v>Occasional Buyer</v>
      </c>
      <c r="C387" s="24" t="str">
        <v>Referral</v>
      </c>
      <c r="D387" s="24" t="str">
        <v>Midwest</v>
      </c>
      <c r="E387" s="24" t="str">
        <v>25-34</v>
      </c>
      <c r="F387" s="24" t="str">
        <v>Low</v>
      </c>
      <c r="G387" s="24">
        <v>10</v>
      </c>
      <c r="H387" s="24">
        <v>7</v>
      </c>
      <c r="I387" s="23">
        <v>281.01</v>
      </c>
      <c r="J387" s="24" cm="1">
        <f t="array" ref="J387">SUMPRODUCT(
    (Transactions_and_Customer_Information_Joined[Customer ID]='V1-Based Churn Model (Step 3)'!$A387) *
    (IFERROR(_xlfn.XLOOKUP(Transactions_and_Customer_Information_Joined[SKU], 'V1 Pricing Model (Step 2)'!$A$22:$A$71, 'V1 Pricing Model (Step 2)'!$AL$22:$AL$71), "Exclude")&lt;&gt;"Exclude") *
    Transactions_and_Customer_Information_Joined[Gross Revenue])</f>
        <v>254.85000000000002</v>
      </c>
      <c r="K387" s="24">
        <f>SUMIF(Transactions_and_Customer_Information_Joined[Customer ID], 'V1-Based Churn Model (Step 3)'!$A387, Transactions_and_Customer_Information_Joined[Gross Revenue])</f>
        <v>254.85000000000002</v>
      </c>
      <c r="L387" s="3">
        <f t="shared" si="30"/>
        <v>1</v>
      </c>
      <c r="M387" s="21">
        <v>0</v>
      </c>
      <c r="N387" s="21" cm="1">
        <f t="array" ref="N387">SUMPRODUCT(
    (Transactions_and_Customer_Information_Joined[Customer ID]=$A387)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87" s="21" cm="1">
        <f t="array" ref="O387">IFERROR(
    SUMPRODUCT(
        (Transactions_and_Customer_Information_Joined[Customer ID]=$A387)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$J387,
0)</f>
        <v>0</v>
      </c>
      <c r="P387" s="5" cm="1">
        <f t="array" ref="P387">_xlfn.IFS(B387="At-Risk Churner",$B$2,$B387="Dormant",$B$3,$B387="Deal Hunter",$B$4,$B387="New Customer",$B$5,$B387="Occasional Buyer",$B$6,$B387="Loyal High-Value",$B$7)</f>
        <v>25</v>
      </c>
      <c r="Q387" s="9" cm="1">
        <f t="array" ref="Q387">_xlfn.IFS($B387 = "At-Risk Churner", $B$8, $B387="Dormant",$B$9, $B387="Deal Hunter", $B$10, $B387="New Customer", $B$11, $B387="Occasional Buyer", $B$12, $B387 = "Loyal High-Value",$B$13)</f>
        <v>0.18</v>
      </c>
      <c r="R387" s="5">
        <v>-5</v>
      </c>
      <c r="S387" s="5">
        <v>-8</v>
      </c>
      <c r="T387" s="5">
        <v>-5</v>
      </c>
      <c r="U387" s="5">
        <f t="shared" si="31"/>
        <v>15</v>
      </c>
      <c r="V387" s="5">
        <f t="shared" si="32"/>
        <v>0</v>
      </c>
      <c r="W387" s="43">
        <f t="shared" si="33"/>
        <v>21.6875</v>
      </c>
      <c r="X387" s="5" t="str" cm="1">
        <f t="array" ref="X387">_xlfn.IFS($W387 &lt;= 30, "Low", $W387 &lt;=50, "Medium", $W387 &lt;= 70, "High", $W387 &gt; 70, "Critical")</f>
        <v>Low</v>
      </c>
      <c r="Y387" s="9">
        <f t="shared" si="34"/>
        <v>1.0018558882334355E-2</v>
      </c>
      <c r="Z387" s="22">
        <f t="shared" si="35"/>
        <v>2.8153152315247771</v>
      </c>
    </row>
    <row r="388" spans="1:26">
      <c r="A388" s="24" t="str">
        <v>CUST-1920</v>
      </c>
      <c r="B388" s="24" t="str">
        <v>Deal Hunter</v>
      </c>
      <c r="C388" s="24" t="str">
        <v>Organic Search</v>
      </c>
      <c r="D388" s="24" t="str">
        <v>Northeast</v>
      </c>
      <c r="E388" s="24" t="str">
        <v>35-44</v>
      </c>
      <c r="F388" s="24" t="str">
        <v>Low</v>
      </c>
      <c r="G388" s="24">
        <v>6</v>
      </c>
      <c r="H388" s="24">
        <v>286</v>
      </c>
      <c r="I388" s="23">
        <v>206.01</v>
      </c>
      <c r="J388" s="24" cm="1">
        <f t="array" ref="J388">SUMPRODUCT(
    (Transactions_and_Customer_Information_Joined[Customer ID]='V1-Based Churn Model (Step 3)'!$A388) *
    (IFERROR(_xlfn.XLOOKUP(Transactions_and_Customer_Information_Joined[SKU], 'V1 Pricing Model (Step 2)'!$A$22:$A$71, 'V1 Pricing Model (Step 2)'!$AL$22:$AL$71), "Exclude")&lt;&gt;"Exclude") *
    Transactions_and_Customer_Information_Joined[Gross Revenue])</f>
        <v>157.68</v>
      </c>
      <c r="K388" s="24">
        <f>SUMIF(Transactions_and_Customer_Information_Joined[Customer ID], 'V1-Based Churn Model (Step 3)'!$A388, Transactions_and_Customer_Information_Joined[Gross Revenue])</f>
        <v>157.68</v>
      </c>
      <c r="L388" s="3">
        <f t="shared" si="30"/>
        <v>1</v>
      </c>
      <c r="M388" s="21">
        <v>9.1108129362620652E-2</v>
      </c>
      <c r="N388" s="21" cm="1">
        <f t="array" ref="N388">SUMPRODUCT(
    (Transactions_and_Customer_Information_Joined[Customer ID]=$A388)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88" s="21" cm="1">
        <f t="array" ref="O388">IFERROR(
    SUMPRODUCT(
        (Transactions_and_Customer_Information_Joined[Customer ID]=$A388)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$J388,
0)</f>
        <v>9.1108129362620652E-2</v>
      </c>
      <c r="P388" s="5" cm="1">
        <f t="array" ref="P388">_xlfn.IFS(B388="At-Risk Churner",$B$2,$B388="Dormant",$B$3,$B388="Deal Hunter",$B$4,$B388="New Customer",$B$5,$B388="Occasional Buyer",$B$6,$B388="Loyal High-Value",$B$7)</f>
        <v>45</v>
      </c>
      <c r="Q388" s="9" cm="1">
        <f t="array" ref="Q388">_xlfn.IFS($B388 = "At-Risk Churner", $B$8, $B388="Dormant",$B$9, $B388="Deal Hunter", $B$10, $B388="New Customer", $B$11, $B388="Occasional Buyer", $B$12, $B388 = "Loyal High-Value",$B$13)</f>
        <v>0.25</v>
      </c>
      <c r="R388" s="5">
        <v>-5</v>
      </c>
      <c r="S388" s="5">
        <v>0</v>
      </c>
      <c r="T388" s="5">
        <v>8</v>
      </c>
      <c r="U388" s="5">
        <f t="shared" si="31"/>
        <v>15</v>
      </c>
      <c r="V388" s="5">
        <f t="shared" si="32"/>
        <v>3.644325174504826</v>
      </c>
      <c r="W388" s="43">
        <f t="shared" si="33"/>
        <v>66.531825174504831</v>
      </c>
      <c r="X388" s="5" t="str" cm="1">
        <f t="array" ref="X388">_xlfn.IFS($W388 &lt;= 30, "Low", $W388 &lt;=50, "Medium", $W388 &lt;= 70, "High", $W388 &gt; 70, "Critical")</f>
        <v>High</v>
      </c>
      <c r="Y388" s="9">
        <f t="shared" si="34"/>
        <v>0.20983017824518838</v>
      </c>
      <c r="Z388" s="22">
        <f t="shared" si="35"/>
        <v>75.783692016233005</v>
      </c>
    </row>
    <row r="389" spans="1:26">
      <c r="A389" s="24" t="str">
        <v>CUST-4963</v>
      </c>
      <c r="B389" s="24" t="str">
        <v>At-Risk Churner</v>
      </c>
      <c r="C389" s="24" t="str">
        <v>Referral</v>
      </c>
      <c r="D389" s="24" t="str">
        <v>Southwest</v>
      </c>
      <c r="E389" s="24" t="str">
        <v>55+</v>
      </c>
      <c r="F389" s="24" t="str">
        <v>Low</v>
      </c>
      <c r="G389" s="24">
        <v>3</v>
      </c>
      <c r="H389" s="24">
        <v>110</v>
      </c>
      <c r="I389" s="23">
        <v>359.69</v>
      </c>
      <c r="J389" s="24" cm="1">
        <f t="array" ref="J389">SUMPRODUCT(
    (Transactions_and_Customer_Information_Joined[Customer ID]='V1-Based Churn Model (Step 3)'!$A389) *
    (IFERROR(_xlfn.XLOOKUP(Transactions_and_Customer_Information_Joined[SKU], 'V1 Pricing Model (Step 2)'!$A$22:$A$71, 'V1 Pricing Model (Step 2)'!$AL$22:$AL$71), "Exclude")&lt;&gt;"Exclude") *
    Transactions_and_Customer_Information_Joined[Gross Revenue])</f>
        <v>395.04</v>
      </c>
      <c r="K389" s="24">
        <f>SUMIF(Transactions_and_Customer_Information_Joined[Customer ID], 'V1-Based Churn Model (Step 3)'!$A389, Transactions_and_Customer_Information_Joined[Gross Revenue])</f>
        <v>395.04</v>
      </c>
      <c r="L389" s="3">
        <f t="shared" si="30"/>
        <v>1</v>
      </c>
      <c r="M389" s="21">
        <v>5.4598129129915428E-2</v>
      </c>
      <c r="N389" s="21" cm="1">
        <f t="array" ref="N389">SUMPRODUCT(
    (Transactions_and_Customer_Information_Joined[Customer ID]=$A389)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89" s="21" cm="1">
        <f t="array" ref="O389">IFERROR(
    SUMPRODUCT(
        (Transactions_and_Customer_Information_Joined[Customer ID]=$A389)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$J389,
0)</f>
        <v>5.4598129129915428E-2</v>
      </c>
      <c r="P389" s="5" cm="1">
        <f t="array" ref="P389">_xlfn.IFS(B389="At-Risk Churner",$B$2,$B389="Dormant",$B$3,$B389="Deal Hunter",$B$4,$B389="New Customer",$B$5,$B389="Occasional Buyer",$B$6,$B389="Loyal High-Value",$B$7)</f>
        <v>70</v>
      </c>
      <c r="Q389" s="9" cm="1">
        <f t="array" ref="Q389">_xlfn.IFS($B389 = "At-Risk Churner", $B$8, $B389="Dormant",$B$9, $B389="Deal Hunter", $B$10, $B389="New Customer", $B$11, $B389="Occasional Buyer", $B$12, $B389 = "Loyal High-Value",$B$13)</f>
        <v>0.45</v>
      </c>
      <c r="R389" s="5">
        <v>-5</v>
      </c>
      <c r="S389" s="5">
        <v>10</v>
      </c>
      <c r="T389" s="5">
        <v>0</v>
      </c>
      <c r="U389" s="5">
        <f t="shared" si="31"/>
        <v>15</v>
      </c>
      <c r="V389" s="5">
        <f t="shared" si="32"/>
        <v>2.1839251651966172</v>
      </c>
      <c r="W389" s="43">
        <f t="shared" si="33"/>
        <v>92.771425165196618</v>
      </c>
      <c r="X389" s="5" t="str" cm="1">
        <f t="array" ref="X389">_xlfn.IFS($W389 &lt;= 30, "Low", $W389 &lt;=50, "Medium", $W389 &lt;= 70, "High", $W389 &gt; 70, "Critical")</f>
        <v>Critical</v>
      </c>
      <c r="Y389" s="9">
        <f t="shared" si="34"/>
        <v>0.44383851223563892</v>
      </c>
      <c r="Z389" s="22">
        <f t="shared" si="35"/>
        <v>159.64427446603696</v>
      </c>
    </row>
    <row r="390" spans="1:26">
      <c r="A390" s="24" t="str">
        <v>CUST-4774</v>
      </c>
      <c r="B390" s="24" t="str">
        <v>Loyal High-Value</v>
      </c>
      <c r="C390" s="24" t="str">
        <v>Paid Social</v>
      </c>
      <c r="D390" s="24" t="str">
        <v>UK</v>
      </c>
      <c r="E390" s="24" t="str">
        <v>18-24</v>
      </c>
      <c r="F390" s="24" t="str">
        <v>Medium</v>
      </c>
      <c r="G390" s="24">
        <v>5</v>
      </c>
      <c r="H390" s="24">
        <v>15</v>
      </c>
      <c r="I390" s="23">
        <v>1808.52</v>
      </c>
      <c r="J390" s="24" cm="1">
        <f t="array" ref="J390">SUMPRODUCT(
    (Transactions_and_Customer_Information_Joined[Customer ID]='V1-Based Churn Model (Step 3)'!$A390) *
    (IFERROR(_xlfn.XLOOKUP(Transactions_and_Customer_Information_Joined[SKU], 'V1 Pricing Model (Step 2)'!$A$22:$A$71, 'V1 Pricing Model (Step 2)'!$AL$22:$AL$71), "Exclude")&lt;&gt;"Exclude") *
    Transactions_and_Customer_Information_Joined[Gross Revenue])</f>
        <v>202.68</v>
      </c>
      <c r="K390" s="24">
        <f>SUMIF(Transactions_and_Customer_Information_Joined[Customer ID], 'V1-Based Churn Model (Step 3)'!$A390, Transactions_and_Customer_Information_Joined[Gross Revenue])</f>
        <v>202.68</v>
      </c>
      <c r="L390" s="3">
        <f t="shared" si="30"/>
        <v>1</v>
      </c>
      <c r="M390" s="21">
        <v>0.10788177153562864</v>
      </c>
      <c r="N390" s="21" cm="1">
        <f t="array" ref="N390">SUMPRODUCT(
    (Transactions_and_Customer_Information_Joined[Customer ID]=$A390)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90" s="21" cm="1">
        <f t="array" ref="O390">IFERROR(
    SUMPRODUCT(
        (Transactions_and_Customer_Information_Joined[Customer ID]=$A390)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$J390,
0)</f>
        <v>0.10788177153562864</v>
      </c>
      <c r="P390" s="5" cm="1">
        <f t="array" ref="P390">_xlfn.IFS(B390="At-Risk Churner",$B$2,$B390="Dormant",$B$3,$B390="Deal Hunter",$B$4,$B390="New Customer",$B$5,$B390="Occasional Buyer",$B$6,$B390="Loyal High-Value",$B$7)</f>
        <v>15</v>
      </c>
      <c r="Q390" s="9" cm="1">
        <f t="array" ref="Q390">_xlfn.IFS($B390 = "At-Risk Churner", $B$8, $B390="Dormant",$B$9, $B390="Deal Hunter", $B$10, $B390="New Customer", $B$11, $B390="Occasional Buyer", $B$12, $B390 = "Loyal High-Value",$B$13)</f>
        <v>0.05</v>
      </c>
      <c r="R390" s="5">
        <v>5</v>
      </c>
      <c r="S390" s="5">
        <v>0</v>
      </c>
      <c r="T390" s="5">
        <v>-5</v>
      </c>
      <c r="U390" s="5">
        <f t="shared" si="31"/>
        <v>15</v>
      </c>
      <c r="V390" s="5">
        <f t="shared" si="32"/>
        <v>4.3152708614251454</v>
      </c>
      <c r="W390" s="43">
        <f t="shared" si="33"/>
        <v>34.427770861425145</v>
      </c>
      <c r="X390" s="5" t="str" cm="1">
        <f t="array" ref="X390">_xlfn.IFS($W390 &lt;= 30, "Low", $W390 &lt;=50, "Medium", $W390 &lt;= 70, "High", $W390 &gt; 70, "Critical")</f>
        <v>Medium</v>
      </c>
      <c r="Y390" s="9">
        <f t="shared" si="34"/>
        <v>8.7022751014668703E-3</v>
      </c>
      <c r="Z390" s="22">
        <f t="shared" si="35"/>
        <v>374.294590853204</v>
      </c>
    </row>
    <row r="391" spans="1:26">
      <c r="A391" s="24" t="str">
        <v>CUST-2897</v>
      </c>
      <c r="B391" s="24" t="str">
        <v>Dormant</v>
      </c>
      <c r="C391" s="24" t="str">
        <v>Paid Social</v>
      </c>
      <c r="D391" s="24" t="str">
        <v>Midwest</v>
      </c>
      <c r="E391" s="24" t="str">
        <v>18-24</v>
      </c>
      <c r="F391" s="24" t="str">
        <v>Low</v>
      </c>
      <c r="G391" s="24">
        <v>4</v>
      </c>
      <c r="H391" s="24">
        <v>201</v>
      </c>
      <c r="I391" s="23">
        <v>91.62</v>
      </c>
      <c r="J391" s="24" cm="1">
        <f t="array" ref="J391">SUMPRODUCT(
    (Transactions_and_Customer_Information_Joined[Customer ID]='V1-Based Churn Model (Step 3)'!$A391) *
    (IFERROR(_xlfn.XLOOKUP(Transactions_and_Customer_Information_Joined[SKU], 'V1 Pricing Model (Step 2)'!$A$22:$A$71, 'V1 Pricing Model (Step 2)'!$AL$22:$AL$71), "Exclude")&lt;&gt;"Exclude") *
    Transactions_and_Customer_Information_Joined[Gross Revenue])</f>
        <v>53.4</v>
      </c>
      <c r="K391" s="24">
        <f>SUMIF(Transactions_and_Customer_Information_Joined[Customer ID], 'V1-Based Churn Model (Step 3)'!$A391, Transactions_and_Customer_Information_Joined[Gross Revenue])</f>
        <v>53.4</v>
      </c>
      <c r="L391" s="3">
        <f t="shared" si="30"/>
        <v>1</v>
      </c>
      <c r="M391" s="21">
        <v>7.5818801139291682E-3</v>
      </c>
      <c r="N391" s="21" cm="1">
        <f t="array" ref="N391">SUMPRODUCT(
    (Transactions_and_Customer_Information_Joined[Customer ID]=$A391)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91" s="21" cm="1">
        <f t="array" ref="O391">IFERROR(
    SUMPRODUCT(
        (Transactions_and_Customer_Information_Joined[Customer ID]=$A391)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$J391,
0)</f>
        <v>7.5818801139291682E-3</v>
      </c>
      <c r="P391" s="5" cm="1">
        <f t="array" ref="P391">_xlfn.IFS(B391="At-Risk Churner",$B$2,$B391="Dormant",$B$3,$B391="Deal Hunter",$B$4,$B391="New Customer",$B$5,$B391="Occasional Buyer",$B$6,$B391="Loyal High-Value",$B$7)</f>
        <v>65</v>
      </c>
      <c r="Q391" s="9" cm="1">
        <f t="array" ref="Q391">_xlfn.IFS($B391 = "At-Risk Churner", $B$8, $B391="Dormant",$B$9, $B391="Deal Hunter", $B$10, $B391="New Customer", $B$11, $B391="Occasional Buyer", $B$12, $B391 = "Loyal High-Value",$B$13)</f>
        <v>0.6</v>
      </c>
      <c r="R391" s="5">
        <v>-5</v>
      </c>
      <c r="S391" s="5">
        <v>0</v>
      </c>
      <c r="T391" s="5">
        <v>8</v>
      </c>
      <c r="U391" s="5">
        <f t="shared" si="31"/>
        <v>15</v>
      </c>
      <c r="V391" s="5">
        <f t="shared" si="32"/>
        <v>0.30327520455716672</v>
      </c>
      <c r="W391" s="43">
        <f t="shared" si="33"/>
        <v>83.19077520455717</v>
      </c>
      <c r="X391" s="5" t="str" cm="1">
        <f t="array" ref="X391">_xlfn.IFS($W391 &lt;= 30, "Low", $W391 &lt;=50, "Medium", $W391 &lt;= 70, "High", $W391 &gt; 70, "Critical")</f>
        <v>Critical</v>
      </c>
      <c r="Y391" s="9">
        <f t="shared" si="34"/>
        <v>0.57904650873741703</v>
      </c>
      <c r="Z391" s="22">
        <f t="shared" si="35"/>
        <v>53.052241130522148</v>
      </c>
    </row>
    <row r="392" spans="1:26">
      <c r="A392" s="24" t="str">
        <v>CUST-2267</v>
      </c>
      <c r="B392" s="24" t="str">
        <v>Dormant</v>
      </c>
      <c r="C392" s="24" t="str">
        <v>Influencer</v>
      </c>
      <c r="D392" s="24" t="str">
        <v>Southwest</v>
      </c>
      <c r="E392" s="24" t="str">
        <v>55+</v>
      </c>
      <c r="F392" s="24" t="str">
        <v>Medium</v>
      </c>
      <c r="G392" s="24">
        <v>7</v>
      </c>
      <c r="H392" s="24">
        <v>87</v>
      </c>
      <c r="I392" s="23">
        <v>41.91</v>
      </c>
      <c r="J392" s="24" cm="1">
        <f t="array" ref="J392">SUMPRODUCT(
    (Transactions_and_Customer_Information_Joined[Customer ID]='V1-Based Churn Model (Step 3)'!$A392) *
    (IFERROR(_xlfn.XLOOKUP(Transactions_and_Customer_Information_Joined[SKU], 'V1 Pricing Model (Step 2)'!$A$22:$A$71, 'V1 Pricing Model (Step 2)'!$AL$22:$AL$71), "Exclude")&lt;&gt;"Exclude") *
    Transactions_and_Customer_Information_Joined[Gross Revenue])</f>
        <v>223.61</v>
      </c>
      <c r="K392" s="24">
        <f>SUMIF(Transactions_and_Customer_Information_Joined[Customer ID], 'V1-Based Churn Model (Step 3)'!$A392, Transactions_and_Customer_Information_Joined[Gross Revenue])</f>
        <v>223.61</v>
      </c>
      <c r="L392" s="3">
        <f t="shared" si="30"/>
        <v>1</v>
      </c>
      <c r="M392" s="21">
        <v>0.18240919880904002</v>
      </c>
      <c r="N392" s="21" cm="1">
        <f t="array" ref="N392">SUMPRODUCT(
    (Transactions_and_Customer_Information_Joined[Customer ID]=$A392)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92" s="21" cm="1">
        <f t="array" ref="O392">IFERROR(
    SUMPRODUCT(
        (Transactions_and_Customer_Information_Joined[Customer ID]=$A392)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$J392,
0)</f>
        <v>0.15222972501976784</v>
      </c>
      <c r="P392" s="5" cm="1">
        <f t="array" ref="P392">_xlfn.IFS(B392="At-Risk Churner",$B$2,$B392="Dormant",$B$3,$B392="Deal Hunter",$B$4,$B392="New Customer",$B$5,$B392="Occasional Buyer",$B$6,$B392="Loyal High-Value",$B$7)</f>
        <v>65</v>
      </c>
      <c r="Q392" s="9" cm="1">
        <f t="array" ref="Q392">_xlfn.IFS($B392 = "At-Risk Churner", $B$8, $B392="Dormant",$B$9, $B392="Deal Hunter", $B$10, $B392="New Customer", $B$11, $B392="Occasional Buyer", $B$12, $B392 = "Loyal High-Value",$B$13)</f>
        <v>0.6</v>
      </c>
      <c r="R392" s="5">
        <v>5</v>
      </c>
      <c r="S392" s="5">
        <v>-8</v>
      </c>
      <c r="T392" s="5">
        <v>0</v>
      </c>
      <c r="U392" s="5">
        <f t="shared" si="31"/>
        <v>15</v>
      </c>
      <c r="V392" s="5">
        <f t="shared" si="32"/>
        <v>6.6927784765761569</v>
      </c>
      <c r="W392" s="43">
        <f t="shared" si="33"/>
        <v>83.285278476576153</v>
      </c>
      <c r="X392" s="5" t="str" cm="1">
        <f t="array" ref="X392">_xlfn.IFS($W392 &lt;= 30, "Low", $W392 &lt;=50, "Medium", $W392 &lt;= 70, "High", $W392 &gt; 70, "Critical")</f>
        <v>Critical</v>
      </c>
      <c r="Y392" s="9">
        <f t="shared" si="34"/>
        <v>0.57923677317405742</v>
      </c>
      <c r="Z392" s="22">
        <f t="shared" si="35"/>
        <v>24.275813163724745</v>
      </c>
    </row>
    <row r="393" spans="1:26">
      <c r="A393" s="24" t="str">
        <v>CUST-1043</v>
      </c>
      <c r="B393" s="24" t="str">
        <v>Deal Hunter</v>
      </c>
      <c r="C393" s="24" t="str">
        <v>Email Campaign</v>
      </c>
      <c r="D393" s="24" t="str">
        <v>Canada</v>
      </c>
      <c r="E393" s="24" t="str">
        <v>25-34</v>
      </c>
      <c r="F393" s="24" t="str">
        <v>High</v>
      </c>
      <c r="G393" s="24">
        <v>10</v>
      </c>
      <c r="H393" s="24">
        <v>216</v>
      </c>
      <c r="I393" s="23">
        <v>173.7</v>
      </c>
      <c r="J393" s="24" cm="1">
        <f t="array" ref="J393">SUMPRODUCT(
    (Transactions_and_Customer_Information_Joined[Customer ID]='V1-Based Churn Model (Step 3)'!$A393) *
    (IFERROR(_xlfn.XLOOKUP(Transactions_and_Customer_Information_Joined[SKU], 'V1 Pricing Model (Step 2)'!$A$22:$A$71, 'V1 Pricing Model (Step 2)'!$AL$22:$AL$71), "Exclude")&lt;&gt;"Exclude") *
    Transactions_and_Customer_Information_Joined[Gross Revenue])</f>
        <v>318.18</v>
      </c>
      <c r="K393" s="24">
        <f>SUMIF(Transactions_and_Customer_Information_Joined[Customer ID], 'V1-Based Churn Model (Step 3)'!$A393, Transactions_and_Customer_Information_Joined[Gross Revenue])</f>
        <v>318.18</v>
      </c>
      <c r="L393" s="3">
        <f t="shared" si="30"/>
        <v>1</v>
      </c>
      <c r="M393" s="21">
        <v>0.18762795201583557</v>
      </c>
      <c r="N393" s="21" cm="1">
        <f t="array" ref="N393">SUMPRODUCT(
    (Transactions_and_Customer_Information_Joined[Customer ID]=$A393)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93" s="21" cm="1">
        <f t="array" ref="O393">IFERROR(
    SUMPRODUCT(
        (Transactions_and_Customer_Information_Joined[Customer ID]=$A393)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$J393,
0)</f>
        <v>0.18762795201583557</v>
      </c>
      <c r="P393" s="5" cm="1">
        <f t="array" ref="P393">_xlfn.IFS(B393="At-Risk Churner",$B$2,$B393="Dormant",$B$3,$B393="Deal Hunter",$B$4,$B393="New Customer",$B$5,$B393="Occasional Buyer",$B$6,$B393="Loyal High-Value",$B$7)</f>
        <v>45</v>
      </c>
      <c r="Q393" s="9" cm="1">
        <f t="array" ref="Q393">_xlfn.IFS($B393 = "At-Risk Churner", $B$8, $B393="Dormant",$B$9, $B393="Deal Hunter", $B$10, $B393="New Customer", $B$11, $B393="Occasional Buyer", $B$12, $B393 = "Loyal High-Value",$B$13)</f>
        <v>0.25</v>
      </c>
      <c r="R393" s="5">
        <v>15</v>
      </c>
      <c r="S393" s="5">
        <v>-8</v>
      </c>
      <c r="T393" s="5">
        <v>8</v>
      </c>
      <c r="U393" s="5">
        <f t="shared" si="31"/>
        <v>15</v>
      </c>
      <c r="V393" s="5">
        <f t="shared" si="32"/>
        <v>7.505118080633423</v>
      </c>
      <c r="W393" s="43">
        <f t="shared" si="33"/>
        <v>82.482618080633429</v>
      </c>
      <c r="X393" s="5" t="str" cm="1">
        <f t="array" ref="X393">_xlfn.IFS($W393 &lt;= 30, "Low", $W393 &lt;=50, "Medium", $W393 &lt;= 70, "High", $W393 &gt; 70, "Critical")</f>
        <v>Critical</v>
      </c>
      <c r="Y393" s="9">
        <f t="shared" si="34"/>
        <v>0.2406526507306341</v>
      </c>
      <c r="Z393" s="22">
        <f t="shared" si="35"/>
        <v>41.801365431911144</v>
      </c>
    </row>
    <row r="394" spans="1:26">
      <c r="A394" s="24" t="str">
        <v>CUST-1358</v>
      </c>
      <c r="B394" s="24" t="str">
        <v>New Customer</v>
      </c>
      <c r="C394" s="24" t="str">
        <v>Organic Search</v>
      </c>
      <c r="D394" s="24" t="str">
        <v>Canada</v>
      </c>
      <c r="E394" s="24" t="str">
        <v>18-24</v>
      </c>
      <c r="F394" s="24" t="str">
        <v>Low</v>
      </c>
      <c r="G394" s="24">
        <v>8</v>
      </c>
      <c r="H394" s="24">
        <v>144</v>
      </c>
      <c r="I394" s="23">
        <v>111.89</v>
      </c>
      <c r="J394" s="24" cm="1">
        <f t="array" ref="J394">SUMPRODUCT(
    (Transactions_and_Customer_Information_Joined[Customer ID]='V1-Based Churn Model (Step 3)'!$A394) *
    (IFERROR(_xlfn.XLOOKUP(Transactions_and_Customer_Information_Joined[SKU], 'V1 Pricing Model (Step 2)'!$A$22:$A$71, 'V1 Pricing Model (Step 2)'!$AL$22:$AL$71), "Exclude")&lt;&gt;"Exclude") *
    Transactions_and_Customer_Information_Joined[Gross Revenue])</f>
        <v>215.8</v>
      </c>
      <c r="K394" s="24">
        <f>SUMIF(Transactions_and_Customer_Information_Joined[Customer ID], 'V1-Based Churn Model (Step 3)'!$A394, Transactions_and_Customer_Information_Joined[Gross Revenue])</f>
        <v>215.8</v>
      </c>
      <c r="L394" s="3">
        <f t="shared" si="30"/>
        <v>1</v>
      </c>
      <c r="M394" s="21">
        <v>-6.3633334648082567E-3</v>
      </c>
      <c r="N394" s="21" cm="1">
        <f t="array" ref="N394">SUMPRODUCT(
    (Transactions_and_Customer_Information_Joined[Customer ID]=$A394)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94" s="21" cm="1">
        <f t="array" ref="O394">IFERROR(
    SUMPRODUCT(
        (Transactions_and_Customer_Information_Joined[Customer ID]=$A394)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$J394,
0)</f>
        <v>-6.3633334648082575E-3</v>
      </c>
      <c r="P394" s="5" cm="1">
        <f t="array" ref="P394">_xlfn.IFS(B394="At-Risk Churner",$B$2,$B394="Dormant",$B$3,$B394="Deal Hunter",$B$4,$B394="New Customer",$B$5,$B394="Occasional Buyer",$B$6,$B394="Loyal High-Value",$B$7)</f>
        <v>35</v>
      </c>
      <c r="Q394" s="9" cm="1">
        <f t="array" ref="Q394">_xlfn.IFS($B394 = "At-Risk Churner", $B$8, $B394="Dormant",$B$9, $B394="Deal Hunter", $B$10, $B394="New Customer", $B$11, $B394="Occasional Buyer", $B$12, $B394 = "Loyal High-Value",$B$13)</f>
        <v>0.35</v>
      </c>
      <c r="R394" s="5">
        <v>-5</v>
      </c>
      <c r="S394" s="5">
        <v>-8</v>
      </c>
      <c r="T394" s="5">
        <v>0</v>
      </c>
      <c r="U394" s="5">
        <f t="shared" si="31"/>
        <v>15</v>
      </c>
      <c r="V394" s="5">
        <f t="shared" si="32"/>
        <v>0.25453333859233029</v>
      </c>
      <c r="W394" s="43">
        <f t="shared" si="33"/>
        <v>36.862033338592333</v>
      </c>
      <c r="X394" s="5" t="str" cm="1">
        <f t="array" ref="X394">_xlfn.IFS($W394 &lt;= 30, "Low", $W394 &lt;=50, "Medium", $W394 &lt;= 70, "High", $W394 &gt; 70, "Critical")</f>
        <v>Medium</v>
      </c>
      <c r="Y394" s="9">
        <f t="shared" si="34"/>
        <v>7.4148276303097796E-2</v>
      </c>
      <c r="Z394" s="22">
        <f t="shared" si="35"/>
        <v>29.015160508442889</v>
      </c>
    </row>
    <row r="395" spans="1:26">
      <c r="A395" s="24" t="str">
        <v>CUST-1369</v>
      </c>
      <c r="B395" s="24" t="str">
        <v>Occasional Buyer</v>
      </c>
      <c r="C395" s="24" t="str">
        <v>Referral</v>
      </c>
      <c r="D395" s="24" t="str">
        <v>Midwest</v>
      </c>
      <c r="E395" s="24" t="str">
        <v>45-54</v>
      </c>
      <c r="F395" s="24" t="str">
        <v>Low</v>
      </c>
      <c r="G395" s="24">
        <v>5</v>
      </c>
      <c r="H395" s="24">
        <v>91</v>
      </c>
      <c r="I395" s="23">
        <v>498.06</v>
      </c>
      <c r="J395" s="24" cm="1">
        <f t="array" ref="J395">SUMPRODUCT(
    (Transactions_and_Customer_Information_Joined[Customer ID]='V1-Based Churn Model (Step 3)'!$A395) *
    (IFERROR(_xlfn.XLOOKUP(Transactions_and_Customer_Information_Joined[SKU], 'V1 Pricing Model (Step 2)'!$A$22:$A$71, 'V1 Pricing Model (Step 2)'!$AL$22:$AL$71), "Exclude")&lt;&gt;"Exclude") *
    Transactions_and_Customer_Information_Joined[Gross Revenue])</f>
        <v>385.95</v>
      </c>
      <c r="K395" s="24">
        <f>SUMIF(Transactions_and_Customer_Information_Joined[Customer ID], 'V1-Based Churn Model (Step 3)'!$A395, Transactions_and_Customer_Information_Joined[Gross Revenue])</f>
        <v>385.95</v>
      </c>
      <c r="L395" s="3">
        <f t="shared" si="30"/>
        <v>1</v>
      </c>
      <c r="M395" s="21">
        <v>0.10709640328514787</v>
      </c>
      <c r="N395" s="21" cm="1">
        <f t="array" ref="N395">SUMPRODUCT(
    (Transactions_and_Customer_Information_Joined[Customer ID]=$A395)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2</v>
      </c>
      <c r="O395" s="21" cm="1">
        <f t="array" ref="O395">IFERROR(
    SUMPRODUCT(
        (Transactions_and_Customer_Information_Joined[Customer ID]=$A395)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$J395,
0)</f>
        <v>6.4399008236304858E-2</v>
      </c>
      <c r="P395" s="5" cm="1">
        <f t="array" ref="P395">_xlfn.IFS(B395="At-Risk Churner",$B$2,$B395="Dormant",$B$3,$B395="Deal Hunter",$B$4,$B395="New Customer",$B$5,$B395="Occasional Buyer",$B$6,$B395="Loyal High-Value",$B$7)</f>
        <v>25</v>
      </c>
      <c r="Q395" s="9" cm="1">
        <f t="array" ref="Q395">_xlfn.IFS($B395 = "At-Risk Churner", $B$8, $B395="Dormant",$B$9, $B395="Deal Hunter", $B$10, $B395="New Customer", $B$11, $B395="Occasional Buyer", $B$12, $B395 = "Loyal High-Value",$B$13)</f>
        <v>0.18</v>
      </c>
      <c r="R395" s="5">
        <v>-5</v>
      </c>
      <c r="S395" s="5">
        <v>0</v>
      </c>
      <c r="T395" s="5">
        <v>0</v>
      </c>
      <c r="U395" s="5">
        <f t="shared" si="31"/>
        <v>15</v>
      </c>
      <c r="V395" s="5">
        <f t="shared" si="32"/>
        <v>3.4299082304290547</v>
      </c>
      <c r="W395" s="43">
        <f t="shared" si="33"/>
        <v>38.317408230429059</v>
      </c>
      <c r="X395" s="5" t="str" cm="1">
        <f t="array" ref="X395">_xlfn.IFS($W395 &lt;= 30, "Low", $W395 &lt;=50, "Medium", $W395 &lt;= 70, "High", $W395 &gt; 70, "Critical")</f>
        <v>Medium</v>
      </c>
      <c r="Y395" s="9">
        <f t="shared" si="34"/>
        <v>4.2690562263162854E-2</v>
      </c>
      <c r="Z395" s="22">
        <f t="shared" si="35"/>
        <v>116.62196915263272</v>
      </c>
    </row>
    <row r="396" spans="1:26">
      <c r="A396" s="24" t="str">
        <v>CUST-1815</v>
      </c>
      <c r="B396" s="24" t="str">
        <v>Deal Hunter</v>
      </c>
      <c r="C396" s="24" t="str">
        <v>Influencer</v>
      </c>
      <c r="D396" s="24" t="str">
        <v>West</v>
      </c>
      <c r="E396" s="24" t="str">
        <v>25-34</v>
      </c>
      <c r="F396" s="24" t="str">
        <v>Medium</v>
      </c>
      <c r="G396" s="24">
        <v>0</v>
      </c>
      <c r="H396" s="24">
        <v>220</v>
      </c>
      <c r="I396" s="23">
        <v>418.42</v>
      </c>
      <c r="J396" s="24" cm="1">
        <f t="array" ref="J396">SUMPRODUCT(
    (Transactions_and_Customer_Information_Joined[Customer ID]='V1-Based Churn Model (Step 3)'!$A396) *
    (IFERROR(_xlfn.XLOOKUP(Transactions_and_Customer_Information_Joined[SKU], 'V1 Pricing Model (Step 2)'!$A$22:$A$71, 'V1 Pricing Model (Step 2)'!$AL$22:$AL$71), "Exclude")&lt;&gt;"Exclude") *
    Transactions_and_Customer_Information_Joined[Gross Revenue])</f>
        <v>434.84999999999997</v>
      </c>
      <c r="K396" s="24">
        <f>SUMIF(Transactions_and_Customer_Information_Joined[Customer ID], 'V1-Based Churn Model (Step 3)'!$A396, Transactions_and_Customer_Information_Joined[Gross Revenue])</f>
        <v>434.84999999999997</v>
      </c>
      <c r="L396" s="3">
        <f t="shared" si="30"/>
        <v>1</v>
      </c>
      <c r="M396" s="21">
        <v>0.25481331848064742</v>
      </c>
      <c r="N396" s="21" cm="1">
        <f t="array" ref="N396">SUMPRODUCT(
    (Transactions_and_Customer_Information_Joined[Customer ID]=$A396)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96" s="21" cm="1">
        <f t="array" ref="O396">IFERROR(
    SUMPRODUCT(
        (Transactions_and_Customer_Information_Joined[Customer ID]=$A396)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$J396,
0)</f>
        <v>0.25481331848064742</v>
      </c>
      <c r="P396" s="5" cm="1">
        <f t="array" ref="P396">_xlfn.IFS(B396="At-Risk Churner",$B$2,$B396="Dormant",$B$3,$B396="Deal Hunter",$B$4,$B396="New Customer",$B$5,$B396="Occasional Buyer",$B$6,$B396="Loyal High-Value",$B$7)</f>
        <v>45</v>
      </c>
      <c r="Q396" s="9" cm="1">
        <f t="array" ref="Q396">_xlfn.IFS($B396 = "At-Risk Churner", $B$8, $B396="Dormant",$B$9, $B396="Deal Hunter", $B$10, $B396="New Customer", $B$11, $B396="Occasional Buyer", $B$12, $B396 = "Loyal High-Value",$B$13)</f>
        <v>0.25</v>
      </c>
      <c r="R396" s="5">
        <v>5</v>
      </c>
      <c r="S396" s="5">
        <v>10</v>
      </c>
      <c r="T396" s="5">
        <v>8</v>
      </c>
      <c r="U396" s="5">
        <f t="shared" si="31"/>
        <v>15</v>
      </c>
      <c r="V396" s="5">
        <f t="shared" si="32"/>
        <v>10.192532739225896</v>
      </c>
      <c r="W396" s="43">
        <f t="shared" si="33"/>
        <v>93.755032739225896</v>
      </c>
      <c r="X396" s="5" t="str" cm="1">
        <f t="array" ref="X396">_xlfn.IFS($W396 &lt;= 30, "Low", $W396 &lt;=50, "Medium", $W396 &lt;= 70, "High", $W396 &gt; 70, "Critical")</f>
        <v>Critical</v>
      </c>
      <c r="Y396" s="9">
        <f t="shared" si="34"/>
        <v>0.2468936315944146</v>
      </c>
      <c r="Z396" s="22">
        <f t="shared" si="35"/>
        <v>103.30523333173497</v>
      </c>
    </row>
    <row r="397" spans="1:26">
      <c r="A397" s="24" t="str">
        <v>CUST-2127</v>
      </c>
      <c r="B397" s="24" t="str">
        <v>New Customer</v>
      </c>
      <c r="C397" s="24" t="str">
        <v>Email Campaign</v>
      </c>
      <c r="D397" s="24" t="str">
        <v>UK</v>
      </c>
      <c r="E397" s="24" t="str">
        <v>55+</v>
      </c>
      <c r="F397" s="24" t="str">
        <v>High</v>
      </c>
      <c r="G397" s="24">
        <v>9</v>
      </c>
      <c r="H397" s="24">
        <v>325</v>
      </c>
      <c r="I397" s="23">
        <v>107.67</v>
      </c>
      <c r="J397" s="24" cm="1">
        <f t="array" ref="J397">SUMPRODUCT(
    (Transactions_and_Customer_Information_Joined[Customer ID]='V1-Based Churn Model (Step 3)'!$A397) *
    (IFERROR(_xlfn.XLOOKUP(Transactions_and_Customer_Information_Joined[SKU], 'V1 Pricing Model (Step 2)'!$A$22:$A$71, 'V1 Pricing Model (Step 2)'!$AL$22:$AL$71), "Exclude")&lt;&gt;"Exclude") *
    Transactions_and_Customer_Information_Joined[Gross Revenue])</f>
        <v>395.04</v>
      </c>
      <c r="K397" s="24">
        <f>SUMIF(Transactions_and_Customer_Information_Joined[Customer ID], 'V1-Based Churn Model (Step 3)'!$A397, Transactions_and_Customer_Information_Joined[Gross Revenue])</f>
        <v>395.04</v>
      </c>
      <c r="L397" s="3">
        <f t="shared" si="30"/>
        <v>1</v>
      </c>
      <c r="M397" s="21">
        <v>5.4598129129915428E-2</v>
      </c>
      <c r="N397" s="21" cm="1">
        <f t="array" ref="N397">SUMPRODUCT(
    (Transactions_and_Customer_Information_Joined[Customer ID]=$A397)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97" s="21" cm="1">
        <f t="array" ref="O397">IFERROR(
    SUMPRODUCT(
        (Transactions_and_Customer_Information_Joined[Customer ID]=$A397)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$J397,
0)</f>
        <v>5.4598129129915428E-2</v>
      </c>
      <c r="P397" s="5" cm="1">
        <f t="array" ref="P397">_xlfn.IFS(B397="At-Risk Churner",$B$2,$B397="Dormant",$B$3,$B397="Deal Hunter",$B$4,$B397="New Customer",$B$5,$B397="Occasional Buyer",$B$6,$B397="Loyal High-Value",$B$7)</f>
        <v>35</v>
      </c>
      <c r="Q397" s="9" cm="1">
        <f t="array" ref="Q397">_xlfn.IFS($B397 = "At-Risk Churner", $B$8, $B397="Dormant",$B$9, $B397="Deal Hunter", $B$10, $B397="New Customer", $B$11, $B397="Occasional Buyer", $B$12, $B397 = "Loyal High-Value",$B$13)</f>
        <v>0.35</v>
      </c>
      <c r="R397" s="5">
        <v>15</v>
      </c>
      <c r="S397" s="5">
        <v>-8</v>
      </c>
      <c r="T397" s="5">
        <v>15</v>
      </c>
      <c r="U397" s="5">
        <f t="shared" si="31"/>
        <v>15</v>
      </c>
      <c r="V397" s="5">
        <f t="shared" si="32"/>
        <v>2.1839251651966172</v>
      </c>
      <c r="W397" s="43">
        <f t="shared" si="33"/>
        <v>74.241425165196617</v>
      </c>
      <c r="X397" s="5" t="str" cm="1">
        <f t="array" ref="X397">_xlfn.IFS($W397 &lt;= 30, "Low", $W397 &lt;=50, "Medium", $W397 &lt;= 70, "High", $W397 &gt; 70, "Critical")</f>
        <v>Critical</v>
      </c>
      <c r="Y397" s="9">
        <f t="shared" si="34"/>
        <v>0.32152745158783297</v>
      </c>
      <c r="Z397" s="22">
        <f t="shared" si="35"/>
        <v>34.618860712461974</v>
      </c>
    </row>
    <row r="398" spans="1:26">
      <c r="A398" s="24" t="str">
        <v>CUST-1979</v>
      </c>
      <c r="B398" s="24" t="str">
        <v>Deal Hunter</v>
      </c>
      <c r="C398" s="24" t="str">
        <v>Paid Social</v>
      </c>
      <c r="D398" s="24" t="str">
        <v>Southeast</v>
      </c>
      <c r="E398" s="24" t="str">
        <v>18-24</v>
      </c>
      <c r="F398" s="24" t="str">
        <v>Low</v>
      </c>
      <c r="G398" s="24">
        <v>1</v>
      </c>
      <c r="H398" s="24">
        <v>231</v>
      </c>
      <c r="I398" s="23">
        <v>167.46</v>
      </c>
      <c r="J398" s="24" cm="1">
        <f t="array" ref="J398">SUMPRODUCT(
    (Transactions_and_Customer_Information_Joined[Customer ID]='V1-Based Churn Model (Step 3)'!$A398) *
    (IFERROR(_xlfn.XLOOKUP(Transactions_and_Customer_Information_Joined[SKU], 'V1 Pricing Model (Step 2)'!$A$22:$A$71, 'V1 Pricing Model (Step 2)'!$AL$22:$AL$71), "Exclude")&lt;&gt;"Exclude") *
    Transactions_and_Customer_Information_Joined[Gross Revenue])</f>
        <v>169.9</v>
      </c>
      <c r="K398" s="24">
        <f>SUMIF(Transactions_and_Customer_Information_Joined[Customer ID], 'V1-Based Churn Model (Step 3)'!$A398, Transactions_and_Customer_Information_Joined[Gross Revenue])</f>
        <v>169.9</v>
      </c>
      <c r="L398" s="3">
        <f t="shared" si="30"/>
        <v>1</v>
      </c>
      <c r="M398" s="21">
        <v>0</v>
      </c>
      <c r="N398" s="21" cm="1">
        <f t="array" ref="N398">SUMPRODUCT(
    (Transactions_and_Customer_Information_Joined[Customer ID]=$A398)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398" s="21" cm="1">
        <f t="array" ref="O398">IFERROR(
    SUMPRODUCT(
        (Transactions_and_Customer_Information_Joined[Customer ID]=$A398)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$J398,
0)</f>
        <v>0</v>
      </c>
      <c r="P398" s="5" cm="1">
        <f t="array" ref="P398">_xlfn.IFS(B398="At-Risk Churner",$B$2,$B398="Dormant",$B$3,$B398="Deal Hunter",$B$4,$B398="New Customer",$B$5,$B398="Occasional Buyer",$B$6,$B398="Loyal High-Value",$B$7)</f>
        <v>45</v>
      </c>
      <c r="Q398" s="9" cm="1">
        <f t="array" ref="Q398">_xlfn.IFS($B398 = "At-Risk Churner", $B$8, $B398="Dormant",$B$9, $B398="Deal Hunter", $B$10, $B398="New Customer", $B$11, $B398="Occasional Buyer", $B$12, $B398 = "Loyal High-Value",$B$13)</f>
        <v>0.25</v>
      </c>
      <c r="R398" s="5">
        <v>-5</v>
      </c>
      <c r="S398" s="5">
        <v>10</v>
      </c>
      <c r="T398" s="5">
        <v>8</v>
      </c>
      <c r="U398" s="5">
        <f t="shared" si="31"/>
        <v>15</v>
      </c>
      <c r="V398" s="5">
        <f t="shared" si="32"/>
        <v>0</v>
      </c>
      <c r="W398" s="43">
        <f t="shared" si="33"/>
        <v>73.337500000000006</v>
      </c>
      <c r="X398" s="5" t="str" cm="1">
        <f t="array" ref="X398">_xlfn.IFS($W398 &lt;= 30, "Low", $W398 &lt;=50, "Medium", $W398 &lt;= 70, "High", $W398 &gt; 70, "Critical")</f>
        <v>Critical</v>
      </c>
      <c r="Y398" s="9">
        <f t="shared" si="34"/>
        <v>0.22790847354772634</v>
      </c>
      <c r="Z398" s="22">
        <f t="shared" si="35"/>
        <v>38.165552980302252</v>
      </c>
    </row>
    <row r="399" spans="1:26">
      <c r="A399" s="24" t="str">
        <v>CUST-2912</v>
      </c>
      <c r="B399" s="24" t="str">
        <v>New Customer</v>
      </c>
      <c r="C399" s="24" t="str">
        <v>Influencer</v>
      </c>
      <c r="D399" s="24" t="str">
        <v>Southwest</v>
      </c>
      <c r="E399" s="24" t="str">
        <v>55+</v>
      </c>
      <c r="F399" s="24" t="str">
        <v>Medium</v>
      </c>
      <c r="G399" s="24">
        <v>5</v>
      </c>
      <c r="H399" s="24">
        <v>105</v>
      </c>
      <c r="I399" s="23">
        <v>48.67</v>
      </c>
      <c r="J399" s="24" cm="1">
        <f t="array" ref="J399">SUMPRODUCT(
    (Transactions_and_Customer_Information_Joined[Customer ID]='V1-Based Churn Model (Step 3)'!$A399)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399" s="24">
        <f>SUMIF(Transactions_and_Customer_Information_Joined[Customer ID], 'V1-Based Churn Model (Step 3)'!$A399, Transactions_and_Customer_Information_Joined[Gross Revenue])</f>
        <v>248.52</v>
      </c>
      <c r="L399" s="3">
        <f t="shared" si="30"/>
        <v>0</v>
      </c>
      <c r="M399" s="21">
        <v>0</v>
      </c>
      <c r="N399" s="21" cm="1">
        <f t="array" ref="N399">SUMPRODUCT(
    (Transactions_and_Customer_Information_Joined[Customer ID]=$A399)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399" s="21" cm="1">
        <f t="array" ref="O399">IFERROR(
    SUMPRODUCT(
        (Transactions_and_Customer_Information_Joined[Customer ID]=$A399)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$J399,
0)</f>
        <v>0</v>
      </c>
      <c r="P399" s="5" cm="1">
        <f t="array" ref="P399">_xlfn.IFS(B399="At-Risk Churner",$B$2,$B399="Dormant",$B$3,$B399="Deal Hunter",$B$4,$B399="New Customer",$B$5,$B399="Occasional Buyer",$B$6,$B399="Loyal High-Value",$B$7)</f>
        <v>35</v>
      </c>
      <c r="Q399" s="9" cm="1">
        <f t="array" ref="Q399">_xlfn.IFS($B399 = "At-Risk Churner", $B$8, $B399="Dormant",$B$9, $B399="Deal Hunter", $B$10, $B399="New Customer", $B$11, $B399="Occasional Buyer", $B$12, $B399 = "Loyal High-Value",$B$13)</f>
        <v>0.35</v>
      </c>
      <c r="R399" s="5">
        <v>5</v>
      </c>
      <c r="S399" s="5">
        <v>0</v>
      </c>
      <c r="T399" s="5">
        <v>0</v>
      </c>
      <c r="U399" s="5">
        <f t="shared" si="31"/>
        <v>0</v>
      </c>
      <c r="V399" s="5">
        <f t="shared" si="32"/>
        <v>0</v>
      </c>
      <c r="W399" s="43">
        <f t="shared" si="33"/>
        <v>40</v>
      </c>
      <c r="X399" s="5" t="str" cm="1">
        <f t="array" ref="X399">_xlfn.IFS($W399 &lt;= 30, "Low", $W399 &lt;=50, "Medium", $W399 &lt;= 70, "High", $W399 &gt; 70, "Critical")</f>
        <v>Medium</v>
      </c>
      <c r="Y399" s="9">
        <f t="shared" si="34"/>
        <v>9.4129497479498281E-2</v>
      </c>
      <c r="Z399" s="22">
        <f t="shared" si="35"/>
        <v>13.399026113861746</v>
      </c>
    </row>
    <row r="400" spans="1:26">
      <c r="A400" s="24" t="str">
        <v>CUST-4925</v>
      </c>
      <c r="B400" s="24" t="str">
        <v>Deal Hunter</v>
      </c>
      <c r="C400" s="24" t="str">
        <v>Direct</v>
      </c>
      <c r="D400" s="24" t="str">
        <v>Northeast</v>
      </c>
      <c r="E400" s="24" t="str">
        <v>35-44</v>
      </c>
      <c r="F400" s="24" t="str">
        <v>High</v>
      </c>
      <c r="G400" s="24">
        <v>8</v>
      </c>
      <c r="H400" s="24">
        <v>37</v>
      </c>
      <c r="I400" s="23">
        <v>331.41</v>
      </c>
      <c r="J400" s="24" cm="1">
        <f t="array" ref="J400">SUMPRODUCT(
    (Transactions_and_Customer_Information_Joined[Customer ID]='V1-Based Churn Model (Step 3)'!$A400) *
    (IFERROR(_xlfn.XLOOKUP(Transactions_and_Customer_Information_Joined[SKU], 'V1 Pricing Model (Step 2)'!$A$22:$A$71, 'V1 Pricing Model (Step 2)'!$AL$22:$AL$71), "Exclude")&lt;&gt;"Exclude") *
    Transactions_and_Customer_Information_Joined[Gross Revenue])</f>
        <v>105.84</v>
      </c>
      <c r="K400" s="24">
        <f>SUMIF(Transactions_and_Customer_Information_Joined[Customer ID], 'V1-Based Churn Model (Step 3)'!$A400, Transactions_and_Customer_Information_Joined[Gross Revenue])</f>
        <v>105.84</v>
      </c>
      <c r="L400" s="3">
        <f t="shared" si="30"/>
        <v>1</v>
      </c>
      <c r="M400" s="21">
        <v>-4.5975852073346618E-2</v>
      </c>
      <c r="N400" s="21" cm="1">
        <f t="array" ref="N400">SUMPRODUCT(
    (Transactions_and_Customer_Information_Joined[Customer ID]=$A400)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00" s="21" cm="1">
        <f t="array" ref="O400">IFERROR(
    SUMPRODUCT(
        (Transactions_and_Customer_Information_Joined[Customer ID]=$A400)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$J400,
0)</f>
        <v>-4.5975852073346618E-2</v>
      </c>
      <c r="P400" s="5" cm="1">
        <f t="array" ref="P400">_xlfn.IFS(B400="At-Risk Churner",$B$2,$B400="Dormant",$B$3,$B400="Deal Hunter",$B$4,$B400="New Customer",$B$5,$B400="Occasional Buyer",$B$6,$B400="Loyal High-Value",$B$7)</f>
        <v>45</v>
      </c>
      <c r="Q400" s="9" cm="1">
        <f t="array" ref="Q400">_xlfn.IFS($B400 = "At-Risk Churner", $B$8, $B400="Dormant",$B$9, $B400="Deal Hunter", $B$10, $B400="New Customer", $B$11, $B400="Occasional Buyer", $B$12, $B400 = "Loyal High-Value",$B$13)</f>
        <v>0.25</v>
      </c>
      <c r="R400" s="5">
        <v>15</v>
      </c>
      <c r="S400" s="5">
        <v>-8</v>
      </c>
      <c r="T400" s="5">
        <v>-5</v>
      </c>
      <c r="U400" s="5">
        <f t="shared" si="31"/>
        <v>15</v>
      </c>
      <c r="V400" s="5">
        <f t="shared" si="32"/>
        <v>1.8390340829338647</v>
      </c>
      <c r="W400" s="43">
        <f t="shared" si="33"/>
        <v>63.81653408293387</v>
      </c>
      <c r="X400" s="5" t="str" cm="1">
        <f t="array" ref="X400">_xlfn.IFS($W400 &lt;= 30, "Low", $W400 &lt;=50, "Medium", $W400 &lt;= 70, "High", $W400 &gt; 70, "Critical")</f>
        <v>High</v>
      </c>
      <c r="Y400" s="9">
        <f t="shared" si="34"/>
        <v>0.19981410339939379</v>
      </c>
      <c r="Z400" s="22">
        <f t="shared" si="35"/>
        <v>119.25831360607449</v>
      </c>
    </row>
    <row r="401" spans="1:26">
      <c r="A401" s="24" t="str">
        <v>CUST-1973</v>
      </c>
      <c r="B401" s="24" t="str">
        <v>Occasional Buyer</v>
      </c>
      <c r="C401" s="24" t="str">
        <v>Direct</v>
      </c>
      <c r="D401" s="24" t="str">
        <v>Northeast</v>
      </c>
      <c r="E401" s="24" t="str">
        <v>18-24</v>
      </c>
      <c r="F401" s="24" t="str">
        <v>Medium</v>
      </c>
      <c r="G401" s="24">
        <v>4</v>
      </c>
      <c r="H401" s="24">
        <v>299</v>
      </c>
      <c r="I401" s="23">
        <v>317.76</v>
      </c>
      <c r="J401" s="24" cm="1">
        <f t="array" ref="J401">SUMPRODUCT(
    (Transactions_and_Customer_Information_Joined[Customer ID]='V1-Based Churn Model (Step 3)'!$A401) *
    (IFERROR(_xlfn.XLOOKUP(Transactions_and_Customer_Information_Joined[SKU], 'V1 Pricing Model (Step 2)'!$A$22:$A$71, 'V1 Pricing Model (Step 2)'!$AL$22:$AL$71), "Exclude")&lt;&gt;"Exclude") *
    Transactions_and_Customer_Information_Joined[Gross Revenue])</f>
        <v>535.96</v>
      </c>
      <c r="K401" s="24">
        <f>SUMIF(Transactions_and_Customer_Information_Joined[Customer ID], 'V1-Based Churn Model (Step 3)'!$A401, Transactions_and_Customer_Information_Joined[Gross Revenue])</f>
        <v>535.96</v>
      </c>
      <c r="L401" s="3">
        <f t="shared" si="30"/>
        <v>1</v>
      </c>
      <c r="M401" s="21">
        <v>0.18240919880904002</v>
      </c>
      <c r="N401" s="21" cm="1">
        <f t="array" ref="N401">SUMPRODUCT(
    (Transactions_and_Customer_Information_Joined[Customer ID]=$A401)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01" s="21" cm="1">
        <f t="array" ref="O401">IFERROR(
    SUMPRODUCT(
        (Transactions_and_Customer_Information_Joined[Customer ID]=$A401)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$J401,
0)</f>
        <v>0.18240919880904002</v>
      </c>
      <c r="P401" s="5" cm="1">
        <f t="array" ref="P401">_xlfn.IFS(B401="At-Risk Churner",$B$2,$B401="Dormant",$B$3,$B401="Deal Hunter",$B$4,$B401="New Customer",$B$5,$B401="Occasional Buyer",$B$6,$B401="Loyal High-Value",$B$7)</f>
        <v>25</v>
      </c>
      <c r="Q401" s="9" cm="1">
        <f t="array" ref="Q401">_xlfn.IFS($B401 = "At-Risk Churner", $B$8, $B401="Dormant",$B$9, $B401="Deal Hunter", $B$10, $B401="New Customer", $B$11, $B401="Occasional Buyer", $B$12, $B401 = "Loyal High-Value",$B$13)</f>
        <v>0.18</v>
      </c>
      <c r="R401" s="5">
        <v>5</v>
      </c>
      <c r="S401" s="5">
        <v>0</v>
      </c>
      <c r="T401" s="5">
        <v>8</v>
      </c>
      <c r="U401" s="5">
        <f t="shared" si="31"/>
        <v>15</v>
      </c>
      <c r="V401" s="5">
        <f t="shared" si="32"/>
        <v>7.2963679523616012</v>
      </c>
      <c r="W401" s="43">
        <f t="shared" si="33"/>
        <v>60.408867952361597</v>
      </c>
      <c r="X401" s="5" t="str" cm="1">
        <f t="array" ref="X401">_xlfn.IFS($W401 &lt;= 30, "Low", $W401 &lt;=50, "Medium", $W401 &lt;= 70, "High", $W401 &gt; 70, "Critical")</f>
        <v>High</v>
      </c>
      <c r="Y401" s="9">
        <f t="shared" si="34"/>
        <v>0.13302379396390485</v>
      </c>
      <c r="Z401" s="22">
        <f t="shared" si="35"/>
        <v>97.36771261597633</v>
      </c>
    </row>
    <row r="402" spans="1:26">
      <c r="A402" s="24" t="str">
        <v>CUST-3574</v>
      </c>
      <c r="B402" s="24" t="str">
        <v>At-Risk Churner</v>
      </c>
      <c r="C402" s="24" t="str">
        <v>Paid Social</v>
      </c>
      <c r="D402" s="24" t="str">
        <v>Southwest</v>
      </c>
      <c r="E402" s="24" t="str">
        <v>18-24</v>
      </c>
      <c r="F402" s="24" t="str">
        <v>Medium</v>
      </c>
      <c r="G402" s="24">
        <v>6</v>
      </c>
      <c r="H402" s="24">
        <v>138</v>
      </c>
      <c r="I402" s="23">
        <v>81.27</v>
      </c>
      <c r="J402" s="24" cm="1">
        <f t="array" ref="J402">SUMPRODUCT(
    (Transactions_and_Customer_Information_Joined[Customer ID]='V1-Based Churn Model (Step 3)'!$A402)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402" s="24">
        <f>SUMIF(Transactions_and_Customer_Information_Joined[Customer ID], 'V1-Based Churn Model (Step 3)'!$A402, Transactions_and_Customer_Information_Joined[Gross Revenue])</f>
        <v>616.12</v>
      </c>
      <c r="L402" s="3">
        <f t="shared" si="30"/>
        <v>0</v>
      </c>
      <c r="M402" s="21">
        <v>0</v>
      </c>
      <c r="N402" s="21" cm="1">
        <f t="array" ref="N402">SUMPRODUCT(
    (Transactions_and_Customer_Information_Joined[Customer ID]=$A402)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402" s="21" cm="1">
        <f t="array" ref="O402">IFERROR(
    SUMPRODUCT(
        (Transactions_and_Customer_Information_Joined[Customer ID]=$A402)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$J402,
0)</f>
        <v>0</v>
      </c>
      <c r="P402" s="5" cm="1">
        <f t="array" ref="P402">_xlfn.IFS(B402="At-Risk Churner",$B$2,$B402="Dormant",$B$3,$B402="Deal Hunter",$B$4,$B402="New Customer",$B$5,$B402="Occasional Buyer",$B$6,$B402="Loyal High-Value",$B$7)</f>
        <v>70</v>
      </c>
      <c r="Q402" s="9" cm="1">
        <f t="array" ref="Q402">_xlfn.IFS($B402 = "At-Risk Churner", $B$8, $B402="Dormant",$B$9, $B402="Deal Hunter", $B$10, $B402="New Customer", $B$11, $B402="Occasional Buyer", $B$12, $B402 = "Loyal High-Value",$B$13)</f>
        <v>0.45</v>
      </c>
      <c r="R402" s="5">
        <v>5</v>
      </c>
      <c r="S402" s="5">
        <v>0</v>
      </c>
      <c r="T402" s="5">
        <v>0</v>
      </c>
      <c r="U402" s="5">
        <f t="shared" si="31"/>
        <v>0</v>
      </c>
      <c r="V402" s="5">
        <f t="shared" si="32"/>
        <v>0</v>
      </c>
      <c r="W402" s="43">
        <f t="shared" si="33"/>
        <v>75</v>
      </c>
      <c r="X402" s="5" t="str" cm="1">
        <f t="array" ref="X402">_xlfn.IFS($W402 &lt;= 30, "Low", $W402 &lt;=50, "Medium", $W402 &lt;= 70, "High", $W402 &gt; 70, "Critical")</f>
        <v>Critical</v>
      </c>
      <c r="Y402" s="9">
        <f t="shared" si="34"/>
        <v>0.41586381899044045</v>
      </c>
      <c r="Z402" s="22">
        <f t="shared" si="35"/>
        <v>33.797252569353091</v>
      </c>
    </row>
    <row r="403" spans="1:26">
      <c r="A403" s="24" t="str">
        <v>CUST-3285</v>
      </c>
      <c r="B403" s="24" t="str">
        <v>Dormant</v>
      </c>
      <c r="C403" s="24" t="str">
        <v>Paid Social</v>
      </c>
      <c r="D403" s="24" t="str">
        <v>UK</v>
      </c>
      <c r="E403" s="24" t="str">
        <v>55+</v>
      </c>
      <c r="F403" s="24" t="str">
        <v>High</v>
      </c>
      <c r="G403" s="24">
        <v>0</v>
      </c>
      <c r="H403" s="24">
        <v>278</v>
      </c>
      <c r="I403" s="23">
        <v>123.85</v>
      </c>
      <c r="J403" s="24" cm="1">
        <f t="array" ref="J403">SUMPRODUCT(
    (Transactions_and_Customer_Information_Joined[Customer ID]='V1-Based Churn Model (Step 3)'!$A403) *
    (IFERROR(_xlfn.XLOOKUP(Transactions_and_Customer_Information_Joined[SKU], 'V1 Pricing Model (Step 2)'!$A$22:$A$71, 'V1 Pricing Model (Step 2)'!$AL$22:$AL$71), "Exclude")&lt;&gt;"Exclude") *
    Transactions_and_Customer_Information_Joined[Gross Revenue])</f>
        <v>269.63</v>
      </c>
      <c r="K403" s="24">
        <f>SUMIF(Transactions_and_Customer_Information_Joined[Customer ID], 'V1-Based Churn Model (Step 3)'!$A403, Transactions_and_Customer_Information_Joined[Gross Revenue])</f>
        <v>680.43000000000006</v>
      </c>
      <c r="L403" s="3">
        <f t="shared" si="30"/>
        <v>0.39626412709610093</v>
      </c>
      <c r="M403" s="21">
        <v>0.24833629343146826</v>
      </c>
      <c r="N403" s="21" cm="1">
        <f t="array" ref="N403">SUMPRODUCT(
    (Transactions_and_Customer_Information_Joined[Customer ID]=$A403)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03" s="21" cm="1">
        <f t="array" ref="O403">IFERROR(
    SUMPRODUCT(
        (Transactions_and_Customer_Information_Joined[Customer ID]=$A403)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$J403,
0)</f>
        <v>0.18201053015495</v>
      </c>
      <c r="P403" s="5" cm="1">
        <f t="array" ref="P403">_xlfn.IFS(B403="At-Risk Churner",$B$2,$B403="Dormant",$B$3,$B403="Deal Hunter",$B$4,$B403="New Customer",$B$5,$B403="Occasional Buyer",$B$6,$B403="Loyal High-Value",$B$7)</f>
        <v>65</v>
      </c>
      <c r="Q403" s="9" cm="1">
        <f t="array" ref="Q403">_xlfn.IFS($B403 = "At-Risk Churner", $B$8, $B403="Dormant",$B$9, $B403="Deal Hunter", $B$10, $B403="New Customer", $B$11, $B403="Occasional Buyer", $B$12, $B403 = "Loyal High-Value",$B$13)</f>
        <v>0.6</v>
      </c>
      <c r="R403" s="5">
        <v>15</v>
      </c>
      <c r="S403" s="5">
        <v>10</v>
      </c>
      <c r="T403" s="5">
        <v>8</v>
      </c>
      <c r="U403" s="5">
        <f t="shared" si="31"/>
        <v>9.9066031774025234</v>
      </c>
      <c r="V403" s="5">
        <f t="shared" si="32"/>
        <v>8.6069364717283641</v>
      </c>
      <c r="W403" s="43">
        <f t="shared" si="33"/>
        <v>100</v>
      </c>
      <c r="X403" s="5" t="str" cm="1">
        <f t="array" ref="X403">_xlfn.IFS($W403 &lt;= 30, "Low", $W403 &lt;=50, "Medium", $W403 &lt;= 70, "High", $W403 &gt; 70, "Critical")</f>
        <v>Critical</v>
      </c>
      <c r="Y403" s="9">
        <f t="shared" si="34"/>
        <v>0.59598428944542914</v>
      </c>
      <c r="Z403" s="22">
        <f t="shared" si="35"/>
        <v>73.812654247816397</v>
      </c>
    </row>
    <row r="404" spans="1:26">
      <c r="A404" s="24" t="str">
        <v>CUST-3142</v>
      </c>
      <c r="B404" s="24" t="str">
        <v>Occasional Buyer</v>
      </c>
      <c r="C404" s="24" t="str">
        <v>Paid Social</v>
      </c>
      <c r="D404" s="24" t="str">
        <v>Midwest</v>
      </c>
      <c r="E404" s="24" t="str">
        <v>25-34</v>
      </c>
      <c r="F404" s="24" t="str">
        <v>Low</v>
      </c>
      <c r="G404" s="24">
        <v>10</v>
      </c>
      <c r="H404" s="24">
        <v>95</v>
      </c>
      <c r="I404" s="23">
        <v>359.46</v>
      </c>
      <c r="J404" s="24" cm="1">
        <f t="array" ref="J404">SUMPRODUCT(
    (Transactions_and_Customer_Information_Joined[Customer ID]='V1-Based Churn Model (Step 3)'!$A404) *
    (IFERROR(_xlfn.XLOOKUP(Transactions_and_Customer_Information_Joined[SKU], 'V1 Pricing Model (Step 2)'!$A$22:$A$71, 'V1 Pricing Model (Step 2)'!$AL$22:$AL$71), "Exclude")&lt;&gt;"Exclude") *
    Transactions_and_Customer_Information_Joined[Gross Revenue])</f>
        <v>451.53999999999996</v>
      </c>
      <c r="K404" s="24">
        <f>SUMIF(Transactions_and_Customer_Information_Joined[Customer ID], 'V1-Based Churn Model (Step 3)'!$A404, Transactions_and_Customer_Information_Joined[Gross Revenue])</f>
        <v>451.53999999999996</v>
      </c>
      <c r="L404" s="3">
        <f t="shared" si="30"/>
        <v>1</v>
      </c>
      <c r="M404" s="21">
        <v>0.10702390858761081</v>
      </c>
      <c r="N404" s="21" cm="1">
        <f t="array" ref="N404">SUMPRODUCT(
    (Transactions_and_Customer_Information_Joined[Customer ID]=$A404)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2</v>
      </c>
      <c r="O404" s="21" cm="1">
        <f t="array" ref="O404">IFERROR(
    SUMPRODUCT(
        (Transactions_and_Customer_Information_Joined[Customer ID]=$A404)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$J404,
0)</f>
        <v>6.6754249046850136E-2</v>
      </c>
      <c r="P404" s="5" cm="1">
        <f t="array" ref="P404">_xlfn.IFS(B404="At-Risk Churner",$B$2,$B404="Dormant",$B$3,$B404="Deal Hunter",$B$4,$B404="New Customer",$B$5,$B404="Occasional Buyer",$B$6,$B404="Loyal High-Value",$B$7)</f>
        <v>25</v>
      </c>
      <c r="Q404" s="9" cm="1">
        <f t="array" ref="Q404">_xlfn.IFS($B404 = "At-Risk Churner", $B$8, $B404="Dormant",$B$9, $B404="Deal Hunter", $B$10, $B404="New Customer", $B$11, $B404="Occasional Buyer", $B$12, $B404 = "Loyal High-Value",$B$13)</f>
        <v>0.18</v>
      </c>
      <c r="R404" s="5">
        <v>-5</v>
      </c>
      <c r="S404" s="5">
        <v>-8</v>
      </c>
      <c r="T404" s="5">
        <v>0</v>
      </c>
      <c r="U404" s="5">
        <f t="shared" si="31"/>
        <v>15</v>
      </c>
      <c r="V404" s="5">
        <f t="shared" si="32"/>
        <v>3.4755631526892188</v>
      </c>
      <c r="W404" s="43">
        <f t="shared" si="33"/>
        <v>30.163063152689219</v>
      </c>
      <c r="X404" s="5" t="str" cm="1">
        <f t="array" ref="X404">_xlfn.IFS($W404 &lt;= 30, "Low", $W404 &lt;=50, "Medium", $W404 &lt;= 70, "High", $W404 &gt; 70, "Critical")</f>
        <v>Medium</v>
      </c>
      <c r="Y404" s="9">
        <f t="shared" si="34"/>
        <v>2.1766615090479596E-2</v>
      </c>
      <c r="Z404" s="22">
        <f t="shared" si="35"/>
        <v>78.151381968339038</v>
      </c>
    </row>
    <row r="405" spans="1:26">
      <c r="A405" s="24" t="str">
        <v>CUST-3197</v>
      </c>
      <c r="B405" s="24" t="str">
        <v>New Customer</v>
      </c>
      <c r="C405" s="24" t="str">
        <v>Referral</v>
      </c>
      <c r="D405" s="24" t="str">
        <v>Southwest</v>
      </c>
      <c r="E405" s="24" t="str">
        <v>55+</v>
      </c>
      <c r="F405" s="24" t="str">
        <v>Medium</v>
      </c>
      <c r="G405" s="24">
        <v>2</v>
      </c>
      <c r="H405" s="24">
        <v>55</v>
      </c>
      <c r="I405" s="23">
        <v>38.5</v>
      </c>
      <c r="J405" s="24" cm="1">
        <f t="array" ref="J405">SUMPRODUCT(
    (Transactions_and_Customer_Information_Joined[Customer ID]='V1-Based Churn Model (Step 3)'!$A405) *
    (IFERROR(_xlfn.XLOOKUP(Transactions_and_Customer_Information_Joined[SKU], 'V1 Pricing Model (Step 2)'!$A$22:$A$71, 'V1 Pricing Model (Step 2)'!$AL$22:$AL$71), "Exclude")&lt;&gt;"Exclude") *
    Transactions_and_Customer_Information_Joined[Gross Revenue])</f>
        <v>105.84</v>
      </c>
      <c r="K405" s="24">
        <f>SUMIF(Transactions_and_Customer_Information_Joined[Customer ID], 'V1-Based Churn Model (Step 3)'!$A405, Transactions_and_Customer_Information_Joined[Gross Revenue])</f>
        <v>105.84</v>
      </c>
      <c r="L405" s="3">
        <f t="shared" si="30"/>
        <v>1</v>
      </c>
      <c r="M405" s="21">
        <v>-4.5975852073346618E-2</v>
      </c>
      <c r="N405" s="21" cm="1">
        <f t="array" ref="N405">SUMPRODUCT(
    (Transactions_and_Customer_Information_Joined[Customer ID]=$A405)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05" s="21" cm="1">
        <f t="array" ref="O405">IFERROR(
    SUMPRODUCT(
        (Transactions_and_Customer_Information_Joined[Customer ID]=$A405)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$J405,
0)</f>
        <v>-4.5975852073346618E-2</v>
      </c>
      <c r="P405" s="5" cm="1">
        <f t="array" ref="P405">_xlfn.IFS(B405="At-Risk Churner",$B$2,$B405="Dormant",$B$3,$B405="Deal Hunter",$B$4,$B405="New Customer",$B$5,$B405="Occasional Buyer",$B$6,$B405="Loyal High-Value",$B$7)</f>
        <v>35</v>
      </c>
      <c r="Q405" s="9" cm="1">
        <f t="array" ref="Q405">_xlfn.IFS($B405 = "At-Risk Churner", $B$8, $B405="Dormant",$B$9, $B405="Deal Hunter", $B$10, $B405="New Customer", $B$11, $B405="Occasional Buyer", $B$12, $B405 = "Loyal High-Value",$B$13)</f>
        <v>0.35</v>
      </c>
      <c r="R405" s="5">
        <v>5</v>
      </c>
      <c r="S405" s="5">
        <v>10</v>
      </c>
      <c r="T405" s="5">
        <v>-5</v>
      </c>
      <c r="U405" s="5">
        <f t="shared" si="31"/>
        <v>15</v>
      </c>
      <c r="V405" s="5">
        <f t="shared" si="32"/>
        <v>1.8390340829338647</v>
      </c>
      <c r="W405" s="43">
        <f t="shared" si="33"/>
        <v>62.301534082933863</v>
      </c>
      <c r="X405" s="5" t="str" cm="1">
        <f t="array" ref="X405">_xlfn.IFS($W405 &lt;= 30, "Low", $W405 &lt;=50, "Medium", $W405 &lt;= 70, "High", $W405 &gt; 70, "Critical")</f>
        <v>High</v>
      </c>
      <c r="Y405" s="9">
        <f t="shared" si="34"/>
        <v>0.27084589811331483</v>
      </c>
      <c r="Z405" s="22">
        <f t="shared" si="35"/>
        <v>16.042053661890098</v>
      </c>
    </row>
    <row r="406" spans="1:26">
      <c r="A406" s="24" t="str">
        <v>CUST-3117</v>
      </c>
      <c r="B406" s="24" t="str">
        <v>New Customer</v>
      </c>
      <c r="C406" s="24" t="str">
        <v>Email Campaign</v>
      </c>
      <c r="D406" s="24" t="str">
        <v>Canada</v>
      </c>
      <c r="E406" s="24" t="str">
        <v>45-54</v>
      </c>
      <c r="F406" s="24" t="str">
        <v>Low</v>
      </c>
      <c r="G406" s="24">
        <v>7</v>
      </c>
      <c r="H406" s="24">
        <v>334</v>
      </c>
      <c r="I406" s="23">
        <v>45.56</v>
      </c>
      <c r="J406" s="24" cm="1">
        <f t="array" ref="J406">SUMPRODUCT(
    (Transactions_and_Customer_Information_Joined[Customer ID]='V1-Based Churn Model (Step 3)'!$A406) *
    (IFERROR(_xlfn.XLOOKUP(Transactions_and_Customer_Information_Joined[SKU], 'V1 Pricing Model (Step 2)'!$A$22:$A$71, 'V1 Pricing Model (Step 2)'!$AL$22:$AL$71), "Exclude")&lt;&gt;"Exclude") *
    Transactions_and_Customer_Information_Joined[Gross Revenue])</f>
        <v>310.68</v>
      </c>
      <c r="K406" s="24">
        <f>SUMIF(Transactions_and_Customer_Information_Joined[Customer ID], 'V1-Based Churn Model (Step 3)'!$A406, Transactions_and_Customer_Information_Joined[Gross Revenue])</f>
        <v>310.68</v>
      </c>
      <c r="L406" s="3">
        <f t="shared" si="30"/>
        <v>1</v>
      </c>
      <c r="M406" s="21">
        <v>1.0827913756041518E-3</v>
      </c>
      <c r="N406" s="21" cm="1">
        <f t="array" ref="N406">SUMPRODUCT(
    (Transactions_and_Customer_Information_Joined[Customer ID]=$A406)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06" s="21" cm="1">
        <f t="array" ref="O406">IFERROR(
    SUMPRODUCT(
        (Transactions_and_Customer_Information_Joined[Customer ID]=$A406)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$J406,
0)</f>
        <v>1.0827913756041518E-3</v>
      </c>
      <c r="P406" s="5" cm="1">
        <f t="array" ref="P406">_xlfn.IFS(B406="At-Risk Churner",$B$2,$B406="Dormant",$B$3,$B406="Deal Hunter",$B$4,$B406="New Customer",$B$5,$B406="Occasional Buyer",$B$6,$B406="Loyal High-Value",$B$7)</f>
        <v>35</v>
      </c>
      <c r="Q406" s="9" cm="1">
        <f t="array" ref="Q406">_xlfn.IFS($B406 = "At-Risk Churner", $B$8, $B406="Dormant",$B$9, $B406="Deal Hunter", $B$10, $B406="New Customer", $B$11, $B406="Occasional Buyer", $B$12, $B406 = "Loyal High-Value",$B$13)</f>
        <v>0.35</v>
      </c>
      <c r="R406" s="5">
        <v>-5</v>
      </c>
      <c r="S406" s="5">
        <v>-8</v>
      </c>
      <c r="T406" s="5">
        <v>15</v>
      </c>
      <c r="U406" s="5">
        <f t="shared" si="31"/>
        <v>15</v>
      </c>
      <c r="V406" s="5">
        <f t="shared" si="32"/>
        <v>4.3311655024166069E-2</v>
      </c>
      <c r="W406" s="43">
        <f t="shared" si="33"/>
        <v>51.650811655024171</v>
      </c>
      <c r="X406" s="5" t="str" cm="1">
        <f t="array" ref="X406">_xlfn.IFS($W406 &lt;= 30, "Low", $W406 &lt;=50, "Medium", $W406 &lt;= 70, "High", $W406 &gt; 70, "Critical")</f>
        <v>High</v>
      </c>
      <c r="Y406" s="9">
        <f t="shared" si="34"/>
        <v>0.18941188769110284</v>
      </c>
      <c r="Z406" s="22">
        <f t="shared" si="35"/>
        <v>16.015684482565316</v>
      </c>
    </row>
    <row r="407" spans="1:26">
      <c r="A407" s="24" t="str">
        <v>CUST-3883</v>
      </c>
      <c r="B407" s="24" t="str">
        <v>Dormant</v>
      </c>
      <c r="C407" s="24" t="str">
        <v>Organic Search</v>
      </c>
      <c r="D407" s="24" t="str">
        <v>West</v>
      </c>
      <c r="E407" s="24" t="str">
        <v>18-24</v>
      </c>
      <c r="F407" s="24" t="str">
        <v>High</v>
      </c>
      <c r="G407" s="24">
        <v>2</v>
      </c>
      <c r="H407" s="24">
        <v>25</v>
      </c>
      <c r="I407" s="23">
        <v>125.57</v>
      </c>
      <c r="J407" s="24" cm="1">
        <f t="array" ref="J407">SUMPRODUCT(
    (Transactions_and_Customer_Information_Joined[Customer ID]='V1-Based Churn Model (Step 3)'!$A407) *
    (IFERROR(_xlfn.XLOOKUP(Transactions_and_Customer_Information_Joined[SKU], 'V1 Pricing Model (Step 2)'!$A$22:$A$71, 'V1 Pricing Model (Step 2)'!$AL$22:$AL$71), "Exclude")&lt;&gt;"Exclude") *
    Transactions_and_Customer_Information_Joined[Gross Revenue])</f>
        <v>98.58</v>
      </c>
      <c r="K407" s="24">
        <f>SUMIF(Transactions_and_Customer_Information_Joined[Customer ID], 'V1-Based Churn Model (Step 3)'!$A407, Transactions_and_Customer_Information_Joined[Gross Revenue])</f>
        <v>98.58</v>
      </c>
      <c r="L407" s="3">
        <f t="shared" si="30"/>
        <v>1</v>
      </c>
      <c r="M407" s="21">
        <v>0</v>
      </c>
      <c r="N407" s="21" cm="1">
        <f t="array" ref="N407">SUMPRODUCT(
    (Transactions_and_Customer_Information_Joined[Customer ID]=$A407)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07" s="21" cm="1">
        <f t="array" ref="O407">IFERROR(
    SUMPRODUCT(
        (Transactions_and_Customer_Information_Joined[Customer ID]=$A407)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$J407,
0)</f>
        <v>0</v>
      </c>
      <c r="P407" s="5" cm="1">
        <f t="array" ref="P407">_xlfn.IFS(B407="At-Risk Churner",$B$2,$B407="Dormant",$B$3,$B407="Deal Hunter",$B$4,$B407="New Customer",$B$5,$B407="Occasional Buyer",$B$6,$B407="Loyal High-Value",$B$7)</f>
        <v>65</v>
      </c>
      <c r="Q407" s="9" cm="1">
        <f t="array" ref="Q407">_xlfn.IFS($B407 = "At-Risk Churner", $B$8, $B407="Dormant",$B$9, $B407="Deal Hunter", $B$10, $B407="New Customer", $B$11, $B407="Occasional Buyer", $B$12, $B407 = "Loyal High-Value",$B$13)</f>
        <v>0.6</v>
      </c>
      <c r="R407" s="5">
        <v>15</v>
      </c>
      <c r="S407" s="5">
        <v>10</v>
      </c>
      <c r="T407" s="5">
        <v>-5</v>
      </c>
      <c r="U407" s="5">
        <f t="shared" si="31"/>
        <v>15</v>
      </c>
      <c r="V407" s="5">
        <f t="shared" si="32"/>
        <v>0</v>
      </c>
      <c r="W407" s="43">
        <f t="shared" si="33"/>
        <v>100</v>
      </c>
      <c r="X407" s="5" t="str" cm="1">
        <f t="array" ref="X407">_xlfn.IFS($W407 &lt;= 30, "Low", $W407 &lt;=50, "Medium", $W407 &lt;= 70, "High", $W407 &gt; 70, "Critical")</f>
        <v>Critical</v>
      </c>
      <c r="Y407" s="9">
        <f t="shared" si="34"/>
        <v>0.59598428944542914</v>
      </c>
      <c r="Z407" s="22">
        <f t="shared" si="35"/>
        <v>74.83774722566254</v>
      </c>
    </row>
    <row r="408" spans="1:26">
      <c r="A408" s="24" t="str">
        <v>CUST-1928</v>
      </c>
      <c r="B408" s="24" t="str">
        <v>Loyal High-Value</v>
      </c>
      <c r="C408" s="24" t="str">
        <v>Organic Search</v>
      </c>
      <c r="D408" s="24" t="str">
        <v>Midwest</v>
      </c>
      <c r="E408" s="24" t="str">
        <v>18-24</v>
      </c>
      <c r="F408" s="24" t="str">
        <v>Low</v>
      </c>
      <c r="G408" s="24">
        <v>1</v>
      </c>
      <c r="H408" s="24">
        <v>136</v>
      </c>
      <c r="I408" s="23">
        <v>1014.34</v>
      </c>
      <c r="J408" s="24" cm="1">
        <f t="array" ref="J408">SUMPRODUCT(
    (Transactions_and_Customer_Information_Joined[Customer ID]='V1-Based Churn Model (Step 3)'!$A408)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408" s="24">
        <f>SUMIF(Transactions_and_Customer_Information_Joined[Customer ID], 'V1-Based Churn Model (Step 3)'!$A408, Transactions_and_Customer_Information_Joined[Gross Revenue])</f>
        <v>244.79999999999998</v>
      </c>
      <c r="L408" s="3">
        <f t="shared" si="30"/>
        <v>0</v>
      </c>
      <c r="M408" s="21">
        <v>0</v>
      </c>
      <c r="N408" s="21" cm="1">
        <f t="array" ref="N408">SUMPRODUCT(
    (Transactions_and_Customer_Information_Joined[Customer ID]=$A408)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408" s="21" cm="1">
        <f t="array" ref="O408">IFERROR(
    SUMPRODUCT(
        (Transactions_and_Customer_Information_Joined[Customer ID]=$A408)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$J408,
0)</f>
        <v>0</v>
      </c>
      <c r="P408" s="5" cm="1">
        <f t="array" ref="P408">_xlfn.IFS(B408="At-Risk Churner",$B$2,$B408="Dormant",$B$3,$B408="Deal Hunter",$B$4,$B408="New Customer",$B$5,$B408="Occasional Buyer",$B$6,$B408="Loyal High-Value",$B$7)</f>
        <v>15</v>
      </c>
      <c r="Q408" s="9" cm="1">
        <f t="array" ref="Q408">_xlfn.IFS($B408 = "At-Risk Churner", $B$8, $B408="Dormant",$B$9, $B408="Deal Hunter", $B$10, $B408="New Customer", $B$11, $B408="Occasional Buyer", $B$12, $B408 = "Loyal High-Value",$B$13)</f>
        <v>0.05</v>
      </c>
      <c r="R408" s="5">
        <v>-5</v>
      </c>
      <c r="S408" s="5">
        <v>10</v>
      </c>
      <c r="T408" s="5">
        <v>0</v>
      </c>
      <c r="U408" s="5">
        <f t="shared" si="31"/>
        <v>0</v>
      </c>
      <c r="V408" s="5">
        <f t="shared" si="32"/>
        <v>0</v>
      </c>
      <c r="W408" s="43">
        <f t="shared" si="33"/>
        <v>20.149999999999999</v>
      </c>
      <c r="X408" s="5" t="str" cm="1">
        <f t="array" ref="X408">_xlfn.IFS($W408 &lt;= 30, "Low", $W408 &lt;=50, "Medium", $W408 &lt;= 70, "High", $W408 &gt; 70, "Critical")</f>
        <v>Low</v>
      </c>
      <c r="Y408" s="9">
        <f t="shared" si="34"/>
        <v>2.4054070969436372E-3</v>
      </c>
      <c r="Z408" s="22">
        <f t="shared" si="35"/>
        <v>2.4399006347138088</v>
      </c>
    </row>
    <row r="409" spans="1:26">
      <c r="A409" s="24" t="str">
        <v>CUST-3266</v>
      </c>
      <c r="B409" s="24" t="str">
        <v>At-Risk Churner</v>
      </c>
      <c r="C409" s="24" t="str">
        <v>Organic Search</v>
      </c>
      <c r="D409" s="24" t="str">
        <v>Midwest</v>
      </c>
      <c r="E409" s="24" t="str">
        <v>45-54</v>
      </c>
      <c r="F409" s="24" t="str">
        <v>High</v>
      </c>
      <c r="G409" s="24">
        <v>2</v>
      </c>
      <c r="H409" s="24">
        <v>83</v>
      </c>
      <c r="I409" s="23">
        <v>108.88</v>
      </c>
      <c r="J409" s="24" cm="1">
        <f t="array" ref="J409">SUMPRODUCT(
    (Transactions_and_Customer_Information_Joined[Customer ID]='V1-Based Churn Model (Step 3)'!$A409)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409" s="24">
        <f>SUMIF(Transactions_and_Customer_Information_Joined[Customer ID], 'V1-Based Churn Model (Step 3)'!$A409, Transactions_and_Customer_Information_Joined[Gross Revenue])</f>
        <v>151.38</v>
      </c>
      <c r="L409" s="3">
        <f t="shared" si="30"/>
        <v>0</v>
      </c>
      <c r="M409" s="21">
        <v>0</v>
      </c>
      <c r="N409" s="21" cm="1">
        <f t="array" ref="N409">SUMPRODUCT(
    (Transactions_and_Customer_Information_Joined[Customer ID]=$A409)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409" s="21" cm="1">
        <f t="array" ref="O409">IFERROR(
    SUMPRODUCT(
        (Transactions_and_Customer_Information_Joined[Customer ID]=$A409)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$J409,
0)</f>
        <v>0</v>
      </c>
      <c r="P409" s="5" cm="1">
        <f t="array" ref="P409">_xlfn.IFS(B409="At-Risk Churner",$B$2,$B409="Dormant",$B$3,$B409="Deal Hunter",$B$4,$B409="New Customer",$B$5,$B409="Occasional Buyer",$B$6,$B409="Loyal High-Value",$B$7)</f>
        <v>70</v>
      </c>
      <c r="Q409" s="9" cm="1">
        <f t="array" ref="Q409">_xlfn.IFS($B409 = "At-Risk Churner", $B$8, $B409="Dormant",$B$9, $B409="Deal Hunter", $B$10, $B409="New Customer", $B$11, $B409="Occasional Buyer", $B$12, $B409 = "Loyal High-Value",$B$13)</f>
        <v>0.45</v>
      </c>
      <c r="R409" s="5">
        <v>15</v>
      </c>
      <c r="S409" s="5">
        <v>10</v>
      </c>
      <c r="T409" s="5">
        <v>0</v>
      </c>
      <c r="U409" s="5">
        <f t="shared" si="31"/>
        <v>0</v>
      </c>
      <c r="V409" s="5">
        <f t="shared" si="32"/>
        <v>0</v>
      </c>
      <c r="W409" s="43">
        <f t="shared" si="33"/>
        <v>95.7</v>
      </c>
      <c r="X409" s="5" t="str" cm="1">
        <f t="array" ref="X409">_xlfn.IFS($W409 &lt;= 30, "Low", $W409 &lt;=50, "Medium", $W409 &lt;= 70, "High", $W409 &gt; 70, "Critical")</f>
        <v>Critical</v>
      </c>
      <c r="Y409" s="9">
        <f t="shared" si="34"/>
        <v>0.44538670247698259</v>
      </c>
      <c r="Z409" s="22">
        <f t="shared" si="35"/>
        <v>48.493704165693863</v>
      </c>
    </row>
    <row r="410" spans="1:26">
      <c r="A410" s="24" t="str">
        <v>CUST-2552</v>
      </c>
      <c r="B410" s="24" t="str">
        <v>Occasional Buyer</v>
      </c>
      <c r="C410" s="24" t="str">
        <v>Direct</v>
      </c>
      <c r="D410" s="24" t="str">
        <v>UK</v>
      </c>
      <c r="E410" s="24" t="str">
        <v>55+</v>
      </c>
      <c r="F410" s="24" t="str">
        <v>Low</v>
      </c>
      <c r="G410" s="24">
        <v>8</v>
      </c>
      <c r="H410" s="24">
        <v>351</v>
      </c>
      <c r="I410" s="23">
        <v>758.18</v>
      </c>
      <c r="J410" s="24" cm="1">
        <f t="array" ref="J410">SUMPRODUCT(
    (Transactions_and_Customer_Information_Joined[Customer ID]='V1-Based Churn Model (Step 3)'!$A410) *
    (IFERROR(_xlfn.XLOOKUP(Transactions_and_Customer_Information_Joined[SKU], 'V1 Pricing Model (Step 2)'!$A$22:$A$71, 'V1 Pricing Model (Step 2)'!$AL$22:$AL$71), "Exclude")&lt;&gt;"Exclude") *
    Transactions_and_Customer_Information_Joined[Gross Revenue])</f>
        <v>249.54</v>
      </c>
      <c r="K410" s="24">
        <f>SUMIF(Transactions_and_Customer_Information_Joined[Customer ID], 'V1-Based Churn Model (Step 3)'!$A410, Transactions_and_Customer_Information_Joined[Gross Revenue])</f>
        <v>249.54</v>
      </c>
      <c r="L410" s="3">
        <f t="shared" si="30"/>
        <v>1</v>
      </c>
      <c r="M410" s="21">
        <v>0.1130897018443069</v>
      </c>
      <c r="N410" s="21" cm="1">
        <f t="array" ref="N410">SUMPRODUCT(
    (Transactions_and_Customer_Information_Joined[Customer ID]=$A410)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10" s="21" cm="1">
        <f t="array" ref="O410">IFERROR(
    SUMPRODUCT(
        (Transactions_and_Customer_Information_Joined[Customer ID]=$A410)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$J410,
0)</f>
        <v>0.1130897018443069</v>
      </c>
      <c r="P410" s="5" cm="1">
        <f t="array" ref="P410">_xlfn.IFS(B410="At-Risk Churner",$B$2,$B410="Dormant",$B$3,$B410="Deal Hunter",$B$4,$B410="New Customer",$B$5,$B410="Occasional Buyer",$B$6,$B410="Loyal High-Value",$B$7)</f>
        <v>25</v>
      </c>
      <c r="Q410" s="9" cm="1">
        <f t="array" ref="Q410">_xlfn.IFS($B410 = "At-Risk Churner", $B$8, $B410="Dormant",$B$9, $B410="Deal Hunter", $B$10, $B410="New Customer", $B$11, $B410="Occasional Buyer", $B$12, $B410 = "Loyal High-Value",$B$13)</f>
        <v>0.18</v>
      </c>
      <c r="R410" s="5">
        <v>-5</v>
      </c>
      <c r="S410" s="5">
        <v>-8</v>
      </c>
      <c r="T410" s="5">
        <v>15</v>
      </c>
      <c r="U410" s="5">
        <f t="shared" si="31"/>
        <v>15</v>
      </c>
      <c r="V410" s="5">
        <f t="shared" si="32"/>
        <v>4.5235880737722765</v>
      </c>
      <c r="W410" s="43">
        <f t="shared" si="33"/>
        <v>46.211088073772274</v>
      </c>
      <c r="X410" s="5" t="str" cm="1">
        <f t="array" ref="X410">_xlfn.IFS($W410 &lt;= 30, "Low", $W410 &lt;=50, "Medium", $W410 &lt;= 70, "High", $W410 &gt; 70, "Critical")</f>
        <v>Medium</v>
      </c>
      <c r="Y410" s="9">
        <f t="shared" si="34"/>
        <v>7.3150984032186672E-2</v>
      </c>
      <c r="Z410" s="22">
        <f t="shared" si="35"/>
        <v>196.00529045881862</v>
      </c>
    </row>
    <row r="411" spans="1:26">
      <c r="A411" s="24" t="str">
        <v>CUST-4714</v>
      </c>
      <c r="B411" s="24" t="str">
        <v>Occasional Buyer</v>
      </c>
      <c r="C411" s="24" t="str">
        <v>Paid Social</v>
      </c>
      <c r="D411" s="24" t="str">
        <v>West</v>
      </c>
      <c r="E411" s="24" t="str">
        <v>55+</v>
      </c>
      <c r="F411" s="24" t="str">
        <v>Medium</v>
      </c>
      <c r="G411" s="24">
        <v>8</v>
      </c>
      <c r="H411" s="24">
        <v>56</v>
      </c>
      <c r="I411" s="23">
        <v>522.74</v>
      </c>
      <c r="J411" s="24" cm="1">
        <f t="array" ref="J411">SUMPRODUCT(
    (Transactions_and_Customer_Information_Joined[Customer ID]='V1-Based Churn Model (Step 3)'!$A411) *
    (IFERROR(_xlfn.XLOOKUP(Transactions_and_Customer_Information_Joined[SKU], 'V1 Pricing Model (Step 2)'!$A$22:$A$71, 'V1 Pricing Model (Step 2)'!$AL$22:$AL$71), "Exclude")&lt;&gt;"Exclude") *
    Transactions_and_Customer_Information_Joined[Gross Revenue])</f>
        <v>373.64</v>
      </c>
      <c r="K411" s="24">
        <f>SUMIF(Transactions_and_Customer_Information_Joined[Customer ID], 'V1-Based Churn Model (Step 3)'!$A411, Transactions_and_Customer_Information_Joined[Gross Revenue])</f>
        <v>373.64</v>
      </c>
      <c r="L411" s="3">
        <f t="shared" si="30"/>
        <v>1</v>
      </c>
      <c r="M411" s="21">
        <v>-6.1928730463004879E-2</v>
      </c>
      <c r="N411" s="21" cm="1">
        <f t="array" ref="N411">SUMPRODUCT(
    (Transactions_and_Customer_Information_Joined[Customer ID]=$A411)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11" s="21" cm="1">
        <f t="array" ref="O411">IFERROR(
    SUMPRODUCT(
        (Transactions_and_Customer_Information_Joined[Customer ID]=$A411)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$J411,
0)</f>
        <v>-6.1928730463004872E-2</v>
      </c>
      <c r="P411" s="5" cm="1">
        <f t="array" ref="P411">_xlfn.IFS(B411="At-Risk Churner",$B$2,$B411="Dormant",$B$3,$B411="Deal Hunter",$B$4,$B411="New Customer",$B$5,$B411="Occasional Buyer",$B$6,$B411="Loyal High-Value",$B$7)</f>
        <v>25</v>
      </c>
      <c r="Q411" s="9" cm="1">
        <f t="array" ref="Q411">_xlfn.IFS($B411 = "At-Risk Churner", $B$8, $B411="Dormant",$B$9, $B411="Deal Hunter", $B$10, $B411="New Customer", $B$11, $B411="Occasional Buyer", $B$12, $B411 = "Loyal High-Value",$B$13)</f>
        <v>0.18</v>
      </c>
      <c r="R411" s="5">
        <v>5</v>
      </c>
      <c r="S411" s="5">
        <v>-8</v>
      </c>
      <c r="T411" s="5">
        <v>-5</v>
      </c>
      <c r="U411" s="5">
        <f t="shared" si="31"/>
        <v>15</v>
      </c>
      <c r="V411" s="5">
        <f t="shared" si="32"/>
        <v>2.4771492185201947</v>
      </c>
      <c r="W411" s="43">
        <f t="shared" si="33"/>
        <v>34.389649218520191</v>
      </c>
      <c r="X411" s="5" t="str" cm="1">
        <f t="array" ref="X411">_xlfn.IFS($W411 &lt;= 30, "Low", $W411 &lt;=50, "Medium", $W411 &lt;= 70, "High", $W411 &gt; 70, "Critical")</f>
        <v>Medium</v>
      </c>
      <c r="Y411" s="9">
        <f t="shared" si="34"/>
        <v>3.1229670638352372E-2</v>
      </c>
      <c r="Z411" s="22">
        <f t="shared" si="35"/>
        <v>117.60799842359387</v>
      </c>
    </row>
    <row r="412" spans="1:26">
      <c r="A412" s="24" t="str">
        <v>CUST-2533</v>
      </c>
      <c r="B412" s="24" t="str">
        <v>Deal Hunter</v>
      </c>
      <c r="C412" s="24" t="str">
        <v>Influencer</v>
      </c>
      <c r="D412" s="24" t="str">
        <v>Midwest</v>
      </c>
      <c r="E412" s="24" t="str">
        <v>18-24</v>
      </c>
      <c r="F412" s="24" t="str">
        <v>Low</v>
      </c>
      <c r="G412" s="24">
        <v>4</v>
      </c>
      <c r="H412" s="24">
        <v>166</v>
      </c>
      <c r="I412" s="23">
        <v>377.62</v>
      </c>
      <c r="J412" s="24" cm="1">
        <f t="array" ref="J412">SUMPRODUCT(
    (Transactions_and_Customer_Information_Joined[Customer ID]='V1-Based Churn Model (Step 3)'!$A412) *
    (IFERROR(_xlfn.XLOOKUP(Transactions_and_Customer_Information_Joined[SKU], 'V1 Pricing Model (Step 2)'!$A$22:$A$71, 'V1 Pricing Model (Step 2)'!$AL$22:$AL$71), "Exclude")&lt;&gt;"Exclude") *
    Transactions_and_Customer_Information_Joined[Gross Revenue])</f>
        <v>103.44</v>
      </c>
      <c r="K412" s="24">
        <f>SUMIF(Transactions_and_Customer_Information_Joined[Customer ID], 'V1-Based Churn Model (Step 3)'!$A412, Transactions_and_Customer_Information_Joined[Gross Revenue])</f>
        <v>103.44</v>
      </c>
      <c r="L412" s="3">
        <f t="shared" si="30"/>
        <v>1</v>
      </c>
      <c r="M412" s="21">
        <v>7.0422329455997176E-2</v>
      </c>
      <c r="N412" s="21" cm="1">
        <f t="array" ref="N412">SUMPRODUCT(
    (Transactions_and_Customer_Information_Joined[Customer ID]=$A412)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12" s="21" cm="1">
        <f t="array" ref="O412">IFERROR(
    SUMPRODUCT(
        (Transactions_and_Customer_Information_Joined[Customer ID]=$A412)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$J412,
0)</f>
        <v>7.0422329455997176E-2</v>
      </c>
      <c r="P412" s="5" cm="1">
        <f t="array" ref="P412">_xlfn.IFS(B412="At-Risk Churner",$B$2,$B412="Dormant",$B$3,$B412="Deal Hunter",$B$4,$B412="New Customer",$B$5,$B412="Occasional Buyer",$B$6,$B412="Loyal High-Value",$B$7)</f>
        <v>45</v>
      </c>
      <c r="Q412" s="9" cm="1">
        <f t="array" ref="Q412">_xlfn.IFS($B412 = "At-Risk Churner", $B$8, $B412="Dormant",$B$9, $B412="Deal Hunter", $B$10, $B412="New Customer", $B$11, $B412="Occasional Buyer", $B$12, $B412 = "Loyal High-Value",$B$13)</f>
        <v>0.25</v>
      </c>
      <c r="R412" s="5">
        <v>-5</v>
      </c>
      <c r="S412" s="5">
        <v>0</v>
      </c>
      <c r="T412" s="5">
        <v>0</v>
      </c>
      <c r="U412" s="5">
        <f t="shared" si="31"/>
        <v>15</v>
      </c>
      <c r="V412" s="5">
        <f t="shared" si="32"/>
        <v>2.8168931782398872</v>
      </c>
      <c r="W412" s="43">
        <f t="shared" si="33"/>
        <v>57.70439317823989</v>
      </c>
      <c r="X412" s="5" t="str" cm="1">
        <f t="array" ref="X412">_xlfn.IFS($W412 &lt;= 30, "Low", $W412 &lt;=50, "Medium", $W412 &lt;= 70, "High", $W412 &gt; 70, "Critical")</f>
        <v>High</v>
      </c>
      <c r="Y412" s="9">
        <f t="shared" si="34"/>
        <v>0.17090397983524</v>
      </c>
      <c r="Z412" s="22">
        <f t="shared" si="35"/>
        <v>127.15340869230667</v>
      </c>
    </row>
    <row r="413" spans="1:26">
      <c r="A413" s="24" t="str">
        <v>CUST-3731</v>
      </c>
      <c r="B413" s="24" t="str">
        <v>Occasional Buyer</v>
      </c>
      <c r="C413" s="24" t="str">
        <v>Referral</v>
      </c>
      <c r="D413" s="24" t="str">
        <v>Northeast</v>
      </c>
      <c r="E413" s="24" t="str">
        <v>35-44</v>
      </c>
      <c r="F413" s="24" t="str">
        <v>Medium</v>
      </c>
      <c r="G413" s="24">
        <v>4</v>
      </c>
      <c r="H413" s="24">
        <v>54</v>
      </c>
      <c r="I413" s="23">
        <v>185.17</v>
      </c>
      <c r="J413" s="24" cm="1">
        <f t="array" ref="J413">SUMPRODUCT(
    (Transactions_and_Customer_Information_Joined[Customer ID]='V1-Based Churn Model (Step 3)'!$A413) *
    (IFERROR(_xlfn.XLOOKUP(Transactions_and_Customer_Information_Joined[SKU], 'V1 Pricing Model (Step 2)'!$A$22:$A$71, 'V1 Pricing Model (Step 2)'!$AL$22:$AL$71), "Exclude")&lt;&gt;"Exclude") *
    Transactions_and_Customer_Information_Joined[Gross Revenue])</f>
        <v>374.31</v>
      </c>
      <c r="K413" s="24">
        <f>SUMIF(Transactions_and_Customer_Information_Joined[Customer ID], 'V1-Based Churn Model (Step 3)'!$A413, Transactions_and_Customer_Information_Joined[Gross Revenue])</f>
        <v>374.31</v>
      </c>
      <c r="L413" s="3">
        <f t="shared" si="30"/>
        <v>1</v>
      </c>
      <c r="M413" s="21">
        <v>0.1130897018443069</v>
      </c>
      <c r="N413" s="21" cm="1">
        <f t="array" ref="N413">SUMPRODUCT(
    (Transactions_and_Customer_Information_Joined[Customer ID]=$A413)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13" s="21" cm="1">
        <f t="array" ref="O413">IFERROR(
    SUMPRODUCT(
        (Transactions_and_Customer_Information_Joined[Customer ID]=$A413)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$J413,
0)</f>
        <v>0.11308970184430692</v>
      </c>
      <c r="P413" s="5" cm="1">
        <f t="array" ref="P413">_xlfn.IFS(B413="At-Risk Churner",$B$2,$B413="Dormant",$B$3,$B413="Deal Hunter",$B$4,$B413="New Customer",$B$5,$B413="Occasional Buyer",$B$6,$B413="Loyal High-Value",$B$7)</f>
        <v>25</v>
      </c>
      <c r="Q413" s="9" cm="1">
        <f t="array" ref="Q413">_xlfn.IFS($B413 = "At-Risk Churner", $B$8, $B413="Dormant",$B$9, $B413="Deal Hunter", $B$10, $B413="New Customer", $B$11, $B413="Occasional Buyer", $B$12, $B413 = "Loyal High-Value",$B$13)</f>
        <v>0.18</v>
      </c>
      <c r="R413" s="5">
        <v>5</v>
      </c>
      <c r="S413" s="5">
        <v>0</v>
      </c>
      <c r="T413" s="5">
        <v>-5</v>
      </c>
      <c r="U413" s="5">
        <f t="shared" si="31"/>
        <v>15</v>
      </c>
      <c r="V413" s="5">
        <f t="shared" si="32"/>
        <v>4.5235880737722765</v>
      </c>
      <c r="W413" s="43">
        <f t="shared" si="33"/>
        <v>44.636088073772271</v>
      </c>
      <c r="X413" s="5" t="str" cm="1">
        <f t="array" ref="X413">_xlfn.IFS($W413 &lt;= 30, "Low", $W413 &lt;=50, "Medium", $W413 &lt;= 70, "High", $W413 &gt; 70, "Critical")</f>
        <v>Medium</v>
      </c>
      <c r="Y413" s="9">
        <f t="shared" si="34"/>
        <v>6.6424946661406234E-2</v>
      </c>
      <c r="Z413" s="22">
        <f t="shared" si="35"/>
        <v>46.873925898634077</v>
      </c>
    </row>
    <row r="414" spans="1:26">
      <c r="A414" s="24" t="str">
        <v>CUST-3398</v>
      </c>
      <c r="B414" s="24" t="str">
        <v>Occasional Buyer</v>
      </c>
      <c r="C414" s="24" t="str">
        <v>Email Campaign</v>
      </c>
      <c r="D414" s="24" t="str">
        <v>UK</v>
      </c>
      <c r="E414" s="24" t="str">
        <v>35-44</v>
      </c>
      <c r="F414" s="24" t="str">
        <v>Low</v>
      </c>
      <c r="G414" s="24">
        <v>1</v>
      </c>
      <c r="H414" s="24">
        <v>69</v>
      </c>
      <c r="I414" s="23">
        <v>154.31</v>
      </c>
      <c r="J414" s="24" cm="1">
        <f t="array" ref="J414">SUMPRODUCT(
    (Transactions_and_Customer_Information_Joined[Customer ID]='V1-Based Churn Model (Step 3)'!$A414) *
    (IFERROR(_xlfn.XLOOKUP(Transactions_and_Customer_Information_Joined[SKU], 'V1 Pricing Model (Step 2)'!$A$22:$A$71, 'V1 Pricing Model (Step 2)'!$AL$22:$AL$71), "Exclude")&lt;&gt;"Exclude") *
    Transactions_and_Customer_Information_Joined[Gross Revenue])</f>
        <v>697.8900000000001</v>
      </c>
      <c r="K414" s="24">
        <f>SUMIF(Transactions_and_Customer_Information_Joined[Customer ID], 'V1-Based Churn Model (Step 3)'!$A414, Transactions_and_Customer_Information_Joined[Gross Revenue])</f>
        <v>697.8900000000001</v>
      </c>
      <c r="L414" s="3">
        <f t="shared" si="30"/>
        <v>1</v>
      </c>
      <c r="M414" s="21">
        <v>0.25581555939754186</v>
      </c>
      <c r="N414" s="21" cm="1">
        <f t="array" ref="N414">SUMPRODUCT(
    (Transactions_and_Customer_Information_Joined[Customer ID]=$A414)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14" s="21" cm="1">
        <f t="array" ref="O414">IFERROR(
    SUMPRODUCT(
        (Transactions_and_Customer_Information_Joined[Customer ID]=$A414)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$J414,
0)</f>
        <v>8.4967144204051867E-2</v>
      </c>
      <c r="P414" s="5" cm="1">
        <f t="array" ref="P414">_xlfn.IFS(B414="At-Risk Churner",$B$2,$B414="Dormant",$B$3,$B414="Deal Hunter",$B$4,$B414="New Customer",$B$5,$B414="Occasional Buyer",$B$6,$B414="Loyal High-Value",$B$7)</f>
        <v>25</v>
      </c>
      <c r="Q414" s="9" cm="1">
        <f t="array" ref="Q414">_xlfn.IFS($B414 = "At-Risk Churner", $B$8, $B414="Dormant",$B$9, $B414="Deal Hunter", $B$10, $B414="New Customer", $B$11, $B414="Occasional Buyer", $B$12, $B414 = "Loyal High-Value",$B$13)</f>
        <v>0.18</v>
      </c>
      <c r="R414" s="5">
        <v>-5</v>
      </c>
      <c r="S414" s="5">
        <v>10</v>
      </c>
      <c r="T414" s="5">
        <v>0</v>
      </c>
      <c r="U414" s="5">
        <f t="shared" si="31"/>
        <v>15</v>
      </c>
      <c r="V414" s="5">
        <f t="shared" si="32"/>
        <v>6.8156540720318741</v>
      </c>
      <c r="W414" s="43">
        <f t="shared" si="33"/>
        <v>51.953154072031879</v>
      </c>
      <c r="X414" s="5" t="str" cm="1">
        <f t="array" ref="X414">_xlfn.IFS($W414 &lt;= 30, "Low", $W414 &lt;=50, "Medium", $W414 &lt;= 70, "High", $W414 &gt; 70, "Critical")</f>
        <v>High</v>
      </c>
      <c r="Y414" s="9">
        <f t="shared" si="34"/>
        <v>9.8761358578718178E-2</v>
      </c>
      <c r="Z414" s="22">
        <f t="shared" si="35"/>
        <v>43.053892193825604</v>
      </c>
    </row>
    <row r="415" spans="1:26">
      <c r="A415" s="24" t="str">
        <v>CUST-3066</v>
      </c>
      <c r="B415" s="24" t="str">
        <v>Loyal High-Value</v>
      </c>
      <c r="C415" s="24" t="str">
        <v>Paid Social</v>
      </c>
      <c r="D415" s="24" t="str">
        <v>Northeast</v>
      </c>
      <c r="E415" s="24" t="str">
        <v>45-54</v>
      </c>
      <c r="F415" s="24" t="str">
        <v>Low</v>
      </c>
      <c r="G415" s="24">
        <v>8</v>
      </c>
      <c r="H415" s="24">
        <v>160</v>
      </c>
      <c r="I415" s="23">
        <v>2271.44</v>
      </c>
      <c r="J415" s="24" cm="1">
        <f t="array" ref="J415">SUMPRODUCT(
    (Transactions_and_Customer_Information_Joined[Customer ID]='V1-Based Churn Model (Step 3)'!$A415) *
    (IFERROR(_xlfn.XLOOKUP(Transactions_and_Customer_Information_Joined[SKU], 'V1 Pricing Model (Step 2)'!$A$22:$A$71, 'V1 Pricing Model (Step 2)'!$AL$22:$AL$71), "Exclude")&lt;&gt;"Exclude") *
    Transactions_and_Customer_Information_Joined[Gross Revenue])</f>
        <v>77.67</v>
      </c>
      <c r="K415" s="24">
        <f>SUMIF(Transactions_and_Customer_Information_Joined[Customer ID], 'V1-Based Churn Model (Step 3)'!$A415, Transactions_and_Customer_Information_Joined[Gross Revenue])</f>
        <v>77.67</v>
      </c>
      <c r="L415" s="3">
        <f t="shared" si="30"/>
        <v>1</v>
      </c>
      <c r="M415" s="21">
        <v>-0.1229980207344718</v>
      </c>
      <c r="N415" s="21" cm="1">
        <f t="array" ref="N415">SUMPRODUCT(
    (Transactions_and_Customer_Information_Joined[Customer ID]=$A415)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15" s="21" cm="1">
        <f t="array" ref="O415">IFERROR(
    SUMPRODUCT(
        (Transactions_and_Customer_Information_Joined[Customer ID]=$A415)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$J415,
0)</f>
        <v>-0.1229980207344718</v>
      </c>
      <c r="P415" s="5" cm="1">
        <f t="array" ref="P415">_xlfn.IFS(B415="At-Risk Churner",$B$2,$B415="Dormant",$B$3,$B415="Deal Hunter",$B$4,$B415="New Customer",$B$5,$B415="Occasional Buyer",$B$6,$B415="Loyal High-Value",$B$7)</f>
        <v>15</v>
      </c>
      <c r="Q415" s="9" cm="1">
        <f t="array" ref="Q415">_xlfn.IFS($B415 = "At-Risk Churner", $B$8, $B415="Dormant",$B$9, $B415="Deal Hunter", $B$10, $B415="New Customer", $B$11, $B415="Occasional Buyer", $B$12, $B415 = "Loyal High-Value",$B$13)</f>
        <v>0.05</v>
      </c>
      <c r="R415" s="5">
        <v>-5</v>
      </c>
      <c r="S415" s="5">
        <v>-8</v>
      </c>
      <c r="T415" s="5">
        <v>0</v>
      </c>
      <c r="U415" s="5">
        <f t="shared" si="31"/>
        <v>15</v>
      </c>
      <c r="V415" s="5">
        <f t="shared" si="32"/>
        <v>4.9199208293788725</v>
      </c>
      <c r="W415" s="43">
        <f t="shared" si="33"/>
        <v>21.687420829378873</v>
      </c>
      <c r="X415" s="5" t="str" cm="1">
        <f t="array" ref="X415">_xlfn.IFS($W415 &lt;= 30, "Low", $W415 &lt;=50, "Medium", $W415 &lt;= 70, "High", $W415 &gt; 70, "Critical")</f>
        <v>Low</v>
      </c>
      <c r="Y415" s="9">
        <f t="shared" si="34"/>
        <v>2.7829122165982357E-3</v>
      </c>
      <c r="Z415" s="22">
        <f t="shared" si="35"/>
        <v>6.3212181252698967</v>
      </c>
    </row>
    <row r="416" spans="1:26">
      <c r="A416" s="24" t="str">
        <v>CUST-1831</v>
      </c>
      <c r="B416" s="24" t="str">
        <v>At-Risk Churner</v>
      </c>
      <c r="C416" s="24" t="str">
        <v>Influencer</v>
      </c>
      <c r="D416" s="24" t="str">
        <v>Southeast</v>
      </c>
      <c r="E416" s="24" t="str">
        <v>25-34</v>
      </c>
      <c r="F416" s="24" t="str">
        <v>Low</v>
      </c>
      <c r="G416" s="24">
        <v>1</v>
      </c>
      <c r="H416" s="24">
        <v>74</v>
      </c>
      <c r="I416" s="23">
        <v>174.21</v>
      </c>
      <c r="J416" s="24" cm="1">
        <f t="array" ref="J416">SUMPRODUCT(
    (Transactions_and_Customer_Information_Joined[Customer ID]='V1-Based Churn Model (Step 3)'!$A416) *
    (IFERROR(_xlfn.XLOOKUP(Transactions_and_Customer_Information_Joined[SKU], 'V1 Pricing Model (Step 2)'!$A$22:$A$71, 'V1 Pricing Model (Step 2)'!$AL$22:$AL$71), "Exclude")&lt;&gt;"Exclude") *
    Transactions_and_Customer_Information_Joined[Gross Revenue])</f>
        <v>98.58</v>
      </c>
      <c r="K416" s="24">
        <f>SUMIF(Transactions_and_Customer_Information_Joined[Customer ID], 'V1-Based Churn Model (Step 3)'!$A416, Transactions_and_Customer_Information_Joined[Gross Revenue])</f>
        <v>98.58</v>
      </c>
      <c r="L416" s="3">
        <f t="shared" si="30"/>
        <v>1</v>
      </c>
      <c r="M416" s="21">
        <v>0</v>
      </c>
      <c r="N416" s="21" cm="1">
        <f t="array" ref="N416">SUMPRODUCT(
    (Transactions_and_Customer_Information_Joined[Customer ID]=$A416)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16" s="21" cm="1">
        <f t="array" ref="O416">IFERROR(
    SUMPRODUCT(
        (Transactions_and_Customer_Information_Joined[Customer ID]=$A416)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$J416,
0)</f>
        <v>0</v>
      </c>
      <c r="P416" s="5" cm="1">
        <f t="array" ref="P416">_xlfn.IFS(B416="At-Risk Churner",$B$2,$B416="Dormant",$B$3,$B416="Deal Hunter",$B$4,$B416="New Customer",$B$5,$B416="Occasional Buyer",$B$6,$B416="Loyal High-Value",$B$7)</f>
        <v>70</v>
      </c>
      <c r="Q416" s="9" cm="1">
        <f t="array" ref="Q416">_xlfn.IFS($B416 = "At-Risk Churner", $B$8, $B416="Dormant",$B$9, $B416="Deal Hunter", $B$10, $B416="New Customer", $B$11, $B416="Occasional Buyer", $B$12, $B416 = "Loyal High-Value",$B$13)</f>
        <v>0.45</v>
      </c>
      <c r="R416" s="5">
        <v>-5</v>
      </c>
      <c r="S416" s="5">
        <v>10</v>
      </c>
      <c r="T416" s="5">
        <v>0</v>
      </c>
      <c r="U416" s="5">
        <f t="shared" si="31"/>
        <v>15</v>
      </c>
      <c r="V416" s="5">
        <f t="shared" si="32"/>
        <v>0</v>
      </c>
      <c r="W416" s="43">
        <f t="shared" si="33"/>
        <v>90.587500000000006</v>
      </c>
      <c r="X416" s="5" t="str" cm="1">
        <f t="array" ref="X416">_xlfn.IFS($W416 &lt;= 30, "Low", $W416 &lt;=50, "Medium", $W416 &lt;= 70, "High", $W416 &gt; 70, "Critical")</f>
        <v>Critical</v>
      </c>
      <c r="Y416" s="9">
        <f t="shared" si="34"/>
        <v>0.44236017703782943</v>
      </c>
      <c r="Z416" s="22">
        <f t="shared" si="35"/>
        <v>77.063566441760273</v>
      </c>
    </row>
    <row r="417" spans="1:26">
      <c r="A417" s="24" t="str">
        <v>CUST-3693</v>
      </c>
      <c r="B417" s="24" t="str">
        <v>Loyal High-Value</v>
      </c>
      <c r="C417" s="24" t="str">
        <v>Paid Social</v>
      </c>
      <c r="D417" s="24" t="str">
        <v>UK</v>
      </c>
      <c r="E417" s="24" t="str">
        <v>35-44</v>
      </c>
      <c r="F417" s="24" t="str">
        <v>Low</v>
      </c>
      <c r="G417" s="24">
        <v>8</v>
      </c>
      <c r="H417" s="24">
        <v>328</v>
      </c>
      <c r="I417" s="23">
        <v>1601.25</v>
      </c>
      <c r="J417" s="24" cm="1">
        <f t="array" ref="J417">SUMPRODUCT(
    (Transactions_and_Customer_Information_Joined[Customer ID]='V1-Based Churn Model (Step 3)'!$A417) *
    (IFERROR(_xlfn.XLOOKUP(Transactions_and_Customer_Information_Joined[SKU], 'V1 Pricing Model (Step 2)'!$A$22:$A$71, 'V1 Pricing Model (Step 2)'!$AL$22:$AL$71), "Exclude")&lt;&gt;"Exclude") *
    Transactions_and_Customer_Information_Joined[Gross Revenue])</f>
        <v>144.94999999999999</v>
      </c>
      <c r="K417" s="24">
        <f>SUMIF(Transactions_and_Customer_Information_Joined[Customer ID], 'V1-Based Churn Model (Step 3)'!$A417, Transactions_and_Customer_Information_Joined[Gross Revenue])</f>
        <v>144.94999999999999</v>
      </c>
      <c r="L417" s="3">
        <f t="shared" si="30"/>
        <v>1</v>
      </c>
      <c r="M417" s="21">
        <v>0.25481331848064742</v>
      </c>
      <c r="N417" s="21" cm="1">
        <f t="array" ref="N417">SUMPRODUCT(
    (Transactions_and_Customer_Information_Joined[Customer ID]=$A417)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17" s="21" cm="1">
        <f t="array" ref="O417">IFERROR(
    SUMPRODUCT(
        (Transactions_and_Customer_Information_Joined[Customer ID]=$A417)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$J417,
0)</f>
        <v>0.25481331848064742</v>
      </c>
      <c r="P417" s="5" cm="1">
        <f t="array" ref="P417">_xlfn.IFS(B417="At-Risk Churner",$B$2,$B417="Dormant",$B$3,$B417="Deal Hunter",$B$4,$B417="New Customer",$B$5,$B417="Occasional Buyer",$B$6,$B417="Loyal High-Value",$B$7)</f>
        <v>15</v>
      </c>
      <c r="Q417" s="9" cm="1">
        <f t="array" ref="Q417">_xlfn.IFS($B417 = "At-Risk Churner", $B$8, $B417="Dormant",$B$9, $B417="Deal Hunter", $B$10, $B417="New Customer", $B$11, $B417="Occasional Buyer", $B$12, $B417 = "Loyal High-Value",$B$13)</f>
        <v>0.05</v>
      </c>
      <c r="R417" s="5">
        <v>-5</v>
      </c>
      <c r="S417" s="5">
        <v>-8</v>
      </c>
      <c r="T417" s="5">
        <v>15</v>
      </c>
      <c r="U417" s="5">
        <f t="shared" si="31"/>
        <v>15</v>
      </c>
      <c r="V417" s="5">
        <f t="shared" si="32"/>
        <v>10.192532739225896</v>
      </c>
      <c r="W417" s="43">
        <f t="shared" si="33"/>
        <v>41.960032739225902</v>
      </c>
      <c r="X417" s="5" t="str" cm="1">
        <f t="array" ref="X417">_xlfn.IFS($W417 &lt;= 30, "Low", $W417 &lt;=50, "Medium", $W417 &lt;= 70, "High", $W417 &gt; 70, "Critical")</f>
        <v>Medium</v>
      </c>
      <c r="Y417" s="9">
        <f t="shared" si="34"/>
        <v>1.5458561509407238E-2</v>
      </c>
      <c r="Z417" s="22">
        <f t="shared" si="35"/>
        <v>340.05241729355066</v>
      </c>
    </row>
    <row r="418" spans="1:26">
      <c r="A418" s="24" t="str">
        <v>CUST-3920</v>
      </c>
      <c r="B418" s="24" t="str">
        <v>New Customer</v>
      </c>
      <c r="C418" s="24" t="str">
        <v>Influencer</v>
      </c>
      <c r="D418" s="24" t="str">
        <v>UK</v>
      </c>
      <c r="E418" s="24" t="str">
        <v>25-34</v>
      </c>
      <c r="F418" s="24" t="str">
        <v>Low</v>
      </c>
      <c r="G418" s="24">
        <v>0</v>
      </c>
      <c r="H418" s="24">
        <v>25</v>
      </c>
      <c r="I418" s="23">
        <v>84.13</v>
      </c>
      <c r="J418" s="24" cm="1">
        <f t="array" ref="J418">SUMPRODUCT(
    (Transactions_and_Customer_Information_Joined[Customer ID]='V1-Based Churn Model (Step 3)'!$A418) *
    (IFERROR(_xlfn.XLOOKUP(Transactions_and_Customer_Information_Joined[SKU], 'V1 Pricing Model (Step 2)'!$A$22:$A$71, 'V1 Pricing Model (Step 2)'!$AL$22:$AL$71), "Exclude")&lt;&gt;"Exclude") *
    Transactions_and_Customer_Information_Joined[Gross Revenue])</f>
        <v>79.38</v>
      </c>
      <c r="K418" s="24">
        <f>SUMIF(Transactions_and_Customer_Information_Joined[Customer ID], 'V1-Based Churn Model (Step 3)'!$A418, Transactions_and_Customer_Information_Joined[Gross Revenue])</f>
        <v>79.38</v>
      </c>
      <c r="L418" s="3">
        <f t="shared" si="30"/>
        <v>1</v>
      </c>
      <c r="M418" s="21">
        <v>-4.5975852073346618E-2</v>
      </c>
      <c r="N418" s="21" cm="1">
        <f t="array" ref="N418">SUMPRODUCT(
    (Transactions_and_Customer_Information_Joined[Customer ID]=$A418)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18" s="21" cm="1">
        <f t="array" ref="O418">IFERROR(
    SUMPRODUCT(
        (Transactions_and_Customer_Information_Joined[Customer ID]=$A418)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$J418,
0)</f>
        <v>-4.5975852073346618E-2</v>
      </c>
      <c r="P418" s="5" cm="1">
        <f t="array" ref="P418">_xlfn.IFS(B418="At-Risk Churner",$B$2,$B418="Dormant",$B$3,$B418="Deal Hunter",$B$4,$B418="New Customer",$B$5,$B418="Occasional Buyer",$B$6,$B418="Loyal High-Value",$B$7)</f>
        <v>35</v>
      </c>
      <c r="Q418" s="9" cm="1">
        <f t="array" ref="Q418">_xlfn.IFS($B418 = "At-Risk Churner", $B$8, $B418="Dormant",$B$9, $B418="Deal Hunter", $B$10, $B418="New Customer", $B$11, $B418="Occasional Buyer", $B$12, $B418 = "Loyal High-Value",$B$13)</f>
        <v>0.35</v>
      </c>
      <c r="R418" s="5">
        <v>-5</v>
      </c>
      <c r="S418" s="5">
        <v>10</v>
      </c>
      <c r="T418" s="5">
        <v>-5</v>
      </c>
      <c r="U418" s="5">
        <f t="shared" si="31"/>
        <v>15</v>
      </c>
      <c r="V418" s="5">
        <f t="shared" si="32"/>
        <v>1.8390340829338647</v>
      </c>
      <c r="W418" s="43">
        <f t="shared" si="33"/>
        <v>52.076534082933868</v>
      </c>
      <c r="X418" s="5" t="str" cm="1">
        <f t="array" ref="X418">_xlfn.IFS($W418 &lt;= 30, "Low", $W418 &lt;=50, "Medium", $W418 &lt;= 70, "High", $W418 &gt; 70, "Critical")</f>
        <v>High</v>
      </c>
      <c r="Y418" s="9">
        <f t="shared" si="34"/>
        <v>0.19310466393241343</v>
      </c>
      <c r="Z418" s="22">
        <f t="shared" si="35"/>
        <v>29.822716301307153</v>
      </c>
    </row>
    <row r="419" spans="1:26">
      <c r="A419" s="24" t="str">
        <v>CUST-4296</v>
      </c>
      <c r="B419" s="24" t="str">
        <v>Loyal High-Value</v>
      </c>
      <c r="C419" s="24" t="str">
        <v>Email Campaign</v>
      </c>
      <c r="D419" s="24" t="str">
        <v>UK</v>
      </c>
      <c r="E419" s="24" t="str">
        <v>18-24</v>
      </c>
      <c r="F419" s="24" t="str">
        <v>Low</v>
      </c>
      <c r="G419" s="24">
        <v>7</v>
      </c>
      <c r="H419" s="24">
        <v>355</v>
      </c>
      <c r="I419" s="23">
        <v>1930.34</v>
      </c>
      <c r="J419" s="24" cm="1">
        <f t="array" ref="J419">SUMPRODUCT(
    (Transactions_and_Customer_Information_Joined[Customer ID]='V1-Based Churn Model (Step 3)'!$A419) *
    (IFERROR(_xlfn.XLOOKUP(Transactions_and_Customer_Information_Joined[SKU], 'V1 Pricing Model (Step 2)'!$A$22:$A$71, 'V1 Pricing Model (Step 2)'!$AL$22:$AL$71), "Exclude")&lt;&gt;"Exclude") *
    Transactions_and_Customer_Information_Joined[Gross Revenue])</f>
        <v>387.03000000000003</v>
      </c>
      <c r="K419" s="24">
        <f>SUMIF(Transactions_and_Customer_Information_Joined[Customer ID], 'V1-Based Churn Model (Step 3)'!$A419, Transactions_and_Customer_Information_Joined[Gross Revenue])</f>
        <v>387.03000000000003</v>
      </c>
      <c r="L419" s="3">
        <f t="shared" si="30"/>
        <v>1</v>
      </c>
      <c r="M419" s="21">
        <v>7.5818801139291682E-3</v>
      </c>
      <c r="N419" s="21" cm="1">
        <f t="array" ref="N419">SUMPRODUCT(
    (Transactions_and_Customer_Information_Joined[Customer ID]=$A419)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2</v>
      </c>
      <c r="O419" s="21" cm="1">
        <f t="array" ref="O419">IFERROR(
    SUMPRODUCT(
        (Transactions_and_Customer_Information_Joined[Customer ID]=$A419)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$J419,
0)</f>
        <v>-4.2747444232954096E-2</v>
      </c>
      <c r="P419" s="5" cm="1">
        <f t="array" ref="P419">_xlfn.IFS(B419="At-Risk Churner",$B$2,$B419="Dormant",$B$3,$B419="Deal Hunter",$B$4,$B419="New Customer",$B$5,$B419="Occasional Buyer",$B$6,$B419="Loyal High-Value",$B$7)</f>
        <v>15</v>
      </c>
      <c r="Q419" s="9" cm="1">
        <f t="array" ref="Q419">_xlfn.IFS($B419 = "At-Risk Churner", $B$8, $B419="Dormant",$B$9, $B419="Deal Hunter", $B$10, $B419="New Customer", $B$11, $B419="Occasional Buyer", $B$12, $B419 = "Loyal High-Value",$B$13)</f>
        <v>0.05</v>
      </c>
      <c r="R419" s="5">
        <v>-5</v>
      </c>
      <c r="S419" s="5">
        <v>-8</v>
      </c>
      <c r="T419" s="5">
        <v>15</v>
      </c>
      <c r="U419" s="5">
        <f t="shared" si="31"/>
        <v>15</v>
      </c>
      <c r="V419" s="5">
        <f t="shared" si="32"/>
        <v>1.0065864869376653</v>
      </c>
      <c r="W419" s="43">
        <f t="shared" si="33"/>
        <v>32.774086486937669</v>
      </c>
      <c r="X419" s="5" t="str" cm="1">
        <f t="array" ref="X419">_xlfn.IFS($W419 &lt;= 30, "Low", $W419 &lt;=50, "Medium", $W419 &lt;= 70, "High", $W419 &gt; 70, "Critical")</f>
        <v>Medium</v>
      </c>
      <c r="Y419" s="9">
        <f t="shared" si="34"/>
        <v>7.5768841138315161E-3</v>
      </c>
      <c r="Z419" s="22">
        <f t="shared" si="35"/>
        <v>397.76876998423484</v>
      </c>
    </row>
    <row r="420" spans="1:26">
      <c r="A420" s="24" t="str">
        <v>CUST-1465</v>
      </c>
      <c r="B420" s="24" t="str">
        <v>Dormant</v>
      </c>
      <c r="C420" s="24" t="str">
        <v>Influencer</v>
      </c>
      <c r="D420" s="24" t="str">
        <v>West</v>
      </c>
      <c r="E420" s="24" t="str">
        <v>35-44</v>
      </c>
      <c r="F420" s="24" t="str">
        <v>Medium</v>
      </c>
      <c r="G420" s="24">
        <v>6</v>
      </c>
      <c r="H420" s="24">
        <v>40</v>
      </c>
      <c r="I420" s="23">
        <v>162.16</v>
      </c>
      <c r="J420" s="24" cm="1">
        <f t="array" ref="J420">SUMPRODUCT(
    (Transactions_and_Customer_Information_Joined[Customer ID]='V1-Based Churn Model (Step 3)'!$A420)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420" s="24">
        <f>SUMIF(Transactions_and_Customer_Information_Joined[Customer ID], 'V1-Based Churn Model (Step 3)'!$A420, Transactions_and_Customer_Information_Joined[Gross Revenue])</f>
        <v>410.8</v>
      </c>
      <c r="L420" s="3">
        <f t="shared" si="30"/>
        <v>0</v>
      </c>
      <c r="M420" s="21">
        <v>0</v>
      </c>
      <c r="N420" s="21" cm="1">
        <f t="array" ref="N420">SUMPRODUCT(
    (Transactions_and_Customer_Information_Joined[Customer ID]=$A420)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420" s="21" cm="1">
        <f t="array" ref="O420">IFERROR(
    SUMPRODUCT(
        (Transactions_and_Customer_Information_Joined[Customer ID]=$A420)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$J420,
0)</f>
        <v>0</v>
      </c>
      <c r="P420" s="5" cm="1">
        <f t="array" ref="P420">_xlfn.IFS(B420="At-Risk Churner",$B$2,$B420="Dormant",$B$3,$B420="Deal Hunter",$B$4,$B420="New Customer",$B$5,$B420="Occasional Buyer",$B$6,$B420="Loyal High-Value",$B$7)</f>
        <v>65</v>
      </c>
      <c r="Q420" s="9" cm="1">
        <f t="array" ref="Q420">_xlfn.IFS($B420 = "At-Risk Churner", $B$8, $B420="Dormant",$B$9, $B420="Deal Hunter", $B$10, $B420="New Customer", $B$11, $B420="Occasional Buyer", $B$12, $B420 = "Loyal High-Value",$B$13)</f>
        <v>0.6</v>
      </c>
      <c r="R420" s="5">
        <v>5</v>
      </c>
      <c r="S420" s="5">
        <v>0</v>
      </c>
      <c r="T420" s="5">
        <v>-5</v>
      </c>
      <c r="U420" s="5">
        <f t="shared" si="31"/>
        <v>0</v>
      </c>
      <c r="V420" s="5">
        <f t="shared" si="32"/>
        <v>0</v>
      </c>
      <c r="W420" s="43">
        <f t="shared" si="33"/>
        <v>65</v>
      </c>
      <c r="X420" s="5" t="str" cm="1">
        <f t="array" ref="X420">_xlfn.IFS($W420 &lt;= 30, "Low", $W420 &lt;=50, "Medium", $W420 &lt;= 70, "High", $W420 &gt; 70, "Critical")</f>
        <v>High</v>
      </c>
      <c r="Y420" s="9">
        <f t="shared" si="34"/>
        <v>0.49054468571618615</v>
      </c>
      <c r="Z420" s="22">
        <f t="shared" si="35"/>
        <v>96.069380988589387</v>
      </c>
    </row>
    <row r="421" spans="1:26">
      <c r="A421" s="24" t="str">
        <v>CUST-3456</v>
      </c>
      <c r="B421" s="24" t="str">
        <v>Deal Hunter</v>
      </c>
      <c r="C421" s="24" t="str">
        <v>Paid Social</v>
      </c>
      <c r="D421" s="24" t="str">
        <v>Midwest</v>
      </c>
      <c r="E421" s="24" t="str">
        <v>35-44</v>
      </c>
      <c r="F421" s="24" t="str">
        <v>Medium</v>
      </c>
      <c r="G421" s="24">
        <v>1</v>
      </c>
      <c r="H421" s="24">
        <v>100</v>
      </c>
      <c r="I421" s="23">
        <v>337.89</v>
      </c>
      <c r="J421" s="24" cm="1">
        <f t="array" ref="J421">SUMPRODUCT(
    (Transactions_and_Customer_Information_Joined[Customer ID]='V1-Based Churn Model (Step 3)'!$A421) *
    (IFERROR(_xlfn.XLOOKUP(Transactions_and_Customer_Information_Joined[SKU], 'V1 Pricing Model (Step 2)'!$A$22:$A$71, 'V1 Pricing Model (Step 2)'!$AL$22:$AL$71), "Exclude")&lt;&gt;"Exclude") *
    Transactions_and_Customer_Information_Joined[Gross Revenue])</f>
        <v>226.36</v>
      </c>
      <c r="K421" s="24">
        <f>SUMIF(Transactions_and_Customer_Information_Joined[Customer ID], 'V1-Based Churn Model (Step 3)'!$A421, Transactions_and_Customer_Information_Joined[Gross Revenue])</f>
        <v>1047.96</v>
      </c>
      <c r="L421" s="3">
        <f t="shared" si="30"/>
        <v>0.21600061071033247</v>
      </c>
      <c r="M421" s="21">
        <v>7.8578478868305213E-2</v>
      </c>
      <c r="N421" s="21" cm="1">
        <f t="array" ref="N421">SUMPRODUCT(
    (Transactions_and_Customer_Information_Joined[Customer ID]=$A421)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421" s="21" cm="1">
        <f t="array" ref="O421">IFERROR(
    SUMPRODUCT(
        (Transactions_and_Customer_Information_Joined[Customer ID]=$A421)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$J421,
0)</f>
        <v>7.8578478868305213E-2</v>
      </c>
      <c r="P421" s="5" cm="1">
        <f t="array" ref="P421">_xlfn.IFS(B421="At-Risk Churner",$B$2,$B421="Dormant",$B$3,$B421="Deal Hunter",$B$4,$B421="New Customer",$B$5,$B421="Occasional Buyer",$B$6,$B421="Loyal High-Value",$B$7)</f>
        <v>45</v>
      </c>
      <c r="Q421" s="9" cm="1">
        <f t="array" ref="Q421">_xlfn.IFS($B421 = "At-Risk Churner", $B$8, $B421="Dormant",$B$9, $B421="Deal Hunter", $B$10, $B421="New Customer", $B$11, $B421="Occasional Buyer", $B$12, $B421 = "Loyal High-Value",$B$13)</f>
        <v>0.25</v>
      </c>
      <c r="R421" s="5">
        <v>5</v>
      </c>
      <c r="S421" s="5">
        <v>10</v>
      </c>
      <c r="T421" s="5">
        <v>0</v>
      </c>
      <c r="U421" s="5">
        <f t="shared" si="31"/>
        <v>5.4000152677583113</v>
      </c>
      <c r="V421" s="5">
        <f t="shared" si="32"/>
        <v>3.1431391547322085</v>
      </c>
      <c r="W421" s="43">
        <f t="shared" si="33"/>
        <v>69.033654536998711</v>
      </c>
      <c r="X421" s="5" t="str" cm="1">
        <f t="array" ref="X421">_xlfn.IFS($W421 &lt;= 30, "Low", $W421 &lt;=50, "Medium", $W421 &lt;= 70, "High", $W421 &gt; 70, "Critical")</f>
        <v>High</v>
      </c>
      <c r="Y421" s="9">
        <f t="shared" si="34"/>
        <v>0.21756798865553215</v>
      </c>
      <c r="Z421" s="22">
        <f t="shared" si="35"/>
        <v>126.3892381494542</v>
      </c>
    </row>
    <row r="422" spans="1:26">
      <c r="A422" s="24" t="str">
        <v>CUST-4831</v>
      </c>
      <c r="B422" s="24" t="str">
        <v>Dormant</v>
      </c>
      <c r="C422" s="24" t="str">
        <v>Paid Social</v>
      </c>
      <c r="D422" s="24" t="str">
        <v>Midwest</v>
      </c>
      <c r="E422" s="24" t="str">
        <v>45-54</v>
      </c>
      <c r="F422" s="24" t="str">
        <v>Medium</v>
      </c>
      <c r="G422" s="24">
        <v>2</v>
      </c>
      <c r="H422" s="24">
        <v>259</v>
      </c>
      <c r="I422" s="23">
        <v>140.88999999999999</v>
      </c>
      <c r="J422" s="24" cm="1">
        <f t="array" ref="J422">SUMPRODUCT(
    (Transactions_and_Customer_Information_Joined[Customer ID]='V1-Based Churn Model (Step 3)'!$A422) *
    (IFERROR(_xlfn.XLOOKUP(Transactions_and_Customer_Information_Joined[SKU], 'V1 Pricing Model (Step 2)'!$A$22:$A$71, 'V1 Pricing Model (Step 2)'!$AL$22:$AL$71), "Exclude")&lt;&gt;"Exclude") *
    Transactions_and_Customer_Information_Joined[Gross Revenue])</f>
        <v>106.44</v>
      </c>
      <c r="K422" s="24">
        <f>SUMIF(Transactions_and_Customer_Information_Joined[Customer ID], 'V1-Based Churn Model (Step 3)'!$A422, Transactions_and_Customer_Information_Joined[Gross Revenue])</f>
        <v>106.44</v>
      </c>
      <c r="L422" s="3">
        <f t="shared" si="30"/>
        <v>1</v>
      </c>
      <c r="M422" s="21">
        <v>0.10709640328514787</v>
      </c>
      <c r="N422" s="21" cm="1">
        <f t="array" ref="N422">SUMPRODUCT(
    (Transactions_and_Customer_Information_Joined[Customer ID]=$A422)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22" s="21" cm="1">
        <f t="array" ref="O422">IFERROR(
    SUMPRODUCT(
        (Transactions_and_Customer_Information_Joined[Customer ID]=$A422)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$J422,
0)</f>
        <v>0.10709640328514787</v>
      </c>
      <c r="P422" s="5" cm="1">
        <f t="array" ref="P422">_xlfn.IFS(B422="At-Risk Churner",$B$2,$B422="Dormant",$B$3,$B422="Deal Hunter",$B$4,$B422="New Customer",$B$5,$B422="Occasional Buyer",$B$6,$B422="Loyal High-Value",$B$7)</f>
        <v>65</v>
      </c>
      <c r="Q422" s="9" cm="1">
        <f t="array" ref="Q422">_xlfn.IFS($B422 = "At-Risk Churner", $B$8, $B422="Dormant",$B$9, $B422="Deal Hunter", $B$10, $B422="New Customer", $B$11, $B422="Occasional Buyer", $B$12, $B422 = "Loyal High-Value",$B$13)</f>
        <v>0.6</v>
      </c>
      <c r="R422" s="5">
        <v>5</v>
      </c>
      <c r="S422" s="5">
        <v>10</v>
      </c>
      <c r="T422" s="5">
        <v>8</v>
      </c>
      <c r="U422" s="5">
        <f t="shared" si="31"/>
        <v>15</v>
      </c>
      <c r="V422" s="5">
        <f t="shared" si="32"/>
        <v>4.2838561314059147</v>
      </c>
      <c r="W422" s="43">
        <f t="shared" si="33"/>
        <v>100</v>
      </c>
      <c r="X422" s="5" t="str" cm="1">
        <f t="array" ref="X422">_xlfn.IFS($W422 &lt;= 30, "Low", $W422 &lt;=50, "Medium", $W422 &lt;= 70, "High", $W422 &gt; 70, "Critical")</f>
        <v>Critical</v>
      </c>
      <c r="Y422" s="9">
        <f t="shared" si="34"/>
        <v>0.59598428944542914</v>
      </c>
      <c r="Z422" s="22">
        <f t="shared" si="35"/>
        <v>83.968226539966508</v>
      </c>
    </row>
    <row r="423" spans="1:26">
      <c r="A423" s="24" t="str">
        <v>CUST-2950</v>
      </c>
      <c r="B423" s="24" t="str">
        <v>Deal Hunter</v>
      </c>
      <c r="C423" s="24" t="str">
        <v>Email Campaign</v>
      </c>
      <c r="D423" s="24" t="str">
        <v>Southeast</v>
      </c>
      <c r="E423" s="24" t="str">
        <v>25-34</v>
      </c>
      <c r="F423" s="24" t="str">
        <v>Medium</v>
      </c>
      <c r="G423" s="24">
        <v>2</v>
      </c>
      <c r="H423" s="24">
        <v>94</v>
      </c>
      <c r="I423" s="23">
        <v>426.81</v>
      </c>
      <c r="J423" s="24" cm="1">
        <f t="array" ref="J423">SUMPRODUCT(
    (Transactions_and_Customer_Information_Joined[Customer ID]='V1-Based Churn Model (Step 3)'!$A423) *
    (IFERROR(_xlfn.XLOOKUP(Transactions_and_Customer_Information_Joined[SKU], 'V1 Pricing Model (Step 2)'!$A$22:$A$71, 'V1 Pricing Model (Step 2)'!$AL$22:$AL$71), "Exclude")&lt;&gt;"Exclude") *
    Transactions_and_Customer_Information_Joined[Gross Revenue])</f>
        <v>785.12</v>
      </c>
      <c r="K423" s="24">
        <f>SUMIF(Transactions_and_Customer_Information_Joined[Customer ID], 'V1-Based Churn Model (Step 3)'!$A423, Transactions_and_Customer_Information_Joined[Gross Revenue])</f>
        <v>785.12</v>
      </c>
      <c r="L423" s="3">
        <f t="shared" ref="L423:L486" si="36">IFERROR($J423/$K423, 0)</f>
        <v>1</v>
      </c>
      <c r="M423" s="21">
        <v>0.16615780750618397</v>
      </c>
      <c r="N423" s="21" cm="1">
        <f t="array" ref="N423">SUMPRODUCT(
    (Transactions_and_Customer_Information_Joined[Customer ID]=$A423)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23" s="21" cm="1">
        <f t="array" ref="O423">IFERROR(
    SUMPRODUCT(
        (Transactions_and_Customer_Information_Joined[Customer ID]=$A423)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$J423,
0)</f>
        <v>0.16615780750618397</v>
      </c>
      <c r="P423" s="5" cm="1">
        <f t="array" ref="P423">_xlfn.IFS(B423="At-Risk Churner",$B$2,$B423="Dormant",$B$3,$B423="Deal Hunter",$B$4,$B423="New Customer",$B$5,$B423="Occasional Buyer",$B$6,$B423="Loyal High-Value",$B$7)</f>
        <v>45</v>
      </c>
      <c r="Q423" s="9" cm="1">
        <f t="array" ref="Q423">_xlfn.IFS($B423 = "At-Risk Churner", $B$8, $B423="Dormant",$B$9, $B423="Deal Hunter", $B$10, $B423="New Customer", $B$11, $B423="Occasional Buyer", $B$12, $B423 = "Loyal High-Value",$B$13)</f>
        <v>0.25</v>
      </c>
      <c r="R423" s="5">
        <v>5</v>
      </c>
      <c r="S423" s="5">
        <v>10</v>
      </c>
      <c r="T423" s="5">
        <v>0</v>
      </c>
      <c r="U423" s="5">
        <f t="shared" si="31"/>
        <v>15</v>
      </c>
      <c r="V423" s="5">
        <f t="shared" si="32"/>
        <v>6.6463123002473594</v>
      </c>
      <c r="W423" s="43">
        <f t="shared" si="33"/>
        <v>82.208812300247359</v>
      </c>
      <c r="X423" s="5" t="str" cm="1">
        <f t="array" ref="X423">_xlfn.IFS($W423 &lt;= 30, "Low", $W423 &lt;=50, "Medium", $W423 &lt;= 70, "High", $W423 &gt; 70, "Critical")</f>
        <v>Critical</v>
      </c>
      <c r="Y423" s="9">
        <f t="shared" si="34"/>
        <v>0.24040313933113922</v>
      </c>
      <c r="Z423" s="22">
        <f t="shared" si="35"/>
        <v>102.60646389792353</v>
      </c>
    </row>
    <row r="424" spans="1:26">
      <c r="A424" s="24" t="str">
        <v>CUST-4880</v>
      </c>
      <c r="B424" s="24" t="str">
        <v>Deal Hunter</v>
      </c>
      <c r="C424" s="24" t="str">
        <v>Direct</v>
      </c>
      <c r="D424" s="24" t="str">
        <v>Northeast</v>
      </c>
      <c r="E424" s="24" t="str">
        <v>35-44</v>
      </c>
      <c r="F424" s="24" t="str">
        <v>High</v>
      </c>
      <c r="G424" s="24">
        <v>4</v>
      </c>
      <c r="H424" s="24">
        <v>74</v>
      </c>
      <c r="I424" s="23">
        <v>590.79</v>
      </c>
      <c r="J424" s="24" cm="1">
        <f t="array" ref="J424">SUMPRODUCT(
    (Transactions_and_Customer_Information_Joined[Customer ID]='V1-Based Churn Model (Step 3)'!$A424) *
    (IFERROR(_xlfn.XLOOKUP(Transactions_and_Customer_Information_Joined[SKU], 'V1 Pricing Model (Step 2)'!$A$22:$A$71, 'V1 Pricing Model (Step 2)'!$AL$22:$AL$71), "Exclude")&lt;&gt;"Exclude") *
    Transactions_and_Customer_Information_Joined[Gross Revenue])</f>
        <v>770.56</v>
      </c>
      <c r="K424" s="24">
        <f>SUMIF(Transactions_and_Customer_Information_Joined[Customer ID], 'V1-Based Churn Model (Step 3)'!$A424, Transactions_and_Customer_Information_Joined[Gross Revenue])</f>
        <v>770.56</v>
      </c>
      <c r="L424" s="3">
        <f t="shared" si="36"/>
        <v>1</v>
      </c>
      <c r="M424" s="21">
        <v>0.10702390858761081</v>
      </c>
      <c r="N424" s="21" cm="1">
        <f t="array" ref="N424">SUMPRODUCT(
    (Transactions_and_Customer_Information_Joined[Customer ID]=$A424)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24" s="21" cm="1">
        <f t="array" ref="O424">IFERROR(
    SUMPRODUCT(
        (Transactions_and_Customer_Information_Joined[Customer ID]=$A424)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$J424,
0)</f>
        <v>8.0146988014303103E-2</v>
      </c>
      <c r="P424" s="5" cm="1">
        <f t="array" ref="P424">_xlfn.IFS(B424="At-Risk Churner",$B$2,$B424="Dormant",$B$3,$B424="Deal Hunter",$B$4,$B424="New Customer",$B$5,$B424="Occasional Buyer",$B$6,$B424="Loyal High-Value",$B$7)</f>
        <v>45</v>
      </c>
      <c r="Q424" s="9" cm="1">
        <f t="array" ref="Q424">_xlfn.IFS($B424 = "At-Risk Churner", $B$8, $B424="Dormant",$B$9, $B424="Deal Hunter", $B$10, $B424="New Customer", $B$11, $B424="Occasional Buyer", $B$12, $B424 = "Loyal High-Value",$B$13)</f>
        <v>0.25</v>
      </c>
      <c r="R424" s="5">
        <v>15</v>
      </c>
      <c r="S424" s="5">
        <v>0</v>
      </c>
      <c r="T424" s="5">
        <v>0</v>
      </c>
      <c r="U424" s="5">
        <f t="shared" ref="U424:U487" si="37">MIN(
    $L424 * $B$26 * (1 + $B$28 * LN(MAX($N424, 1))),
    $B$27
)</f>
        <v>15</v>
      </c>
      <c r="V424" s="5">
        <f t="shared" ref="V424:V487" si="38">MIN(
    $B$29 * ABS($O424) + $B$30 * ABS($M424),
    $B$31
)</f>
        <v>3.7434179320382786</v>
      </c>
      <c r="W424" s="43">
        <f t="shared" ref="W424:W487" si="39">MIN(MAX(
    $P424 + $R424 + $S424 + $T424 + $U424 + $V424
    + $B$32 * ($R424 * $U424) / 100
    + $B$33 * ($P424 * $S424) / 100,
0), 100)</f>
        <v>79.08091793203829</v>
      </c>
      <c r="X424" s="5" t="str" cm="1">
        <f t="array" ref="X424">_xlfn.IFS($W424 &lt;= 30, "Low", $W424 &lt;=50, "Medium", $W424 &lt;= 70, "High", $W424 &gt; 70, "Critical")</f>
        <v>Critical</v>
      </c>
      <c r="Y424" s="9">
        <f t="shared" ref="Y424:Y487" si="40">$Q424 * (1 / (1 + EXP(-($W424 - 50) / $B$34)))</f>
        <v>0.23706124915779356</v>
      </c>
      <c r="Z424" s="22">
        <f t="shared" ref="Z424:Z487" si="41">_xlfn.LET(
    _xlpm.full_churn, $Y424 * $I424,
    _xlpm.partial_rate, IF(OR($X424="Medium", $X424="High"), (1 - $Y424) * 0.5 * $B$35, 0),
    _xlpm.partial_churn, _xlpm.partial_rate * $I424,
    _xlpm.full_churn + _xlpm.partial_churn
)</f>
        <v>140.05341538993284</v>
      </c>
    </row>
    <row r="425" spans="1:26">
      <c r="A425" s="24" t="str">
        <v>CUST-2568</v>
      </c>
      <c r="B425" s="24" t="str">
        <v>Occasional Buyer</v>
      </c>
      <c r="C425" s="24" t="str">
        <v>Organic Search</v>
      </c>
      <c r="D425" s="24" t="str">
        <v>West</v>
      </c>
      <c r="E425" s="24" t="str">
        <v>25-34</v>
      </c>
      <c r="F425" s="24" t="str">
        <v>High</v>
      </c>
      <c r="G425" s="24">
        <v>4</v>
      </c>
      <c r="H425" s="24">
        <v>175</v>
      </c>
      <c r="I425" s="23">
        <v>263.77999999999997</v>
      </c>
      <c r="J425" s="24" cm="1">
        <f t="array" ref="J425">SUMPRODUCT(
    (Transactions_and_Customer_Information_Joined[Customer ID]='V1-Based Churn Model (Step 3)'!$A425) *
    (IFERROR(_xlfn.XLOOKUP(Transactions_and_Customer_Information_Joined[SKU], 'V1 Pricing Model (Step 2)'!$A$22:$A$71, 'V1 Pricing Model (Step 2)'!$AL$22:$AL$71), "Exclude")&lt;&gt;"Exclude") *
    Transactions_and_Customer_Information_Joined[Gross Revenue])</f>
        <v>334.56</v>
      </c>
      <c r="K425" s="24">
        <f>SUMIF(Transactions_and_Customer_Information_Joined[Customer ID], 'V1-Based Churn Model (Step 3)'!$A425, Transactions_and_Customer_Information_Joined[Gross Revenue])</f>
        <v>334.56</v>
      </c>
      <c r="L425" s="3">
        <f t="shared" si="36"/>
        <v>1</v>
      </c>
      <c r="M425" s="21">
        <v>0.10702390858761081</v>
      </c>
      <c r="N425" s="21" cm="1">
        <f t="array" ref="N425">SUMPRODUCT(
    (Transactions_and_Customer_Information_Joined[Customer ID]=$A425)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2</v>
      </c>
      <c r="O425" s="21" cm="1">
        <f t="array" ref="O425">IFERROR(
    SUMPRODUCT(
        (Transactions_and_Customer_Information_Joined[Customer ID]=$A425)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$J425,
0)</f>
        <v>8.28227269335641E-2</v>
      </c>
      <c r="P425" s="5" cm="1">
        <f t="array" ref="P425">_xlfn.IFS(B425="At-Risk Churner",$B$2,$B425="Dormant",$B$3,$B425="Deal Hunter",$B$4,$B425="New Customer",$B$5,$B425="Occasional Buyer",$B$6,$B425="Loyal High-Value",$B$7)</f>
        <v>25</v>
      </c>
      <c r="Q425" s="9" cm="1">
        <f t="array" ref="Q425">_xlfn.IFS($B425 = "At-Risk Churner", $B$8, $B425="Dormant",$B$9, $B425="Deal Hunter", $B$10, $B425="New Customer", $B$11, $B425="Occasional Buyer", $B$12, $B425 = "Loyal High-Value",$B$13)</f>
        <v>0.18</v>
      </c>
      <c r="R425" s="5">
        <v>15</v>
      </c>
      <c r="S425" s="5">
        <v>0</v>
      </c>
      <c r="T425" s="5">
        <v>0</v>
      </c>
      <c r="U425" s="5">
        <f t="shared" si="37"/>
        <v>15</v>
      </c>
      <c r="V425" s="5">
        <f t="shared" si="38"/>
        <v>3.7969327104234982</v>
      </c>
      <c r="W425" s="43">
        <f t="shared" si="39"/>
        <v>59.134432710423496</v>
      </c>
      <c r="X425" s="5" t="str" cm="1">
        <f t="array" ref="X425">_xlfn.IFS($W425 &lt;= 30, "Low", $W425 &lt;=50, "Medium", $W425 &lt;= 70, "High", $W425 &gt; 70, "Critical")</f>
        <v>High</v>
      </c>
      <c r="Y425" s="9">
        <f t="shared" si="40"/>
        <v>0.12846676417707023</v>
      </c>
      <c r="Z425" s="22">
        <f t="shared" si="41"/>
        <v>79.865570443702069</v>
      </c>
    </row>
    <row r="426" spans="1:26">
      <c r="A426" s="24" t="str">
        <v>CUST-2180</v>
      </c>
      <c r="B426" s="24" t="str">
        <v>Dormant</v>
      </c>
      <c r="C426" s="24" t="str">
        <v>Influencer</v>
      </c>
      <c r="D426" s="24" t="str">
        <v>Southeast</v>
      </c>
      <c r="E426" s="24" t="str">
        <v>18-24</v>
      </c>
      <c r="F426" s="24" t="str">
        <v>High</v>
      </c>
      <c r="G426" s="24">
        <v>6</v>
      </c>
      <c r="H426" s="24">
        <v>283</v>
      </c>
      <c r="I426" s="23">
        <v>40.61</v>
      </c>
      <c r="J426" s="24" cm="1">
        <f t="array" ref="J426">SUMPRODUCT(
    (Transactions_and_Customer_Information_Joined[Customer ID]='V1-Based Churn Model (Step 3)'!$A426) *
    (IFERROR(_xlfn.XLOOKUP(Transactions_and_Customer_Information_Joined[SKU], 'V1 Pricing Model (Step 2)'!$A$22:$A$71, 'V1 Pricing Model (Step 2)'!$AL$22:$AL$71), "Exclude")&lt;&gt;"Exclude") *
    Transactions_and_Customer_Information_Joined[Gross Revenue])</f>
        <v>163.92000000000002</v>
      </c>
      <c r="K426" s="24">
        <f>SUMIF(Transactions_and_Customer_Information_Joined[Customer ID], 'V1-Based Churn Model (Step 3)'!$A426, Transactions_and_Customer_Information_Joined[Gross Revenue])</f>
        <v>163.92000000000002</v>
      </c>
      <c r="L426" s="3">
        <f t="shared" si="36"/>
        <v>1</v>
      </c>
      <c r="M426" s="21">
        <v>0.24833629343146826</v>
      </c>
      <c r="N426" s="21" cm="1">
        <f t="array" ref="N426">SUMPRODUCT(
    (Transactions_and_Customer_Information_Joined[Customer ID]=$A426)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26" s="21" cm="1">
        <f t="array" ref="O426">IFERROR(
    SUMPRODUCT(
        (Transactions_and_Customer_Information_Joined[Customer ID]=$A426)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$J426,
0)</f>
        <v>0.24833629343146826</v>
      </c>
      <c r="P426" s="5" cm="1">
        <f t="array" ref="P426">_xlfn.IFS(B426="At-Risk Churner",$B$2,$B426="Dormant",$B$3,$B426="Deal Hunter",$B$4,$B426="New Customer",$B$5,$B426="Occasional Buyer",$B$6,$B426="Loyal High-Value",$B$7)</f>
        <v>65</v>
      </c>
      <c r="Q426" s="9" cm="1">
        <f t="array" ref="Q426">_xlfn.IFS($B426 = "At-Risk Churner", $B$8, $B426="Dormant",$B$9, $B426="Deal Hunter", $B$10, $B426="New Customer", $B$11, $B426="Occasional Buyer", $B$12, $B426 = "Loyal High-Value",$B$13)</f>
        <v>0.6</v>
      </c>
      <c r="R426" s="5">
        <v>15</v>
      </c>
      <c r="S426" s="5">
        <v>0</v>
      </c>
      <c r="T426" s="5">
        <v>8</v>
      </c>
      <c r="U426" s="5">
        <f t="shared" si="37"/>
        <v>15</v>
      </c>
      <c r="V426" s="5">
        <f t="shared" si="38"/>
        <v>9.9334517372587303</v>
      </c>
      <c r="W426" s="43">
        <f t="shared" si="39"/>
        <v>100</v>
      </c>
      <c r="X426" s="5" t="str" cm="1">
        <f t="array" ref="X426">_xlfn.IFS($W426 &lt;= 30, "Low", $W426 &lt;=50, "Medium", $W426 &lt;= 70, "High", $W426 &gt; 70, "Critical")</f>
        <v>Critical</v>
      </c>
      <c r="Y426" s="9">
        <f t="shared" si="40"/>
        <v>0.59598428944542914</v>
      </c>
      <c r="Z426" s="22">
        <f t="shared" si="41"/>
        <v>24.202921994378876</v>
      </c>
    </row>
    <row r="427" spans="1:26">
      <c r="A427" s="24" t="str">
        <v>CUST-4419</v>
      </c>
      <c r="B427" s="24" t="str">
        <v>At-Risk Churner</v>
      </c>
      <c r="C427" s="24" t="str">
        <v>Influencer</v>
      </c>
      <c r="D427" s="24" t="str">
        <v>Canada</v>
      </c>
      <c r="E427" s="24" t="str">
        <v>25-34</v>
      </c>
      <c r="F427" s="24" t="str">
        <v>High</v>
      </c>
      <c r="G427" s="24">
        <v>4</v>
      </c>
      <c r="H427" s="24">
        <v>18</v>
      </c>
      <c r="I427" s="23">
        <v>260.64</v>
      </c>
      <c r="J427" s="24" cm="1">
        <f t="array" ref="J427">SUMPRODUCT(
    (Transactions_and_Customer_Information_Joined[Customer ID]='V1-Based Churn Model (Step 3)'!$A427) *
    (IFERROR(_xlfn.XLOOKUP(Transactions_and_Customer_Information_Joined[SKU], 'V1 Pricing Model (Step 2)'!$A$22:$A$71, 'V1 Pricing Model (Step 2)'!$AL$22:$AL$71), "Exclude")&lt;&gt;"Exclude") *
    Transactions_and_Customer_Information_Joined[Gross Revenue])</f>
        <v>16.95</v>
      </c>
      <c r="K427" s="24">
        <f>SUMIF(Transactions_and_Customer_Information_Joined[Customer ID], 'V1-Based Churn Model (Step 3)'!$A427, Transactions_and_Customer_Information_Joined[Gross Revenue])</f>
        <v>16.95</v>
      </c>
      <c r="L427" s="3">
        <f t="shared" si="36"/>
        <v>1</v>
      </c>
      <c r="M427" s="21">
        <v>-7.0269238925823692E-3</v>
      </c>
      <c r="N427" s="21" cm="1">
        <f t="array" ref="N427">SUMPRODUCT(
    (Transactions_and_Customer_Information_Joined[Customer ID]=$A427)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27" s="21" cm="1">
        <f t="array" ref="O427">IFERROR(
    SUMPRODUCT(
        (Transactions_and_Customer_Information_Joined[Customer ID]=$A427)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$J427,
0)</f>
        <v>-7.0269238925823692E-3</v>
      </c>
      <c r="P427" s="5" cm="1">
        <f t="array" ref="P427">_xlfn.IFS(B427="At-Risk Churner",$B$2,$B427="Dormant",$B$3,$B427="Deal Hunter",$B$4,$B427="New Customer",$B$5,$B427="Occasional Buyer",$B$6,$B427="Loyal High-Value",$B$7)</f>
        <v>70</v>
      </c>
      <c r="Q427" s="9" cm="1">
        <f t="array" ref="Q427">_xlfn.IFS($B427 = "At-Risk Churner", $B$8, $B427="Dormant",$B$9, $B427="Deal Hunter", $B$10, $B427="New Customer", $B$11, $B427="Occasional Buyer", $B$12, $B427 = "Loyal High-Value",$B$13)</f>
        <v>0.45</v>
      </c>
      <c r="R427" s="5">
        <v>15</v>
      </c>
      <c r="S427" s="5">
        <v>0</v>
      </c>
      <c r="T427" s="5">
        <v>-5</v>
      </c>
      <c r="U427" s="5">
        <f t="shared" si="37"/>
        <v>15</v>
      </c>
      <c r="V427" s="5">
        <f t="shared" si="38"/>
        <v>0.28107695570329477</v>
      </c>
      <c r="W427" s="43">
        <f t="shared" si="39"/>
        <v>95.618576955703304</v>
      </c>
      <c r="X427" s="5" t="str" cm="1">
        <f t="array" ref="X427">_xlfn.IFS($W427 &lt;= 30, "Low", $W427 &lt;=50, "Medium", $W427 &lt;= 70, "High", $W427 &gt; 70, "Critical")</f>
        <v>Critical</v>
      </c>
      <c r="Y427" s="9">
        <f t="shared" si="40"/>
        <v>0.44534937605055042</v>
      </c>
      <c r="Z427" s="22">
        <f t="shared" si="41"/>
        <v>116.07586137381546</v>
      </c>
    </row>
    <row r="428" spans="1:26">
      <c r="A428" s="24" t="str">
        <v>CUST-2259</v>
      </c>
      <c r="B428" s="24" t="str">
        <v>Occasional Buyer</v>
      </c>
      <c r="C428" s="24" t="str">
        <v>Organic Search</v>
      </c>
      <c r="D428" s="24" t="str">
        <v>Northeast</v>
      </c>
      <c r="E428" s="24" t="str">
        <v>35-44</v>
      </c>
      <c r="F428" s="24" t="str">
        <v>Low</v>
      </c>
      <c r="G428" s="24">
        <v>9</v>
      </c>
      <c r="H428" s="24">
        <v>231</v>
      </c>
      <c r="I428" s="23">
        <v>321.93</v>
      </c>
      <c r="J428" s="24" cm="1">
        <f t="array" ref="J428">SUMPRODUCT(
    (Transactions_and_Customer_Information_Joined[Customer ID]='V1-Based Churn Model (Step 3)'!$A428)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428" s="24">
        <f>SUMIF(Transactions_and_Customer_Information_Joined[Customer ID], 'V1-Based Churn Model (Step 3)'!$A428, Transactions_and_Customer_Information_Joined[Gross Revenue])</f>
        <v>163.19999999999999</v>
      </c>
      <c r="L428" s="3">
        <f t="shared" si="36"/>
        <v>0</v>
      </c>
      <c r="M428" s="21">
        <v>0</v>
      </c>
      <c r="N428" s="21" cm="1">
        <f t="array" ref="N428">SUMPRODUCT(
    (Transactions_and_Customer_Information_Joined[Customer ID]=$A428)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428" s="21" cm="1">
        <f t="array" ref="O428">IFERROR(
    SUMPRODUCT(
        (Transactions_and_Customer_Information_Joined[Customer ID]=$A428)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$J428,
0)</f>
        <v>0</v>
      </c>
      <c r="P428" s="5" cm="1">
        <f t="array" ref="P428">_xlfn.IFS(B428="At-Risk Churner",$B$2,$B428="Dormant",$B$3,$B428="Deal Hunter",$B$4,$B428="New Customer",$B$5,$B428="Occasional Buyer",$B$6,$B428="Loyal High-Value",$B$7)</f>
        <v>25</v>
      </c>
      <c r="Q428" s="9" cm="1">
        <f t="array" ref="Q428">_xlfn.IFS($B428 = "At-Risk Churner", $B$8, $B428="Dormant",$B$9, $B428="Deal Hunter", $B$10, $B428="New Customer", $B$11, $B428="Occasional Buyer", $B$12, $B428 = "Loyal High-Value",$B$13)</f>
        <v>0.18</v>
      </c>
      <c r="R428" s="5">
        <v>-5</v>
      </c>
      <c r="S428" s="5">
        <v>-8</v>
      </c>
      <c r="T428" s="5">
        <v>8</v>
      </c>
      <c r="U428" s="5">
        <f t="shared" si="37"/>
        <v>0</v>
      </c>
      <c r="V428" s="5">
        <f t="shared" si="38"/>
        <v>0</v>
      </c>
      <c r="W428" s="43">
        <f t="shared" si="39"/>
        <v>19.8</v>
      </c>
      <c r="X428" s="5" t="str" cm="1">
        <f t="array" ref="X428">_xlfn.IFS($W428 &lt;= 30, "Low", $W428 &lt;=50, "Medium", $W428 &lt;= 70, "High", $W428 &gt; 70, "Critical")</f>
        <v>Low</v>
      </c>
      <c r="Y428" s="9">
        <f t="shared" si="40"/>
        <v>8.3754854126516648E-3</v>
      </c>
      <c r="Z428" s="22">
        <f t="shared" si="41"/>
        <v>2.6963200188949505</v>
      </c>
    </row>
    <row r="429" spans="1:26">
      <c r="A429" s="24" t="str">
        <v>CUST-1013</v>
      </c>
      <c r="B429" s="24" t="str">
        <v>Loyal High-Value</v>
      </c>
      <c r="C429" s="24" t="str">
        <v>Organic Search</v>
      </c>
      <c r="D429" s="24" t="str">
        <v>UK</v>
      </c>
      <c r="E429" s="24" t="str">
        <v>25-34</v>
      </c>
      <c r="F429" s="24" t="str">
        <v>Low</v>
      </c>
      <c r="G429" s="24">
        <v>4</v>
      </c>
      <c r="H429" s="24">
        <v>356</v>
      </c>
      <c r="I429" s="23">
        <v>1947.86</v>
      </c>
      <c r="J429" s="24" cm="1">
        <f t="array" ref="J429">SUMPRODUCT(
    (Transactions_and_Customer_Information_Joined[Customer ID]='V1-Based Churn Model (Step 3)'!$A429) *
    (IFERROR(_xlfn.XLOOKUP(Transactions_and_Customer_Information_Joined[SKU], 'V1 Pricing Model (Step 2)'!$A$22:$A$71, 'V1 Pricing Model (Step 2)'!$AL$22:$AL$71), "Exclude")&lt;&gt;"Exclude") *
    Transactions_and_Customer_Information_Joined[Gross Revenue])</f>
        <v>99.34</v>
      </c>
      <c r="K429" s="24">
        <f>SUMIF(Transactions_and_Customer_Information_Joined[Customer ID], 'V1-Based Churn Model (Step 3)'!$A429, Transactions_and_Customer_Information_Joined[Gross Revenue])</f>
        <v>99.34</v>
      </c>
      <c r="L429" s="3">
        <f t="shared" si="36"/>
        <v>1</v>
      </c>
      <c r="M429" s="21">
        <v>1.4049546680818285E-2</v>
      </c>
      <c r="N429" s="21" cm="1">
        <f t="array" ref="N429">SUMPRODUCT(
    (Transactions_and_Customer_Information_Joined[Customer ID]=$A429)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29" s="21" cm="1">
        <f t="array" ref="O429">IFERROR(
    SUMPRODUCT(
        (Transactions_and_Customer_Information_Joined[Customer ID]=$A429)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$J429,
0)</f>
        <v>1.4049546680818285E-2</v>
      </c>
      <c r="P429" s="5" cm="1">
        <f t="array" ref="P429">_xlfn.IFS(B429="At-Risk Churner",$B$2,$B429="Dormant",$B$3,$B429="Deal Hunter",$B$4,$B429="New Customer",$B$5,$B429="Occasional Buyer",$B$6,$B429="Loyal High-Value",$B$7)</f>
        <v>15</v>
      </c>
      <c r="Q429" s="9" cm="1">
        <f t="array" ref="Q429">_xlfn.IFS($B429 = "At-Risk Churner", $B$8, $B429="Dormant",$B$9, $B429="Deal Hunter", $B$10, $B429="New Customer", $B$11, $B429="Occasional Buyer", $B$12, $B429 = "Loyal High-Value",$B$13)</f>
        <v>0.05</v>
      </c>
      <c r="R429" s="5">
        <v>-5</v>
      </c>
      <c r="S429" s="5">
        <v>0</v>
      </c>
      <c r="T429" s="5">
        <v>15</v>
      </c>
      <c r="U429" s="5">
        <f t="shared" si="37"/>
        <v>15</v>
      </c>
      <c r="V429" s="5">
        <f t="shared" si="38"/>
        <v>0.56198186723273136</v>
      </c>
      <c r="W429" s="43">
        <f t="shared" si="39"/>
        <v>40.449481867232734</v>
      </c>
      <c r="X429" s="5" t="str" cm="1">
        <f t="array" ref="X429">_xlfn.IFS($W429 &lt;= 30, "Low", $W429 &lt;=50, "Medium", $W429 &lt;= 70, "High", $W429 &gt; 70, "Critical")</f>
        <v>Medium</v>
      </c>
      <c r="Y429" s="9">
        <f t="shared" si="40"/>
        <v>1.3893499863446691E-2</v>
      </c>
      <c r="Z429" s="22">
        <f t="shared" si="41"/>
        <v>411.2220741152106</v>
      </c>
    </row>
    <row r="430" spans="1:26">
      <c r="A430" s="24" t="str">
        <v>CUST-1563</v>
      </c>
      <c r="B430" s="24" t="str">
        <v>Deal Hunter</v>
      </c>
      <c r="C430" s="24" t="str">
        <v>Referral</v>
      </c>
      <c r="D430" s="24" t="str">
        <v>Southeast</v>
      </c>
      <c r="E430" s="24" t="str">
        <v>25-34</v>
      </c>
      <c r="F430" s="24" t="str">
        <v>High</v>
      </c>
      <c r="G430" s="24">
        <v>7</v>
      </c>
      <c r="H430" s="24">
        <v>304</v>
      </c>
      <c r="I430" s="23">
        <v>242.35</v>
      </c>
      <c r="J430" s="24" cm="1">
        <f t="array" ref="J430">SUMPRODUCT(
    (Transactions_and_Customer_Information_Joined[Customer ID]='V1-Based Churn Model (Step 3)'!$A430) *
    (IFERROR(_xlfn.XLOOKUP(Transactions_and_Customer_Information_Joined[SKU], 'V1 Pricing Model (Step 2)'!$A$22:$A$71, 'V1 Pricing Model (Step 2)'!$AL$22:$AL$71), "Exclude")&lt;&gt;"Exclude") *
    Transactions_and_Customer_Information_Joined[Gross Revenue])</f>
        <v>733.58</v>
      </c>
      <c r="K430" s="24">
        <f>SUMIF(Transactions_and_Customer_Information_Joined[Customer ID], 'V1-Based Churn Model (Step 3)'!$A430, Transactions_and_Customer_Information_Joined[Gross Revenue])</f>
        <v>733.58</v>
      </c>
      <c r="L430" s="3">
        <f t="shared" si="36"/>
        <v>1</v>
      </c>
      <c r="M430" s="21">
        <v>0.17380489413507264</v>
      </c>
      <c r="N430" s="21" cm="1">
        <f t="array" ref="N430">SUMPRODUCT(
    (Transactions_and_Customer_Information_Joined[Customer ID]=$A430)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2</v>
      </c>
      <c r="O430" s="21" cm="1">
        <f t="array" ref="O430">IFERROR(
    SUMPRODUCT(
        (Transactions_and_Customer_Information_Joined[Customer ID]=$A430)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$J430,
0)</f>
        <v>0.12972902369193323</v>
      </c>
      <c r="P430" s="5" cm="1">
        <f t="array" ref="P430">_xlfn.IFS(B430="At-Risk Churner",$B$2,$B430="Dormant",$B$3,$B430="Deal Hunter",$B$4,$B430="New Customer",$B$5,$B430="Occasional Buyer",$B$6,$B430="Loyal High-Value",$B$7)</f>
        <v>45</v>
      </c>
      <c r="Q430" s="9" cm="1">
        <f t="array" ref="Q430">_xlfn.IFS($B430 = "At-Risk Churner", $B$8, $B430="Dormant",$B$9, $B430="Deal Hunter", $B$10, $B430="New Customer", $B$11, $B430="Occasional Buyer", $B$12, $B430 = "Loyal High-Value",$B$13)</f>
        <v>0.25</v>
      </c>
      <c r="R430" s="5">
        <v>15</v>
      </c>
      <c r="S430" s="5">
        <v>-8</v>
      </c>
      <c r="T430" s="5">
        <v>15</v>
      </c>
      <c r="U430" s="5">
        <f t="shared" si="37"/>
        <v>15</v>
      </c>
      <c r="V430" s="5">
        <f t="shared" si="38"/>
        <v>6.0706783565401174</v>
      </c>
      <c r="W430" s="43">
        <f t="shared" si="39"/>
        <v>88.04817835654012</v>
      </c>
      <c r="X430" s="5" t="str" cm="1">
        <f t="array" ref="X430">_xlfn.IFS($W430 &lt;= 30, "Low", $W430 &lt;=50, "Medium", $W430 &lt;= 70, "High", $W430 &gt; 70, "Critical")</f>
        <v>Critical</v>
      </c>
      <c r="Y430" s="9">
        <f t="shared" si="40"/>
        <v>0.24455540138121556</v>
      </c>
      <c r="Z430" s="22">
        <f t="shared" si="41"/>
        <v>59.268001524737592</v>
      </c>
    </row>
    <row r="431" spans="1:26">
      <c r="A431" s="24" t="str">
        <v>CUST-3558</v>
      </c>
      <c r="B431" s="24" t="str">
        <v>Dormant</v>
      </c>
      <c r="C431" s="24" t="str">
        <v>Email Campaign</v>
      </c>
      <c r="D431" s="24" t="str">
        <v>Southeast</v>
      </c>
      <c r="E431" s="24" t="str">
        <v>45-54</v>
      </c>
      <c r="F431" s="24" t="str">
        <v>Medium</v>
      </c>
      <c r="G431" s="24">
        <v>5</v>
      </c>
      <c r="H431" s="24">
        <v>121</v>
      </c>
      <c r="I431" s="23">
        <v>120.16</v>
      </c>
      <c r="J431" s="24" cm="1">
        <f t="array" ref="J431">SUMPRODUCT(
    (Transactions_and_Customer_Information_Joined[Customer ID]='V1-Based Churn Model (Step 3)'!$A431) *
    (IFERROR(_xlfn.XLOOKUP(Transactions_and_Customer_Information_Joined[SKU], 'V1 Pricing Model (Step 2)'!$A$22:$A$71, 'V1 Pricing Model (Step 2)'!$AL$22:$AL$71), "Exclude")&lt;&gt;"Exclude") *
    Transactions_and_Customer_Information_Joined[Gross Revenue])</f>
        <v>145.4</v>
      </c>
      <c r="K431" s="24">
        <f>SUMIF(Transactions_and_Customer_Information_Joined[Customer ID], 'V1-Based Churn Model (Step 3)'!$A431, Transactions_and_Customer_Information_Joined[Gross Revenue])</f>
        <v>145.4</v>
      </c>
      <c r="L431" s="3">
        <f t="shared" si="36"/>
        <v>1</v>
      </c>
      <c r="M431" s="21">
        <v>6.4419042005321461E-2</v>
      </c>
      <c r="N431" s="21" cm="1">
        <f t="array" ref="N431">SUMPRODUCT(
    (Transactions_and_Customer_Information_Joined[Customer ID]=$A431)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31" s="21" cm="1">
        <f t="array" ref="O431">IFERROR(
    SUMPRODUCT(
        (Transactions_and_Customer_Information_Joined[Customer ID]=$A431)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$J431,
0)</f>
        <v>6.4419042005321461E-2</v>
      </c>
      <c r="P431" s="5" cm="1">
        <f t="array" ref="P431">_xlfn.IFS(B431="At-Risk Churner",$B$2,$B431="Dormant",$B$3,$B431="Deal Hunter",$B$4,$B431="New Customer",$B$5,$B431="Occasional Buyer",$B$6,$B431="Loyal High-Value",$B$7)</f>
        <v>65</v>
      </c>
      <c r="Q431" s="9" cm="1">
        <f t="array" ref="Q431">_xlfn.IFS($B431 = "At-Risk Churner", $B$8, $B431="Dormant",$B$9, $B431="Deal Hunter", $B$10, $B431="New Customer", $B$11, $B431="Occasional Buyer", $B$12, $B431 = "Loyal High-Value",$B$13)</f>
        <v>0.6</v>
      </c>
      <c r="R431" s="5">
        <v>5</v>
      </c>
      <c r="S431" s="5">
        <v>0</v>
      </c>
      <c r="T431" s="5">
        <v>0</v>
      </c>
      <c r="U431" s="5">
        <f t="shared" si="37"/>
        <v>15</v>
      </c>
      <c r="V431" s="5">
        <f t="shared" si="38"/>
        <v>2.5767616802128583</v>
      </c>
      <c r="W431" s="43">
        <f t="shared" si="39"/>
        <v>87.689261680212852</v>
      </c>
      <c r="X431" s="5" t="str" cm="1">
        <f t="array" ref="X431">_xlfn.IFS($W431 &lt;= 30, "Low", $W431 &lt;=50, "Medium", $W431 &lt;= 70, "High", $W431 &gt; 70, "Critical")</f>
        <v>Critical</v>
      </c>
      <c r="Y431" s="9">
        <f t="shared" si="40"/>
        <v>0.58646621841013735</v>
      </c>
      <c r="Z431" s="22">
        <f t="shared" si="41"/>
        <v>70.469780804162099</v>
      </c>
    </row>
    <row r="432" spans="1:26">
      <c r="A432" s="24" t="str">
        <v>CUST-4523</v>
      </c>
      <c r="B432" s="24" t="str">
        <v>Occasional Buyer</v>
      </c>
      <c r="C432" s="24" t="str">
        <v>Direct</v>
      </c>
      <c r="D432" s="24" t="str">
        <v>Midwest</v>
      </c>
      <c r="E432" s="24" t="str">
        <v>35-44</v>
      </c>
      <c r="F432" s="24" t="str">
        <v>Low</v>
      </c>
      <c r="G432" s="24">
        <v>10</v>
      </c>
      <c r="H432" s="24">
        <v>83</v>
      </c>
      <c r="I432" s="23">
        <v>445.49</v>
      </c>
      <c r="J432" s="24" cm="1">
        <f t="array" ref="J432">SUMPRODUCT(
    (Transactions_and_Customer_Information_Joined[Customer ID]='V1-Based Churn Model (Step 3)'!$A432) *
    (IFERROR(_xlfn.XLOOKUP(Transactions_and_Customer_Information_Joined[SKU], 'V1 Pricing Model (Step 2)'!$A$22:$A$71, 'V1 Pricing Model (Step 2)'!$AL$22:$AL$71), "Exclude")&lt;&gt;"Exclude") *
    Transactions_and_Customer_Information_Joined[Gross Revenue])</f>
        <v>124.77</v>
      </c>
      <c r="K432" s="24">
        <f>SUMIF(Transactions_and_Customer_Information_Joined[Customer ID], 'V1-Based Churn Model (Step 3)'!$A432, Transactions_and_Customer_Information_Joined[Gross Revenue])</f>
        <v>124.77</v>
      </c>
      <c r="L432" s="3">
        <f t="shared" si="36"/>
        <v>1</v>
      </c>
      <c r="M432" s="21">
        <v>0.1130897018443069</v>
      </c>
      <c r="N432" s="21" cm="1">
        <f t="array" ref="N432">SUMPRODUCT(
    (Transactions_and_Customer_Information_Joined[Customer ID]=$A432)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32" s="21" cm="1">
        <f t="array" ref="O432">IFERROR(
    SUMPRODUCT(
        (Transactions_and_Customer_Information_Joined[Customer ID]=$A432)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$J432,
0)</f>
        <v>0.1130897018443069</v>
      </c>
      <c r="P432" s="5" cm="1">
        <f t="array" ref="P432">_xlfn.IFS(B432="At-Risk Churner",$B$2,$B432="Dormant",$B$3,$B432="Deal Hunter",$B$4,$B432="New Customer",$B$5,$B432="Occasional Buyer",$B$6,$B432="Loyal High-Value",$B$7)</f>
        <v>25</v>
      </c>
      <c r="Q432" s="9" cm="1">
        <f t="array" ref="Q432">_xlfn.IFS($B432 = "At-Risk Churner", $B$8, $B432="Dormant",$B$9, $B432="Deal Hunter", $B$10, $B432="New Customer", $B$11, $B432="Occasional Buyer", $B$12, $B432 = "Loyal High-Value",$B$13)</f>
        <v>0.18</v>
      </c>
      <c r="R432" s="5">
        <v>-5</v>
      </c>
      <c r="S432" s="5">
        <v>-8</v>
      </c>
      <c r="T432" s="5">
        <v>0</v>
      </c>
      <c r="U432" s="5">
        <f t="shared" si="37"/>
        <v>15</v>
      </c>
      <c r="V432" s="5">
        <f t="shared" si="38"/>
        <v>4.5235880737722765</v>
      </c>
      <c r="W432" s="43">
        <f t="shared" si="39"/>
        <v>31.211088073772277</v>
      </c>
      <c r="X432" s="5" t="str" cm="1">
        <f t="array" ref="X432">_xlfn.IFS($W432 &lt;= 30, "Low", $W432 &lt;=50, "Medium", $W432 &lt;= 70, "High", $W432 &gt; 70, "Critical")</f>
        <v>Medium</v>
      </c>
      <c r="Y432" s="9">
        <f t="shared" si="40"/>
        <v>2.3852931365249692E-2</v>
      </c>
      <c r="Z432" s="22">
        <f t="shared" si="41"/>
        <v>97.598993915124083</v>
      </c>
    </row>
    <row r="433" spans="1:26">
      <c r="A433" s="24" t="str">
        <v>CUST-3127</v>
      </c>
      <c r="B433" s="24" t="str">
        <v>At-Risk Churner</v>
      </c>
      <c r="C433" s="24" t="str">
        <v>Email Campaign</v>
      </c>
      <c r="D433" s="24" t="str">
        <v>UK</v>
      </c>
      <c r="E433" s="24" t="str">
        <v>45-54</v>
      </c>
      <c r="F433" s="24" t="str">
        <v>High</v>
      </c>
      <c r="G433" s="24">
        <v>0</v>
      </c>
      <c r="H433" s="24">
        <v>6</v>
      </c>
      <c r="I433" s="23">
        <v>233.25</v>
      </c>
      <c r="J433" s="24" cm="1">
        <f t="array" ref="J433">SUMPRODUCT(
    (Transactions_and_Customer_Information_Joined[Customer ID]='V1-Based Churn Model (Step 3)'!$A433) *
    (IFERROR(_xlfn.XLOOKUP(Transactions_and_Customer_Information_Joined[SKU], 'V1 Pricing Model (Step 2)'!$A$22:$A$71, 'V1 Pricing Model (Step 2)'!$AL$22:$AL$71), "Exclude")&lt;&gt;"Exclude") *
    Transactions_and_Customer_Information_Joined[Gross Revenue])</f>
        <v>36.78</v>
      </c>
      <c r="K433" s="24">
        <f>SUMIF(Transactions_and_Customer_Information_Joined[Customer ID], 'V1-Based Churn Model (Step 3)'!$A433, Transactions_and_Customer_Information_Joined[Gross Revenue])</f>
        <v>36.78</v>
      </c>
      <c r="L433" s="3">
        <f t="shared" si="36"/>
        <v>1</v>
      </c>
      <c r="M433" s="21">
        <v>0.10525403225213746</v>
      </c>
      <c r="N433" s="21" cm="1">
        <f t="array" ref="N433">SUMPRODUCT(
    (Transactions_and_Customer_Information_Joined[Customer ID]=$A433)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33" s="21" cm="1">
        <f t="array" ref="O433">IFERROR(
    SUMPRODUCT(
        (Transactions_and_Customer_Information_Joined[Customer ID]=$A433)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$J433,
0)</f>
        <v>0.10525403225213746</v>
      </c>
      <c r="P433" s="5" cm="1">
        <f t="array" ref="P433">_xlfn.IFS(B433="At-Risk Churner",$B$2,$B433="Dormant",$B$3,$B433="Deal Hunter",$B$4,$B433="New Customer",$B$5,$B433="Occasional Buyer",$B$6,$B433="Loyal High-Value",$B$7)</f>
        <v>70</v>
      </c>
      <c r="Q433" s="9" cm="1">
        <f t="array" ref="Q433">_xlfn.IFS($B433 = "At-Risk Churner", $B$8, $B433="Dormant",$B$9, $B433="Deal Hunter", $B$10, $B433="New Customer", $B$11, $B433="Occasional Buyer", $B$12, $B433 = "Loyal High-Value",$B$13)</f>
        <v>0.45</v>
      </c>
      <c r="R433" s="5">
        <v>15</v>
      </c>
      <c r="S433" s="5">
        <v>10</v>
      </c>
      <c r="T433" s="5">
        <v>-5</v>
      </c>
      <c r="U433" s="5">
        <f t="shared" si="37"/>
        <v>15</v>
      </c>
      <c r="V433" s="5">
        <f t="shared" si="38"/>
        <v>4.2101612900854981</v>
      </c>
      <c r="W433" s="43">
        <f t="shared" si="39"/>
        <v>100</v>
      </c>
      <c r="X433" s="5" t="str" cm="1">
        <f t="array" ref="X433">_xlfn.IFS($W433 &lt;= 30, "Low", $W433 &lt;=50, "Medium", $W433 &lt;= 70, "High", $W433 &gt; 70, "Critical")</f>
        <v>Critical</v>
      </c>
      <c r="Y433" s="9">
        <f t="shared" si="40"/>
        <v>0.44698821708407188</v>
      </c>
      <c r="Z433" s="22">
        <f t="shared" si="41"/>
        <v>104.26000163485976</v>
      </c>
    </row>
    <row r="434" spans="1:26">
      <c r="A434" s="24" t="str">
        <v>CUST-3254</v>
      </c>
      <c r="B434" s="24" t="str">
        <v>Dormant</v>
      </c>
      <c r="C434" s="24" t="str">
        <v>Referral</v>
      </c>
      <c r="D434" s="24" t="str">
        <v>Midwest</v>
      </c>
      <c r="E434" s="24" t="str">
        <v>45-54</v>
      </c>
      <c r="F434" s="24" t="str">
        <v>Low</v>
      </c>
      <c r="G434" s="24">
        <v>3</v>
      </c>
      <c r="H434" s="24">
        <v>319</v>
      </c>
      <c r="I434" s="23">
        <v>71.03</v>
      </c>
      <c r="J434" s="24" cm="1">
        <f t="array" ref="J434">SUMPRODUCT(
    (Transactions_and_Customer_Information_Joined[Customer ID]='V1-Based Churn Model (Step 3)'!$A434) *
    (IFERROR(_xlfn.XLOOKUP(Transactions_and_Customer_Information_Joined[SKU], 'V1 Pricing Model (Step 2)'!$A$22:$A$71, 'V1 Pricing Model (Step 2)'!$AL$22:$AL$71), "Exclude")&lt;&gt;"Exclude") *
    Transactions_and_Customer_Information_Joined[Gross Revenue])</f>
        <v>56.33</v>
      </c>
      <c r="K434" s="24">
        <f>SUMIF(Transactions_and_Customer_Information_Joined[Customer ID], 'V1-Based Churn Model (Step 3)'!$A434, Transactions_and_Customer_Information_Joined[Gross Revenue])</f>
        <v>56.33</v>
      </c>
      <c r="L434" s="3">
        <f t="shared" si="36"/>
        <v>1</v>
      </c>
      <c r="M434" s="21">
        <v>1.5146952408836394E-2</v>
      </c>
      <c r="N434" s="21" cm="1">
        <f t="array" ref="N434">SUMPRODUCT(
    (Transactions_and_Customer_Information_Joined[Customer ID]=$A434)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34" s="21" cm="1">
        <f t="array" ref="O434">IFERROR(
    SUMPRODUCT(
        (Transactions_and_Customer_Information_Joined[Customer ID]=$A434)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$J434,
0)</f>
        <v>1.5146952408836394E-2</v>
      </c>
      <c r="P434" s="5" cm="1">
        <f t="array" ref="P434">_xlfn.IFS(B434="At-Risk Churner",$B$2,$B434="Dormant",$B$3,$B434="Deal Hunter",$B$4,$B434="New Customer",$B$5,$B434="Occasional Buyer",$B$6,$B434="Loyal High-Value",$B$7)</f>
        <v>65</v>
      </c>
      <c r="Q434" s="9" cm="1">
        <f t="array" ref="Q434">_xlfn.IFS($B434 = "At-Risk Churner", $B$8, $B434="Dormant",$B$9, $B434="Deal Hunter", $B$10, $B434="New Customer", $B$11, $B434="Occasional Buyer", $B$12, $B434 = "Loyal High-Value",$B$13)</f>
        <v>0.6</v>
      </c>
      <c r="R434" s="5">
        <v>-5</v>
      </c>
      <c r="S434" s="5">
        <v>10</v>
      </c>
      <c r="T434" s="5">
        <v>15</v>
      </c>
      <c r="U434" s="5">
        <f t="shared" si="37"/>
        <v>15</v>
      </c>
      <c r="V434" s="5">
        <f t="shared" si="38"/>
        <v>0.6058780963534558</v>
      </c>
      <c r="W434" s="43">
        <f t="shared" si="39"/>
        <v>100</v>
      </c>
      <c r="X434" s="5" t="str" cm="1">
        <f t="array" ref="X434">_xlfn.IFS($W434 &lt;= 30, "Low", $W434 &lt;=50, "Medium", $W434 &lt;= 70, "High", $W434 &gt; 70, "Critical")</f>
        <v>Critical</v>
      </c>
      <c r="Y434" s="9">
        <f t="shared" si="40"/>
        <v>0.59598428944542914</v>
      </c>
      <c r="Z434" s="22">
        <f t="shared" si="41"/>
        <v>42.332764079308831</v>
      </c>
    </row>
    <row r="435" spans="1:26">
      <c r="A435" s="24" t="str">
        <v>CUST-3652</v>
      </c>
      <c r="B435" s="24" t="str">
        <v>At-Risk Churner</v>
      </c>
      <c r="C435" s="24" t="str">
        <v>Email Campaign</v>
      </c>
      <c r="D435" s="24" t="str">
        <v>Southeast</v>
      </c>
      <c r="E435" s="24" t="str">
        <v>35-44</v>
      </c>
      <c r="F435" s="24" t="str">
        <v>Low</v>
      </c>
      <c r="G435" s="24">
        <v>5</v>
      </c>
      <c r="H435" s="24">
        <v>257</v>
      </c>
      <c r="I435" s="23">
        <v>362.41</v>
      </c>
      <c r="J435" s="24" cm="1">
        <f t="array" ref="J435">SUMPRODUCT(
    (Transactions_and_Customer_Information_Joined[Customer ID]='V1-Based Churn Model (Step 3)'!$A435) *
    (IFERROR(_xlfn.XLOOKUP(Transactions_and_Customer_Information_Joined[SKU], 'V1 Pricing Model (Step 2)'!$A$22:$A$71, 'V1 Pricing Model (Step 2)'!$AL$22:$AL$71), "Exclude")&lt;&gt;"Exclude") *
    Transactions_and_Customer_Information_Joined[Gross Revenue])</f>
        <v>159.78</v>
      </c>
      <c r="K435" s="24">
        <f>SUMIF(Transactions_and_Customer_Information_Joined[Customer ID], 'V1-Based Churn Model (Step 3)'!$A435, Transactions_and_Customer_Information_Joined[Gross Revenue])</f>
        <v>159.78</v>
      </c>
      <c r="L435" s="3">
        <f t="shared" si="36"/>
        <v>1</v>
      </c>
      <c r="M435" s="21">
        <v>8.081096121299744E-2</v>
      </c>
      <c r="N435" s="21" cm="1">
        <f t="array" ref="N435">SUMPRODUCT(
    (Transactions_and_Customer_Information_Joined[Customer ID]=$A435)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35" s="21" cm="1">
        <f t="array" ref="O435">IFERROR(
    SUMPRODUCT(
        (Transactions_and_Customer_Information_Joined[Customer ID]=$A435)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$J435,
0)</f>
        <v>8.081096121299744E-2</v>
      </c>
      <c r="P435" s="5" cm="1">
        <f t="array" ref="P435">_xlfn.IFS(B435="At-Risk Churner",$B$2,$B435="Dormant",$B$3,$B435="Deal Hunter",$B$4,$B435="New Customer",$B$5,$B435="Occasional Buyer",$B$6,$B435="Loyal High-Value",$B$7)</f>
        <v>70</v>
      </c>
      <c r="Q435" s="9" cm="1">
        <f t="array" ref="Q435">_xlfn.IFS($B435 = "At-Risk Churner", $B$8, $B435="Dormant",$B$9, $B435="Deal Hunter", $B$10, $B435="New Customer", $B$11, $B435="Occasional Buyer", $B$12, $B435 = "Loyal High-Value",$B$13)</f>
        <v>0.45</v>
      </c>
      <c r="R435" s="5">
        <v>-5</v>
      </c>
      <c r="S435" s="5">
        <v>0</v>
      </c>
      <c r="T435" s="5">
        <v>8</v>
      </c>
      <c r="U435" s="5">
        <f t="shared" si="37"/>
        <v>15</v>
      </c>
      <c r="V435" s="5">
        <f t="shared" si="38"/>
        <v>3.2324384485198978</v>
      </c>
      <c r="W435" s="43">
        <f t="shared" si="39"/>
        <v>91.119938448519903</v>
      </c>
      <c r="X435" s="5" t="str" cm="1">
        <f t="array" ref="X435">_xlfn.IFS($W435 &lt;= 30, "Low", $W435 &lt;=50, "Medium", $W435 &lt;= 70, "High", $W435 &gt; 70, "Critical")</f>
        <v>Critical</v>
      </c>
      <c r="Y435" s="9">
        <f t="shared" si="40"/>
        <v>0.44274992893203796</v>
      </c>
      <c r="Z435" s="22">
        <f t="shared" si="41"/>
        <v>160.45700174425988</v>
      </c>
    </row>
    <row r="436" spans="1:26">
      <c r="A436" s="24" t="str">
        <v>CUST-4089</v>
      </c>
      <c r="B436" s="24" t="str">
        <v>Deal Hunter</v>
      </c>
      <c r="C436" s="24" t="str">
        <v>Influencer</v>
      </c>
      <c r="D436" s="24" t="str">
        <v>UK</v>
      </c>
      <c r="E436" s="24" t="str">
        <v>45-54</v>
      </c>
      <c r="F436" s="24" t="str">
        <v>Medium</v>
      </c>
      <c r="G436" s="24">
        <v>3</v>
      </c>
      <c r="H436" s="24">
        <v>137</v>
      </c>
      <c r="I436" s="23">
        <v>349.77</v>
      </c>
      <c r="J436" s="24" cm="1">
        <f t="array" ref="J436">SUMPRODUCT(
    (Transactions_and_Customer_Information_Joined[Customer ID]='V1-Based Churn Model (Step 3)'!$A436) *
    (IFERROR(_xlfn.XLOOKUP(Transactions_and_Customer_Information_Joined[SKU], 'V1 Pricing Model (Step 2)'!$A$22:$A$71, 'V1 Pricing Model (Step 2)'!$AL$22:$AL$71), "Exclude")&lt;&gt;"Exclude") *
    Transactions_and_Customer_Information_Joined[Gross Revenue])</f>
        <v>348.46</v>
      </c>
      <c r="K436" s="24">
        <f>SUMIF(Transactions_and_Customer_Information_Joined[Customer ID], 'V1-Based Churn Model (Step 3)'!$A436, Transactions_and_Customer_Information_Joined[Gross Revenue])</f>
        <v>348.46</v>
      </c>
      <c r="L436" s="3">
        <f t="shared" si="36"/>
        <v>1</v>
      </c>
      <c r="M436" s="21">
        <v>5.8348079685156623E-2</v>
      </c>
      <c r="N436" s="21" cm="1">
        <f t="array" ref="N436">SUMPRODUCT(
    (Transactions_and_Customer_Information_Joined[Customer ID]=$A436)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36" s="21" cm="1">
        <f t="array" ref="O436">IFERROR(
    SUMPRODUCT(
        (Transactions_and_Customer_Information_Joined[Customer ID]=$A436)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$J436,
0)</f>
        <v>5.8348079685156623E-2</v>
      </c>
      <c r="P436" s="5" cm="1">
        <f t="array" ref="P436">_xlfn.IFS(B436="At-Risk Churner",$B$2,$B436="Dormant",$B$3,$B436="Deal Hunter",$B$4,$B436="New Customer",$B$5,$B436="Occasional Buyer",$B$6,$B436="Loyal High-Value",$B$7)</f>
        <v>45</v>
      </c>
      <c r="Q436" s="9" cm="1">
        <f t="array" ref="Q436">_xlfn.IFS($B436 = "At-Risk Churner", $B$8, $B436="Dormant",$B$9, $B436="Deal Hunter", $B$10, $B436="New Customer", $B$11, $B436="Occasional Buyer", $B$12, $B436 = "Loyal High-Value",$B$13)</f>
        <v>0.25</v>
      </c>
      <c r="R436" s="5">
        <v>5</v>
      </c>
      <c r="S436" s="5">
        <v>10</v>
      </c>
      <c r="T436" s="5">
        <v>0</v>
      </c>
      <c r="U436" s="5">
        <f t="shared" si="37"/>
        <v>15</v>
      </c>
      <c r="V436" s="5">
        <f t="shared" si="38"/>
        <v>2.3339231874062651</v>
      </c>
      <c r="W436" s="43">
        <f t="shared" si="39"/>
        <v>77.89642318740627</v>
      </c>
      <c r="X436" s="5" t="str" cm="1">
        <f t="array" ref="X436">_xlfn.IFS($W436 &lt;= 30, "Low", $W436 &lt;=50, "Medium", $W436 &lt;= 70, "High", $W436 &gt; 70, "Critical")</f>
        <v>Critical</v>
      </c>
      <c r="Y436" s="9">
        <f t="shared" si="40"/>
        <v>0.23552838536000784</v>
      </c>
      <c r="Z436" s="22">
        <f t="shared" si="41"/>
        <v>82.380763347369935</v>
      </c>
    </row>
    <row r="437" spans="1:26">
      <c r="A437" s="24" t="str">
        <v>CUST-2839</v>
      </c>
      <c r="B437" s="24" t="str">
        <v>Loyal High-Value</v>
      </c>
      <c r="C437" s="24" t="str">
        <v>Referral</v>
      </c>
      <c r="D437" s="24" t="str">
        <v>Midwest</v>
      </c>
      <c r="E437" s="24" t="str">
        <v>18-24</v>
      </c>
      <c r="F437" s="24" t="str">
        <v>High</v>
      </c>
      <c r="G437" s="24">
        <v>9</v>
      </c>
      <c r="H437" s="24">
        <v>193</v>
      </c>
      <c r="I437" s="23">
        <v>2418.84</v>
      </c>
      <c r="J437" s="24" cm="1">
        <f t="array" ref="J437">SUMPRODUCT(
    (Transactions_and_Customer_Information_Joined[Customer ID]='V1-Based Churn Model (Step 3)'!$A437) *
    (IFERROR(_xlfn.XLOOKUP(Transactions_and_Customer_Information_Joined[SKU], 'V1 Pricing Model (Step 2)'!$A$22:$A$71, 'V1 Pricing Model (Step 2)'!$AL$22:$AL$71), "Exclude")&lt;&gt;"Exclude") *
    Transactions_and_Customer_Information_Joined[Gross Revenue])</f>
        <v>298.02</v>
      </c>
      <c r="K437" s="24">
        <f>SUMIF(Transactions_and_Customer_Information_Joined[Customer ID], 'V1-Based Churn Model (Step 3)'!$A437, Transactions_and_Customer_Information_Joined[Gross Revenue])</f>
        <v>298.02</v>
      </c>
      <c r="L437" s="3">
        <f t="shared" si="36"/>
        <v>1</v>
      </c>
      <c r="M437" s="21">
        <v>1.4049546680818285E-2</v>
      </c>
      <c r="N437" s="21" cm="1">
        <f t="array" ref="N437">SUMPRODUCT(
    (Transactions_and_Customer_Information_Joined[Customer ID]=$A437)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37" s="21" cm="1">
        <f t="array" ref="O437">IFERROR(
    SUMPRODUCT(
        (Transactions_and_Customer_Information_Joined[Customer ID]=$A437)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$J437,
0)</f>
        <v>1.4049546680818283E-2</v>
      </c>
      <c r="P437" s="5" cm="1">
        <f t="array" ref="P437">_xlfn.IFS(B437="At-Risk Churner",$B$2,$B437="Dormant",$B$3,$B437="Deal Hunter",$B$4,$B437="New Customer",$B$5,$B437="Occasional Buyer",$B$6,$B437="Loyal High-Value",$B$7)</f>
        <v>15</v>
      </c>
      <c r="Q437" s="9" cm="1">
        <f t="array" ref="Q437">_xlfn.IFS($B437 = "At-Risk Churner", $B$8, $B437="Dormant",$B$9, $B437="Deal Hunter", $B$10, $B437="New Customer", $B$11, $B437="Occasional Buyer", $B$12, $B437 = "Loyal High-Value",$B$13)</f>
        <v>0.05</v>
      </c>
      <c r="R437" s="5">
        <v>15</v>
      </c>
      <c r="S437" s="5">
        <v>-8</v>
      </c>
      <c r="T437" s="5">
        <v>8</v>
      </c>
      <c r="U437" s="5">
        <f t="shared" si="37"/>
        <v>15</v>
      </c>
      <c r="V437" s="5">
        <f t="shared" si="38"/>
        <v>0.56198186723273136</v>
      </c>
      <c r="W437" s="43">
        <f t="shared" si="39"/>
        <v>45.779481867232732</v>
      </c>
      <c r="X437" s="5" t="str" cm="1">
        <f t="array" ref="X437">_xlfn.IFS($W437 &lt;= 30, "Low", $W437 &lt;=50, "Medium", $W437 &lt;= 70, "High", $W437 &gt; 70, "Critical")</f>
        <v>Medium</v>
      </c>
      <c r="Y437" s="9">
        <f t="shared" si="40"/>
        <v>1.9801293681921128E-2</v>
      </c>
      <c r="Z437" s="22">
        <f t="shared" si="41"/>
        <v>522.08492896766256</v>
      </c>
    </row>
    <row r="438" spans="1:26">
      <c r="A438" s="24" t="str">
        <v>CUST-3026</v>
      </c>
      <c r="B438" s="24" t="str">
        <v>Occasional Buyer</v>
      </c>
      <c r="C438" s="24" t="str">
        <v>Referral</v>
      </c>
      <c r="D438" s="24" t="str">
        <v>West</v>
      </c>
      <c r="E438" s="24" t="str">
        <v>18-24</v>
      </c>
      <c r="F438" s="24" t="str">
        <v>Low</v>
      </c>
      <c r="G438" s="24">
        <v>5</v>
      </c>
      <c r="H438" s="24">
        <v>67</v>
      </c>
      <c r="I438" s="23">
        <v>514.84</v>
      </c>
      <c r="J438" s="24" cm="1">
        <f t="array" ref="J438">SUMPRODUCT(
    (Transactions_and_Customer_Information_Joined[Customer ID]='V1-Based Churn Model (Step 3)'!$A438)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438" s="24">
        <f>SUMIF(Transactions_and_Customer_Information_Joined[Customer ID], 'V1-Based Churn Model (Step 3)'!$A438, Transactions_and_Customer_Information_Joined[Gross Revenue])</f>
        <v>436.1</v>
      </c>
      <c r="L438" s="3">
        <f t="shared" si="36"/>
        <v>0</v>
      </c>
      <c r="M438" s="21">
        <v>0</v>
      </c>
      <c r="N438" s="21" cm="1">
        <f t="array" ref="N438">SUMPRODUCT(
    (Transactions_and_Customer_Information_Joined[Customer ID]=$A438)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438" s="21" cm="1">
        <f t="array" ref="O438">IFERROR(
    SUMPRODUCT(
        (Transactions_and_Customer_Information_Joined[Customer ID]=$A438)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$J438,
0)</f>
        <v>0</v>
      </c>
      <c r="P438" s="5" cm="1">
        <f t="array" ref="P438">_xlfn.IFS(B438="At-Risk Churner",$B$2,$B438="Dormant",$B$3,$B438="Deal Hunter",$B$4,$B438="New Customer",$B$5,$B438="Occasional Buyer",$B$6,$B438="Loyal High-Value",$B$7)</f>
        <v>25</v>
      </c>
      <c r="Q438" s="9" cm="1">
        <f t="array" ref="Q438">_xlfn.IFS($B438 = "At-Risk Churner", $B$8, $B438="Dormant",$B$9, $B438="Deal Hunter", $B$10, $B438="New Customer", $B$11, $B438="Occasional Buyer", $B$12, $B438 = "Loyal High-Value",$B$13)</f>
        <v>0.18</v>
      </c>
      <c r="R438" s="5">
        <v>-5</v>
      </c>
      <c r="S438" s="5">
        <v>0</v>
      </c>
      <c r="T438" s="5">
        <v>0</v>
      </c>
      <c r="U438" s="5">
        <f t="shared" si="37"/>
        <v>0</v>
      </c>
      <c r="V438" s="5">
        <f t="shared" si="38"/>
        <v>0</v>
      </c>
      <c r="W438" s="43">
        <f t="shared" si="39"/>
        <v>20</v>
      </c>
      <c r="X438" s="5" t="str" cm="1">
        <f t="array" ref="X438">_xlfn.IFS($W438 &lt;= 30, "Low", $W438 &lt;=50, "Medium", $W438 &lt;= 70, "High", $W438 &gt; 70, "Critical")</f>
        <v>Low</v>
      </c>
      <c r="Y438" s="9">
        <f t="shared" si="40"/>
        <v>8.5366571719620206E-3</v>
      </c>
      <c r="Z438" s="22">
        <f t="shared" si="41"/>
        <v>4.3950125784129268</v>
      </c>
    </row>
    <row r="439" spans="1:26">
      <c r="A439" s="24" t="str">
        <v>CUST-2314</v>
      </c>
      <c r="B439" s="24" t="str">
        <v>Deal Hunter</v>
      </c>
      <c r="C439" s="24" t="str">
        <v>Paid Social</v>
      </c>
      <c r="D439" s="24" t="str">
        <v>Canada</v>
      </c>
      <c r="E439" s="24" t="str">
        <v>35-44</v>
      </c>
      <c r="F439" s="24" t="str">
        <v>Low</v>
      </c>
      <c r="G439" s="24">
        <v>10</v>
      </c>
      <c r="H439" s="24">
        <v>319</v>
      </c>
      <c r="I439" s="23">
        <v>508.28</v>
      </c>
      <c r="J439" s="24" cm="1">
        <f t="array" ref="J439">SUMPRODUCT(
    (Transactions_and_Customer_Information_Joined[Customer ID]='V1-Based Churn Model (Step 3)'!$A439) *
    (IFERROR(_xlfn.XLOOKUP(Transactions_and_Customer_Information_Joined[SKU], 'V1 Pricing Model (Step 2)'!$A$22:$A$71, 'V1 Pricing Model (Step 2)'!$AL$22:$AL$71), "Exclude")&lt;&gt;"Exclude") *
    Transactions_and_Customer_Information_Joined[Gross Revenue])</f>
        <v>159.78</v>
      </c>
      <c r="K439" s="24">
        <f>SUMIF(Transactions_and_Customer_Information_Joined[Customer ID], 'V1-Based Churn Model (Step 3)'!$A439, Transactions_and_Customer_Information_Joined[Gross Revenue])</f>
        <v>159.78</v>
      </c>
      <c r="L439" s="3">
        <f t="shared" si="36"/>
        <v>1</v>
      </c>
      <c r="M439" s="21">
        <v>8.081096121299744E-2</v>
      </c>
      <c r="N439" s="21" cm="1">
        <f t="array" ref="N439">SUMPRODUCT(
    (Transactions_and_Customer_Information_Joined[Customer ID]=$A439)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39" s="21" cm="1">
        <f t="array" ref="O439">IFERROR(
    SUMPRODUCT(
        (Transactions_and_Customer_Information_Joined[Customer ID]=$A439)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$J439,
0)</f>
        <v>8.081096121299744E-2</v>
      </c>
      <c r="P439" s="5" cm="1">
        <f t="array" ref="P439">_xlfn.IFS(B439="At-Risk Churner",$B$2,$B439="Dormant",$B$3,$B439="Deal Hunter",$B$4,$B439="New Customer",$B$5,$B439="Occasional Buyer",$B$6,$B439="Loyal High-Value",$B$7)</f>
        <v>45</v>
      </c>
      <c r="Q439" s="9" cm="1">
        <f t="array" ref="Q439">_xlfn.IFS($B439 = "At-Risk Churner", $B$8, $B439="Dormant",$B$9, $B439="Deal Hunter", $B$10, $B439="New Customer", $B$11, $B439="Occasional Buyer", $B$12, $B439 = "Loyal High-Value",$B$13)</f>
        <v>0.25</v>
      </c>
      <c r="R439" s="5">
        <v>-5</v>
      </c>
      <c r="S439" s="5">
        <v>-8</v>
      </c>
      <c r="T439" s="5">
        <v>15</v>
      </c>
      <c r="U439" s="5">
        <f t="shared" si="37"/>
        <v>15</v>
      </c>
      <c r="V439" s="5">
        <f t="shared" si="38"/>
        <v>3.2324384485198978</v>
      </c>
      <c r="W439" s="43">
        <f t="shared" si="39"/>
        <v>64.759938448519904</v>
      </c>
      <c r="X439" s="5" t="str" cm="1">
        <f t="array" ref="X439">_xlfn.IFS($W439 &lt;= 30, "Low", $W439 &lt;=50, "Medium", $W439 &lt;= 70, "High", $W439 &gt; 70, "Critical")</f>
        <v>High</v>
      </c>
      <c r="Y439" s="9">
        <f t="shared" si="40"/>
        <v>0.20349167798019599</v>
      </c>
      <c r="Z439" s="22">
        <f t="shared" si="41"/>
        <v>184.40060006701921</v>
      </c>
    </row>
    <row r="440" spans="1:26">
      <c r="A440" s="24" t="str">
        <v>CUST-2022</v>
      </c>
      <c r="B440" s="24" t="str">
        <v>Loyal High-Value</v>
      </c>
      <c r="C440" s="24" t="str">
        <v>Organic Search</v>
      </c>
      <c r="D440" s="24" t="str">
        <v>Northeast</v>
      </c>
      <c r="E440" s="24" t="str">
        <v>45-54</v>
      </c>
      <c r="F440" s="24" t="str">
        <v>Low</v>
      </c>
      <c r="G440" s="24">
        <v>0</v>
      </c>
      <c r="H440" s="24">
        <v>140</v>
      </c>
      <c r="I440" s="23">
        <v>2736.25</v>
      </c>
      <c r="J440" s="24" cm="1">
        <f t="array" ref="J440">SUMPRODUCT(
    (Transactions_and_Customer_Information_Joined[Customer ID]='V1-Based Churn Model (Step 3)'!$A440) *
    (IFERROR(_xlfn.XLOOKUP(Transactions_and_Customer_Information_Joined[SKU], 'V1 Pricing Model (Step 2)'!$A$22:$A$71, 'V1 Pricing Model (Step 2)'!$AL$22:$AL$71), "Exclude")&lt;&gt;"Exclude") *
    Transactions_and_Customer_Information_Joined[Gross Revenue])</f>
        <v>174.23</v>
      </c>
      <c r="K440" s="24">
        <f>SUMIF(Transactions_and_Customer_Information_Joined[Customer ID], 'V1-Based Churn Model (Step 3)'!$A440, Transactions_and_Customer_Information_Joined[Gross Revenue])</f>
        <v>174.23</v>
      </c>
      <c r="L440" s="3">
        <f t="shared" si="36"/>
        <v>1</v>
      </c>
      <c r="M440" s="21">
        <v>5.8348079685156623E-2</v>
      </c>
      <c r="N440" s="21" cm="1">
        <f t="array" ref="N440">SUMPRODUCT(
    (Transactions_and_Customer_Information_Joined[Customer ID]=$A440)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40" s="21" cm="1">
        <f t="array" ref="O440">IFERROR(
    SUMPRODUCT(
        (Transactions_and_Customer_Information_Joined[Customer ID]=$A440)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$J440,
0)</f>
        <v>5.8348079685156623E-2</v>
      </c>
      <c r="P440" s="5" cm="1">
        <f t="array" ref="P440">_xlfn.IFS(B440="At-Risk Churner",$B$2,$B440="Dormant",$B$3,$B440="Deal Hunter",$B$4,$B440="New Customer",$B$5,$B440="Occasional Buyer",$B$6,$B440="Loyal High-Value",$B$7)</f>
        <v>15</v>
      </c>
      <c r="Q440" s="9" cm="1">
        <f t="array" ref="Q440">_xlfn.IFS($B440 = "At-Risk Churner", $B$8, $B440="Dormant",$B$9, $B440="Deal Hunter", $B$10, $B440="New Customer", $B$11, $B440="Occasional Buyer", $B$12, $B440 = "Loyal High-Value",$B$13)</f>
        <v>0.05</v>
      </c>
      <c r="R440" s="5">
        <v>-5</v>
      </c>
      <c r="S440" s="5">
        <v>10</v>
      </c>
      <c r="T440" s="5">
        <v>0</v>
      </c>
      <c r="U440" s="5">
        <f t="shared" si="37"/>
        <v>15</v>
      </c>
      <c r="V440" s="5">
        <f t="shared" si="38"/>
        <v>2.3339231874062651</v>
      </c>
      <c r="W440" s="43">
        <f t="shared" si="39"/>
        <v>37.371423187406265</v>
      </c>
      <c r="X440" s="5" t="str" cm="1">
        <f t="array" ref="X440">_xlfn.IFS($W440 &lt;= 30, "Low", $W440 &lt;=50, "Medium", $W440 &lt;= 70, "High", $W440 &gt; 70, "Critical")</f>
        <v>Medium</v>
      </c>
      <c r="Y440" s="9">
        <f t="shared" si="40"/>
        <v>1.102411752896163E-2</v>
      </c>
      <c r="Z440" s="22">
        <f t="shared" si="41"/>
        <v>571.38179327089711</v>
      </c>
    </row>
    <row r="441" spans="1:26">
      <c r="A441" s="24" t="str">
        <v>CUST-3562</v>
      </c>
      <c r="B441" s="24" t="str">
        <v>Dormant</v>
      </c>
      <c r="C441" s="24" t="str">
        <v>Email Campaign</v>
      </c>
      <c r="D441" s="24" t="str">
        <v>Southwest</v>
      </c>
      <c r="E441" s="24" t="str">
        <v>45-54</v>
      </c>
      <c r="F441" s="24" t="str">
        <v>High</v>
      </c>
      <c r="G441" s="24">
        <v>10</v>
      </c>
      <c r="H441" s="24">
        <v>337</v>
      </c>
      <c r="I441" s="23">
        <v>93.5</v>
      </c>
      <c r="J441" s="24" cm="1">
        <f t="array" ref="J441">SUMPRODUCT(
    (Transactions_and_Customer_Information_Joined[Customer ID]='V1-Based Churn Model (Step 3)'!$A441)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441" s="24">
        <f>SUMIF(Transactions_and_Customer_Information_Joined[Customer ID], 'V1-Based Churn Model (Step 3)'!$A441, Transactions_and_Customer_Information_Joined[Gross Revenue])</f>
        <v>154.03</v>
      </c>
      <c r="L441" s="3">
        <f t="shared" si="36"/>
        <v>0</v>
      </c>
      <c r="M441" s="21">
        <v>0</v>
      </c>
      <c r="N441" s="21" cm="1">
        <f t="array" ref="N441">SUMPRODUCT(
    (Transactions_and_Customer_Information_Joined[Customer ID]=$A441)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441" s="21" cm="1">
        <f t="array" ref="O441">IFERROR(
    SUMPRODUCT(
        (Transactions_and_Customer_Information_Joined[Customer ID]=$A441)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$J441,
0)</f>
        <v>0</v>
      </c>
      <c r="P441" s="5" cm="1">
        <f t="array" ref="P441">_xlfn.IFS(B441="At-Risk Churner",$B$2,$B441="Dormant",$B$3,$B441="Deal Hunter",$B$4,$B441="New Customer",$B$5,$B441="Occasional Buyer",$B$6,$B441="Loyal High-Value",$B$7)</f>
        <v>65</v>
      </c>
      <c r="Q441" s="9" cm="1">
        <f t="array" ref="Q441">_xlfn.IFS($B441 = "At-Risk Churner", $B$8, $B441="Dormant",$B$9, $B441="Deal Hunter", $B$10, $B441="New Customer", $B$11, $B441="Occasional Buyer", $B$12, $B441 = "Loyal High-Value",$B$13)</f>
        <v>0.6</v>
      </c>
      <c r="R441" s="5">
        <v>15</v>
      </c>
      <c r="S441" s="5">
        <v>-8</v>
      </c>
      <c r="T441" s="5">
        <v>15</v>
      </c>
      <c r="U441" s="5">
        <f t="shared" si="37"/>
        <v>0</v>
      </c>
      <c r="V441" s="5">
        <f t="shared" si="38"/>
        <v>0</v>
      </c>
      <c r="W441" s="43">
        <f t="shared" si="39"/>
        <v>86.48</v>
      </c>
      <c r="X441" s="5" t="str" cm="1">
        <f t="array" ref="X441">_xlfn.IFS($W441 &lt;= 30, "Low", $W441 &lt;=50, "Medium", $W441 &lt;= 70, "High", $W441 &gt; 70, "Critical")</f>
        <v>Critical</v>
      </c>
      <c r="Y441" s="9">
        <f t="shared" si="40"/>
        <v>0.58477072077021908</v>
      </c>
      <c r="Z441" s="22">
        <f t="shared" si="41"/>
        <v>54.676062392015481</v>
      </c>
    </row>
    <row r="442" spans="1:26">
      <c r="A442" s="24" t="str">
        <v>CUST-4275</v>
      </c>
      <c r="B442" s="24" t="str">
        <v>New Customer</v>
      </c>
      <c r="C442" s="24" t="str">
        <v>Referral</v>
      </c>
      <c r="D442" s="24" t="str">
        <v>West</v>
      </c>
      <c r="E442" s="24" t="str">
        <v>55+</v>
      </c>
      <c r="F442" s="24" t="str">
        <v>Medium</v>
      </c>
      <c r="G442" s="24">
        <v>10</v>
      </c>
      <c r="H442" s="24">
        <v>292</v>
      </c>
      <c r="I442" s="23">
        <v>37</v>
      </c>
      <c r="J442" s="24" cm="1">
        <f t="array" ref="J442">SUMPRODUCT(
    (Transactions_and_Customer_Information_Joined[Customer ID]='V1-Based Churn Model (Step 3)'!$A442) *
    (IFERROR(_xlfn.XLOOKUP(Transactions_and_Customer_Information_Joined[SKU], 'V1 Pricing Model (Step 2)'!$A$22:$A$71, 'V1 Pricing Model (Step 2)'!$AL$22:$AL$71), "Exclude")&lt;&gt;"Exclude") *
    Transactions_and_Customer_Information_Joined[Gross Revenue])</f>
        <v>18.7</v>
      </c>
      <c r="K442" s="24">
        <f>SUMIF(Transactions_and_Customer_Information_Joined[Customer ID], 'V1-Based Churn Model (Step 3)'!$A442, Transactions_and_Customer_Information_Joined[Gross Revenue])</f>
        <v>18.7</v>
      </c>
      <c r="L442" s="3">
        <f t="shared" si="36"/>
        <v>1</v>
      </c>
      <c r="M442" s="21">
        <v>0</v>
      </c>
      <c r="N442" s="21" cm="1">
        <f t="array" ref="N442">SUMPRODUCT(
    (Transactions_and_Customer_Information_Joined[Customer ID]=$A442)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42" s="21" cm="1">
        <f t="array" ref="O442">IFERROR(
    SUMPRODUCT(
        (Transactions_and_Customer_Information_Joined[Customer ID]=$A442)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$J442,
0)</f>
        <v>0</v>
      </c>
      <c r="P442" s="5" cm="1">
        <f t="array" ref="P442">_xlfn.IFS(B442="At-Risk Churner",$B$2,$B442="Dormant",$B$3,$B442="Deal Hunter",$B$4,$B442="New Customer",$B$5,$B442="Occasional Buyer",$B$6,$B442="Loyal High-Value",$B$7)</f>
        <v>35</v>
      </c>
      <c r="Q442" s="9" cm="1">
        <f t="array" ref="Q442">_xlfn.IFS($B442 = "At-Risk Churner", $B$8, $B442="Dormant",$B$9, $B442="Deal Hunter", $B$10, $B442="New Customer", $B$11, $B442="Occasional Buyer", $B$12, $B442 = "Loyal High-Value",$B$13)</f>
        <v>0.35</v>
      </c>
      <c r="R442" s="5">
        <v>5</v>
      </c>
      <c r="S442" s="5">
        <v>-8</v>
      </c>
      <c r="T442" s="5">
        <v>8</v>
      </c>
      <c r="U442" s="5">
        <f t="shared" si="37"/>
        <v>15</v>
      </c>
      <c r="V442" s="5">
        <f t="shared" si="38"/>
        <v>0</v>
      </c>
      <c r="W442" s="43">
        <f t="shared" si="39"/>
        <v>54.832499999999996</v>
      </c>
      <c r="X442" s="5" t="str" cm="1">
        <f t="array" ref="X442">_xlfn.IFS($W442 &lt;= 30, "Low", $W442 &lt;=50, "Medium", $W442 &lt;= 70, "High", $W442 &gt; 70, "Critical")</f>
        <v>High</v>
      </c>
      <c r="Y442" s="9">
        <f t="shared" si="40"/>
        <v>0.21648025724346051</v>
      </c>
      <c r="Z442" s="22">
        <f t="shared" si="41"/>
        <v>13.807815614406431</v>
      </c>
    </row>
    <row r="443" spans="1:26">
      <c r="A443" s="24" t="str">
        <v>CUST-4465</v>
      </c>
      <c r="B443" s="24" t="str">
        <v>Dormant</v>
      </c>
      <c r="C443" s="24" t="str">
        <v>Direct</v>
      </c>
      <c r="D443" s="24" t="str">
        <v>Canada</v>
      </c>
      <c r="E443" s="24" t="str">
        <v>25-34</v>
      </c>
      <c r="F443" s="24" t="str">
        <v>High</v>
      </c>
      <c r="G443" s="24">
        <v>2</v>
      </c>
      <c r="H443" s="24">
        <v>84</v>
      </c>
      <c r="I443" s="23">
        <v>72.19</v>
      </c>
      <c r="J443" s="24" cm="1">
        <f t="array" ref="J443">SUMPRODUCT(
    (Transactions_and_Customer_Information_Joined[Customer ID]='V1-Based Churn Model (Step 3)'!$A443) *
    (IFERROR(_xlfn.XLOOKUP(Transactions_and_Customer_Information_Joined[SKU], 'V1 Pricing Model (Step 2)'!$A$22:$A$71, 'V1 Pricing Model (Step 2)'!$AL$22:$AL$71), "Exclude")&lt;&gt;"Exclude") *
    Transactions_and_Customer_Information_Joined[Gross Revenue])</f>
        <v>24.9</v>
      </c>
      <c r="K443" s="24">
        <f>SUMIF(Transactions_and_Customer_Information_Joined[Customer ID], 'V1-Based Churn Model (Step 3)'!$A443, Transactions_and_Customer_Information_Joined[Gross Revenue])</f>
        <v>24.9</v>
      </c>
      <c r="L443" s="3">
        <f t="shared" si="36"/>
        <v>1</v>
      </c>
      <c r="M443" s="21">
        <v>-0.13274948234794526</v>
      </c>
      <c r="N443" s="21" cm="1">
        <f t="array" ref="N443">SUMPRODUCT(
    (Transactions_and_Customer_Information_Joined[Customer ID]=$A443)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43" s="21" cm="1">
        <f t="array" ref="O443">IFERROR(
    SUMPRODUCT(
        (Transactions_and_Customer_Information_Joined[Customer ID]=$A443)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$J443,
0)</f>
        <v>-0.13274948234794526</v>
      </c>
      <c r="P443" s="5" cm="1">
        <f t="array" ref="P443">_xlfn.IFS(B443="At-Risk Churner",$B$2,$B443="Dormant",$B$3,$B443="Deal Hunter",$B$4,$B443="New Customer",$B$5,$B443="Occasional Buyer",$B$6,$B443="Loyal High-Value",$B$7)</f>
        <v>65</v>
      </c>
      <c r="Q443" s="9" cm="1">
        <f t="array" ref="Q443">_xlfn.IFS($B443 = "At-Risk Churner", $B$8, $B443="Dormant",$B$9, $B443="Deal Hunter", $B$10, $B443="New Customer", $B$11, $B443="Occasional Buyer", $B$12, $B443 = "Loyal High-Value",$B$13)</f>
        <v>0.6</v>
      </c>
      <c r="R443" s="5">
        <v>15</v>
      </c>
      <c r="S443" s="5">
        <v>10</v>
      </c>
      <c r="T443" s="5">
        <v>0</v>
      </c>
      <c r="U443" s="5">
        <f t="shared" si="37"/>
        <v>15</v>
      </c>
      <c r="V443" s="5">
        <f t="shared" si="38"/>
        <v>5.3099792939178103</v>
      </c>
      <c r="W443" s="43">
        <f t="shared" si="39"/>
        <v>100</v>
      </c>
      <c r="X443" s="5" t="str" cm="1">
        <f t="array" ref="X443">_xlfn.IFS($W443 &lt;= 30, "Low", $W443 &lt;=50, "Medium", $W443 &lt;= 70, "High", $W443 &gt; 70, "Critical")</f>
        <v>Critical</v>
      </c>
      <c r="Y443" s="9">
        <f t="shared" si="40"/>
        <v>0.59598428944542914</v>
      </c>
      <c r="Z443" s="22">
        <f t="shared" si="41"/>
        <v>43.024105855065528</v>
      </c>
    </row>
    <row r="444" spans="1:26">
      <c r="A444" s="24" t="str">
        <v>CUST-1710</v>
      </c>
      <c r="B444" s="24" t="str">
        <v>Occasional Buyer</v>
      </c>
      <c r="C444" s="24" t="str">
        <v>Organic Search</v>
      </c>
      <c r="D444" s="24" t="str">
        <v>Southeast</v>
      </c>
      <c r="E444" s="24" t="str">
        <v>45-54</v>
      </c>
      <c r="F444" s="24" t="str">
        <v>Low</v>
      </c>
      <c r="G444" s="24">
        <v>2</v>
      </c>
      <c r="H444" s="24">
        <v>253</v>
      </c>
      <c r="I444" s="23">
        <v>210.57</v>
      </c>
      <c r="J444" s="24" cm="1">
        <f t="array" ref="J444">SUMPRODUCT(
    (Transactions_and_Customer_Information_Joined[Customer ID]='V1-Based Churn Model (Step 3)'!$A444) *
    (IFERROR(_xlfn.XLOOKUP(Transactions_and_Customer_Information_Joined[SKU], 'V1 Pricing Model (Step 2)'!$A$22:$A$71, 'V1 Pricing Model (Step 2)'!$AL$22:$AL$71), "Exclude")&lt;&gt;"Exclude") *
    Transactions_and_Customer_Information_Joined[Gross Revenue])</f>
        <v>226.36</v>
      </c>
      <c r="K444" s="24">
        <f>SUMIF(Transactions_and_Customer_Information_Joined[Customer ID], 'V1-Based Churn Model (Step 3)'!$A444, Transactions_and_Customer_Information_Joined[Gross Revenue])</f>
        <v>226.36</v>
      </c>
      <c r="L444" s="3">
        <f t="shared" si="36"/>
        <v>1</v>
      </c>
      <c r="M444" s="21">
        <v>7.8578478868305213E-2</v>
      </c>
      <c r="N444" s="21" cm="1">
        <f t="array" ref="N444">SUMPRODUCT(
    (Transactions_and_Customer_Information_Joined[Customer ID]=$A444)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44" s="21" cm="1">
        <f t="array" ref="O444">IFERROR(
    SUMPRODUCT(
        (Transactions_and_Customer_Information_Joined[Customer ID]=$A444)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$J444,
0)</f>
        <v>7.8578478868305213E-2</v>
      </c>
      <c r="P444" s="5" cm="1">
        <f t="array" ref="P444">_xlfn.IFS(B444="At-Risk Churner",$B$2,$B444="Dormant",$B$3,$B444="Deal Hunter",$B$4,$B444="New Customer",$B$5,$B444="Occasional Buyer",$B$6,$B444="Loyal High-Value",$B$7)</f>
        <v>25</v>
      </c>
      <c r="Q444" s="9" cm="1">
        <f t="array" ref="Q444">_xlfn.IFS($B444 = "At-Risk Churner", $B$8, $B444="Dormant",$B$9, $B444="Deal Hunter", $B$10, $B444="New Customer", $B$11, $B444="Occasional Buyer", $B$12, $B444 = "Loyal High-Value",$B$13)</f>
        <v>0.18</v>
      </c>
      <c r="R444" s="5">
        <v>-5</v>
      </c>
      <c r="S444" s="5">
        <v>10</v>
      </c>
      <c r="T444" s="5">
        <v>8</v>
      </c>
      <c r="U444" s="5">
        <f t="shared" si="37"/>
        <v>15</v>
      </c>
      <c r="V444" s="5">
        <f t="shared" si="38"/>
        <v>3.1431391547322085</v>
      </c>
      <c r="W444" s="43">
        <f t="shared" si="39"/>
        <v>56.280639154732214</v>
      </c>
      <c r="X444" s="5" t="str" cm="1">
        <f t="array" ref="X444">_xlfn.IFS($W444 &lt;= 30, "Low", $W444 &lt;=50, "Medium", $W444 &lt;= 70, "High", $W444 &gt; 70, "Critical")</f>
        <v>High</v>
      </c>
      <c r="Y444" s="9">
        <f t="shared" si="40"/>
        <v>0.11736905965126153</v>
      </c>
      <c r="Z444" s="22">
        <f t="shared" si="41"/>
        <v>61.885522312612913</v>
      </c>
    </row>
    <row r="445" spans="1:26">
      <c r="A445" s="24" t="str">
        <v>CUST-2213</v>
      </c>
      <c r="B445" s="24" t="str">
        <v>Occasional Buyer</v>
      </c>
      <c r="C445" s="24" t="str">
        <v>Organic Search</v>
      </c>
      <c r="D445" s="24" t="str">
        <v>Southeast</v>
      </c>
      <c r="E445" s="24" t="str">
        <v>18-24</v>
      </c>
      <c r="F445" s="24" t="str">
        <v>Low</v>
      </c>
      <c r="G445" s="24">
        <v>10</v>
      </c>
      <c r="H445" s="24">
        <v>337</v>
      </c>
      <c r="I445" s="23">
        <v>258.05</v>
      </c>
      <c r="J445" s="24" cm="1">
        <f t="array" ref="J445">SUMPRODUCT(
    (Transactions_and_Customer_Information_Joined[Customer ID]='V1-Based Churn Model (Step 3)'!$A445) *
    (IFERROR(_xlfn.XLOOKUP(Transactions_and_Customer_Information_Joined[SKU], 'V1 Pricing Model (Step 2)'!$A$22:$A$71, 'V1 Pricing Model (Step 2)'!$AL$22:$AL$71), "Exclude")&lt;&gt;"Exclude") *
    Transactions_and_Customer_Information_Joined[Gross Revenue])</f>
        <v>233.01</v>
      </c>
      <c r="K445" s="24">
        <f>SUMIF(Transactions_and_Customer_Information_Joined[Customer ID], 'V1-Based Churn Model (Step 3)'!$A445, Transactions_and_Customer_Information_Joined[Gross Revenue])</f>
        <v>233.01</v>
      </c>
      <c r="L445" s="3">
        <f t="shared" si="36"/>
        <v>1</v>
      </c>
      <c r="M445" s="21">
        <v>-0.1229980207344718</v>
      </c>
      <c r="N445" s="21" cm="1">
        <f t="array" ref="N445">SUMPRODUCT(
    (Transactions_and_Customer_Information_Joined[Customer ID]=$A445)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45" s="21" cm="1">
        <f t="array" ref="O445">IFERROR(
    SUMPRODUCT(
        (Transactions_and_Customer_Information_Joined[Customer ID]=$A445)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$J445,
0)</f>
        <v>-0.1229980207344718</v>
      </c>
      <c r="P445" s="5" cm="1">
        <f t="array" ref="P445">_xlfn.IFS(B445="At-Risk Churner",$B$2,$B445="Dormant",$B$3,$B445="Deal Hunter",$B$4,$B445="New Customer",$B$5,$B445="Occasional Buyer",$B$6,$B445="Loyal High-Value",$B$7)</f>
        <v>25</v>
      </c>
      <c r="Q445" s="9" cm="1">
        <f t="array" ref="Q445">_xlfn.IFS($B445 = "At-Risk Churner", $B$8, $B445="Dormant",$B$9, $B445="Deal Hunter", $B$10, $B445="New Customer", $B$11, $B445="Occasional Buyer", $B$12, $B445 = "Loyal High-Value",$B$13)</f>
        <v>0.18</v>
      </c>
      <c r="R445" s="5">
        <v>-5</v>
      </c>
      <c r="S445" s="5">
        <v>-8</v>
      </c>
      <c r="T445" s="5">
        <v>15</v>
      </c>
      <c r="U445" s="5">
        <f t="shared" si="37"/>
        <v>15</v>
      </c>
      <c r="V445" s="5">
        <f t="shared" si="38"/>
        <v>4.9199208293788725</v>
      </c>
      <c r="W445" s="43">
        <f t="shared" si="39"/>
        <v>46.607420829378874</v>
      </c>
      <c r="X445" s="5" t="str" cm="1">
        <f t="array" ref="X445">_xlfn.IFS($W445 &lt;= 30, "Low", $W445 &lt;=50, "Medium", $W445 &lt;= 70, "High", $W445 &gt; 70, "Critical")</f>
        <v>Medium</v>
      </c>
      <c r="Y445" s="9">
        <f t="shared" si="40"/>
        <v>7.487815484464283E-2</v>
      </c>
      <c r="Z445" s="22">
        <f t="shared" si="41"/>
        <v>67.067846286128074</v>
      </c>
    </row>
    <row r="446" spans="1:26">
      <c r="A446" s="24" t="str">
        <v>CUST-2204</v>
      </c>
      <c r="B446" s="24" t="str">
        <v>Dormant</v>
      </c>
      <c r="C446" s="24" t="str">
        <v>Influencer</v>
      </c>
      <c r="D446" s="24" t="str">
        <v>Northeast</v>
      </c>
      <c r="E446" s="24" t="str">
        <v>35-44</v>
      </c>
      <c r="F446" s="24" t="str">
        <v>High</v>
      </c>
      <c r="G446" s="24">
        <v>3</v>
      </c>
      <c r="H446" s="24">
        <v>313</v>
      </c>
      <c r="I446" s="23">
        <v>152.43</v>
      </c>
      <c r="J446" s="24" cm="1">
        <f t="array" ref="J446">SUMPRODUCT(
    (Transactions_and_Customer_Information_Joined[Customer ID]='V1-Based Churn Model (Step 3)'!$A446) *
    (IFERROR(_xlfn.XLOOKUP(Transactions_and_Customer_Information_Joined[SKU], 'V1 Pricing Model (Step 2)'!$A$22:$A$71, 'V1 Pricing Model (Step 2)'!$AL$22:$AL$71), "Exclude")&lt;&gt;"Exclude") *
    Transactions_and_Customer_Information_Joined[Gross Revenue])</f>
        <v>157.68</v>
      </c>
      <c r="K446" s="24">
        <f>SUMIF(Transactions_and_Customer_Information_Joined[Customer ID], 'V1-Based Churn Model (Step 3)'!$A446, Transactions_and_Customer_Information_Joined[Gross Revenue])</f>
        <v>157.68</v>
      </c>
      <c r="L446" s="3">
        <f t="shared" si="36"/>
        <v>1</v>
      </c>
      <c r="M446" s="21">
        <v>9.1108129362620652E-2</v>
      </c>
      <c r="N446" s="21" cm="1">
        <f t="array" ref="N446">SUMPRODUCT(
    (Transactions_and_Customer_Information_Joined[Customer ID]=$A446)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46" s="21" cm="1">
        <f t="array" ref="O446">IFERROR(
    SUMPRODUCT(
        (Transactions_and_Customer_Information_Joined[Customer ID]=$A446)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$J446,
0)</f>
        <v>9.1108129362620652E-2</v>
      </c>
      <c r="P446" s="5" cm="1">
        <f t="array" ref="P446">_xlfn.IFS(B446="At-Risk Churner",$B$2,$B446="Dormant",$B$3,$B446="Deal Hunter",$B$4,$B446="New Customer",$B$5,$B446="Occasional Buyer",$B$6,$B446="Loyal High-Value",$B$7)</f>
        <v>65</v>
      </c>
      <c r="Q446" s="9" cm="1">
        <f t="array" ref="Q446">_xlfn.IFS($B446 = "At-Risk Churner", $B$8, $B446="Dormant",$B$9, $B446="Deal Hunter", $B$10, $B446="New Customer", $B$11, $B446="Occasional Buyer", $B$12, $B446 = "Loyal High-Value",$B$13)</f>
        <v>0.6</v>
      </c>
      <c r="R446" s="5">
        <v>15</v>
      </c>
      <c r="S446" s="5">
        <v>10</v>
      </c>
      <c r="T446" s="5">
        <v>15</v>
      </c>
      <c r="U446" s="5">
        <f t="shared" si="37"/>
        <v>15</v>
      </c>
      <c r="V446" s="5">
        <f t="shared" si="38"/>
        <v>3.644325174504826</v>
      </c>
      <c r="W446" s="43">
        <f t="shared" si="39"/>
        <v>100</v>
      </c>
      <c r="X446" s="5" t="str" cm="1">
        <f t="array" ref="X446">_xlfn.IFS($W446 &lt;= 30, "Low", $W446 &lt;=50, "Medium", $W446 &lt;= 70, "High", $W446 &gt; 70, "Critical")</f>
        <v>Critical</v>
      </c>
      <c r="Y446" s="9">
        <f t="shared" si="40"/>
        <v>0.59598428944542914</v>
      </c>
      <c r="Z446" s="22">
        <f t="shared" si="41"/>
        <v>90.845885240166766</v>
      </c>
    </row>
    <row r="447" spans="1:26">
      <c r="A447" s="24" t="str">
        <v>CUST-1926</v>
      </c>
      <c r="B447" s="24" t="str">
        <v>Occasional Buyer</v>
      </c>
      <c r="C447" s="24" t="str">
        <v>Organic Search</v>
      </c>
      <c r="D447" s="24" t="str">
        <v>Southeast</v>
      </c>
      <c r="E447" s="24" t="str">
        <v>18-24</v>
      </c>
      <c r="F447" s="24" t="str">
        <v>Low</v>
      </c>
      <c r="G447" s="24">
        <v>0</v>
      </c>
      <c r="H447" s="24">
        <v>81</v>
      </c>
      <c r="I447" s="23">
        <v>450.13</v>
      </c>
      <c r="J447" s="24" cm="1">
        <f t="array" ref="J447">SUMPRODUCT(
    (Transactions_and_Customer_Information_Joined[Customer ID]='V1-Based Churn Model (Step 3)'!$A447) *
    (IFERROR(_xlfn.XLOOKUP(Transactions_and_Customer_Information_Joined[SKU], 'V1 Pricing Model (Step 2)'!$A$22:$A$71, 'V1 Pricing Model (Step 2)'!$AL$22:$AL$71), "Exclude")&lt;&gt;"Exclude") *
    Transactions_and_Customer_Information_Joined[Gross Revenue])</f>
        <v>109.28</v>
      </c>
      <c r="K447" s="24">
        <f>SUMIF(Transactions_and_Customer_Information_Joined[Customer ID], 'V1-Based Churn Model (Step 3)'!$A447, Transactions_and_Customer_Information_Joined[Gross Revenue])</f>
        <v>109.28</v>
      </c>
      <c r="L447" s="3">
        <f t="shared" si="36"/>
        <v>1</v>
      </c>
      <c r="M447" s="21">
        <v>0.24833629343146826</v>
      </c>
      <c r="N447" s="21" cm="1">
        <f t="array" ref="N447">SUMPRODUCT(
    (Transactions_and_Customer_Information_Joined[Customer ID]=$A447)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47" s="21" cm="1">
        <f t="array" ref="O447">IFERROR(
    SUMPRODUCT(
        (Transactions_and_Customer_Information_Joined[Customer ID]=$A447)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$J447,
0)</f>
        <v>0.24833629343146826</v>
      </c>
      <c r="P447" s="5" cm="1">
        <f t="array" ref="P447">_xlfn.IFS(B447="At-Risk Churner",$B$2,$B447="Dormant",$B$3,$B447="Deal Hunter",$B$4,$B447="New Customer",$B$5,$B447="Occasional Buyer",$B$6,$B447="Loyal High-Value",$B$7)</f>
        <v>25</v>
      </c>
      <c r="Q447" s="9" cm="1">
        <f t="array" ref="Q447">_xlfn.IFS($B447 = "At-Risk Churner", $B$8, $B447="Dormant",$B$9, $B447="Deal Hunter", $B$10, $B447="New Customer", $B$11, $B447="Occasional Buyer", $B$12, $B447 = "Loyal High-Value",$B$13)</f>
        <v>0.18</v>
      </c>
      <c r="R447" s="5">
        <v>-5</v>
      </c>
      <c r="S447" s="5">
        <v>10</v>
      </c>
      <c r="T447" s="5">
        <v>0</v>
      </c>
      <c r="U447" s="5">
        <f t="shared" si="37"/>
        <v>15</v>
      </c>
      <c r="V447" s="5">
        <f t="shared" si="38"/>
        <v>9.9334517372587303</v>
      </c>
      <c r="W447" s="43">
        <f t="shared" si="39"/>
        <v>55.070951737258731</v>
      </c>
      <c r="X447" s="5" t="str" cm="1">
        <f t="array" ref="X447">_xlfn.IFS($W447 &lt;= 30, "Low", $W447 &lt;=50, "Medium", $W447 &lt;= 70, "High", $W447 &gt; 70, "Critical")</f>
        <v>High</v>
      </c>
      <c r="Y447" s="9">
        <f t="shared" si="40"/>
        <v>0.11234254840086171</v>
      </c>
      <c r="Z447" s="22">
        <f t="shared" si="41"/>
        <v>130.48100104934389</v>
      </c>
    </row>
    <row r="448" spans="1:26">
      <c r="A448" s="24" t="str">
        <v>CUST-4668</v>
      </c>
      <c r="B448" s="24" t="str">
        <v>Loyal High-Value</v>
      </c>
      <c r="C448" s="24" t="str">
        <v>Email Campaign</v>
      </c>
      <c r="D448" s="24" t="str">
        <v>Southeast</v>
      </c>
      <c r="E448" s="24" t="str">
        <v>18-24</v>
      </c>
      <c r="F448" s="24" t="str">
        <v>High</v>
      </c>
      <c r="G448" s="24">
        <v>10</v>
      </c>
      <c r="H448" s="24">
        <v>100</v>
      </c>
      <c r="I448" s="23">
        <v>1715.17</v>
      </c>
      <c r="J448" s="24" cm="1">
        <f t="array" ref="J448">SUMPRODUCT(
    (Transactions_and_Customer_Information_Joined[Customer ID]='V1-Based Churn Model (Step 3)'!$A448) *
    (IFERROR(_xlfn.XLOOKUP(Transactions_and_Customer_Information_Joined[SKU], 'V1 Pricing Model (Step 2)'!$A$22:$A$71, 'V1 Pricing Model (Step 2)'!$AL$22:$AL$71), "Exclude")&lt;&gt;"Exclude") *
    Transactions_and_Customer_Information_Joined[Gross Revenue])</f>
        <v>785.12</v>
      </c>
      <c r="K448" s="24">
        <f>SUMIF(Transactions_and_Customer_Information_Joined[Customer ID], 'V1-Based Churn Model (Step 3)'!$A448, Transactions_and_Customer_Information_Joined[Gross Revenue])</f>
        <v>785.12</v>
      </c>
      <c r="L448" s="3">
        <f t="shared" si="36"/>
        <v>1</v>
      </c>
      <c r="M448" s="21">
        <v>0.16615780750618397</v>
      </c>
      <c r="N448" s="21" cm="1">
        <f t="array" ref="N448">SUMPRODUCT(
    (Transactions_and_Customer_Information_Joined[Customer ID]=$A448)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48" s="21" cm="1">
        <f t="array" ref="O448">IFERROR(
    SUMPRODUCT(
        (Transactions_and_Customer_Information_Joined[Customer ID]=$A448)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$J448,
0)</f>
        <v>0.16615780750618397</v>
      </c>
      <c r="P448" s="5" cm="1">
        <f t="array" ref="P448">_xlfn.IFS(B448="At-Risk Churner",$B$2,$B448="Dormant",$B$3,$B448="Deal Hunter",$B$4,$B448="New Customer",$B$5,$B448="Occasional Buyer",$B$6,$B448="Loyal High-Value",$B$7)</f>
        <v>15</v>
      </c>
      <c r="Q448" s="9" cm="1">
        <f t="array" ref="Q448">_xlfn.IFS($B448 = "At-Risk Churner", $B$8, $B448="Dormant",$B$9, $B448="Deal Hunter", $B$10, $B448="New Customer", $B$11, $B448="Occasional Buyer", $B$12, $B448 = "Loyal High-Value",$B$13)</f>
        <v>0.05</v>
      </c>
      <c r="R448" s="5">
        <v>15</v>
      </c>
      <c r="S448" s="5">
        <v>-8</v>
      </c>
      <c r="T448" s="5">
        <v>0</v>
      </c>
      <c r="U448" s="5">
        <f t="shared" si="37"/>
        <v>15</v>
      </c>
      <c r="V448" s="5">
        <f t="shared" si="38"/>
        <v>6.6463123002473594</v>
      </c>
      <c r="W448" s="43">
        <f t="shared" si="39"/>
        <v>43.863812300247361</v>
      </c>
      <c r="X448" s="5" t="str" cm="1">
        <f t="array" ref="X448">_xlfn.IFS($W448 &lt;= 30, "Low", $W448 &lt;=50, "Medium", $W448 &lt;= 70, "High", $W448 &gt; 70, "Critical")</f>
        <v>Medium</v>
      </c>
      <c r="Y448" s="9">
        <f t="shared" si="40"/>
        <v>1.7561707508328205E-2</v>
      </c>
      <c r="Z448" s="22">
        <f t="shared" si="41"/>
        <v>367.1310510936475</v>
      </c>
    </row>
    <row r="449" spans="1:26">
      <c r="A449" s="24" t="str">
        <v>CUST-4940</v>
      </c>
      <c r="B449" s="24" t="str">
        <v>Deal Hunter</v>
      </c>
      <c r="C449" s="24" t="str">
        <v>Paid Social</v>
      </c>
      <c r="D449" s="24" t="str">
        <v>Southwest</v>
      </c>
      <c r="E449" s="24" t="str">
        <v>18-24</v>
      </c>
      <c r="F449" s="24" t="str">
        <v>Low</v>
      </c>
      <c r="G449" s="24">
        <v>0</v>
      </c>
      <c r="H449" s="24">
        <v>18</v>
      </c>
      <c r="I449" s="23">
        <v>276.82</v>
      </c>
      <c r="J449" s="24" cm="1">
        <f t="array" ref="J449">SUMPRODUCT(
    (Transactions_and_Customer_Information_Joined[Customer ID]='V1-Based Churn Model (Step 3)'!$A449) *
    (IFERROR(_xlfn.XLOOKUP(Transactions_and_Customer_Information_Joined[SKU], 'V1 Pricing Model (Step 2)'!$A$22:$A$71, 'V1 Pricing Model (Step 2)'!$AL$22:$AL$71), "Exclude")&lt;&gt;"Exclude") *
    Transactions_and_Customer_Information_Joined[Gross Revenue])</f>
        <v>305.75</v>
      </c>
      <c r="K449" s="24">
        <f>SUMIF(Transactions_and_Customer_Information_Joined[Customer ID], 'V1-Based Churn Model (Step 3)'!$A449, Transactions_and_Customer_Information_Joined[Gross Revenue])</f>
        <v>305.75</v>
      </c>
      <c r="L449" s="3">
        <f t="shared" si="36"/>
        <v>1</v>
      </c>
      <c r="M449" s="21">
        <v>0.13680891237597953</v>
      </c>
      <c r="N449" s="21" cm="1">
        <f t="array" ref="N449">SUMPRODUCT(
    (Transactions_and_Customer_Information_Joined[Customer ID]=$A449)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49" s="21" cm="1">
        <f t="array" ref="O449">IFERROR(
    SUMPRODUCT(
        (Transactions_and_Customer_Information_Joined[Customer ID]=$A449)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$J449,
0)</f>
        <v>0.10238377042375163</v>
      </c>
      <c r="P449" s="5" cm="1">
        <f t="array" ref="P449">_xlfn.IFS(B449="At-Risk Churner",$B$2,$B449="Dormant",$B$3,$B449="Deal Hunter",$B$4,$B449="New Customer",$B$5,$B449="Occasional Buyer",$B$6,$B449="Loyal High-Value",$B$7)</f>
        <v>45</v>
      </c>
      <c r="Q449" s="9" cm="1">
        <f t="array" ref="Q449">_xlfn.IFS($B449 = "At-Risk Churner", $B$8, $B449="Dormant",$B$9, $B449="Deal Hunter", $B$10, $B449="New Customer", $B$11, $B449="Occasional Buyer", $B$12, $B449 = "Loyal High-Value",$B$13)</f>
        <v>0.25</v>
      </c>
      <c r="R449" s="5">
        <v>-5</v>
      </c>
      <c r="S449" s="5">
        <v>10</v>
      </c>
      <c r="T449" s="5">
        <v>-5</v>
      </c>
      <c r="U449" s="5">
        <f t="shared" si="37"/>
        <v>15</v>
      </c>
      <c r="V449" s="5">
        <f t="shared" si="38"/>
        <v>4.7838536559946228</v>
      </c>
      <c r="W449" s="43">
        <f t="shared" si="39"/>
        <v>65.121353655994625</v>
      </c>
      <c r="X449" s="5" t="str" cm="1">
        <f t="array" ref="X449">_xlfn.IFS($W449 &lt;= 30, "Low", $W449 &lt;=50, "Medium", $W449 &lt;= 70, "High", $W449 &gt; 70, "Critical")</f>
        <v>High</v>
      </c>
      <c r="Y449" s="9">
        <f t="shared" si="40"/>
        <v>0.2048443630832206</v>
      </c>
      <c r="Z449" s="22">
        <f t="shared" si="41"/>
        <v>100.7280132709577</v>
      </c>
    </row>
    <row r="450" spans="1:26">
      <c r="A450" s="24" t="str">
        <v>CUST-4495</v>
      </c>
      <c r="B450" s="24" t="str">
        <v>Loyal High-Value</v>
      </c>
      <c r="C450" s="24" t="str">
        <v>Referral</v>
      </c>
      <c r="D450" s="24" t="str">
        <v>Midwest</v>
      </c>
      <c r="E450" s="24" t="str">
        <v>18-24</v>
      </c>
      <c r="F450" s="24" t="str">
        <v>Medium</v>
      </c>
      <c r="G450" s="24">
        <v>7</v>
      </c>
      <c r="H450" s="24">
        <v>313</v>
      </c>
      <c r="I450" s="23">
        <v>825.66</v>
      </c>
      <c r="J450" s="24" cm="1">
        <f t="array" ref="J450">SUMPRODUCT(
    (Transactions_and_Customer_Information_Joined[Customer ID]='V1-Based Churn Model (Step 3)'!$A450) *
    (IFERROR(_xlfn.XLOOKUP(Transactions_and_Customer_Information_Joined[SKU], 'V1 Pricing Model (Step 2)'!$A$22:$A$71, 'V1 Pricing Model (Step 2)'!$AL$22:$AL$71), "Exclude")&lt;&gt;"Exclude") *
    Transactions_and_Customer_Information_Joined[Gross Revenue])</f>
        <v>310.68</v>
      </c>
      <c r="K450" s="24">
        <f>SUMIF(Transactions_and_Customer_Information_Joined[Customer ID], 'V1-Based Churn Model (Step 3)'!$A450, Transactions_and_Customer_Information_Joined[Gross Revenue])</f>
        <v>310.68</v>
      </c>
      <c r="L450" s="3">
        <f t="shared" si="36"/>
        <v>1</v>
      </c>
      <c r="M450" s="21">
        <v>1.0827913756041518E-3</v>
      </c>
      <c r="N450" s="21" cm="1">
        <f t="array" ref="N450">SUMPRODUCT(
    (Transactions_and_Customer_Information_Joined[Customer ID]=$A450)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50" s="21" cm="1">
        <f t="array" ref="O450">IFERROR(
    SUMPRODUCT(
        (Transactions_and_Customer_Information_Joined[Customer ID]=$A450)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$J450,
0)</f>
        <v>1.0827913756041518E-3</v>
      </c>
      <c r="P450" s="5" cm="1">
        <f t="array" ref="P450">_xlfn.IFS(B450="At-Risk Churner",$B$2,$B450="Dormant",$B$3,$B450="Deal Hunter",$B$4,$B450="New Customer",$B$5,$B450="Occasional Buyer",$B$6,$B450="Loyal High-Value",$B$7)</f>
        <v>15</v>
      </c>
      <c r="Q450" s="9" cm="1">
        <f t="array" ref="Q450">_xlfn.IFS($B450 = "At-Risk Churner", $B$8, $B450="Dormant",$B$9, $B450="Deal Hunter", $B$10, $B450="New Customer", $B$11, $B450="Occasional Buyer", $B$12, $B450 = "Loyal High-Value",$B$13)</f>
        <v>0.05</v>
      </c>
      <c r="R450" s="5">
        <v>5</v>
      </c>
      <c r="S450" s="5">
        <v>-8</v>
      </c>
      <c r="T450" s="5">
        <v>15</v>
      </c>
      <c r="U450" s="5">
        <f t="shared" si="37"/>
        <v>15</v>
      </c>
      <c r="V450" s="5">
        <f t="shared" si="38"/>
        <v>4.3311655024166069E-2</v>
      </c>
      <c r="W450" s="43">
        <f t="shared" si="39"/>
        <v>42.035811655024169</v>
      </c>
      <c r="X450" s="5" t="str" cm="1">
        <f t="array" ref="X450">_xlfn.IFS($W450 &lt;= 30, "Low", $W450 &lt;=50, "Medium", $W450 &lt;= 70, "High", $W450 &gt; 70, "Critical")</f>
        <v>Medium</v>
      </c>
      <c r="Y450" s="9">
        <f t="shared" si="40"/>
        <v>1.5539604279866562E-2</v>
      </c>
      <c r="Z450" s="22">
        <f t="shared" si="41"/>
        <v>175.39634373577169</v>
      </c>
    </row>
    <row r="451" spans="1:26">
      <c r="A451" s="24" t="str">
        <v>CUST-4518</v>
      </c>
      <c r="B451" s="24" t="str">
        <v>New Customer</v>
      </c>
      <c r="C451" s="24" t="str">
        <v>Influencer</v>
      </c>
      <c r="D451" s="24" t="str">
        <v>West</v>
      </c>
      <c r="E451" s="24" t="str">
        <v>25-34</v>
      </c>
      <c r="F451" s="24" t="str">
        <v>Medium</v>
      </c>
      <c r="G451" s="24">
        <v>2</v>
      </c>
      <c r="H451" s="24">
        <v>303</v>
      </c>
      <c r="I451" s="23">
        <v>128.27000000000001</v>
      </c>
      <c r="J451" s="24" cm="1">
        <f t="array" ref="J451">SUMPRODUCT(
    (Transactions_and_Customer_Information_Joined[Customer ID]='V1-Based Churn Model (Step 3)'!$A451)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451" s="24">
        <f>SUMIF(Transactions_and_Customer_Information_Joined[Customer ID], 'V1-Based Churn Model (Step 3)'!$A451, Transactions_and_Customer_Information_Joined[Gross Revenue])</f>
        <v>124.26</v>
      </c>
      <c r="L451" s="3">
        <f t="shared" si="36"/>
        <v>0</v>
      </c>
      <c r="M451" s="21">
        <v>0</v>
      </c>
      <c r="N451" s="21" cm="1">
        <f t="array" ref="N451">SUMPRODUCT(
    (Transactions_and_Customer_Information_Joined[Customer ID]=$A451)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451" s="21" cm="1">
        <f t="array" ref="O451">IFERROR(
    SUMPRODUCT(
        (Transactions_and_Customer_Information_Joined[Customer ID]=$A451)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$J451,
0)</f>
        <v>0</v>
      </c>
      <c r="P451" s="5" cm="1">
        <f t="array" ref="P451">_xlfn.IFS(B451="At-Risk Churner",$B$2,$B451="Dormant",$B$3,$B451="Deal Hunter",$B$4,$B451="New Customer",$B$5,$B451="Occasional Buyer",$B$6,$B451="Loyal High-Value",$B$7)</f>
        <v>35</v>
      </c>
      <c r="Q451" s="9" cm="1">
        <f t="array" ref="Q451">_xlfn.IFS($B451 = "At-Risk Churner", $B$8, $B451="Dormant",$B$9, $B451="Deal Hunter", $B$10, $B451="New Customer", $B$11, $B451="Occasional Buyer", $B$12, $B451 = "Loyal High-Value",$B$13)</f>
        <v>0.35</v>
      </c>
      <c r="R451" s="5">
        <v>5</v>
      </c>
      <c r="S451" s="5">
        <v>10</v>
      </c>
      <c r="T451" s="5">
        <v>15</v>
      </c>
      <c r="U451" s="5">
        <f t="shared" si="37"/>
        <v>0</v>
      </c>
      <c r="V451" s="5">
        <f t="shared" si="38"/>
        <v>0</v>
      </c>
      <c r="W451" s="43">
        <f t="shared" si="39"/>
        <v>65.349999999999994</v>
      </c>
      <c r="X451" s="5" t="str" cm="1">
        <f t="array" ref="X451">_xlfn.IFS($W451 &lt;= 30, "Low", $W451 &lt;=50, "Medium", $W451 &lt;= 70, "High", $W451 &gt; 70, "Critical")</f>
        <v>High</v>
      </c>
      <c r="Y451" s="9">
        <f t="shared" si="40"/>
        <v>0.28795784374761002</v>
      </c>
      <c r="Z451" s="22">
        <f t="shared" si="41"/>
        <v>55.203082094004756</v>
      </c>
    </row>
    <row r="452" spans="1:26">
      <c r="A452" s="24" t="str">
        <v>CUST-1675</v>
      </c>
      <c r="B452" s="24" t="str">
        <v>At-Risk Churner</v>
      </c>
      <c r="C452" s="24" t="str">
        <v>Direct</v>
      </c>
      <c r="D452" s="24" t="str">
        <v>Southeast</v>
      </c>
      <c r="E452" s="24" t="str">
        <v>35-44</v>
      </c>
      <c r="F452" s="24" t="str">
        <v>Low</v>
      </c>
      <c r="G452" s="24">
        <v>4</v>
      </c>
      <c r="H452" s="24">
        <v>23</v>
      </c>
      <c r="I452" s="23">
        <v>211.69</v>
      </c>
      <c r="J452" s="24" cm="1">
        <f t="array" ref="J452">SUMPRODUCT(
    (Transactions_and_Customer_Information_Joined[Customer ID]='V1-Based Churn Model (Step 3)'!$A452) *
    (IFERROR(_xlfn.XLOOKUP(Transactions_and_Customer_Information_Joined[SKU], 'V1 Pricing Model (Step 2)'!$A$22:$A$71, 'V1 Pricing Model (Step 2)'!$AL$22:$AL$71), "Exclude")&lt;&gt;"Exclude") *
    Transactions_and_Customer_Information_Joined[Gross Revenue])</f>
        <v>691.02</v>
      </c>
      <c r="K452" s="24">
        <f>SUMIF(Transactions_and_Customer_Information_Joined[Customer ID], 'V1-Based Churn Model (Step 3)'!$A452, Transactions_and_Customer_Information_Joined[Gross Revenue])</f>
        <v>691.02</v>
      </c>
      <c r="L452" s="3">
        <f t="shared" si="36"/>
        <v>1</v>
      </c>
      <c r="M452" s="21">
        <v>0.26791845407776477</v>
      </c>
      <c r="N452" s="21" cm="1">
        <f t="array" ref="N452">SUMPRODUCT(
    (Transactions_and_Customer_Information_Joined[Customer ID]=$A452)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52" s="21" cm="1">
        <f t="array" ref="O452">IFERROR(
    SUMPRODUCT(
        (Transactions_and_Customer_Information_Joined[Customer ID]=$A452)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$J452,
0)</f>
        <v>0.26791845407776477</v>
      </c>
      <c r="P452" s="5" cm="1">
        <f t="array" ref="P452">_xlfn.IFS(B452="At-Risk Churner",$B$2,$B452="Dormant",$B$3,$B452="Deal Hunter",$B$4,$B452="New Customer",$B$5,$B452="Occasional Buyer",$B$6,$B452="Loyal High-Value",$B$7)</f>
        <v>70</v>
      </c>
      <c r="Q452" s="9" cm="1">
        <f t="array" ref="Q452">_xlfn.IFS($B452 = "At-Risk Churner", $B$8, $B452="Dormant",$B$9, $B452="Deal Hunter", $B$10, $B452="New Customer", $B$11, $B452="Occasional Buyer", $B$12, $B452 = "Loyal High-Value",$B$13)</f>
        <v>0.45</v>
      </c>
      <c r="R452" s="5">
        <v>-5</v>
      </c>
      <c r="S452" s="5">
        <v>0</v>
      </c>
      <c r="T452" s="5">
        <v>-5</v>
      </c>
      <c r="U452" s="5">
        <f t="shared" si="37"/>
        <v>15</v>
      </c>
      <c r="V452" s="5">
        <f t="shared" si="38"/>
        <v>10.716738163110591</v>
      </c>
      <c r="W452" s="43">
        <f t="shared" si="39"/>
        <v>85.604238163110594</v>
      </c>
      <c r="X452" s="5" t="str" cm="1">
        <f t="array" ref="X452">_xlfn.IFS($W452 &lt;= 30, "Low", $W452 &lt;=50, "Medium", $W452 &lt;= 70, "High", $W452 &gt; 70, "Critical")</f>
        <v>Critical</v>
      </c>
      <c r="Y452" s="9">
        <f t="shared" si="40"/>
        <v>0.43756153689148175</v>
      </c>
      <c r="Z452" s="22">
        <f t="shared" si="41"/>
        <v>92.627401744557773</v>
      </c>
    </row>
    <row r="453" spans="1:26">
      <c r="A453" s="24" t="str">
        <v>CUST-4256</v>
      </c>
      <c r="B453" s="24" t="str">
        <v>Loyal High-Value</v>
      </c>
      <c r="C453" s="24" t="str">
        <v>Email Campaign</v>
      </c>
      <c r="D453" s="24" t="str">
        <v>Midwest</v>
      </c>
      <c r="E453" s="24" t="str">
        <v>45-54</v>
      </c>
      <c r="F453" s="24" t="str">
        <v>Medium</v>
      </c>
      <c r="G453" s="24">
        <v>10</v>
      </c>
      <c r="H453" s="24">
        <v>111</v>
      </c>
      <c r="I453" s="23">
        <v>2709.64</v>
      </c>
      <c r="J453" s="24" cm="1">
        <f t="array" ref="J453">SUMPRODUCT(
    (Transactions_and_Customer_Information_Joined[Customer ID]='V1-Based Churn Model (Step 3)'!$A453) *
    (IFERROR(_xlfn.XLOOKUP(Transactions_and_Customer_Information_Joined[SKU], 'V1 Pricing Model (Step 2)'!$A$22:$A$71, 'V1 Pricing Model (Step 2)'!$AL$22:$AL$71), "Exclude")&lt;&gt;"Exclude") *
    Transactions_and_Customer_Information_Joined[Gross Revenue])</f>
        <v>267.98</v>
      </c>
      <c r="K453" s="24">
        <f>SUMIF(Transactions_and_Customer_Information_Joined[Customer ID], 'V1-Based Churn Model (Step 3)'!$A453, Transactions_and_Customer_Information_Joined[Gross Revenue])</f>
        <v>267.98</v>
      </c>
      <c r="L453" s="3">
        <f t="shared" si="36"/>
        <v>1</v>
      </c>
      <c r="M453" s="21">
        <v>0.18240919880904002</v>
      </c>
      <c r="N453" s="21" cm="1">
        <f t="array" ref="N453">SUMPRODUCT(
    (Transactions_and_Customer_Information_Joined[Customer ID]=$A453)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53" s="21" cm="1">
        <f t="array" ref="O453">IFERROR(
    SUMPRODUCT(
        (Transactions_and_Customer_Information_Joined[Customer ID]=$A453)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$J453,
0)</f>
        <v>0.18240919880904002</v>
      </c>
      <c r="P453" s="5" cm="1">
        <f t="array" ref="P453">_xlfn.IFS(B453="At-Risk Churner",$B$2,$B453="Dormant",$B$3,$B453="Deal Hunter",$B$4,$B453="New Customer",$B$5,$B453="Occasional Buyer",$B$6,$B453="Loyal High-Value",$B$7)</f>
        <v>15</v>
      </c>
      <c r="Q453" s="9" cm="1">
        <f t="array" ref="Q453">_xlfn.IFS($B453 = "At-Risk Churner", $B$8, $B453="Dormant",$B$9, $B453="Deal Hunter", $B$10, $B453="New Customer", $B$11, $B453="Occasional Buyer", $B$12, $B453 = "Loyal High-Value",$B$13)</f>
        <v>0.05</v>
      </c>
      <c r="R453" s="5">
        <v>5</v>
      </c>
      <c r="S453" s="5">
        <v>-8</v>
      </c>
      <c r="T453" s="5">
        <v>0</v>
      </c>
      <c r="U453" s="5">
        <f t="shared" si="37"/>
        <v>15</v>
      </c>
      <c r="V453" s="5">
        <f t="shared" si="38"/>
        <v>7.2963679523616012</v>
      </c>
      <c r="W453" s="43">
        <f t="shared" si="39"/>
        <v>34.288867952361599</v>
      </c>
      <c r="X453" s="5" t="str" cm="1">
        <f t="array" ref="X453">_xlfn.IFS($W453 &lt;= 30, "Low", $W453 &lt;=50, "Medium", $W453 &lt;= 70, "High", $W453 &gt; 70, "Critical")</f>
        <v>Medium</v>
      </c>
      <c r="Y453" s="9">
        <f t="shared" si="40"/>
        <v>8.6028876747779454E-3</v>
      </c>
      <c r="Z453" s="22">
        <f t="shared" si="41"/>
        <v>560.57658284726824</v>
      </c>
    </row>
    <row r="454" spans="1:26">
      <c r="A454" s="24" t="str">
        <v>CUST-1864</v>
      </c>
      <c r="B454" s="24" t="str">
        <v>Occasional Buyer</v>
      </c>
      <c r="C454" s="24" t="str">
        <v>Paid Social</v>
      </c>
      <c r="D454" s="24" t="str">
        <v>West</v>
      </c>
      <c r="E454" s="24" t="str">
        <v>45-54</v>
      </c>
      <c r="F454" s="24" t="str">
        <v>Low</v>
      </c>
      <c r="G454" s="24">
        <v>0</v>
      </c>
      <c r="H454" s="24">
        <v>121</v>
      </c>
      <c r="I454" s="23">
        <v>731.88</v>
      </c>
      <c r="J454" s="24" cm="1">
        <f t="array" ref="J454">SUMPRODUCT(
    (Transactions_and_Customer_Information_Joined[Customer ID]='V1-Based Churn Model (Step 3)'!$A454)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454" s="24">
        <f>SUMIF(Transactions_and_Customer_Information_Joined[Customer ID], 'V1-Based Churn Model (Step 3)'!$A454, Transactions_and_Customer_Information_Joined[Gross Revenue])</f>
        <v>616.20000000000005</v>
      </c>
      <c r="L454" s="3">
        <f t="shared" si="36"/>
        <v>0</v>
      </c>
      <c r="M454" s="21">
        <v>0</v>
      </c>
      <c r="N454" s="21" cm="1">
        <f t="array" ref="N454">SUMPRODUCT(
    (Transactions_and_Customer_Information_Joined[Customer ID]=$A454)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454" s="21" cm="1">
        <f t="array" ref="O454">IFERROR(
    SUMPRODUCT(
        (Transactions_and_Customer_Information_Joined[Customer ID]=$A454)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$J454,
0)</f>
        <v>0</v>
      </c>
      <c r="P454" s="5" cm="1">
        <f t="array" ref="P454">_xlfn.IFS(B454="At-Risk Churner",$B$2,$B454="Dormant",$B$3,$B454="Deal Hunter",$B$4,$B454="New Customer",$B$5,$B454="Occasional Buyer",$B$6,$B454="Loyal High-Value",$B$7)</f>
        <v>25</v>
      </c>
      <c r="Q454" s="9" cm="1">
        <f t="array" ref="Q454">_xlfn.IFS($B454 = "At-Risk Churner", $B$8, $B454="Dormant",$B$9, $B454="Deal Hunter", $B$10, $B454="New Customer", $B$11, $B454="Occasional Buyer", $B$12, $B454 = "Loyal High-Value",$B$13)</f>
        <v>0.18</v>
      </c>
      <c r="R454" s="5">
        <v>-5</v>
      </c>
      <c r="S454" s="5">
        <v>10</v>
      </c>
      <c r="T454" s="5">
        <v>0</v>
      </c>
      <c r="U454" s="5">
        <f t="shared" si="37"/>
        <v>0</v>
      </c>
      <c r="V454" s="5">
        <f t="shared" si="38"/>
        <v>0</v>
      </c>
      <c r="W454" s="43">
        <f t="shared" si="39"/>
        <v>30.25</v>
      </c>
      <c r="X454" s="5" t="str" cm="1">
        <f t="array" ref="X454">_xlfn.IFS($W454 &lt;= 30, "Low", $W454 &lt;=50, "Medium", $W454 &lt;= 70, "High", $W454 &gt; 70, "Critical")</f>
        <v>Medium</v>
      </c>
      <c r="Y454" s="9">
        <f t="shared" si="40"/>
        <v>2.1933513138531247E-2</v>
      </c>
      <c r="Z454" s="22">
        <f t="shared" si="41"/>
        <v>159.21815967666259</v>
      </c>
    </row>
    <row r="455" spans="1:26">
      <c r="A455" s="24" t="str">
        <v>CUST-4498</v>
      </c>
      <c r="B455" s="24" t="str">
        <v>Loyal High-Value</v>
      </c>
      <c r="C455" s="24" t="str">
        <v>Paid Social</v>
      </c>
      <c r="D455" s="24" t="str">
        <v>Southwest</v>
      </c>
      <c r="E455" s="24" t="str">
        <v>35-44</v>
      </c>
      <c r="F455" s="24" t="str">
        <v>Low</v>
      </c>
      <c r="G455" s="24">
        <v>1</v>
      </c>
      <c r="H455" s="24">
        <v>355</v>
      </c>
      <c r="I455" s="23">
        <v>1904.41</v>
      </c>
      <c r="J455" s="24" cm="1">
        <f t="array" ref="J455">SUMPRODUCT(
    (Transactions_and_Customer_Information_Joined[Customer ID]='V1-Based Churn Model (Step 3)'!$A455) *
    (IFERROR(_xlfn.XLOOKUP(Transactions_and_Customer_Information_Joined[SKU], 'V1 Pricing Model (Step 2)'!$A$22:$A$71, 'V1 Pricing Model (Step 2)'!$AL$22:$AL$71), "Exclude")&lt;&gt;"Exclude") *
    Transactions_and_Customer_Information_Joined[Gross Revenue])</f>
        <v>696.92</v>
      </c>
      <c r="K455" s="24">
        <f>SUMIF(Transactions_and_Customer_Information_Joined[Customer ID], 'V1-Based Churn Model (Step 3)'!$A455, Transactions_and_Customer_Information_Joined[Gross Revenue])</f>
        <v>696.92</v>
      </c>
      <c r="L455" s="3">
        <f t="shared" si="36"/>
        <v>1</v>
      </c>
      <c r="M455" s="21">
        <v>5.8348079685156623E-2</v>
      </c>
      <c r="N455" s="21" cm="1">
        <f t="array" ref="N455">SUMPRODUCT(
    (Transactions_and_Customer_Information_Joined[Customer ID]=$A455)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55" s="21" cm="1">
        <f t="array" ref="O455">IFERROR(
    SUMPRODUCT(
        (Transactions_and_Customer_Information_Joined[Customer ID]=$A455)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$J455,
0)</f>
        <v>5.8348079685156623E-2</v>
      </c>
      <c r="P455" s="5" cm="1">
        <f t="array" ref="P455">_xlfn.IFS(B455="At-Risk Churner",$B$2,$B455="Dormant",$B$3,$B455="Deal Hunter",$B$4,$B455="New Customer",$B$5,$B455="Occasional Buyer",$B$6,$B455="Loyal High-Value",$B$7)</f>
        <v>15</v>
      </c>
      <c r="Q455" s="9" cm="1">
        <f t="array" ref="Q455">_xlfn.IFS($B455 = "At-Risk Churner", $B$8, $B455="Dormant",$B$9, $B455="Deal Hunter", $B$10, $B455="New Customer", $B$11, $B455="Occasional Buyer", $B$12, $B455 = "Loyal High-Value",$B$13)</f>
        <v>0.05</v>
      </c>
      <c r="R455" s="5">
        <v>-5</v>
      </c>
      <c r="S455" s="5">
        <v>10</v>
      </c>
      <c r="T455" s="5">
        <v>15</v>
      </c>
      <c r="U455" s="5">
        <f t="shared" si="37"/>
        <v>15</v>
      </c>
      <c r="V455" s="5">
        <f t="shared" si="38"/>
        <v>2.3339231874062651</v>
      </c>
      <c r="W455" s="43">
        <f t="shared" si="39"/>
        <v>52.371423187406265</v>
      </c>
      <c r="X455" s="5" t="str" cm="1">
        <f t="array" ref="X455">_xlfn.IFS($W455 &lt;= 30, "Low", $W455 &lt;=50, "Medium", $W455 &lt;= 70, "High", $W455 &gt; 70, "Critical")</f>
        <v>High</v>
      </c>
      <c r="Y455" s="9">
        <f t="shared" si="40"/>
        <v>2.7950464946524169E-2</v>
      </c>
      <c r="Z455" s="22">
        <f t="shared" si="41"/>
        <v>423.46531595904804</v>
      </c>
    </row>
    <row r="456" spans="1:26">
      <c r="A456" s="24" t="str">
        <v>CUST-1607</v>
      </c>
      <c r="B456" s="24" t="str">
        <v>Loyal High-Value</v>
      </c>
      <c r="C456" s="24" t="str">
        <v>Paid Social</v>
      </c>
      <c r="D456" s="24" t="str">
        <v>Southwest</v>
      </c>
      <c r="E456" s="24" t="str">
        <v>45-54</v>
      </c>
      <c r="F456" s="24" t="str">
        <v>Medium</v>
      </c>
      <c r="G456" s="24">
        <v>3</v>
      </c>
      <c r="H456" s="24">
        <v>217</v>
      </c>
      <c r="I456" s="23">
        <v>2896.49</v>
      </c>
      <c r="J456" s="24" cm="1">
        <f t="array" ref="J456">SUMPRODUCT(
    (Transactions_and_Customer_Information_Joined[Customer ID]='V1-Based Churn Model (Step 3)'!$A456) *
    (IFERROR(_xlfn.XLOOKUP(Transactions_and_Customer_Information_Joined[SKU], 'V1 Pricing Model (Step 2)'!$A$22:$A$71, 'V1 Pricing Model (Step 2)'!$AL$22:$AL$71), "Exclude")&lt;&gt;"Exclude") *
    Transactions_and_Customer_Information_Joined[Gross Revenue])</f>
        <v>379.98</v>
      </c>
      <c r="K456" s="24">
        <f>SUMIF(Transactions_and_Customer_Information_Joined[Customer ID], 'V1-Based Churn Model (Step 3)'!$A456, Transactions_and_Customer_Information_Joined[Gross Revenue])</f>
        <v>379.98</v>
      </c>
      <c r="L456" s="3">
        <f t="shared" si="36"/>
        <v>1</v>
      </c>
      <c r="M456" s="21">
        <v>0.22185784964769206</v>
      </c>
      <c r="N456" s="21" cm="1">
        <f t="array" ref="N456">SUMPRODUCT(
    (Transactions_and_Customer_Information_Joined[Customer ID]=$A456)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56" s="21" cm="1">
        <f t="array" ref="O456">IFERROR(
    SUMPRODUCT(
        (Transactions_and_Customer_Information_Joined[Customer ID]=$A456)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$J456,
0)</f>
        <v>0.22185784964769206</v>
      </c>
      <c r="P456" s="5" cm="1">
        <f t="array" ref="P456">_xlfn.IFS(B456="At-Risk Churner",$B$2,$B456="Dormant",$B$3,$B456="Deal Hunter",$B$4,$B456="New Customer",$B$5,$B456="Occasional Buyer",$B$6,$B456="Loyal High-Value",$B$7)</f>
        <v>15</v>
      </c>
      <c r="Q456" s="9" cm="1">
        <f t="array" ref="Q456">_xlfn.IFS($B456 = "At-Risk Churner", $B$8, $B456="Dormant",$B$9, $B456="Deal Hunter", $B$10, $B456="New Customer", $B$11, $B456="Occasional Buyer", $B$12, $B456 = "Loyal High-Value",$B$13)</f>
        <v>0.05</v>
      </c>
      <c r="R456" s="5">
        <v>5</v>
      </c>
      <c r="S456" s="5">
        <v>10</v>
      </c>
      <c r="T456" s="5">
        <v>8</v>
      </c>
      <c r="U456" s="5">
        <f t="shared" si="37"/>
        <v>15</v>
      </c>
      <c r="V456" s="5">
        <f t="shared" si="38"/>
        <v>8.8743139859076834</v>
      </c>
      <c r="W456" s="43">
        <f t="shared" si="39"/>
        <v>62.136813985907679</v>
      </c>
      <c r="X456" s="5" t="str" cm="1">
        <f t="array" ref="X456">_xlfn.IFS($W456 &lt;= 30, "Low", $W456 &lt;=50, "Medium", $W456 &lt;= 70, "High", $W456 &gt; 70, "Critical")</f>
        <v>High</v>
      </c>
      <c r="Y456" s="9">
        <f t="shared" si="40"/>
        <v>3.854748409228801E-2</v>
      </c>
      <c r="Z456" s="22">
        <f t="shared" si="41"/>
        <v>668.61992175877708</v>
      </c>
    </row>
    <row r="457" spans="1:26">
      <c r="A457" s="24" t="str">
        <v>CUST-4190</v>
      </c>
      <c r="B457" s="24" t="str">
        <v>New Customer</v>
      </c>
      <c r="C457" s="24" t="str">
        <v>Organic Search</v>
      </c>
      <c r="D457" s="24" t="str">
        <v>Northeast</v>
      </c>
      <c r="E457" s="24" t="str">
        <v>18-24</v>
      </c>
      <c r="F457" s="24" t="str">
        <v>Medium</v>
      </c>
      <c r="G457" s="24">
        <v>1</v>
      </c>
      <c r="H457" s="24">
        <v>238</v>
      </c>
      <c r="I457" s="23">
        <v>72.14</v>
      </c>
      <c r="J457" s="24" cm="1">
        <f t="array" ref="J457">SUMPRODUCT(
    (Transactions_and_Customer_Information_Joined[Customer ID]='V1-Based Churn Model (Step 3)'!$A457) *
    (IFERROR(_xlfn.XLOOKUP(Transactions_and_Customer_Information_Joined[SKU], 'V1 Pricing Model (Step 2)'!$A$22:$A$71, 'V1 Pricing Model (Step 2)'!$AL$22:$AL$71), "Exclude")&lt;&gt;"Exclude") *
    Transactions_and_Customer_Information_Joined[Gross Revenue])</f>
        <v>249.54</v>
      </c>
      <c r="K457" s="24">
        <f>SUMIF(Transactions_and_Customer_Information_Joined[Customer ID], 'V1-Based Churn Model (Step 3)'!$A457, Transactions_and_Customer_Information_Joined[Gross Revenue])</f>
        <v>249.54</v>
      </c>
      <c r="L457" s="3">
        <f t="shared" si="36"/>
        <v>1</v>
      </c>
      <c r="M457" s="21">
        <v>0.1130897018443069</v>
      </c>
      <c r="N457" s="21" cm="1">
        <f t="array" ref="N457">SUMPRODUCT(
    (Transactions_and_Customer_Information_Joined[Customer ID]=$A457)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57" s="21" cm="1">
        <f t="array" ref="O457">IFERROR(
    SUMPRODUCT(
        (Transactions_and_Customer_Information_Joined[Customer ID]=$A457)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$J457,
0)</f>
        <v>0.1130897018443069</v>
      </c>
      <c r="P457" s="5" cm="1">
        <f t="array" ref="P457">_xlfn.IFS(B457="At-Risk Churner",$B$2,$B457="Dormant",$B$3,$B457="Deal Hunter",$B$4,$B457="New Customer",$B$5,$B457="Occasional Buyer",$B$6,$B457="Loyal High-Value",$B$7)</f>
        <v>35</v>
      </c>
      <c r="Q457" s="9" cm="1">
        <f t="array" ref="Q457">_xlfn.IFS($B457 = "At-Risk Churner", $B$8, $B457="Dormant",$B$9, $B457="Deal Hunter", $B$10, $B457="New Customer", $B$11, $B457="Occasional Buyer", $B$12, $B457 = "Loyal High-Value",$B$13)</f>
        <v>0.35</v>
      </c>
      <c r="R457" s="5">
        <v>5</v>
      </c>
      <c r="S457" s="5">
        <v>10</v>
      </c>
      <c r="T457" s="5">
        <v>8</v>
      </c>
      <c r="U457" s="5">
        <f t="shared" si="37"/>
        <v>15</v>
      </c>
      <c r="V457" s="5">
        <f t="shared" si="38"/>
        <v>4.5235880737722765</v>
      </c>
      <c r="W457" s="43">
        <f t="shared" si="39"/>
        <v>77.986088073772265</v>
      </c>
      <c r="X457" s="5" t="str" cm="1">
        <f t="array" ref="X457">_xlfn.IFS($W457 &lt;= 30, "Low", $W457 &lt;=50, "Medium", $W457 &lt;= 70, "High", $W457 &gt; 70, "Critical")</f>
        <v>Critical</v>
      </c>
      <c r="Y457" s="9">
        <f t="shared" si="40"/>
        <v>0.32991021012611382</v>
      </c>
      <c r="Z457" s="22">
        <f t="shared" si="41"/>
        <v>23.799722558497852</v>
      </c>
    </row>
    <row r="458" spans="1:26">
      <c r="A458" s="24" t="str">
        <v>CUST-3937</v>
      </c>
      <c r="B458" s="24" t="str">
        <v>Occasional Buyer</v>
      </c>
      <c r="C458" s="24" t="str">
        <v>Influencer</v>
      </c>
      <c r="D458" s="24" t="str">
        <v>Midwest</v>
      </c>
      <c r="E458" s="24" t="str">
        <v>18-24</v>
      </c>
      <c r="F458" s="24" t="str">
        <v>Medium</v>
      </c>
      <c r="G458" s="24">
        <v>5</v>
      </c>
      <c r="H458" s="24">
        <v>317</v>
      </c>
      <c r="I458" s="23">
        <v>306.42</v>
      </c>
      <c r="J458" s="24" cm="1">
        <f t="array" ref="J458">SUMPRODUCT(
    (Transactions_and_Customer_Information_Joined[Customer ID]='V1-Based Churn Model (Step 3)'!$A458) *
    (IFERROR(_xlfn.XLOOKUP(Transactions_and_Customer_Information_Joined[SKU], 'V1 Pricing Model (Step 2)'!$A$22:$A$71, 'V1 Pricing Model (Step 2)'!$AL$22:$AL$71), "Exclude")&lt;&gt;"Exclude") *
    Transactions_and_Customer_Information_Joined[Gross Revenue])</f>
        <v>189.99</v>
      </c>
      <c r="K458" s="24">
        <f>SUMIF(Transactions_and_Customer_Information_Joined[Customer ID], 'V1-Based Churn Model (Step 3)'!$A458, Transactions_and_Customer_Information_Joined[Gross Revenue])</f>
        <v>189.99</v>
      </c>
      <c r="L458" s="3">
        <f t="shared" si="36"/>
        <v>1</v>
      </c>
      <c r="M458" s="21">
        <v>0.22185784964769206</v>
      </c>
      <c r="N458" s="21" cm="1">
        <f t="array" ref="N458">SUMPRODUCT(
    (Transactions_and_Customer_Information_Joined[Customer ID]=$A458)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58" s="21" cm="1">
        <f t="array" ref="O458">IFERROR(
    SUMPRODUCT(
        (Transactions_and_Customer_Information_Joined[Customer ID]=$A458)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$J458,
0)</f>
        <v>0.22185784964769206</v>
      </c>
      <c r="P458" s="5" cm="1">
        <f t="array" ref="P458">_xlfn.IFS(B458="At-Risk Churner",$B$2,$B458="Dormant",$B$3,$B458="Deal Hunter",$B$4,$B458="New Customer",$B$5,$B458="Occasional Buyer",$B$6,$B458="Loyal High-Value",$B$7)</f>
        <v>25</v>
      </c>
      <c r="Q458" s="9" cm="1">
        <f t="array" ref="Q458">_xlfn.IFS($B458 = "At-Risk Churner", $B$8, $B458="Dormant",$B$9, $B458="Deal Hunter", $B$10, $B458="New Customer", $B$11, $B458="Occasional Buyer", $B$12, $B458 = "Loyal High-Value",$B$13)</f>
        <v>0.18</v>
      </c>
      <c r="R458" s="5">
        <v>5</v>
      </c>
      <c r="S458" s="5">
        <v>0</v>
      </c>
      <c r="T458" s="5">
        <v>15</v>
      </c>
      <c r="U458" s="5">
        <f t="shared" si="37"/>
        <v>15</v>
      </c>
      <c r="V458" s="5">
        <f t="shared" si="38"/>
        <v>8.8743139859076834</v>
      </c>
      <c r="W458" s="43">
        <f t="shared" si="39"/>
        <v>68.986813985907688</v>
      </c>
      <c r="X458" s="5" t="str" cm="1">
        <f t="array" ref="X458">_xlfn.IFS($W458 &lt;= 30, "Low", $W458 &lt;=50, "Medium", $W458 &lt;= 70, "High", $W458 &gt; 70, "Critical")</f>
        <v>High</v>
      </c>
      <c r="Y458" s="9">
        <f t="shared" si="40"/>
        <v>0.15655359837306546</v>
      </c>
      <c r="Z458" s="22">
        <f t="shared" si="41"/>
        <v>99.660922890779773</v>
      </c>
    </row>
    <row r="459" spans="1:26">
      <c r="A459" s="24" t="str">
        <v>CUST-3252</v>
      </c>
      <c r="B459" s="24" t="str">
        <v>Deal Hunter</v>
      </c>
      <c r="C459" s="24" t="str">
        <v>Paid Social</v>
      </c>
      <c r="D459" s="24" t="str">
        <v>Southwest</v>
      </c>
      <c r="E459" s="24" t="str">
        <v>18-24</v>
      </c>
      <c r="F459" s="24" t="str">
        <v>Low</v>
      </c>
      <c r="G459" s="24">
        <v>7</v>
      </c>
      <c r="H459" s="24">
        <v>223</v>
      </c>
      <c r="I459" s="23">
        <v>391.34</v>
      </c>
      <c r="J459" s="24" cm="1">
        <f t="array" ref="J459">SUMPRODUCT(
    (Transactions_and_Customer_Information_Joined[Customer ID]='V1-Based Churn Model (Step 3)'!$A459) *
    (IFERROR(_xlfn.XLOOKUP(Transactions_and_Customer_Information_Joined[SKU], 'V1 Pricing Model (Step 2)'!$A$22:$A$71, 'V1 Pricing Model (Step 2)'!$AL$22:$AL$71), "Exclude")&lt;&gt;"Exclude") *
    Transactions_and_Customer_Information_Joined[Gross Revenue])</f>
        <v>226.36</v>
      </c>
      <c r="K459" s="24">
        <f>SUMIF(Transactions_and_Customer_Information_Joined[Customer ID], 'V1-Based Churn Model (Step 3)'!$A459, Transactions_and_Customer_Information_Joined[Gross Revenue])</f>
        <v>226.36</v>
      </c>
      <c r="L459" s="3">
        <f t="shared" si="36"/>
        <v>1</v>
      </c>
      <c r="M459" s="21">
        <v>7.8578478868305213E-2</v>
      </c>
      <c r="N459" s="21" cm="1">
        <f t="array" ref="N459">SUMPRODUCT(
    (Transactions_and_Customer_Information_Joined[Customer ID]=$A459)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59" s="21" cm="1">
        <f t="array" ref="O459">IFERROR(
    SUMPRODUCT(
        (Transactions_and_Customer_Information_Joined[Customer ID]=$A459)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$J459,
0)</f>
        <v>7.8578478868305213E-2</v>
      </c>
      <c r="P459" s="5" cm="1">
        <f t="array" ref="P459">_xlfn.IFS(B459="At-Risk Churner",$B$2,$B459="Dormant",$B$3,$B459="Deal Hunter",$B$4,$B459="New Customer",$B$5,$B459="Occasional Buyer",$B$6,$B459="Loyal High-Value",$B$7)</f>
        <v>45</v>
      </c>
      <c r="Q459" s="9" cm="1">
        <f t="array" ref="Q459">_xlfn.IFS($B459 = "At-Risk Churner", $B$8, $B459="Dormant",$B$9, $B459="Deal Hunter", $B$10, $B459="New Customer", $B$11, $B459="Occasional Buyer", $B$12, $B459 = "Loyal High-Value",$B$13)</f>
        <v>0.25</v>
      </c>
      <c r="R459" s="5">
        <v>-5</v>
      </c>
      <c r="S459" s="5">
        <v>-8</v>
      </c>
      <c r="T459" s="5">
        <v>8</v>
      </c>
      <c r="U459" s="5">
        <f t="shared" si="37"/>
        <v>15</v>
      </c>
      <c r="V459" s="5">
        <f t="shared" si="38"/>
        <v>3.1431391547322085</v>
      </c>
      <c r="W459" s="43">
        <f t="shared" si="39"/>
        <v>57.670639154732214</v>
      </c>
      <c r="X459" s="5" t="str" cm="1">
        <f t="array" ref="X459">_xlfn.IFS($W459 &lt;= 30, "Low", $W459 &lt;=50, "Medium", $W459 &lt;= 70, "High", $W459 &gt; 70, "Critical")</f>
        <v>High</v>
      </c>
      <c r="Y459" s="9">
        <f t="shared" si="40"/>
        <v>0.17072135443329356</v>
      </c>
      <c r="Z459" s="22">
        <f t="shared" si="41"/>
        <v>131.71607587514009</v>
      </c>
    </row>
    <row r="460" spans="1:26">
      <c r="A460" s="24" t="str">
        <v>CUST-2066</v>
      </c>
      <c r="B460" s="24" t="str">
        <v>Occasional Buyer</v>
      </c>
      <c r="C460" s="24" t="str">
        <v>Paid Social</v>
      </c>
      <c r="D460" s="24" t="str">
        <v>Southwest</v>
      </c>
      <c r="E460" s="24" t="str">
        <v>55+</v>
      </c>
      <c r="F460" s="24" t="str">
        <v>Medium</v>
      </c>
      <c r="G460" s="24">
        <v>5</v>
      </c>
      <c r="H460" s="24">
        <v>61</v>
      </c>
      <c r="I460" s="23">
        <v>593.41999999999996</v>
      </c>
      <c r="J460" s="24" cm="1">
        <f t="array" ref="J460">SUMPRODUCT(
    (Transactions_and_Customer_Information_Joined[Customer ID]='V1-Based Churn Model (Step 3)'!$A460)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460" s="24">
        <f>SUMIF(Transactions_and_Customer_Information_Joined[Customer ID], 'V1-Based Churn Model (Step 3)'!$A460, Transactions_and_Customer_Information_Joined[Gross Revenue])</f>
        <v>81.599999999999994</v>
      </c>
      <c r="L460" s="3">
        <f t="shared" si="36"/>
        <v>0</v>
      </c>
      <c r="M460" s="21">
        <v>0</v>
      </c>
      <c r="N460" s="21" cm="1">
        <f t="array" ref="N460">SUMPRODUCT(
    (Transactions_and_Customer_Information_Joined[Customer ID]=$A460)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460" s="21" cm="1">
        <f t="array" ref="O460">IFERROR(
    SUMPRODUCT(
        (Transactions_and_Customer_Information_Joined[Customer ID]=$A460)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$J460,
0)</f>
        <v>0</v>
      </c>
      <c r="P460" s="5" cm="1">
        <f t="array" ref="P460">_xlfn.IFS(B460="At-Risk Churner",$B$2,$B460="Dormant",$B$3,$B460="Deal Hunter",$B$4,$B460="New Customer",$B$5,$B460="Occasional Buyer",$B$6,$B460="Loyal High-Value",$B$7)</f>
        <v>25</v>
      </c>
      <c r="Q460" s="9" cm="1">
        <f t="array" ref="Q460">_xlfn.IFS($B460 = "At-Risk Churner", $B$8, $B460="Dormant",$B$9, $B460="Deal Hunter", $B$10, $B460="New Customer", $B$11, $B460="Occasional Buyer", $B$12, $B460 = "Loyal High-Value",$B$13)</f>
        <v>0.18</v>
      </c>
      <c r="R460" s="5">
        <v>5</v>
      </c>
      <c r="S460" s="5">
        <v>0</v>
      </c>
      <c r="T460" s="5">
        <v>0</v>
      </c>
      <c r="U460" s="5">
        <f t="shared" si="37"/>
        <v>0</v>
      </c>
      <c r="V460" s="5">
        <f t="shared" si="38"/>
        <v>0</v>
      </c>
      <c r="W460" s="43">
        <f t="shared" si="39"/>
        <v>30</v>
      </c>
      <c r="X460" s="5" t="str" cm="1">
        <f t="array" ref="X460">_xlfn.IFS($W460 &lt;= 30, "Low", $W460 &lt;=50, "Medium", $W460 &lt;= 70, "High", $W460 &gt; 70, "Critical")</f>
        <v>Low</v>
      </c>
      <c r="Y460" s="9">
        <f t="shared" si="40"/>
        <v>2.1456525963981156E-2</v>
      </c>
      <c r="Z460" s="22">
        <f t="shared" si="41"/>
        <v>12.732731637545697</v>
      </c>
    </row>
    <row r="461" spans="1:26">
      <c r="A461" s="24" t="str">
        <v>CUST-3200</v>
      </c>
      <c r="B461" s="24" t="str">
        <v>At-Risk Churner</v>
      </c>
      <c r="C461" s="24" t="str">
        <v>Referral</v>
      </c>
      <c r="D461" s="24" t="str">
        <v>UK</v>
      </c>
      <c r="E461" s="24" t="str">
        <v>35-44</v>
      </c>
      <c r="F461" s="24" t="str">
        <v>Medium</v>
      </c>
      <c r="G461" s="24">
        <v>9</v>
      </c>
      <c r="H461" s="24">
        <v>37</v>
      </c>
      <c r="I461" s="23">
        <v>83.38</v>
      </c>
      <c r="J461" s="24" cm="1">
        <f t="array" ref="J461">SUMPRODUCT(
    (Transactions_and_Customer_Information_Joined[Customer ID]='V1-Based Churn Model (Step 3)'!$A461) *
    (IFERROR(_xlfn.XLOOKUP(Transactions_and_Customer_Information_Joined[SKU], 'V1 Pricing Model (Step 2)'!$A$22:$A$71, 'V1 Pricing Model (Step 2)'!$AL$22:$AL$71), "Exclude")&lt;&gt;"Exclude") *
    Transactions_and_Customer_Information_Joined[Gross Revenue])</f>
        <v>280.23</v>
      </c>
      <c r="K461" s="24">
        <f>SUMIF(Transactions_and_Customer_Information_Joined[Customer ID], 'V1-Based Churn Model (Step 3)'!$A461, Transactions_and_Customer_Information_Joined[Gross Revenue])</f>
        <v>280.23</v>
      </c>
      <c r="L461" s="3">
        <f t="shared" si="36"/>
        <v>1</v>
      </c>
      <c r="M461" s="21">
        <v>-6.1928730463004879E-2</v>
      </c>
      <c r="N461" s="21" cm="1">
        <f t="array" ref="N461">SUMPRODUCT(
    (Transactions_and_Customer_Information_Joined[Customer ID]=$A461)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61" s="21" cm="1">
        <f t="array" ref="O461">IFERROR(
    SUMPRODUCT(
        (Transactions_and_Customer_Information_Joined[Customer ID]=$A461)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$J461,
0)</f>
        <v>-6.1928730463004886E-2</v>
      </c>
      <c r="P461" s="5" cm="1">
        <f t="array" ref="P461">_xlfn.IFS(B461="At-Risk Churner",$B$2,$B461="Dormant",$B$3,$B461="Deal Hunter",$B$4,$B461="New Customer",$B$5,$B461="Occasional Buyer",$B$6,$B461="Loyal High-Value",$B$7)</f>
        <v>70</v>
      </c>
      <c r="Q461" s="9" cm="1">
        <f t="array" ref="Q461">_xlfn.IFS($B461 = "At-Risk Churner", $B$8, $B461="Dormant",$B$9, $B461="Deal Hunter", $B$10, $B461="New Customer", $B$11, $B461="Occasional Buyer", $B$12, $B461 = "Loyal High-Value",$B$13)</f>
        <v>0.45</v>
      </c>
      <c r="R461" s="5">
        <v>5</v>
      </c>
      <c r="S461" s="5">
        <v>-8</v>
      </c>
      <c r="T461" s="5">
        <v>-5</v>
      </c>
      <c r="U461" s="5">
        <f t="shared" si="37"/>
        <v>15</v>
      </c>
      <c r="V461" s="5">
        <f t="shared" si="38"/>
        <v>2.4771492185201955</v>
      </c>
      <c r="W461" s="43">
        <f t="shared" si="39"/>
        <v>79.029649218520191</v>
      </c>
      <c r="X461" s="5" t="str" cm="1">
        <f t="array" ref="X461">_xlfn.IFS($W461 &lt;= 30, "Low", $W461 &lt;=50, "Medium", $W461 &lt;= 70, "High", $W461 &gt; 70, "Critical")</f>
        <v>Critical</v>
      </c>
      <c r="Y461" s="9">
        <f t="shared" si="40"/>
        <v>0.42659676410659242</v>
      </c>
      <c r="Z461" s="22">
        <f t="shared" si="41"/>
        <v>35.569638191207673</v>
      </c>
    </row>
    <row r="462" spans="1:26">
      <c r="A462" s="24" t="str">
        <v>CUST-4293</v>
      </c>
      <c r="B462" s="24" t="str">
        <v>At-Risk Churner</v>
      </c>
      <c r="C462" s="24" t="str">
        <v>Influencer</v>
      </c>
      <c r="D462" s="24" t="str">
        <v>Southwest</v>
      </c>
      <c r="E462" s="24" t="str">
        <v>45-54</v>
      </c>
      <c r="F462" s="24" t="str">
        <v>Low</v>
      </c>
      <c r="G462" s="24">
        <v>8</v>
      </c>
      <c r="H462" s="24">
        <v>278</v>
      </c>
      <c r="I462" s="23">
        <v>165.89</v>
      </c>
      <c r="J462" s="24" cm="1">
        <f t="array" ref="J462">SUMPRODUCT(
    (Transactions_and_Customer_Information_Joined[Customer ID]='V1-Based Churn Model (Step 3)'!$A462) *
    (IFERROR(_xlfn.XLOOKUP(Transactions_and_Customer_Information_Joined[SKU], 'V1 Pricing Model (Step 2)'!$A$22:$A$71, 'V1 Pricing Model (Step 2)'!$AL$22:$AL$71), "Exclude")&lt;&gt;"Exclude") *
    Transactions_and_Customer_Information_Joined[Gross Revenue])</f>
        <v>358.48</v>
      </c>
      <c r="K462" s="24">
        <f>SUMIF(Transactions_and_Customer_Information_Joined[Customer ID], 'V1-Based Churn Model (Step 3)'!$A462, Transactions_and_Customer_Information_Joined[Gross Revenue])</f>
        <v>358.48</v>
      </c>
      <c r="L462" s="3">
        <f t="shared" si="36"/>
        <v>1</v>
      </c>
      <c r="M462" s="21">
        <v>0.10710868403533827</v>
      </c>
      <c r="N462" s="21" cm="1">
        <f t="array" ref="N462">SUMPRODUCT(
    (Transactions_and_Customer_Information_Joined[Customer ID]=$A462)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62" s="21" cm="1">
        <f t="array" ref="O462">IFERROR(
    SUMPRODUCT(
        (Transactions_and_Customer_Information_Joined[Customer ID]=$A462)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$J462,
0)</f>
        <v>0.10710868403533827</v>
      </c>
      <c r="P462" s="5" cm="1">
        <f t="array" ref="P462">_xlfn.IFS(B462="At-Risk Churner",$B$2,$B462="Dormant",$B$3,$B462="Deal Hunter",$B$4,$B462="New Customer",$B$5,$B462="Occasional Buyer",$B$6,$B462="Loyal High-Value",$B$7)</f>
        <v>70</v>
      </c>
      <c r="Q462" s="9" cm="1">
        <f t="array" ref="Q462">_xlfn.IFS($B462 = "At-Risk Churner", $B$8, $B462="Dormant",$B$9, $B462="Deal Hunter", $B$10, $B462="New Customer", $B$11, $B462="Occasional Buyer", $B$12, $B462 = "Loyal High-Value",$B$13)</f>
        <v>0.45</v>
      </c>
      <c r="R462" s="5">
        <v>-5</v>
      </c>
      <c r="S462" s="5">
        <v>-8</v>
      </c>
      <c r="T462" s="5">
        <v>8</v>
      </c>
      <c r="U462" s="5">
        <f t="shared" si="37"/>
        <v>15</v>
      </c>
      <c r="V462" s="5">
        <f t="shared" si="38"/>
        <v>4.2843473614135306</v>
      </c>
      <c r="W462" s="43">
        <f t="shared" si="39"/>
        <v>83.611847361413524</v>
      </c>
      <c r="X462" s="5" t="str" cm="1">
        <f t="array" ref="X462">_xlfn.IFS($W462 &lt;= 30, "Low", $W462 &lt;=50, "Medium", $W462 &lt;= 70, "High", $W462 &gt; 70, "Critical")</f>
        <v>Critical</v>
      </c>
      <c r="Y462" s="9">
        <f t="shared" si="40"/>
        <v>0.43491113598952441</v>
      </c>
      <c r="Z462" s="22">
        <f t="shared" si="41"/>
        <v>72.147408349302196</v>
      </c>
    </row>
    <row r="463" spans="1:26">
      <c r="A463" s="24" t="str">
        <v>CUST-3276</v>
      </c>
      <c r="B463" s="24" t="str">
        <v>At-Risk Churner</v>
      </c>
      <c r="C463" s="24" t="str">
        <v>Email Campaign</v>
      </c>
      <c r="D463" s="24" t="str">
        <v>Southeast</v>
      </c>
      <c r="E463" s="24" t="str">
        <v>25-34</v>
      </c>
      <c r="F463" s="24" t="str">
        <v>Low</v>
      </c>
      <c r="G463" s="24">
        <v>1</v>
      </c>
      <c r="H463" s="24">
        <v>120</v>
      </c>
      <c r="I463" s="23">
        <v>277.88</v>
      </c>
      <c r="J463" s="24" cm="1">
        <f t="array" ref="J463">SUMPRODUCT(
    (Transactions_and_Customer_Information_Joined[Customer ID]='V1-Based Churn Model (Step 3)'!$A463) *
    (IFERROR(_xlfn.XLOOKUP(Transactions_and_Customer_Information_Joined[SKU], 'V1 Pricing Model (Step 2)'!$A$22:$A$71, 'V1 Pricing Model (Step 2)'!$AL$22:$AL$71), "Exclude")&lt;&gt;"Exclude") *
    Transactions_and_Customer_Information_Joined[Gross Revenue])</f>
        <v>56.099999999999994</v>
      </c>
      <c r="K463" s="24">
        <f>SUMIF(Transactions_and_Customer_Information_Joined[Customer ID], 'V1-Based Churn Model (Step 3)'!$A463, Transactions_and_Customer_Information_Joined[Gross Revenue])</f>
        <v>358.86</v>
      </c>
      <c r="L463" s="3">
        <f t="shared" si="36"/>
        <v>0.15632837318174217</v>
      </c>
      <c r="M463" s="21">
        <v>0</v>
      </c>
      <c r="N463" s="21" cm="1">
        <f t="array" ref="N463">SUMPRODUCT(
    (Transactions_and_Customer_Information_Joined[Customer ID]=$A463)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63" s="21" cm="1">
        <f t="array" ref="O463">IFERROR(
    SUMPRODUCT(
        (Transactions_and_Customer_Information_Joined[Customer ID]=$A463)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$J463,
0)</f>
        <v>0</v>
      </c>
      <c r="P463" s="5" cm="1">
        <f t="array" ref="P463">_xlfn.IFS(B463="At-Risk Churner",$B$2,$B463="Dormant",$B$3,$B463="Deal Hunter",$B$4,$B463="New Customer",$B$5,$B463="Occasional Buyer",$B$6,$B463="Loyal High-Value",$B$7)</f>
        <v>70</v>
      </c>
      <c r="Q463" s="9" cm="1">
        <f t="array" ref="Q463">_xlfn.IFS($B463 = "At-Risk Churner", $B$8, $B463="Dormant",$B$9, $B463="Deal Hunter", $B$10, $B463="New Customer", $B$11, $B463="Occasional Buyer", $B$12, $B463 = "Loyal High-Value",$B$13)</f>
        <v>0.45</v>
      </c>
      <c r="R463" s="5">
        <v>-5</v>
      </c>
      <c r="S463" s="5">
        <v>10</v>
      </c>
      <c r="T463" s="5">
        <v>0</v>
      </c>
      <c r="U463" s="5">
        <f t="shared" si="37"/>
        <v>3.908209329543554</v>
      </c>
      <c r="V463" s="5">
        <f t="shared" si="38"/>
        <v>0</v>
      </c>
      <c r="W463" s="43">
        <f t="shared" si="39"/>
        <v>79.578897759571973</v>
      </c>
      <c r="X463" s="5" t="str" cm="1">
        <f t="array" ref="X463">_xlfn.IFS($W463 &lt;= 30, "Low", $W463 &lt;=50, "Medium", $W463 &lt;= 70, "High", $W463 &gt; 70, "Critical")</f>
        <v>Critical</v>
      </c>
      <c r="Y463" s="9">
        <f t="shared" si="40"/>
        <v>0.42778577670677698</v>
      </c>
      <c r="Z463" s="22">
        <f t="shared" si="41"/>
        <v>118.87311163127919</v>
      </c>
    </row>
    <row r="464" spans="1:26">
      <c r="A464" s="24" t="str">
        <v>CUST-1450</v>
      </c>
      <c r="B464" s="24" t="str">
        <v>Dormant</v>
      </c>
      <c r="C464" s="24" t="str">
        <v>Email Campaign</v>
      </c>
      <c r="D464" s="24" t="str">
        <v>Canada</v>
      </c>
      <c r="E464" s="24" t="str">
        <v>45-54</v>
      </c>
      <c r="F464" s="24" t="str">
        <v>High</v>
      </c>
      <c r="G464" s="24">
        <v>10</v>
      </c>
      <c r="H464" s="24">
        <v>345</v>
      </c>
      <c r="I464" s="23">
        <v>79.8</v>
      </c>
      <c r="J464" s="24" cm="1">
        <f t="array" ref="J464">SUMPRODUCT(
    (Transactions_and_Customer_Information_Joined[Customer ID]='V1-Based Churn Model (Step 3)'!$A464) *
    (IFERROR(_xlfn.XLOOKUP(Transactions_and_Customer_Information_Joined[SKU], 'V1 Pricing Model (Step 2)'!$A$22:$A$71, 'V1 Pricing Model (Step 2)'!$AL$22:$AL$71), "Exclude")&lt;&gt;"Exclude") *
    Transactions_and_Customer_Information_Joined[Gross Revenue])</f>
        <v>588.84</v>
      </c>
      <c r="K464" s="24">
        <f>SUMIF(Transactions_and_Customer_Information_Joined[Customer ID], 'V1-Based Churn Model (Step 3)'!$A464, Transactions_and_Customer_Information_Joined[Gross Revenue])</f>
        <v>588.84</v>
      </c>
      <c r="L464" s="3">
        <f t="shared" si="36"/>
        <v>1</v>
      </c>
      <c r="M464" s="21">
        <v>0.16615780750618397</v>
      </c>
      <c r="N464" s="21" cm="1">
        <f t="array" ref="N464">SUMPRODUCT(
    (Transactions_and_Customer_Information_Joined[Customer ID]=$A464)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64" s="21" cm="1">
        <f t="array" ref="O464">IFERROR(
    SUMPRODUCT(
        (Transactions_and_Customer_Information_Joined[Customer ID]=$A464)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$J464,
0)</f>
        <v>0.16615780750618397</v>
      </c>
      <c r="P464" s="5" cm="1">
        <f t="array" ref="P464">_xlfn.IFS(B464="At-Risk Churner",$B$2,$B464="Dormant",$B$3,$B464="Deal Hunter",$B$4,$B464="New Customer",$B$5,$B464="Occasional Buyer",$B$6,$B464="Loyal High-Value",$B$7)</f>
        <v>65</v>
      </c>
      <c r="Q464" s="9" cm="1">
        <f t="array" ref="Q464">_xlfn.IFS($B464 = "At-Risk Churner", $B$8, $B464="Dormant",$B$9, $B464="Deal Hunter", $B$10, $B464="New Customer", $B$11, $B464="Occasional Buyer", $B$12, $B464 = "Loyal High-Value",$B$13)</f>
        <v>0.6</v>
      </c>
      <c r="R464" s="5">
        <v>15</v>
      </c>
      <c r="S464" s="5">
        <v>-8</v>
      </c>
      <c r="T464" s="5">
        <v>15</v>
      </c>
      <c r="U464" s="5">
        <f t="shared" si="37"/>
        <v>15</v>
      </c>
      <c r="V464" s="5">
        <f t="shared" si="38"/>
        <v>6.6463123002473594</v>
      </c>
      <c r="W464" s="43">
        <f t="shared" si="39"/>
        <v>100</v>
      </c>
      <c r="X464" s="5" t="str" cm="1">
        <f t="array" ref="X464">_xlfn.IFS($W464 &lt;= 30, "Low", $W464 &lt;=50, "Medium", $W464 &lt;= 70, "High", $W464 &gt; 70, "Critical")</f>
        <v>Critical</v>
      </c>
      <c r="Y464" s="9">
        <f t="shared" si="40"/>
        <v>0.59598428944542914</v>
      </c>
      <c r="Z464" s="22">
        <f t="shared" si="41"/>
        <v>47.559546297745243</v>
      </c>
    </row>
    <row r="465" spans="1:26">
      <c r="A465" s="24" t="str">
        <v>CUST-3016</v>
      </c>
      <c r="B465" s="24" t="str">
        <v>Dormant</v>
      </c>
      <c r="C465" s="24" t="str">
        <v>Paid Social</v>
      </c>
      <c r="D465" s="24" t="str">
        <v>UK</v>
      </c>
      <c r="E465" s="24" t="str">
        <v>18-24</v>
      </c>
      <c r="F465" s="24" t="str">
        <v>High</v>
      </c>
      <c r="G465" s="24">
        <v>0</v>
      </c>
      <c r="H465" s="24">
        <v>153</v>
      </c>
      <c r="I465" s="23">
        <v>39.44</v>
      </c>
      <c r="J465" s="24" cm="1">
        <f t="array" ref="J465">SUMPRODUCT(
    (Transactions_and_Customer_Information_Joined[Customer ID]='V1-Based Churn Model (Step 3)'!$A465) *
    (IFERROR(_xlfn.XLOOKUP(Transactions_and_Customer_Information_Joined[SKU], 'V1 Pricing Model (Step 2)'!$A$22:$A$71, 'V1 Pricing Model (Step 2)'!$AL$22:$AL$71), "Exclude")&lt;&gt;"Exclude") *
    Transactions_and_Customer_Information_Joined[Gross Revenue])</f>
        <v>144.94999999999999</v>
      </c>
      <c r="K465" s="24">
        <f>SUMIF(Transactions_and_Customer_Information_Joined[Customer ID], 'V1-Based Churn Model (Step 3)'!$A465, Transactions_and_Customer_Information_Joined[Gross Revenue])</f>
        <v>144.94999999999999</v>
      </c>
      <c r="L465" s="3">
        <f t="shared" si="36"/>
        <v>1</v>
      </c>
      <c r="M465" s="21">
        <v>0.25481331848064742</v>
      </c>
      <c r="N465" s="21" cm="1">
        <f t="array" ref="N465">SUMPRODUCT(
    (Transactions_and_Customer_Information_Joined[Customer ID]=$A465)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65" s="21" cm="1">
        <f t="array" ref="O465">IFERROR(
    SUMPRODUCT(
        (Transactions_and_Customer_Information_Joined[Customer ID]=$A465)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$J465,
0)</f>
        <v>0.25481331848064742</v>
      </c>
      <c r="P465" s="5" cm="1">
        <f t="array" ref="P465">_xlfn.IFS(B465="At-Risk Churner",$B$2,$B465="Dormant",$B$3,$B465="Deal Hunter",$B$4,$B465="New Customer",$B$5,$B465="Occasional Buyer",$B$6,$B465="Loyal High-Value",$B$7)</f>
        <v>65</v>
      </c>
      <c r="Q465" s="9" cm="1">
        <f t="array" ref="Q465">_xlfn.IFS($B465 = "At-Risk Churner", $B$8, $B465="Dormant",$B$9, $B465="Deal Hunter", $B$10, $B465="New Customer", $B$11, $B465="Occasional Buyer", $B$12, $B465 = "Loyal High-Value",$B$13)</f>
        <v>0.6</v>
      </c>
      <c r="R465" s="5">
        <v>15</v>
      </c>
      <c r="S465" s="5">
        <v>10</v>
      </c>
      <c r="T465" s="5">
        <v>0</v>
      </c>
      <c r="U465" s="5">
        <f t="shared" si="37"/>
        <v>15</v>
      </c>
      <c r="V465" s="5">
        <f t="shared" si="38"/>
        <v>10.192532739225896</v>
      </c>
      <c r="W465" s="43">
        <f t="shared" si="39"/>
        <v>100</v>
      </c>
      <c r="X465" s="5" t="str" cm="1">
        <f t="array" ref="X465">_xlfn.IFS($W465 &lt;= 30, "Low", $W465 &lt;=50, "Medium", $W465 &lt;= 70, "High", $W465 &gt; 70, "Critical")</f>
        <v>Critical</v>
      </c>
      <c r="Y465" s="9">
        <f t="shared" si="40"/>
        <v>0.59598428944542914</v>
      </c>
      <c r="Z465" s="22">
        <f t="shared" si="41"/>
        <v>23.505620375727723</v>
      </c>
    </row>
    <row r="466" spans="1:26">
      <c r="A466" s="24" t="str">
        <v>CUST-2796</v>
      </c>
      <c r="B466" s="24" t="str">
        <v>Loyal High-Value</v>
      </c>
      <c r="C466" s="24" t="str">
        <v>Influencer</v>
      </c>
      <c r="D466" s="24" t="str">
        <v>Southeast</v>
      </c>
      <c r="E466" s="24" t="str">
        <v>18-24</v>
      </c>
      <c r="F466" s="24" t="str">
        <v>Medium</v>
      </c>
      <c r="G466" s="24">
        <v>3</v>
      </c>
      <c r="H466" s="24">
        <v>245</v>
      </c>
      <c r="I466" s="23">
        <v>1483.11</v>
      </c>
      <c r="J466" s="24" cm="1">
        <f t="array" ref="J466">SUMPRODUCT(
    (Transactions_and_Customer_Information_Joined[Customer ID]='V1-Based Churn Model (Step 3)'!$A466) *
    (IFERROR(_xlfn.XLOOKUP(Transactions_and_Customer_Information_Joined[SKU], 'V1 Pricing Model (Step 2)'!$A$22:$A$71, 'V1 Pricing Model (Step 2)'!$AL$22:$AL$71), "Exclude")&lt;&gt;"Exclude") *
    Transactions_and_Customer_Information_Joined[Gross Revenue])</f>
        <v>434.84999999999997</v>
      </c>
      <c r="K466" s="24">
        <f>SUMIF(Transactions_and_Customer_Information_Joined[Customer ID], 'V1-Based Churn Model (Step 3)'!$A466, Transactions_and_Customer_Information_Joined[Gross Revenue])</f>
        <v>434.84999999999997</v>
      </c>
      <c r="L466" s="3">
        <f t="shared" si="36"/>
        <v>1</v>
      </c>
      <c r="M466" s="21">
        <v>0.25481331848064742</v>
      </c>
      <c r="N466" s="21" cm="1">
        <f t="array" ref="N466">SUMPRODUCT(
    (Transactions_and_Customer_Information_Joined[Customer ID]=$A466)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66" s="21" cm="1">
        <f t="array" ref="O466">IFERROR(
    SUMPRODUCT(
        (Transactions_and_Customer_Information_Joined[Customer ID]=$A466)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$J466,
0)</f>
        <v>0.25481331848064742</v>
      </c>
      <c r="P466" s="5" cm="1">
        <f t="array" ref="P466">_xlfn.IFS(B466="At-Risk Churner",$B$2,$B466="Dormant",$B$3,$B466="Deal Hunter",$B$4,$B466="New Customer",$B$5,$B466="Occasional Buyer",$B$6,$B466="Loyal High-Value",$B$7)</f>
        <v>15</v>
      </c>
      <c r="Q466" s="9" cm="1">
        <f t="array" ref="Q466">_xlfn.IFS($B466 = "At-Risk Churner", $B$8, $B466="Dormant",$B$9, $B466="Deal Hunter", $B$10, $B466="New Customer", $B$11, $B466="Occasional Buyer", $B$12, $B466 = "Loyal High-Value",$B$13)</f>
        <v>0.05</v>
      </c>
      <c r="R466" s="5">
        <v>5</v>
      </c>
      <c r="S466" s="5">
        <v>10</v>
      </c>
      <c r="T466" s="5">
        <v>8</v>
      </c>
      <c r="U466" s="5">
        <f t="shared" si="37"/>
        <v>15</v>
      </c>
      <c r="V466" s="5">
        <f t="shared" si="38"/>
        <v>10.192532739225896</v>
      </c>
      <c r="W466" s="43">
        <f t="shared" si="39"/>
        <v>63.455032739225892</v>
      </c>
      <c r="X466" s="5" t="str" cm="1">
        <f t="array" ref="X466">_xlfn.IFS($W466 &lt;= 30, "Low", $W466 &lt;=50, "Medium", $W466 &lt;= 70, "High", $W466 &gt; 70, "Critical")</f>
        <v>High</v>
      </c>
      <c r="Y466" s="9">
        <f t="shared" si="40"/>
        <v>3.9669674806715592E-2</v>
      </c>
      <c r="Z466" s="22">
        <f t="shared" si="41"/>
        <v>343.68959312207033</v>
      </c>
    </row>
    <row r="467" spans="1:26">
      <c r="A467" s="24" t="str">
        <v>CUST-4951</v>
      </c>
      <c r="B467" s="24" t="str">
        <v>Deal Hunter</v>
      </c>
      <c r="C467" s="24" t="str">
        <v>Paid Social</v>
      </c>
      <c r="D467" s="24" t="str">
        <v>UK</v>
      </c>
      <c r="E467" s="24" t="str">
        <v>35-44</v>
      </c>
      <c r="F467" s="24" t="str">
        <v>High</v>
      </c>
      <c r="G467" s="24">
        <v>4</v>
      </c>
      <c r="H467" s="24">
        <v>135</v>
      </c>
      <c r="I467" s="23">
        <v>489.26</v>
      </c>
      <c r="J467" s="24" cm="1">
        <f t="array" ref="J467">SUMPRODUCT(
    (Transactions_and_Customer_Information_Joined[Customer ID]='V1-Based Churn Model (Step 3)'!$A467)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467" s="24">
        <f>SUMIF(Transactions_and_Customer_Information_Joined[Customer ID], 'V1-Based Churn Model (Step 3)'!$A467, Transactions_and_Customer_Information_Joined[Gross Revenue])</f>
        <v>75.69</v>
      </c>
      <c r="L467" s="3">
        <f t="shared" si="36"/>
        <v>0</v>
      </c>
      <c r="M467" s="21">
        <v>0</v>
      </c>
      <c r="N467" s="21" cm="1">
        <f t="array" ref="N467">SUMPRODUCT(
    (Transactions_and_Customer_Information_Joined[Customer ID]=$A467)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467" s="21" cm="1">
        <f t="array" ref="O467">IFERROR(
    SUMPRODUCT(
        (Transactions_and_Customer_Information_Joined[Customer ID]=$A467)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$J467,
0)</f>
        <v>0</v>
      </c>
      <c r="P467" s="5" cm="1">
        <f t="array" ref="P467">_xlfn.IFS(B467="At-Risk Churner",$B$2,$B467="Dormant",$B$3,$B467="Deal Hunter",$B$4,$B467="New Customer",$B$5,$B467="Occasional Buyer",$B$6,$B467="Loyal High-Value",$B$7)</f>
        <v>45</v>
      </c>
      <c r="Q467" s="9" cm="1">
        <f t="array" ref="Q467">_xlfn.IFS($B467 = "At-Risk Churner", $B$8, $B467="Dormant",$B$9, $B467="Deal Hunter", $B$10, $B467="New Customer", $B$11, $B467="Occasional Buyer", $B$12, $B467 = "Loyal High-Value",$B$13)</f>
        <v>0.25</v>
      </c>
      <c r="R467" s="5">
        <v>15</v>
      </c>
      <c r="S467" s="5">
        <v>0</v>
      </c>
      <c r="T467" s="5">
        <v>0</v>
      </c>
      <c r="U467" s="5">
        <f t="shared" si="37"/>
        <v>0</v>
      </c>
      <c r="V467" s="5">
        <f t="shared" si="38"/>
        <v>0</v>
      </c>
      <c r="W467" s="43">
        <f t="shared" si="39"/>
        <v>60</v>
      </c>
      <c r="X467" s="5" t="str" cm="1">
        <f t="array" ref="X467">_xlfn.IFS($W467 &lt;= 30, "Low", $W467 &lt;=50, "Medium", $W467 &lt;= 70, "High", $W467 &gt; 70, "Critical")</f>
        <v>High</v>
      </c>
      <c r="Y467" s="9">
        <f t="shared" si="40"/>
        <v>0.18276464465750122</v>
      </c>
      <c r="Z467" s="22">
        <f t="shared" si="41"/>
        <v>169.38754403610324</v>
      </c>
    </row>
    <row r="468" spans="1:26">
      <c r="A468" s="24" t="str">
        <v>CUST-2321</v>
      </c>
      <c r="B468" s="24" t="str">
        <v>Loyal High-Value</v>
      </c>
      <c r="C468" s="24" t="str">
        <v>Paid Social</v>
      </c>
      <c r="D468" s="24" t="str">
        <v>West</v>
      </c>
      <c r="E468" s="24" t="str">
        <v>55+</v>
      </c>
      <c r="F468" s="24" t="str">
        <v>Medium</v>
      </c>
      <c r="G468" s="24">
        <v>2</v>
      </c>
      <c r="H468" s="24">
        <v>94</v>
      </c>
      <c r="I468" s="23">
        <v>2908.05</v>
      </c>
      <c r="J468" s="24" cm="1">
        <f t="array" ref="J468">SUMPRODUCT(
    (Transactions_and_Customer_Information_Joined[Customer ID]='V1-Based Churn Model (Step 3)'!$A468) *
    (IFERROR(_xlfn.XLOOKUP(Transactions_and_Customer_Information_Joined[SKU], 'V1 Pricing Model (Step 2)'!$A$22:$A$71, 'V1 Pricing Model (Step 2)'!$AL$22:$AL$71), "Exclude")&lt;&gt;"Exclude") *
    Transactions_and_Customer_Information_Joined[Gross Revenue])</f>
        <v>401.97</v>
      </c>
      <c r="K468" s="24">
        <f>SUMIF(Transactions_and_Customer_Information_Joined[Customer ID], 'V1-Based Churn Model (Step 3)'!$A468, Transactions_and_Customer_Information_Joined[Gross Revenue])</f>
        <v>401.97</v>
      </c>
      <c r="L468" s="3">
        <f t="shared" si="36"/>
        <v>1</v>
      </c>
      <c r="M468" s="21">
        <v>0.18240919880904002</v>
      </c>
      <c r="N468" s="21" cm="1">
        <f t="array" ref="N468">SUMPRODUCT(
    (Transactions_and_Customer_Information_Joined[Customer ID]=$A468)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68" s="21" cm="1">
        <f t="array" ref="O468">IFERROR(
    SUMPRODUCT(
        (Transactions_and_Customer_Information_Joined[Customer ID]=$A468)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$J468,
0)</f>
        <v>0.18240919880904002</v>
      </c>
      <c r="P468" s="5" cm="1">
        <f t="array" ref="P468">_xlfn.IFS(B468="At-Risk Churner",$B$2,$B468="Dormant",$B$3,$B468="Deal Hunter",$B$4,$B468="New Customer",$B$5,$B468="Occasional Buyer",$B$6,$B468="Loyal High-Value",$B$7)</f>
        <v>15</v>
      </c>
      <c r="Q468" s="9" cm="1">
        <f t="array" ref="Q468">_xlfn.IFS($B468 = "At-Risk Churner", $B$8, $B468="Dormant",$B$9, $B468="Deal Hunter", $B$10, $B468="New Customer", $B$11, $B468="Occasional Buyer", $B$12, $B468 = "Loyal High-Value",$B$13)</f>
        <v>0.05</v>
      </c>
      <c r="R468" s="5">
        <v>5</v>
      </c>
      <c r="S468" s="5">
        <v>10</v>
      </c>
      <c r="T468" s="5">
        <v>0</v>
      </c>
      <c r="U468" s="5">
        <f t="shared" si="37"/>
        <v>15</v>
      </c>
      <c r="V468" s="5">
        <f t="shared" si="38"/>
        <v>7.2963679523616012</v>
      </c>
      <c r="W468" s="43">
        <f t="shared" si="39"/>
        <v>52.558867952361595</v>
      </c>
      <c r="X468" s="5" t="str" cm="1">
        <f t="array" ref="X468">_xlfn.IFS($W468 &lt;= 30, "Low", $W468 &lt;=50, "Medium", $W468 &lt;= 70, "High", $W468 &gt; 70, "Critical")</f>
        <v>High</v>
      </c>
      <c r="Y468" s="9">
        <f t="shared" si="40"/>
        <v>2.8181245375122496E-2</v>
      </c>
      <c r="Z468" s="22">
        <f t="shared" si="41"/>
        <v>647.17197649050013</v>
      </c>
    </row>
    <row r="469" spans="1:26">
      <c r="A469" s="24" t="str">
        <v>CUST-4502</v>
      </c>
      <c r="B469" s="24" t="str">
        <v>Dormant</v>
      </c>
      <c r="C469" s="24" t="str">
        <v>Influencer</v>
      </c>
      <c r="D469" s="24" t="str">
        <v>Northeast</v>
      </c>
      <c r="E469" s="24" t="str">
        <v>35-44</v>
      </c>
      <c r="F469" s="24" t="str">
        <v>Low</v>
      </c>
      <c r="G469" s="24">
        <v>2</v>
      </c>
      <c r="H469" s="24">
        <v>40</v>
      </c>
      <c r="I469" s="23">
        <v>88.78</v>
      </c>
      <c r="J469" s="24" cm="1">
        <f t="array" ref="J469">SUMPRODUCT(
    (Transactions_and_Customer_Information_Joined[Customer ID]='V1-Based Churn Model (Step 3)'!$A469) *
    (IFERROR(_xlfn.XLOOKUP(Transactions_and_Customer_Information_Joined[SKU], 'V1 Pricing Model (Step 2)'!$A$22:$A$71, 'V1 Pricing Model (Step 2)'!$AL$22:$AL$71), "Exclude")&lt;&gt;"Exclude") *
    Transactions_and_Customer_Information_Joined[Gross Revenue])</f>
        <v>256.85000000000002</v>
      </c>
      <c r="K469" s="24">
        <f>SUMIF(Transactions_and_Customer_Information_Joined[Customer ID], 'V1-Based Churn Model (Step 3)'!$A469, Transactions_and_Customer_Information_Joined[Gross Revenue])</f>
        <v>256.85000000000002</v>
      </c>
      <c r="L469" s="3">
        <f t="shared" si="36"/>
        <v>1</v>
      </c>
      <c r="M469" s="21">
        <v>0.25581555939754186</v>
      </c>
      <c r="N469" s="21" cm="1">
        <f t="array" ref="N469">SUMPRODUCT(
    (Transactions_and_Customer_Information_Joined[Customer ID]=$A469)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69" s="21" cm="1">
        <f t="array" ref="O469">IFERROR(
    SUMPRODUCT(
        (Transactions_and_Customer_Information_Joined[Customer ID]=$A469)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$J469,
0)</f>
        <v>0.10637578061637677</v>
      </c>
      <c r="P469" s="5" cm="1">
        <f t="array" ref="P469">_xlfn.IFS(B469="At-Risk Churner",$B$2,$B469="Dormant",$B$3,$B469="Deal Hunter",$B$4,$B469="New Customer",$B$5,$B469="Occasional Buyer",$B$6,$B469="Loyal High-Value",$B$7)</f>
        <v>65</v>
      </c>
      <c r="Q469" s="9" cm="1">
        <f t="array" ref="Q469">_xlfn.IFS($B469 = "At-Risk Churner", $B$8, $B469="Dormant",$B$9, $B469="Deal Hunter", $B$10, $B469="New Customer", $B$11, $B469="Occasional Buyer", $B$12, $B469 = "Loyal High-Value",$B$13)</f>
        <v>0.6</v>
      </c>
      <c r="R469" s="5">
        <v>-5</v>
      </c>
      <c r="S469" s="5">
        <v>10</v>
      </c>
      <c r="T469" s="5">
        <v>-5</v>
      </c>
      <c r="U469" s="5">
        <f t="shared" si="37"/>
        <v>15</v>
      </c>
      <c r="V469" s="5">
        <f t="shared" si="38"/>
        <v>7.2438268002783719</v>
      </c>
      <c r="W469" s="43">
        <f t="shared" si="39"/>
        <v>87.781326800278379</v>
      </c>
      <c r="X469" s="5" t="str" cm="1">
        <f t="array" ref="X469">_xlfn.IFS($W469 &lt;= 30, "Low", $W469 &lt;=50, "Medium", $W469 &lt;= 70, "High", $W469 &gt; 70, "Critical")</f>
        <v>Critical</v>
      </c>
      <c r="Y469" s="9">
        <f t="shared" si="40"/>
        <v>0.58658747299977021</v>
      </c>
      <c r="Z469" s="22">
        <f t="shared" si="41"/>
        <v>52.0772358529196</v>
      </c>
    </row>
    <row r="470" spans="1:26">
      <c r="A470" s="24" t="str">
        <v>CUST-4989</v>
      </c>
      <c r="B470" s="24" t="str">
        <v>New Customer</v>
      </c>
      <c r="C470" s="24" t="str">
        <v>Email Campaign</v>
      </c>
      <c r="D470" s="24" t="str">
        <v>Northeast</v>
      </c>
      <c r="E470" s="24" t="str">
        <v>45-54</v>
      </c>
      <c r="F470" s="24" t="str">
        <v>Medium</v>
      </c>
      <c r="G470" s="24">
        <v>10</v>
      </c>
      <c r="H470" s="24">
        <v>202</v>
      </c>
      <c r="I470" s="23">
        <v>76.040000000000006</v>
      </c>
      <c r="J470" s="24" cm="1">
        <f t="array" ref="J470">SUMPRODUCT(
    (Transactions_and_Customer_Information_Joined[Customer ID]='V1-Based Churn Model (Step 3)'!$A470)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470" s="24">
        <f>SUMIF(Transactions_and_Customer_Information_Joined[Customer ID], 'V1-Based Churn Model (Step 3)'!$A470, Transactions_and_Customer_Information_Joined[Gross Revenue])</f>
        <v>103.96</v>
      </c>
      <c r="L470" s="3">
        <f t="shared" si="36"/>
        <v>0</v>
      </c>
      <c r="M470" s="21">
        <v>0</v>
      </c>
      <c r="N470" s="21" cm="1">
        <f t="array" ref="N470">SUMPRODUCT(
    (Transactions_and_Customer_Information_Joined[Customer ID]=$A470)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470" s="21" cm="1">
        <f t="array" ref="O470">IFERROR(
    SUMPRODUCT(
        (Transactions_and_Customer_Information_Joined[Customer ID]=$A470)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$J470,
0)</f>
        <v>0</v>
      </c>
      <c r="P470" s="5" cm="1">
        <f t="array" ref="P470">_xlfn.IFS(B470="At-Risk Churner",$B$2,$B470="Dormant",$B$3,$B470="Deal Hunter",$B$4,$B470="New Customer",$B$5,$B470="Occasional Buyer",$B$6,$B470="Loyal High-Value",$B$7)</f>
        <v>35</v>
      </c>
      <c r="Q470" s="9" cm="1">
        <f t="array" ref="Q470">_xlfn.IFS($B470 = "At-Risk Churner", $B$8, $B470="Dormant",$B$9, $B470="Deal Hunter", $B$10, $B470="New Customer", $B$11, $B470="Occasional Buyer", $B$12, $B470 = "Loyal High-Value",$B$13)</f>
        <v>0.35</v>
      </c>
      <c r="R470" s="5">
        <v>5</v>
      </c>
      <c r="S470" s="5">
        <v>-8</v>
      </c>
      <c r="T470" s="5">
        <v>8</v>
      </c>
      <c r="U470" s="5">
        <f t="shared" si="37"/>
        <v>0</v>
      </c>
      <c r="V470" s="5">
        <f t="shared" si="38"/>
        <v>0</v>
      </c>
      <c r="W470" s="43">
        <f t="shared" si="39"/>
        <v>39.72</v>
      </c>
      <c r="X470" s="5" t="str" cm="1">
        <f t="array" ref="X470">_xlfn.IFS($W470 &lt;= 30, "Low", $W470 &lt;=50, "Medium", $W470 &lt;= 70, "High", $W470 &gt; 70, "Critical")</f>
        <v>Medium</v>
      </c>
      <c r="Y470" s="9">
        <f t="shared" si="40"/>
        <v>9.2215210347841303E-2</v>
      </c>
      <c r="Z470" s="22">
        <f t="shared" si="41"/>
        <v>20.817635675879885</v>
      </c>
    </row>
    <row r="471" spans="1:26">
      <c r="A471" s="24" t="str">
        <v>CUST-1064</v>
      </c>
      <c r="B471" s="24" t="str">
        <v>Occasional Buyer</v>
      </c>
      <c r="C471" s="24" t="str">
        <v>Influencer</v>
      </c>
      <c r="D471" s="24" t="str">
        <v>Southwest</v>
      </c>
      <c r="E471" s="24" t="str">
        <v>35-44</v>
      </c>
      <c r="F471" s="24" t="str">
        <v>High</v>
      </c>
      <c r="G471" s="24">
        <v>0</v>
      </c>
      <c r="H471" s="24">
        <v>294</v>
      </c>
      <c r="I471" s="23">
        <v>442.48</v>
      </c>
      <c r="J471" s="24" cm="1">
        <f t="array" ref="J471">SUMPRODUCT(
    (Transactions_and_Customer_Information_Joined[Customer ID]='V1-Based Churn Model (Step 3)'!$A471) *
    (IFERROR(_xlfn.XLOOKUP(Transactions_and_Customer_Information_Joined[SKU], 'V1 Pricing Model (Step 2)'!$A$22:$A$71, 'V1 Pricing Model (Step 2)'!$AL$22:$AL$71), "Exclude")&lt;&gt;"Exclude") *
    Transactions_and_Customer_Information_Joined[Gross Revenue])</f>
        <v>527.52</v>
      </c>
      <c r="K471" s="24">
        <f>SUMIF(Transactions_and_Customer_Information_Joined[Customer ID], 'V1-Based Churn Model (Step 3)'!$A471, Transactions_and_Customer_Information_Joined[Gross Revenue])</f>
        <v>527.52</v>
      </c>
      <c r="L471" s="3">
        <f t="shared" si="36"/>
        <v>1</v>
      </c>
      <c r="M471" s="21">
        <v>7.8578478868305213E-2</v>
      </c>
      <c r="N471" s="21" cm="1">
        <f t="array" ref="N471">SUMPRODUCT(
    (Transactions_and_Customer_Information_Joined[Customer ID]=$A471)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71" s="21" cm="1">
        <f t="array" ref="O471">IFERROR(
    SUMPRODUCT(
        (Transactions_and_Customer_Information_Joined[Customer ID]=$A471)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$J471,
0)</f>
        <v>6.7436398531352623E-2</v>
      </c>
      <c r="P471" s="5" cm="1">
        <f t="array" ref="P471">_xlfn.IFS(B471="At-Risk Churner",$B$2,$B471="Dormant",$B$3,$B471="Deal Hunter",$B$4,$B471="New Customer",$B$5,$B471="Occasional Buyer",$B$6,$B471="Loyal High-Value",$B$7)</f>
        <v>25</v>
      </c>
      <c r="Q471" s="9" cm="1">
        <f t="array" ref="Q471">_xlfn.IFS($B471 = "At-Risk Churner", $B$8, $B471="Dormant",$B$9, $B471="Deal Hunter", $B$10, $B471="New Customer", $B$11, $B471="Occasional Buyer", $B$12, $B471 = "Loyal High-Value",$B$13)</f>
        <v>0.18</v>
      </c>
      <c r="R471" s="5">
        <v>15</v>
      </c>
      <c r="S471" s="5">
        <v>10</v>
      </c>
      <c r="T471" s="5">
        <v>8</v>
      </c>
      <c r="U471" s="5">
        <f t="shared" si="37"/>
        <v>15</v>
      </c>
      <c r="V471" s="5">
        <f t="shared" si="38"/>
        <v>2.9202975479931568</v>
      </c>
      <c r="W471" s="43">
        <f t="shared" si="39"/>
        <v>76.507797547993164</v>
      </c>
      <c r="X471" s="5" t="str" cm="1">
        <f t="array" ref="X471">_xlfn.IFS($W471 &lt;= 30, "Low", $W471 &lt;=50, "Medium", $W471 &lt;= 70, "High", $W471 &gt; 70, "Critical")</f>
        <v>Critical</v>
      </c>
      <c r="Y471" s="9">
        <f t="shared" si="40"/>
        <v>0.1681306261224193</v>
      </c>
      <c r="Z471" s="22">
        <f t="shared" si="41"/>
        <v>74.394439446648093</v>
      </c>
    </row>
    <row r="472" spans="1:26">
      <c r="A472" s="24" t="str">
        <v>CUST-3999</v>
      </c>
      <c r="B472" s="24" t="str">
        <v>New Customer</v>
      </c>
      <c r="C472" s="24" t="str">
        <v>Organic Search</v>
      </c>
      <c r="D472" s="24" t="str">
        <v>Northeast</v>
      </c>
      <c r="E472" s="24" t="str">
        <v>45-54</v>
      </c>
      <c r="F472" s="24" t="str">
        <v>High</v>
      </c>
      <c r="G472" s="24">
        <v>7</v>
      </c>
      <c r="H472" s="24">
        <v>141</v>
      </c>
      <c r="I472" s="23">
        <v>65.78</v>
      </c>
      <c r="J472" s="24" cm="1">
        <f t="array" ref="J472">SUMPRODUCT(
    (Transactions_and_Customer_Information_Joined[Customer ID]='V1-Based Churn Model (Step 3)'!$A472) *
    (IFERROR(_xlfn.XLOOKUP(Transactions_and_Customer_Information_Joined[SKU], 'V1 Pricing Model (Step 2)'!$A$22:$A$71, 'V1 Pricing Model (Step 2)'!$AL$22:$AL$71), "Exclude")&lt;&gt;"Exclude") *
    Transactions_and_Customer_Information_Joined[Gross Revenue])</f>
        <v>481.04999999999995</v>
      </c>
      <c r="K472" s="24">
        <f>SUMIF(Transactions_and_Customer_Information_Joined[Customer ID], 'V1-Based Churn Model (Step 3)'!$A472, Transactions_and_Customer_Information_Joined[Gross Revenue])</f>
        <v>481.04999999999995</v>
      </c>
      <c r="L472" s="3">
        <f t="shared" si="36"/>
        <v>1</v>
      </c>
      <c r="M472" s="21">
        <v>0.13680891237597953</v>
      </c>
      <c r="N472" s="21" cm="1">
        <f t="array" ref="N472">SUMPRODUCT(
    (Transactions_and_Customer_Information_Joined[Customer ID]=$A472)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72" s="21" cm="1">
        <f t="array" ref="O472">IFERROR(
    SUMPRODUCT(
        (Transactions_and_Customer_Information_Joined[Customer ID]=$A472)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$J472,
0)</f>
        <v>0.13680891237597953</v>
      </c>
      <c r="P472" s="5" cm="1">
        <f t="array" ref="P472">_xlfn.IFS(B472="At-Risk Churner",$B$2,$B472="Dormant",$B$3,$B472="Deal Hunter",$B$4,$B472="New Customer",$B$5,$B472="Occasional Buyer",$B$6,$B472="Loyal High-Value",$B$7)</f>
        <v>35</v>
      </c>
      <c r="Q472" s="9" cm="1">
        <f t="array" ref="Q472">_xlfn.IFS($B472 = "At-Risk Churner", $B$8, $B472="Dormant",$B$9, $B472="Deal Hunter", $B$10, $B472="New Customer", $B$11, $B472="Occasional Buyer", $B$12, $B472 = "Loyal High-Value",$B$13)</f>
        <v>0.35</v>
      </c>
      <c r="R472" s="5">
        <v>15</v>
      </c>
      <c r="S472" s="5">
        <v>-8</v>
      </c>
      <c r="T472" s="5">
        <v>0</v>
      </c>
      <c r="U472" s="5">
        <f t="shared" si="37"/>
        <v>15</v>
      </c>
      <c r="V472" s="5">
        <f t="shared" si="38"/>
        <v>5.4723564950391808</v>
      </c>
      <c r="W472" s="43">
        <f t="shared" si="39"/>
        <v>62.529856495039176</v>
      </c>
      <c r="X472" s="5" t="str" cm="1">
        <f t="array" ref="X472">_xlfn.IFS($W472 &lt;= 30, "Low", $W472 &lt;=50, "Medium", $W472 &lt;= 70, "High", $W472 &gt; 70, "Critical")</f>
        <v>High</v>
      </c>
      <c r="Y472" s="9">
        <f t="shared" si="40"/>
        <v>0.272235692215412</v>
      </c>
      <c r="Z472" s="22">
        <f t="shared" si="41"/>
        <v>27.482131067143843</v>
      </c>
    </row>
    <row r="473" spans="1:26">
      <c r="A473" s="24" t="str">
        <v>CUST-2129</v>
      </c>
      <c r="B473" s="24" t="str">
        <v>Deal Hunter</v>
      </c>
      <c r="C473" s="24" t="str">
        <v>Influencer</v>
      </c>
      <c r="D473" s="24" t="str">
        <v>West</v>
      </c>
      <c r="E473" s="24" t="str">
        <v>25-34</v>
      </c>
      <c r="F473" s="24" t="str">
        <v>High</v>
      </c>
      <c r="G473" s="24">
        <v>9</v>
      </c>
      <c r="H473" s="24">
        <v>209</v>
      </c>
      <c r="I473" s="23">
        <v>253.7</v>
      </c>
      <c r="J473" s="24" cm="1">
        <f t="array" ref="J473">SUMPRODUCT(
    (Transactions_and_Customer_Information_Joined[Customer ID]='V1-Based Churn Model (Step 3)'!$A473)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473" s="24">
        <f>SUMIF(Transactions_and_Customer_Information_Joined[Customer ID], 'V1-Based Churn Model (Step 3)'!$A473, Transactions_and_Customer_Information_Joined[Gross Revenue])</f>
        <v>207.92</v>
      </c>
      <c r="L473" s="3">
        <f t="shared" si="36"/>
        <v>0</v>
      </c>
      <c r="M473" s="21">
        <v>0</v>
      </c>
      <c r="N473" s="21" cm="1">
        <f t="array" ref="N473">SUMPRODUCT(
    (Transactions_and_Customer_Information_Joined[Customer ID]=$A473)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473" s="21" cm="1">
        <f t="array" ref="O473">IFERROR(
    SUMPRODUCT(
        (Transactions_and_Customer_Information_Joined[Customer ID]=$A473)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$J473,
0)</f>
        <v>0</v>
      </c>
      <c r="P473" s="5" cm="1">
        <f t="array" ref="P473">_xlfn.IFS(B473="At-Risk Churner",$B$2,$B473="Dormant",$B$3,$B473="Deal Hunter",$B$4,$B473="New Customer",$B$5,$B473="Occasional Buyer",$B$6,$B473="Loyal High-Value",$B$7)</f>
        <v>45</v>
      </c>
      <c r="Q473" s="9" cm="1">
        <f t="array" ref="Q473">_xlfn.IFS($B473 = "At-Risk Churner", $B$8, $B473="Dormant",$B$9, $B473="Deal Hunter", $B$10, $B473="New Customer", $B$11, $B473="Occasional Buyer", $B$12, $B473 = "Loyal High-Value",$B$13)</f>
        <v>0.25</v>
      </c>
      <c r="R473" s="5">
        <v>15</v>
      </c>
      <c r="S473" s="5">
        <v>-8</v>
      </c>
      <c r="T473" s="5">
        <v>8</v>
      </c>
      <c r="U473" s="5">
        <f t="shared" si="37"/>
        <v>0</v>
      </c>
      <c r="V473" s="5">
        <f t="shared" si="38"/>
        <v>0</v>
      </c>
      <c r="W473" s="43">
        <f t="shared" si="39"/>
        <v>59.64</v>
      </c>
      <c r="X473" s="5" t="str" cm="1">
        <f t="array" ref="X473">_xlfn.IFS($W473 &lt;= 30, "Low", $W473 &lt;=50, "Medium", $W473 &lt;= 70, "High", $W473 &gt; 70, "Critical")</f>
        <v>High</v>
      </c>
      <c r="Y473" s="9">
        <f t="shared" si="40"/>
        <v>0.18098048914322287</v>
      </c>
      <c r="Z473" s="22">
        <f t="shared" si="41"/>
        <v>87.471800076508515</v>
      </c>
    </row>
    <row r="474" spans="1:26">
      <c r="A474" s="24" t="str">
        <v>CUST-1644</v>
      </c>
      <c r="B474" s="24" t="str">
        <v>At-Risk Churner</v>
      </c>
      <c r="C474" s="24" t="str">
        <v>Direct</v>
      </c>
      <c r="D474" s="24" t="str">
        <v>UK</v>
      </c>
      <c r="E474" s="24" t="str">
        <v>45-54</v>
      </c>
      <c r="F474" s="24" t="str">
        <v>Low</v>
      </c>
      <c r="G474" s="24">
        <v>3</v>
      </c>
      <c r="H474" s="24">
        <v>89</v>
      </c>
      <c r="I474" s="23">
        <v>394.47</v>
      </c>
      <c r="J474" s="24" cm="1">
        <f t="array" ref="J474">SUMPRODUCT(
    (Transactions_and_Customer_Information_Joined[Customer ID]='V1-Based Churn Model (Step 3)'!$A474) *
    (IFERROR(_xlfn.XLOOKUP(Transactions_and_Customer_Information_Joined[SKU], 'V1 Pricing Model (Step 2)'!$A$22:$A$71, 'V1 Pricing Model (Step 2)'!$AL$22:$AL$71), "Exclude")&lt;&gt;"Exclude") *
    Transactions_and_Customer_Information_Joined[Gross Revenue])</f>
        <v>549.94999999999993</v>
      </c>
      <c r="K474" s="24">
        <f>SUMIF(Transactions_and_Customer_Information_Joined[Customer ID], 'V1-Based Churn Model (Step 3)'!$A474, Transactions_and_Customer_Information_Joined[Gross Revenue])</f>
        <v>549.94999999999993</v>
      </c>
      <c r="L474" s="3">
        <f t="shared" si="36"/>
        <v>1</v>
      </c>
      <c r="M474" s="21">
        <v>3.7264027854690532E-2</v>
      </c>
      <c r="N474" s="21" cm="1">
        <f t="array" ref="N474">SUMPRODUCT(
    (Transactions_and_Customer_Information_Joined[Customer ID]=$A474)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74" s="21" cm="1">
        <f t="array" ref="O474">IFERROR(
    SUMPRODUCT(
        (Transactions_and_Customer_Information_Joined[Customer ID]=$A474)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$J474,
0)</f>
        <v>1.4630055104585543E-2</v>
      </c>
      <c r="P474" s="5" cm="1">
        <f t="array" ref="P474">_xlfn.IFS(B474="At-Risk Churner",$B$2,$B474="Dormant",$B$3,$B474="Deal Hunter",$B$4,$B474="New Customer",$B$5,$B474="Occasional Buyer",$B$6,$B474="Loyal High-Value",$B$7)</f>
        <v>70</v>
      </c>
      <c r="Q474" s="9" cm="1">
        <f t="array" ref="Q474">_xlfn.IFS($B474 = "At-Risk Churner", $B$8, $B474="Dormant",$B$9, $B474="Deal Hunter", $B$10, $B474="New Customer", $B$11, $B474="Occasional Buyer", $B$12, $B474 = "Loyal High-Value",$B$13)</f>
        <v>0.45</v>
      </c>
      <c r="R474" s="5">
        <v>-5</v>
      </c>
      <c r="S474" s="5">
        <v>10</v>
      </c>
      <c r="T474" s="5">
        <v>0</v>
      </c>
      <c r="U474" s="5">
        <f t="shared" si="37"/>
        <v>15</v>
      </c>
      <c r="V474" s="5">
        <f t="shared" si="38"/>
        <v>1.0378816591855213</v>
      </c>
      <c r="W474" s="43">
        <f t="shared" si="39"/>
        <v>91.625381659185521</v>
      </c>
      <c r="X474" s="5" t="str" cm="1">
        <f t="array" ref="X474">_xlfn.IFS($W474 &lt;= 30, "Low", $W474 &lt;=50, "Medium", $W474 &lt;= 70, "High", $W474 &gt; 70, "Critical")</f>
        <v>Critical</v>
      </c>
      <c r="Y474" s="9">
        <f t="shared" si="40"/>
        <v>0.4431017941139177</v>
      </c>
      <c r="Z474" s="22">
        <f t="shared" si="41"/>
        <v>174.79036472411713</v>
      </c>
    </row>
    <row r="475" spans="1:26">
      <c r="A475" s="24" t="str">
        <v>CUST-4922</v>
      </c>
      <c r="B475" s="24" t="str">
        <v>Deal Hunter</v>
      </c>
      <c r="C475" s="24" t="str">
        <v>Influencer</v>
      </c>
      <c r="D475" s="24" t="str">
        <v>Northeast</v>
      </c>
      <c r="E475" s="24" t="str">
        <v>35-44</v>
      </c>
      <c r="F475" s="24" t="str">
        <v>Medium</v>
      </c>
      <c r="G475" s="24">
        <v>6</v>
      </c>
      <c r="H475" s="24">
        <v>139</v>
      </c>
      <c r="I475" s="23">
        <v>184.99</v>
      </c>
      <c r="J475" s="24" cm="1">
        <f t="array" ref="J475">SUMPRODUCT(
    (Transactions_and_Customer_Information_Joined[Customer ID]='V1-Based Churn Model (Step 3)'!$A475) *
    (IFERROR(_xlfn.XLOOKUP(Transactions_and_Customer_Information_Joined[SKU], 'V1 Pricing Model (Step 2)'!$A$22:$A$71, 'V1 Pricing Model (Step 2)'!$AL$22:$AL$71), "Exclude")&lt;&gt;"Exclude") *
    Transactions_and_Customer_Information_Joined[Gross Revenue])</f>
        <v>99.6</v>
      </c>
      <c r="K475" s="24">
        <f>SUMIF(Transactions_and_Customer_Information_Joined[Customer ID], 'V1-Based Churn Model (Step 3)'!$A475, Transactions_and_Customer_Information_Joined[Gross Revenue])</f>
        <v>99.6</v>
      </c>
      <c r="L475" s="3">
        <f t="shared" si="36"/>
        <v>1</v>
      </c>
      <c r="M475" s="21">
        <v>-0.13274948234794526</v>
      </c>
      <c r="N475" s="21" cm="1">
        <f t="array" ref="N475">SUMPRODUCT(
    (Transactions_and_Customer_Information_Joined[Customer ID]=$A475)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75" s="21" cm="1">
        <f t="array" ref="O475">IFERROR(
    SUMPRODUCT(
        (Transactions_and_Customer_Information_Joined[Customer ID]=$A475)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$J475,
0)</f>
        <v>-0.13274948234794526</v>
      </c>
      <c r="P475" s="5" cm="1">
        <f t="array" ref="P475">_xlfn.IFS(B475="At-Risk Churner",$B$2,$B475="Dormant",$B$3,$B475="Deal Hunter",$B$4,$B475="New Customer",$B$5,$B475="Occasional Buyer",$B$6,$B475="Loyal High-Value",$B$7)</f>
        <v>45</v>
      </c>
      <c r="Q475" s="9" cm="1">
        <f t="array" ref="Q475">_xlfn.IFS($B475 = "At-Risk Churner", $B$8, $B475="Dormant",$B$9, $B475="Deal Hunter", $B$10, $B475="New Customer", $B$11, $B475="Occasional Buyer", $B$12, $B475 = "Loyal High-Value",$B$13)</f>
        <v>0.25</v>
      </c>
      <c r="R475" s="5">
        <v>5</v>
      </c>
      <c r="S475" s="5">
        <v>0</v>
      </c>
      <c r="T475" s="5">
        <v>0</v>
      </c>
      <c r="U475" s="5">
        <f t="shared" si="37"/>
        <v>15</v>
      </c>
      <c r="V475" s="5">
        <f t="shared" si="38"/>
        <v>5.3099792939178103</v>
      </c>
      <c r="W475" s="43">
        <f t="shared" si="39"/>
        <v>70.422479293917803</v>
      </c>
      <c r="X475" s="5" t="str" cm="1">
        <f t="array" ref="X475">_xlfn.IFS($W475 &lt;= 30, "Low", $W475 &lt;=50, "Medium", $W475 &lt;= 70, "High", $W475 &gt; 70, "Critical")</f>
        <v>Critical</v>
      </c>
      <c r="Y475" s="9">
        <f t="shared" si="40"/>
        <v>0.22129049211841376</v>
      </c>
      <c r="Z475" s="22">
        <f t="shared" si="41"/>
        <v>40.936528136985366</v>
      </c>
    </row>
    <row r="476" spans="1:26">
      <c r="A476" s="24" t="str">
        <v>CUST-4767</v>
      </c>
      <c r="B476" s="24" t="str">
        <v>At-Risk Churner</v>
      </c>
      <c r="C476" s="24" t="str">
        <v>Paid Social</v>
      </c>
      <c r="D476" s="24" t="str">
        <v>Midwest</v>
      </c>
      <c r="E476" s="24" t="str">
        <v>25-34</v>
      </c>
      <c r="F476" s="24" t="str">
        <v>Low</v>
      </c>
      <c r="G476" s="24">
        <v>2</v>
      </c>
      <c r="H476" s="24">
        <v>179</v>
      </c>
      <c r="I476" s="23">
        <v>288.17</v>
      </c>
      <c r="J476" s="24" cm="1">
        <f t="array" ref="J476">SUMPRODUCT(
    (Transactions_and_Customer_Information_Joined[Customer ID]='V1-Based Churn Model (Step 3)'!$A476) *
    (IFERROR(_xlfn.XLOOKUP(Transactions_and_Customer_Information_Joined[SKU], 'V1 Pricing Model (Step 2)'!$A$22:$A$71, 'V1 Pricing Model (Step 2)'!$AL$22:$AL$71), "Exclude")&lt;&gt;"Exclude") *
    Transactions_and_Customer_Information_Joined[Gross Revenue])</f>
        <v>53.4</v>
      </c>
      <c r="K476" s="24">
        <f>SUMIF(Transactions_and_Customer_Information_Joined[Customer ID], 'V1-Based Churn Model (Step 3)'!$A476, Transactions_and_Customer_Information_Joined[Gross Revenue])</f>
        <v>53.4</v>
      </c>
      <c r="L476" s="3">
        <f t="shared" si="36"/>
        <v>1</v>
      </c>
      <c r="M476" s="21">
        <v>7.5818801139291682E-3</v>
      </c>
      <c r="N476" s="21" cm="1">
        <f t="array" ref="N476">SUMPRODUCT(
    (Transactions_and_Customer_Information_Joined[Customer ID]=$A476)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76" s="21" cm="1">
        <f t="array" ref="O476">IFERROR(
    SUMPRODUCT(
        (Transactions_and_Customer_Information_Joined[Customer ID]=$A476)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$J476,
0)</f>
        <v>7.5818801139291682E-3</v>
      </c>
      <c r="P476" s="5" cm="1">
        <f t="array" ref="P476">_xlfn.IFS(B476="At-Risk Churner",$B$2,$B476="Dormant",$B$3,$B476="Deal Hunter",$B$4,$B476="New Customer",$B$5,$B476="Occasional Buyer",$B$6,$B476="Loyal High-Value",$B$7)</f>
        <v>70</v>
      </c>
      <c r="Q476" s="9" cm="1">
        <f t="array" ref="Q476">_xlfn.IFS($B476 = "At-Risk Churner", $B$8, $B476="Dormant",$B$9, $B476="Deal Hunter", $B$10, $B476="New Customer", $B$11, $B476="Occasional Buyer", $B$12, $B476 = "Loyal High-Value",$B$13)</f>
        <v>0.45</v>
      </c>
      <c r="R476" s="5">
        <v>-5</v>
      </c>
      <c r="S476" s="5">
        <v>10</v>
      </c>
      <c r="T476" s="5">
        <v>0</v>
      </c>
      <c r="U476" s="5">
        <f t="shared" si="37"/>
        <v>15</v>
      </c>
      <c r="V476" s="5">
        <f t="shared" si="38"/>
        <v>0.30327520455716672</v>
      </c>
      <c r="W476" s="43">
        <f t="shared" si="39"/>
        <v>90.890775204557173</v>
      </c>
      <c r="X476" s="5" t="str" cm="1">
        <f t="array" ref="X476">_xlfn.IFS($W476 &lt;= 30, "Low", $W476 &lt;=50, "Medium", $W476 &lt;= 70, "High", $W476 &gt; 70, "Critical")</f>
        <v>Critical</v>
      </c>
      <c r="Y476" s="9">
        <f t="shared" si="40"/>
        <v>0.44258463505603474</v>
      </c>
      <c r="Z476" s="22">
        <f t="shared" si="41"/>
        <v>127.53961428409754</v>
      </c>
    </row>
    <row r="477" spans="1:26">
      <c r="A477" s="24" t="str">
        <v>CUST-1765</v>
      </c>
      <c r="B477" s="24" t="str">
        <v>Dormant</v>
      </c>
      <c r="C477" s="24" t="str">
        <v>Direct</v>
      </c>
      <c r="D477" s="24" t="str">
        <v>Southwest</v>
      </c>
      <c r="E477" s="24" t="str">
        <v>18-24</v>
      </c>
      <c r="F477" s="24" t="str">
        <v>Medium</v>
      </c>
      <c r="G477" s="24">
        <v>4</v>
      </c>
      <c r="H477" s="24">
        <v>25</v>
      </c>
      <c r="I477" s="23">
        <v>65.150000000000006</v>
      </c>
      <c r="J477" s="24" cm="1">
        <f t="array" ref="J477">SUMPRODUCT(
    (Transactions_and_Customer_Information_Joined[Customer ID]='V1-Based Churn Model (Step 3)'!$A477) *
    (IFERROR(_xlfn.XLOOKUP(Transactions_and_Customer_Information_Joined[SKU], 'V1 Pricing Model (Step 2)'!$A$22:$A$71, 'V1 Pricing Model (Step 2)'!$AL$22:$AL$71), "Exclude")&lt;&gt;"Exclude") *
    Transactions_and_Customer_Information_Joined[Gross Revenue])</f>
        <v>280.23</v>
      </c>
      <c r="K477" s="24">
        <f>SUMIF(Transactions_and_Customer_Information_Joined[Customer ID], 'V1-Based Churn Model (Step 3)'!$A477, Transactions_and_Customer_Information_Joined[Gross Revenue])</f>
        <v>280.23</v>
      </c>
      <c r="L477" s="3">
        <f t="shared" si="36"/>
        <v>1</v>
      </c>
      <c r="M477" s="21">
        <v>-6.1928730463004879E-2</v>
      </c>
      <c r="N477" s="21" cm="1">
        <f t="array" ref="N477">SUMPRODUCT(
    (Transactions_and_Customer_Information_Joined[Customer ID]=$A477)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77" s="21" cm="1">
        <f t="array" ref="O477">IFERROR(
    SUMPRODUCT(
        (Transactions_and_Customer_Information_Joined[Customer ID]=$A477)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$J477,
0)</f>
        <v>-6.1928730463004886E-2</v>
      </c>
      <c r="P477" s="5" cm="1">
        <f t="array" ref="P477">_xlfn.IFS(B477="At-Risk Churner",$B$2,$B477="Dormant",$B$3,$B477="Deal Hunter",$B$4,$B477="New Customer",$B$5,$B477="Occasional Buyer",$B$6,$B477="Loyal High-Value",$B$7)</f>
        <v>65</v>
      </c>
      <c r="Q477" s="9" cm="1">
        <f t="array" ref="Q477">_xlfn.IFS($B477 = "At-Risk Churner", $B$8, $B477="Dormant",$B$9, $B477="Deal Hunter", $B$10, $B477="New Customer", $B$11, $B477="Occasional Buyer", $B$12, $B477 = "Loyal High-Value",$B$13)</f>
        <v>0.6</v>
      </c>
      <c r="R477" s="5">
        <v>5</v>
      </c>
      <c r="S477" s="5">
        <v>0</v>
      </c>
      <c r="T477" s="5">
        <v>-5</v>
      </c>
      <c r="U477" s="5">
        <f t="shared" si="37"/>
        <v>15</v>
      </c>
      <c r="V477" s="5">
        <f t="shared" si="38"/>
        <v>2.4771492185201955</v>
      </c>
      <c r="W477" s="43">
        <f t="shared" si="39"/>
        <v>82.589649218520194</v>
      </c>
      <c r="X477" s="5" t="str" cm="1">
        <f t="array" ref="X477">_xlfn.IFS($W477 &lt;= 30, "Low", $W477 &lt;=50, "Medium", $W477 &lt;= 70, "High", $W477 &gt; 70, "Critical")</f>
        <v>Critical</v>
      </c>
      <c r="Y477" s="9">
        <f t="shared" si="40"/>
        <v>0.57779635300807319</v>
      </c>
      <c r="Z477" s="22">
        <f t="shared" si="41"/>
        <v>37.643432398475973</v>
      </c>
    </row>
    <row r="478" spans="1:26">
      <c r="A478" s="24" t="str">
        <v>CUST-3806</v>
      </c>
      <c r="B478" s="24" t="str">
        <v>Dormant</v>
      </c>
      <c r="C478" s="24" t="str">
        <v>Direct</v>
      </c>
      <c r="D478" s="24" t="str">
        <v>Southwest</v>
      </c>
      <c r="E478" s="24" t="str">
        <v>25-34</v>
      </c>
      <c r="F478" s="24" t="str">
        <v>Medium</v>
      </c>
      <c r="G478" s="24">
        <v>3</v>
      </c>
      <c r="H478" s="24">
        <v>235</v>
      </c>
      <c r="I478" s="23">
        <v>45.62</v>
      </c>
      <c r="J478" s="24" cm="1">
        <f t="array" ref="J478">SUMPRODUCT(
    (Transactions_and_Customer_Information_Joined[Customer ID]='V1-Based Churn Model (Step 3)'!$A478)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478" s="24">
        <f>SUMIF(Transactions_and_Customer_Information_Joined[Customer ID], 'V1-Based Churn Model (Step 3)'!$A478, Transactions_and_Customer_Information_Joined[Gross Revenue])</f>
        <v>308.06</v>
      </c>
      <c r="L478" s="3">
        <f t="shared" si="36"/>
        <v>0</v>
      </c>
      <c r="M478" s="21">
        <v>0</v>
      </c>
      <c r="N478" s="21" cm="1">
        <f t="array" ref="N478">SUMPRODUCT(
    (Transactions_and_Customer_Information_Joined[Customer ID]=$A478)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478" s="21" cm="1">
        <f t="array" ref="O478">IFERROR(
    SUMPRODUCT(
        (Transactions_and_Customer_Information_Joined[Customer ID]=$A478)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$J478,
0)</f>
        <v>0</v>
      </c>
      <c r="P478" s="5" cm="1">
        <f t="array" ref="P478">_xlfn.IFS(B478="At-Risk Churner",$B$2,$B478="Dormant",$B$3,$B478="Deal Hunter",$B$4,$B478="New Customer",$B$5,$B478="Occasional Buyer",$B$6,$B478="Loyal High-Value",$B$7)</f>
        <v>65</v>
      </c>
      <c r="Q478" s="9" cm="1">
        <f t="array" ref="Q478">_xlfn.IFS($B478 = "At-Risk Churner", $B$8, $B478="Dormant",$B$9, $B478="Deal Hunter", $B$10, $B478="New Customer", $B$11, $B478="Occasional Buyer", $B$12, $B478 = "Loyal High-Value",$B$13)</f>
        <v>0.6</v>
      </c>
      <c r="R478" s="5">
        <v>5</v>
      </c>
      <c r="S478" s="5">
        <v>10</v>
      </c>
      <c r="T478" s="5">
        <v>8</v>
      </c>
      <c r="U478" s="5">
        <f t="shared" si="37"/>
        <v>0</v>
      </c>
      <c r="V478" s="5">
        <f t="shared" si="38"/>
        <v>0</v>
      </c>
      <c r="W478" s="43">
        <f t="shared" si="39"/>
        <v>88.65</v>
      </c>
      <c r="X478" s="5" t="str" cm="1">
        <f t="array" ref="X478">_xlfn.IFS($W478 &lt;= 30, "Low", $W478 &lt;=50, "Medium", $W478 &lt;= 70, "High", $W478 &gt; 70, "Critical")</f>
        <v>Critical</v>
      </c>
      <c r="Y478" s="9">
        <f t="shared" si="40"/>
        <v>0.58768049927591126</v>
      </c>
      <c r="Z478" s="22">
        <f t="shared" si="41"/>
        <v>26.809984376967069</v>
      </c>
    </row>
    <row r="479" spans="1:26">
      <c r="A479" s="24" t="str">
        <v>CUST-2498</v>
      </c>
      <c r="B479" s="24" t="str">
        <v>Occasional Buyer</v>
      </c>
      <c r="C479" s="24" t="str">
        <v>Direct</v>
      </c>
      <c r="D479" s="24" t="str">
        <v>Midwest</v>
      </c>
      <c r="E479" s="24" t="str">
        <v>35-44</v>
      </c>
      <c r="F479" s="24" t="str">
        <v>High</v>
      </c>
      <c r="G479" s="24">
        <v>6</v>
      </c>
      <c r="H479" s="24">
        <v>257</v>
      </c>
      <c r="I479" s="23">
        <v>598.63</v>
      </c>
      <c r="J479" s="24" cm="1">
        <f t="array" ref="J479">SUMPRODUCT(
    (Transactions_and_Customer_Information_Joined[Customer ID]='V1-Based Churn Model (Step 3)'!$A479) *
    (IFERROR(_xlfn.XLOOKUP(Transactions_and_Customer_Information_Joined[SKU], 'V1 Pricing Model (Step 2)'!$A$22:$A$71, 'V1 Pricing Model (Step 2)'!$AL$22:$AL$71), "Exclude")&lt;&gt;"Exclude") *
    Transactions_and_Customer_Information_Joined[Gross Revenue])</f>
        <v>1083.1399999999999</v>
      </c>
      <c r="K479" s="24">
        <f>SUMIF(Transactions_and_Customer_Information_Joined[Customer ID], 'V1-Based Churn Model (Step 3)'!$A479, Transactions_and_Customer_Information_Joined[Gross Revenue])</f>
        <v>1083.1399999999999</v>
      </c>
      <c r="L479" s="3">
        <f t="shared" si="36"/>
        <v>1</v>
      </c>
      <c r="M479" s="21">
        <v>0.16615780750618397</v>
      </c>
      <c r="N479" s="21" cm="1">
        <f t="array" ref="N479">SUMPRODUCT(
    (Transactions_and_Customer_Information_Joined[Customer ID]=$A479)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79" s="21" cm="1">
        <f t="array" ref="O479">IFERROR(
    SUMPRODUCT(
        (Transactions_and_Customer_Information_Joined[Customer ID]=$A479)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$J479,
0)</f>
        <v>0.12430605806365996</v>
      </c>
      <c r="P479" s="5" cm="1">
        <f t="array" ref="P479">_xlfn.IFS(B479="At-Risk Churner",$B$2,$B479="Dormant",$B$3,$B479="Deal Hunter",$B$4,$B479="New Customer",$B$5,$B479="Occasional Buyer",$B$6,$B479="Loyal High-Value",$B$7)</f>
        <v>25</v>
      </c>
      <c r="Q479" s="9" cm="1">
        <f t="array" ref="Q479">_xlfn.IFS($B479 = "At-Risk Churner", $B$8, $B479="Dormant",$B$9, $B479="Deal Hunter", $B$10, $B479="New Customer", $B$11, $B479="Occasional Buyer", $B$12, $B479 = "Loyal High-Value",$B$13)</f>
        <v>0.18</v>
      </c>
      <c r="R479" s="5">
        <v>15</v>
      </c>
      <c r="S479" s="5">
        <v>0</v>
      </c>
      <c r="T479" s="5">
        <v>8</v>
      </c>
      <c r="U479" s="5">
        <f t="shared" si="37"/>
        <v>15</v>
      </c>
      <c r="V479" s="5">
        <f t="shared" si="38"/>
        <v>5.8092773113968788</v>
      </c>
      <c r="W479" s="43">
        <f t="shared" si="39"/>
        <v>69.146777311396889</v>
      </c>
      <c r="X479" s="5" t="str" cm="1">
        <f t="array" ref="X479">_xlfn.IFS($W479 &lt;= 30, "Low", $W479 &lt;=50, "Medium", $W479 &lt;= 70, "High", $W479 &gt; 70, "Critical")</f>
        <v>High</v>
      </c>
      <c r="Y479" s="9">
        <f t="shared" si="40"/>
        <v>0.15687787592847258</v>
      </c>
      <c r="Z479" s="22">
        <f t="shared" si="41"/>
        <v>194.85544229364925</v>
      </c>
    </row>
    <row r="480" spans="1:26">
      <c r="A480" s="24" t="str">
        <v>CUST-2804</v>
      </c>
      <c r="B480" s="24" t="str">
        <v>At-Risk Churner</v>
      </c>
      <c r="C480" s="24" t="str">
        <v>Email Campaign</v>
      </c>
      <c r="D480" s="24" t="str">
        <v>UK</v>
      </c>
      <c r="E480" s="24" t="str">
        <v>45-54</v>
      </c>
      <c r="F480" s="24" t="str">
        <v>Low</v>
      </c>
      <c r="G480" s="24">
        <v>6</v>
      </c>
      <c r="H480" s="24">
        <v>66</v>
      </c>
      <c r="I480" s="23">
        <v>320.02999999999997</v>
      </c>
      <c r="J480" s="24" cm="1">
        <f t="array" ref="J480">SUMPRODUCT(
    (Transactions_and_Customer_Information_Joined[Customer ID]='V1-Based Churn Model (Step 3)'!$A480) *
    (IFERROR(_xlfn.XLOOKUP(Transactions_and_Customer_Information_Joined[SKU], 'V1 Pricing Model (Step 2)'!$A$22:$A$71, 'V1 Pricing Model (Step 2)'!$AL$22:$AL$71), "Exclude")&lt;&gt;"Exclude") *
    Transactions_and_Customer_Information_Joined[Gross Revenue])</f>
        <v>106.8</v>
      </c>
      <c r="K480" s="24">
        <f>SUMIF(Transactions_and_Customer_Information_Joined[Customer ID], 'V1-Based Churn Model (Step 3)'!$A480, Transactions_and_Customer_Information_Joined[Gross Revenue])</f>
        <v>106.8</v>
      </c>
      <c r="L480" s="3">
        <f t="shared" si="36"/>
        <v>1</v>
      </c>
      <c r="M480" s="21">
        <v>7.5818801139291682E-3</v>
      </c>
      <c r="N480" s="21" cm="1">
        <f t="array" ref="N480">SUMPRODUCT(
    (Transactions_and_Customer_Information_Joined[Customer ID]=$A480)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80" s="21" cm="1">
        <f t="array" ref="O480">IFERROR(
    SUMPRODUCT(
        (Transactions_and_Customer_Information_Joined[Customer ID]=$A480)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$J480,
0)</f>
        <v>7.5818801139291682E-3</v>
      </c>
      <c r="P480" s="5" cm="1">
        <f t="array" ref="P480">_xlfn.IFS(B480="At-Risk Churner",$B$2,$B480="Dormant",$B$3,$B480="Deal Hunter",$B$4,$B480="New Customer",$B$5,$B480="Occasional Buyer",$B$6,$B480="Loyal High-Value",$B$7)</f>
        <v>70</v>
      </c>
      <c r="Q480" s="9" cm="1">
        <f t="array" ref="Q480">_xlfn.IFS($B480 = "At-Risk Churner", $B$8, $B480="Dormant",$B$9, $B480="Deal Hunter", $B$10, $B480="New Customer", $B$11, $B480="Occasional Buyer", $B$12, $B480 = "Loyal High-Value",$B$13)</f>
        <v>0.45</v>
      </c>
      <c r="R480" s="5">
        <v>-5</v>
      </c>
      <c r="S480" s="5">
        <v>0</v>
      </c>
      <c r="T480" s="5">
        <v>0</v>
      </c>
      <c r="U480" s="5">
        <f t="shared" si="37"/>
        <v>15</v>
      </c>
      <c r="V480" s="5">
        <f t="shared" si="38"/>
        <v>0.30327520455716672</v>
      </c>
      <c r="W480" s="43">
        <f t="shared" si="39"/>
        <v>80.19077520455717</v>
      </c>
      <c r="X480" s="5" t="str" cm="1">
        <f t="array" ref="X480">_xlfn.IFS($W480 &lt;= 30, "Low", $W480 &lt;=50, "Medium", $W480 &lt;= 70, "High", $W480 &gt; 70, "Critical")</f>
        <v>Critical</v>
      </c>
      <c r="Y480" s="9">
        <f t="shared" si="40"/>
        <v>0.42904286198850461</v>
      </c>
      <c r="Z480" s="22">
        <f t="shared" si="41"/>
        <v>137.30658712218113</v>
      </c>
    </row>
    <row r="481" spans="1:26">
      <c r="A481" s="24" t="str">
        <v>CUST-1217</v>
      </c>
      <c r="B481" s="24" t="str">
        <v>Dormant</v>
      </c>
      <c r="C481" s="24" t="str">
        <v>Paid Social</v>
      </c>
      <c r="D481" s="24" t="str">
        <v>Southwest</v>
      </c>
      <c r="E481" s="24" t="str">
        <v>45-54</v>
      </c>
      <c r="F481" s="24" t="str">
        <v>Low</v>
      </c>
      <c r="G481" s="24">
        <v>3</v>
      </c>
      <c r="H481" s="24">
        <v>173</v>
      </c>
      <c r="I481" s="23">
        <v>31.35</v>
      </c>
      <c r="J481" s="24" cm="1">
        <f t="array" ref="J481">SUMPRODUCT(
    (Transactions_and_Customer_Information_Joined[Customer ID]='V1-Based Churn Model (Step 3)'!$A481) *
    (IFERROR(_xlfn.XLOOKUP(Transactions_and_Customer_Information_Joined[SKU], 'V1 Pricing Model (Step 2)'!$A$22:$A$71, 'V1 Pricing Model (Step 2)'!$AL$22:$AL$71), "Exclude")&lt;&gt;"Exclude") *
    Transactions_and_Customer_Information_Joined[Gross Revenue])</f>
        <v>113.18</v>
      </c>
      <c r="K481" s="24">
        <f>SUMIF(Transactions_and_Customer_Information_Joined[Customer ID], 'V1-Based Churn Model (Step 3)'!$A481, Transactions_and_Customer_Information_Joined[Gross Revenue])</f>
        <v>113.18</v>
      </c>
      <c r="L481" s="3">
        <f t="shared" si="36"/>
        <v>1</v>
      </c>
      <c r="M481" s="21">
        <v>7.8578478868305213E-2</v>
      </c>
      <c r="N481" s="21" cm="1">
        <f t="array" ref="N481">SUMPRODUCT(
    (Transactions_and_Customer_Information_Joined[Customer ID]=$A481)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81" s="21" cm="1">
        <f t="array" ref="O481">IFERROR(
    SUMPRODUCT(
        (Transactions_and_Customer_Information_Joined[Customer ID]=$A481)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$J481,
0)</f>
        <v>7.8578478868305213E-2</v>
      </c>
      <c r="P481" s="5" cm="1">
        <f t="array" ref="P481">_xlfn.IFS(B481="At-Risk Churner",$B$2,$B481="Dormant",$B$3,$B481="Deal Hunter",$B$4,$B481="New Customer",$B$5,$B481="Occasional Buyer",$B$6,$B481="Loyal High-Value",$B$7)</f>
        <v>65</v>
      </c>
      <c r="Q481" s="9" cm="1">
        <f t="array" ref="Q481">_xlfn.IFS($B481 = "At-Risk Churner", $B$8, $B481="Dormant",$B$9, $B481="Deal Hunter", $B$10, $B481="New Customer", $B$11, $B481="Occasional Buyer", $B$12, $B481 = "Loyal High-Value",$B$13)</f>
        <v>0.6</v>
      </c>
      <c r="R481" s="5">
        <v>-5</v>
      </c>
      <c r="S481" s="5">
        <v>10</v>
      </c>
      <c r="T481" s="5">
        <v>0</v>
      </c>
      <c r="U481" s="5">
        <f t="shared" si="37"/>
        <v>15</v>
      </c>
      <c r="V481" s="5">
        <f t="shared" si="38"/>
        <v>3.1431391547322085</v>
      </c>
      <c r="W481" s="43">
        <f t="shared" si="39"/>
        <v>88.680639154732219</v>
      </c>
      <c r="X481" s="5" t="str" cm="1">
        <f t="array" ref="X481">_xlfn.IFS($W481 &lt;= 30, "Low", $W481 &lt;=50, "Medium", $W481 &lt;= 70, "High", $W481 &gt; 70, "Critical")</f>
        <v>Critical</v>
      </c>
      <c r="Y481" s="9">
        <f t="shared" si="40"/>
        <v>0.58771741590570536</v>
      </c>
      <c r="Z481" s="22">
        <f t="shared" si="41"/>
        <v>18.424940988643865</v>
      </c>
    </row>
    <row r="482" spans="1:26">
      <c r="A482" s="24" t="str">
        <v>CUST-2571</v>
      </c>
      <c r="B482" s="24" t="str">
        <v>Loyal High-Value</v>
      </c>
      <c r="C482" s="24" t="str">
        <v>Paid Social</v>
      </c>
      <c r="D482" s="24" t="str">
        <v>Southwest</v>
      </c>
      <c r="E482" s="24" t="str">
        <v>55+</v>
      </c>
      <c r="F482" s="24" t="str">
        <v>High</v>
      </c>
      <c r="G482" s="24">
        <v>1</v>
      </c>
      <c r="H482" s="24">
        <v>283</v>
      </c>
      <c r="I482" s="23">
        <v>940.01</v>
      </c>
      <c r="J482" s="24" cm="1">
        <f t="array" ref="J482">SUMPRODUCT(
    (Transactions_and_Customer_Information_Joined[Customer ID]='V1-Based Churn Model (Step 3)'!$A482)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482" s="24">
        <f>SUMIF(Transactions_and_Customer_Information_Joined[Customer ID], 'V1-Based Churn Model (Step 3)'!$A482, Transactions_and_Customer_Information_Joined[Gross Revenue])</f>
        <v>207.92</v>
      </c>
      <c r="L482" s="3">
        <f t="shared" si="36"/>
        <v>0</v>
      </c>
      <c r="M482" s="21">
        <v>0</v>
      </c>
      <c r="N482" s="21" cm="1">
        <f t="array" ref="N482">SUMPRODUCT(
    (Transactions_and_Customer_Information_Joined[Customer ID]=$A482)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482" s="21" cm="1">
        <f t="array" ref="O482">IFERROR(
    SUMPRODUCT(
        (Transactions_and_Customer_Information_Joined[Customer ID]=$A482)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$J482,
0)</f>
        <v>0</v>
      </c>
      <c r="P482" s="5" cm="1">
        <f t="array" ref="P482">_xlfn.IFS(B482="At-Risk Churner",$B$2,$B482="Dormant",$B$3,$B482="Deal Hunter",$B$4,$B482="New Customer",$B$5,$B482="Occasional Buyer",$B$6,$B482="Loyal High-Value",$B$7)</f>
        <v>15</v>
      </c>
      <c r="Q482" s="9" cm="1">
        <f t="array" ref="Q482">_xlfn.IFS($B482 = "At-Risk Churner", $B$8, $B482="Dormant",$B$9, $B482="Deal Hunter", $B$10, $B482="New Customer", $B$11, $B482="Occasional Buyer", $B$12, $B482 = "Loyal High-Value",$B$13)</f>
        <v>0.05</v>
      </c>
      <c r="R482" s="5">
        <v>15</v>
      </c>
      <c r="S482" s="5">
        <v>10</v>
      </c>
      <c r="T482" s="5">
        <v>8</v>
      </c>
      <c r="U482" s="5">
        <f t="shared" si="37"/>
        <v>0</v>
      </c>
      <c r="V482" s="5">
        <f t="shared" si="38"/>
        <v>0</v>
      </c>
      <c r="W482" s="43">
        <f t="shared" si="39"/>
        <v>48.15</v>
      </c>
      <c r="X482" s="5" t="str" cm="1">
        <f t="array" ref="X482">_xlfn.IFS($W482 &lt;= 30, "Low", $W482 &lt;=50, "Medium", $W482 &lt;= 70, "High", $W482 &gt; 70, "Critical")</f>
        <v>Medium</v>
      </c>
      <c r="Y482" s="9">
        <f t="shared" si="40"/>
        <v>2.2694072947711016E-2</v>
      </c>
      <c r="Z482" s="22">
        <f t="shared" si="41"/>
        <v>205.06812440926228</v>
      </c>
    </row>
    <row r="483" spans="1:26">
      <c r="A483" s="24" t="str">
        <v>CUST-1229</v>
      </c>
      <c r="B483" s="24" t="str">
        <v>New Customer</v>
      </c>
      <c r="C483" s="24" t="str">
        <v>Email Campaign</v>
      </c>
      <c r="D483" s="24" t="str">
        <v>Midwest</v>
      </c>
      <c r="E483" s="24" t="str">
        <v>25-34</v>
      </c>
      <c r="F483" s="24" t="str">
        <v>Medium</v>
      </c>
      <c r="G483" s="24">
        <v>6</v>
      </c>
      <c r="H483" s="24">
        <v>98</v>
      </c>
      <c r="I483" s="23">
        <v>65.72</v>
      </c>
      <c r="J483" s="24" cm="1">
        <f t="array" ref="J483">SUMPRODUCT(
    (Transactions_and_Customer_Information_Joined[Customer ID]='V1-Based Churn Model (Step 3)'!$A483) *
    (IFERROR(_xlfn.XLOOKUP(Transactions_and_Customer_Information_Joined[SKU], 'V1 Pricing Model (Step 2)'!$A$22:$A$71, 'V1 Pricing Model (Step 2)'!$AL$22:$AL$71), "Exclude")&lt;&gt;"Exclude") *
    Transactions_and_Customer_Information_Joined[Gross Revenue])</f>
        <v>98.51</v>
      </c>
      <c r="K483" s="24">
        <f>SUMIF(Transactions_and_Customer_Information_Joined[Customer ID], 'V1-Based Churn Model (Step 3)'!$A483, Transactions_and_Customer_Information_Joined[Gross Revenue])</f>
        <v>98.51</v>
      </c>
      <c r="L483" s="3">
        <f t="shared" si="36"/>
        <v>1</v>
      </c>
      <c r="M483" s="21">
        <v>0.17380489413507264</v>
      </c>
      <c r="N483" s="21" cm="1">
        <f t="array" ref="N483">SUMPRODUCT(
    (Transactions_and_Customer_Information_Joined[Customer ID]=$A483)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83" s="21" cm="1">
        <f t="array" ref="O483">IFERROR(
    SUMPRODUCT(
        (Transactions_and_Customer_Information_Joined[Customer ID]=$A483)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$J483,
0)</f>
        <v>0.17380489413507264</v>
      </c>
      <c r="P483" s="5" cm="1">
        <f t="array" ref="P483">_xlfn.IFS(B483="At-Risk Churner",$B$2,$B483="Dormant",$B$3,$B483="Deal Hunter",$B$4,$B483="New Customer",$B$5,$B483="Occasional Buyer",$B$6,$B483="Loyal High-Value",$B$7)</f>
        <v>35</v>
      </c>
      <c r="Q483" s="9" cm="1">
        <f t="array" ref="Q483">_xlfn.IFS($B483 = "At-Risk Churner", $B$8, $B483="Dormant",$B$9, $B483="Deal Hunter", $B$10, $B483="New Customer", $B$11, $B483="Occasional Buyer", $B$12, $B483 = "Loyal High-Value",$B$13)</f>
        <v>0.35</v>
      </c>
      <c r="R483" s="5">
        <v>5</v>
      </c>
      <c r="S483" s="5">
        <v>0</v>
      </c>
      <c r="T483" s="5">
        <v>0</v>
      </c>
      <c r="U483" s="5">
        <f t="shared" si="37"/>
        <v>15</v>
      </c>
      <c r="V483" s="5">
        <f t="shared" si="38"/>
        <v>6.9521957654029052</v>
      </c>
      <c r="W483" s="43">
        <f t="shared" si="39"/>
        <v>62.064695765402902</v>
      </c>
      <c r="X483" s="5" t="str" cm="1">
        <f t="array" ref="X483">_xlfn.IFS($W483 &lt;= 30, "Low", $W483 &lt;=50, "Medium", $W483 &lt;= 70, "High", $W483 &gt; 70, "Critical")</f>
        <v>High</v>
      </c>
      <c r="Y483" s="9">
        <f t="shared" si="40"/>
        <v>0.26938578984504735</v>
      </c>
      <c r="Z483" s="22">
        <f t="shared" si="41"/>
        <v>27.307227286893209</v>
      </c>
    </row>
    <row r="484" spans="1:26">
      <c r="A484" s="24" t="str">
        <v>CUST-4254</v>
      </c>
      <c r="B484" s="24" t="str">
        <v>Dormant</v>
      </c>
      <c r="C484" s="24" t="str">
        <v>Organic Search</v>
      </c>
      <c r="D484" s="24" t="str">
        <v>Midwest</v>
      </c>
      <c r="E484" s="24" t="str">
        <v>25-34</v>
      </c>
      <c r="F484" s="24" t="str">
        <v>Low</v>
      </c>
      <c r="G484" s="24">
        <v>6</v>
      </c>
      <c r="H484" s="24">
        <v>106</v>
      </c>
      <c r="I484" s="23">
        <v>132.41</v>
      </c>
      <c r="J484" s="24" cm="1">
        <f t="array" ref="J484">SUMPRODUCT(
    (Transactions_and_Customer_Information_Joined[Customer ID]='V1-Based Churn Model (Step 3)'!$A484) *
    (IFERROR(_xlfn.XLOOKUP(Transactions_and_Customer_Information_Joined[SKU], 'V1 Pricing Model (Step 2)'!$A$22:$A$71, 'V1 Pricing Model (Step 2)'!$AL$22:$AL$71), "Exclude")&lt;&gt;"Exclude") *
    Transactions_and_Customer_Information_Joined[Gross Revenue])</f>
        <v>575.20000000000005</v>
      </c>
      <c r="K484" s="24">
        <f>SUMIF(Transactions_and_Customer_Information_Joined[Customer ID], 'V1-Based Churn Model (Step 3)'!$A484, Transactions_and_Customer_Information_Joined[Gross Revenue])</f>
        <v>575.20000000000005</v>
      </c>
      <c r="L484" s="3">
        <f t="shared" si="36"/>
        <v>1</v>
      </c>
      <c r="M484" s="21">
        <v>0.22457947495613381</v>
      </c>
      <c r="N484" s="21" cm="1">
        <f t="array" ref="N484">SUMPRODUCT(
    (Transactions_and_Customer_Information_Joined[Customer ID]=$A484)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84" s="21" cm="1">
        <f t="array" ref="O484">IFERROR(
    SUMPRODUCT(
        (Transactions_and_Customer_Information_Joined[Customer ID]=$A484)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$J484,
0)</f>
        <v>0.22457947495613381</v>
      </c>
      <c r="P484" s="5" cm="1">
        <f t="array" ref="P484">_xlfn.IFS(B484="At-Risk Churner",$B$2,$B484="Dormant",$B$3,$B484="Deal Hunter",$B$4,$B484="New Customer",$B$5,$B484="Occasional Buyer",$B$6,$B484="Loyal High-Value",$B$7)</f>
        <v>65</v>
      </c>
      <c r="Q484" s="9" cm="1">
        <f t="array" ref="Q484">_xlfn.IFS($B484 = "At-Risk Churner", $B$8, $B484="Dormant",$B$9, $B484="Deal Hunter", $B$10, $B484="New Customer", $B$11, $B484="Occasional Buyer", $B$12, $B484 = "Loyal High-Value",$B$13)</f>
        <v>0.6</v>
      </c>
      <c r="R484" s="5">
        <v>-5</v>
      </c>
      <c r="S484" s="5">
        <v>0</v>
      </c>
      <c r="T484" s="5">
        <v>0</v>
      </c>
      <c r="U484" s="5">
        <f t="shared" si="37"/>
        <v>15</v>
      </c>
      <c r="V484" s="5">
        <f t="shared" si="38"/>
        <v>8.9831789982453518</v>
      </c>
      <c r="W484" s="43">
        <f t="shared" si="39"/>
        <v>83.870678998245353</v>
      </c>
      <c r="X484" s="5" t="str" cm="1">
        <f t="array" ref="X484">_xlfn.IFS($W484 &lt;= 30, "Low", $W484 &lt;=50, "Medium", $W484 &lt;= 70, "High", $W484 &gt; 70, "Critical")</f>
        <v>Critical</v>
      </c>
      <c r="Y484" s="9">
        <f t="shared" si="40"/>
        <v>0.58037875293752761</v>
      </c>
      <c r="Z484" s="22">
        <f t="shared" si="41"/>
        <v>76.847950676458026</v>
      </c>
    </row>
    <row r="485" spans="1:26">
      <c r="A485" s="24" t="str">
        <v>CUST-2193</v>
      </c>
      <c r="B485" s="24" t="str">
        <v>New Customer</v>
      </c>
      <c r="C485" s="24" t="str">
        <v>Email Campaign</v>
      </c>
      <c r="D485" s="24" t="str">
        <v>Canada</v>
      </c>
      <c r="E485" s="24" t="str">
        <v>45-54</v>
      </c>
      <c r="F485" s="24" t="str">
        <v>High</v>
      </c>
      <c r="G485" s="24">
        <v>4</v>
      </c>
      <c r="H485" s="24">
        <v>282</v>
      </c>
      <c r="I485" s="23">
        <v>60.05</v>
      </c>
      <c r="J485" s="24" cm="1">
        <f t="array" ref="J485">SUMPRODUCT(
    (Transactions_and_Customer_Information_Joined[Customer ID]='V1-Based Churn Model (Step 3)'!$A485) *
    (IFERROR(_xlfn.XLOOKUP(Transactions_and_Customer_Information_Joined[SKU], 'V1 Pricing Model (Step 2)'!$A$22:$A$71, 'V1 Pricing Model (Step 2)'!$AL$22:$AL$71), "Exclude")&lt;&gt;"Exclude") *
    Transactions_and_Customer_Information_Joined[Gross Revenue])</f>
        <v>37.4</v>
      </c>
      <c r="K485" s="24">
        <f>SUMIF(Transactions_and_Customer_Information_Joined[Customer ID], 'V1-Based Churn Model (Step 3)'!$A485, Transactions_and_Customer_Information_Joined[Gross Revenue])</f>
        <v>37.4</v>
      </c>
      <c r="L485" s="3">
        <f t="shared" si="36"/>
        <v>1</v>
      </c>
      <c r="M485" s="21">
        <v>0</v>
      </c>
      <c r="N485" s="21" cm="1">
        <f t="array" ref="N485">SUMPRODUCT(
    (Transactions_and_Customer_Information_Joined[Customer ID]=$A485)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85" s="21" cm="1">
        <f t="array" ref="O485">IFERROR(
    SUMPRODUCT(
        (Transactions_and_Customer_Information_Joined[Customer ID]=$A485)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$J485,
0)</f>
        <v>0</v>
      </c>
      <c r="P485" s="5" cm="1">
        <f t="array" ref="P485">_xlfn.IFS(B485="At-Risk Churner",$B$2,$B485="Dormant",$B$3,$B485="Deal Hunter",$B$4,$B485="New Customer",$B$5,$B485="Occasional Buyer",$B$6,$B485="Loyal High-Value",$B$7)</f>
        <v>35</v>
      </c>
      <c r="Q485" s="9" cm="1">
        <f t="array" ref="Q485">_xlfn.IFS($B485 = "At-Risk Churner", $B$8, $B485="Dormant",$B$9, $B485="Deal Hunter", $B$10, $B485="New Customer", $B$11, $B485="Occasional Buyer", $B$12, $B485 = "Loyal High-Value",$B$13)</f>
        <v>0.35</v>
      </c>
      <c r="R485" s="5">
        <v>15</v>
      </c>
      <c r="S485" s="5">
        <v>0</v>
      </c>
      <c r="T485" s="5">
        <v>8</v>
      </c>
      <c r="U485" s="5">
        <f t="shared" si="37"/>
        <v>15</v>
      </c>
      <c r="V485" s="5">
        <f t="shared" si="38"/>
        <v>0</v>
      </c>
      <c r="W485" s="43">
        <f t="shared" si="39"/>
        <v>73.337500000000006</v>
      </c>
      <c r="X485" s="5" t="str" cm="1">
        <f t="array" ref="X485">_xlfn.IFS($W485 &lt;= 30, "Low", $W485 &lt;=50, "Medium", $W485 &lt;= 70, "High", $W485 &gt; 70, "Critical")</f>
        <v>Critical</v>
      </c>
      <c r="Y485" s="9">
        <f t="shared" si="40"/>
        <v>0.31907186296681683</v>
      </c>
      <c r="Z485" s="22">
        <f t="shared" si="41"/>
        <v>19.160265371157351</v>
      </c>
    </row>
    <row r="486" spans="1:26">
      <c r="A486" s="24" t="str">
        <v>CUST-2617</v>
      </c>
      <c r="B486" s="24" t="str">
        <v>Dormant</v>
      </c>
      <c r="C486" s="24" t="str">
        <v>Influencer</v>
      </c>
      <c r="D486" s="24" t="str">
        <v>Canada</v>
      </c>
      <c r="E486" s="24" t="str">
        <v>45-54</v>
      </c>
      <c r="F486" s="24" t="str">
        <v>Low</v>
      </c>
      <c r="G486" s="24">
        <v>2</v>
      </c>
      <c r="H486" s="24">
        <v>231</v>
      </c>
      <c r="I486" s="23">
        <v>31.93</v>
      </c>
      <c r="J486" s="24" cm="1">
        <f t="array" ref="J486">SUMPRODUCT(
    (Transactions_and_Customer_Information_Joined[Customer ID]='V1-Based Churn Model (Step 3)'!$A486) *
    (IFERROR(_xlfn.XLOOKUP(Transactions_and_Customer_Information_Joined[SKU], 'V1 Pricing Model (Step 2)'!$A$22:$A$71, 'V1 Pricing Model (Step 2)'!$AL$22:$AL$71), "Exclude")&lt;&gt;"Exclude") *
    Transactions_and_Customer_Information_Joined[Gross Revenue])</f>
        <v>197.52</v>
      </c>
      <c r="K486" s="24">
        <f>SUMIF(Transactions_and_Customer_Information_Joined[Customer ID], 'V1-Based Churn Model (Step 3)'!$A486, Transactions_and_Customer_Information_Joined[Gross Revenue])</f>
        <v>197.52</v>
      </c>
      <c r="L486" s="3">
        <f t="shared" si="36"/>
        <v>1</v>
      </c>
      <c r="M486" s="21">
        <v>5.4598129129915428E-2</v>
      </c>
      <c r="N486" s="21" cm="1">
        <f t="array" ref="N486">SUMPRODUCT(
    (Transactions_and_Customer_Information_Joined[Customer ID]=$A486)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86" s="21" cm="1">
        <f t="array" ref="O486">IFERROR(
    SUMPRODUCT(
        (Transactions_and_Customer_Information_Joined[Customer ID]=$A486)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$J486,
0)</f>
        <v>5.4598129129915428E-2</v>
      </c>
      <c r="P486" s="5" cm="1">
        <f t="array" ref="P486">_xlfn.IFS(B486="At-Risk Churner",$B$2,$B486="Dormant",$B$3,$B486="Deal Hunter",$B$4,$B486="New Customer",$B$5,$B486="Occasional Buyer",$B$6,$B486="Loyal High-Value",$B$7)</f>
        <v>65</v>
      </c>
      <c r="Q486" s="9" cm="1">
        <f t="array" ref="Q486">_xlfn.IFS($B486 = "At-Risk Churner", $B$8, $B486="Dormant",$B$9, $B486="Deal Hunter", $B$10, $B486="New Customer", $B$11, $B486="Occasional Buyer", $B$12, $B486 = "Loyal High-Value",$B$13)</f>
        <v>0.6</v>
      </c>
      <c r="R486" s="5">
        <v>-5</v>
      </c>
      <c r="S486" s="5">
        <v>10</v>
      </c>
      <c r="T486" s="5">
        <v>8</v>
      </c>
      <c r="U486" s="5">
        <f t="shared" si="37"/>
        <v>15</v>
      </c>
      <c r="V486" s="5">
        <f t="shared" si="38"/>
        <v>2.1839251651966172</v>
      </c>
      <c r="W486" s="43">
        <f t="shared" si="39"/>
        <v>95.721425165196621</v>
      </c>
      <c r="X486" s="5" t="str" cm="1">
        <f t="array" ref="X486">_xlfn.IFS($W486 &lt;= 30, "Low", $W486 &lt;=50, "Medium", $W486 &lt;= 70, "High", $W486 &gt; 70, "Critical")</f>
        <v>Critical</v>
      </c>
      <c r="Y486" s="9">
        <f t="shared" si="40"/>
        <v>0.59386196660800239</v>
      </c>
      <c r="Z486" s="22">
        <f t="shared" si="41"/>
        <v>18.962012593793517</v>
      </c>
    </row>
    <row r="487" spans="1:26">
      <c r="A487" s="24" t="str">
        <v>CUST-4863</v>
      </c>
      <c r="B487" s="24" t="str">
        <v>New Customer</v>
      </c>
      <c r="C487" s="24" t="str">
        <v>Referral</v>
      </c>
      <c r="D487" s="24" t="str">
        <v>Canada</v>
      </c>
      <c r="E487" s="24" t="str">
        <v>35-44</v>
      </c>
      <c r="F487" s="24" t="str">
        <v>Low</v>
      </c>
      <c r="G487" s="24">
        <v>6</v>
      </c>
      <c r="H487" s="24">
        <v>248</v>
      </c>
      <c r="I487" s="23">
        <v>100.09</v>
      </c>
      <c r="J487" s="24" cm="1">
        <f t="array" ref="J487">SUMPRODUCT(
    (Transactions_and_Customer_Information_Joined[Customer ID]='V1-Based Churn Model (Step 3)'!$A487) *
    (IFERROR(_xlfn.XLOOKUP(Transactions_and_Customer_Information_Joined[SKU], 'V1 Pricing Model (Step 2)'!$A$22:$A$71, 'V1 Pricing Model (Step 2)'!$AL$22:$AL$71), "Exclude")&lt;&gt;"Exclude") *
    Transactions_and_Customer_Information_Joined[Gross Revenue])</f>
        <v>295.74</v>
      </c>
      <c r="K487" s="24">
        <f>SUMIF(Transactions_and_Customer_Information_Joined[Customer ID], 'V1-Based Churn Model (Step 3)'!$A487, Transactions_and_Customer_Information_Joined[Gross Revenue])</f>
        <v>295.74</v>
      </c>
      <c r="L487" s="3">
        <f t="shared" ref="L487:L550" si="42">IFERROR($J487/$K487, 0)</f>
        <v>1</v>
      </c>
      <c r="M487" s="21">
        <v>0</v>
      </c>
      <c r="N487" s="21" cm="1">
        <f t="array" ref="N487">SUMPRODUCT(
    (Transactions_and_Customer_Information_Joined[Customer ID]=$A487)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87" s="21" cm="1">
        <f t="array" ref="O487">IFERROR(
    SUMPRODUCT(
        (Transactions_and_Customer_Information_Joined[Customer ID]=$A487)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$J487,
0)</f>
        <v>0</v>
      </c>
      <c r="P487" s="5" cm="1">
        <f t="array" ref="P487">_xlfn.IFS(B487="At-Risk Churner",$B$2,$B487="Dormant",$B$3,$B487="Deal Hunter",$B$4,$B487="New Customer",$B$5,$B487="Occasional Buyer",$B$6,$B487="Loyal High-Value",$B$7)</f>
        <v>35</v>
      </c>
      <c r="Q487" s="9" cm="1">
        <f t="array" ref="Q487">_xlfn.IFS($B487 = "At-Risk Churner", $B$8, $B487="Dormant",$B$9, $B487="Deal Hunter", $B$10, $B487="New Customer", $B$11, $B487="Occasional Buyer", $B$12, $B487 = "Loyal High-Value",$B$13)</f>
        <v>0.35</v>
      </c>
      <c r="R487" s="5">
        <v>-5</v>
      </c>
      <c r="S487" s="5">
        <v>0</v>
      </c>
      <c r="T487" s="5">
        <v>8</v>
      </c>
      <c r="U487" s="5">
        <f t="shared" si="37"/>
        <v>15</v>
      </c>
      <c r="V487" s="5">
        <f t="shared" si="38"/>
        <v>0</v>
      </c>
      <c r="W487" s="43">
        <f t="shared" si="39"/>
        <v>52.887500000000003</v>
      </c>
      <c r="X487" s="5" t="str" cm="1">
        <f t="array" ref="X487">_xlfn.IFS($W487 &lt;= 30, "Low", $W487 &lt;=50, "Medium", $W487 &lt;= 70, "High", $W487 &gt; 70, "Critical")</f>
        <v>High</v>
      </c>
      <c r="Y487" s="9">
        <f t="shared" si="40"/>
        <v>0.20009152965635982</v>
      </c>
      <c r="Z487" s="22">
        <f t="shared" si="41"/>
        <v>36.039728962644048</v>
      </c>
    </row>
    <row r="488" spans="1:26">
      <c r="A488" s="24" t="str">
        <v>CUST-4035</v>
      </c>
      <c r="B488" s="24" t="str">
        <v>New Customer</v>
      </c>
      <c r="C488" s="24" t="str">
        <v>Paid Social</v>
      </c>
      <c r="D488" s="24" t="str">
        <v>UK</v>
      </c>
      <c r="E488" s="24" t="str">
        <v>25-34</v>
      </c>
      <c r="F488" s="24" t="str">
        <v>Low</v>
      </c>
      <c r="G488" s="24">
        <v>1</v>
      </c>
      <c r="H488" s="24">
        <v>294</v>
      </c>
      <c r="I488" s="23">
        <v>143.74</v>
      </c>
      <c r="J488" s="24" cm="1">
        <f t="array" ref="J488">SUMPRODUCT(
    (Transactions_and_Customer_Information_Joined[Customer ID]='V1-Based Churn Model (Step 3)'!$A488) *
    (IFERROR(_xlfn.XLOOKUP(Transactions_and_Customer_Information_Joined[SKU], 'V1 Pricing Model (Step 2)'!$A$22:$A$71, 'V1 Pricing Model (Step 2)'!$AL$22:$AL$71), "Exclude")&lt;&gt;"Exclude") *
    Transactions_and_Customer_Information_Joined[Gross Revenue])</f>
        <v>535.96</v>
      </c>
      <c r="K488" s="24">
        <f>SUMIF(Transactions_and_Customer_Information_Joined[Customer ID], 'V1-Based Churn Model (Step 3)'!$A488, Transactions_and_Customer_Information_Joined[Gross Revenue])</f>
        <v>535.96</v>
      </c>
      <c r="L488" s="3">
        <f t="shared" si="42"/>
        <v>1</v>
      </c>
      <c r="M488" s="21">
        <v>0.18240919880904002</v>
      </c>
      <c r="N488" s="21" cm="1">
        <f t="array" ref="N488">SUMPRODUCT(
    (Transactions_and_Customer_Information_Joined[Customer ID]=$A488)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88" s="21" cm="1">
        <f t="array" ref="O488">IFERROR(
    SUMPRODUCT(
        (Transactions_and_Customer_Information_Joined[Customer ID]=$A488)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$J488,
0)</f>
        <v>0.18240919880904002</v>
      </c>
      <c r="P488" s="5" cm="1">
        <f t="array" ref="P488">_xlfn.IFS(B488="At-Risk Churner",$B$2,$B488="Dormant",$B$3,$B488="Deal Hunter",$B$4,$B488="New Customer",$B$5,$B488="Occasional Buyer",$B$6,$B488="Loyal High-Value",$B$7)</f>
        <v>35</v>
      </c>
      <c r="Q488" s="9" cm="1">
        <f t="array" ref="Q488">_xlfn.IFS($B488 = "At-Risk Churner", $B$8, $B488="Dormant",$B$9, $B488="Deal Hunter", $B$10, $B488="New Customer", $B$11, $B488="Occasional Buyer", $B$12, $B488 = "Loyal High-Value",$B$13)</f>
        <v>0.35</v>
      </c>
      <c r="R488" s="5">
        <v>-5</v>
      </c>
      <c r="S488" s="5">
        <v>10</v>
      </c>
      <c r="T488" s="5">
        <v>8</v>
      </c>
      <c r="U488" s="5">
        <f t="shared" ref="U488:U551" si="43">MIN(
    $L488 * $B$26 * (1 + $B$28 * LN(MAX($N488, 1))),
    $B$27
)</f>
        <v>15</v>
      </c>
      <c r="V488" s="5">
        <f t="shared" ref="V488:V551" si="44">MIN(
    $B$29 * ABS($O488) + $B$30 * ABS($M488),
    $B$31
)</f>
        <v>7.2963679523616012</v>
      </c>
      <c r="W488" s="43">
        <f t="shared" ref="W488:W551" si="45">MIN(MAX(
    $P488 + $R488 + $S488 + $T488 + $U488 + $V488
    + $B$32 * ($R488 * $U488) / 100
    + $B$33 * ($P488 * $S488) / 100,
0), 100)</f>
        <v>70.533867952361604</v>
      </c>
      <c r="X488" s="5" t="str" cm="1">
        <f t="array" ref="X488">_xlfn.IFS($W488 &lt;= 30, "Low", $W488 &lt;=50, "Medium", $W488 &lt;= 70, "High", $W488 &gt; 70, "Critical")</f>
        <v>Critical</v>
      </c>
      <c r="Y488" s="9">
        <f t="shared" ref="Y488:Y551" si="46">$Q488 * (1 / (1 + EXP(-($W488 - 50) / $B$34)))</f>
        <v>0.31020128596474245</v>
      </c>
      <c r="Z488" s="22">
        <f t="shared" ref="Z488:Z551" si="47">_xlfn.LET(
    _xlpm.full_churn, $Y488 * $I488,
    _xlpm.partial_rate, IF(OR($X488="Medium", $X488="High"), (1 - $Y488) * 0.5 * $B$35, 0),
    _xlpm.partial_churn, _xlpm.partial_rate * $I488,
    _xlpm.full_churn + _xlpm.partial_churn
)</f>
        <v>44.588332844572079</v>
      </c>
    </row>
    <row r="489" spans="1:26">
      <c r="A489" s="24" t="str">
        <v>CUST-4634</v>
      </c>
      <c r="B489" s="24" t="str">
        <v>New Customer</v>
      </c>
      <c r="C489" s="24" t="str">
        <v>Paid Social</v>
      </c>
      <c r="D489" s="24" t="str">
        <v>Northeast</v>
      </c>
      <c r="E489" s="24" t="str">
        <v>18-24</v>
      </c>
      <c r="F489" s="24" t="str">
        <v>Low</v>
      </c>
      <c r="G489" s="24">
        <v>8</v>
      </c>
      <c r="H489" s="24">
        <v>49</v>
      </c>
      <c r="I489" s="23">
        <v>83.89</v>
      </c>
      <c r="J489" s="24" cm="1">
        <f t="array" ref="J489">SUMPRODUCT(
    (Transactions_and_Customer_Information_Joined[Customer ID]='V1-Based Churn Model (Step 3)'!$A489) *
    (IFERROR(_xlfn.XLOOKUP(Transactions_and_Customer_Information_Joined[SKU], 'V1 Pricing Model (Step 2)'!$A$22:$A$71, 'V1 Pricing Model (Step 2)'!$AL$22:$AL$71), "Exclude")&lt;&gt;"Exclude") *
    Transactions_and_Customer_Information_Joined[Gross Revenue])</f>
        <v>52.92</v>
      </c>
      <c r="K489" s="24">
        <f>SUMIF(Transactions_and_Customer_Information_Joined[Customer ID], 'V1-Based Churn Model (Step 3)'!$A489, Transactions_and_Customer_Information_Joined[Gross Revenue])</f>
        <v>52.92</v>
      </c>
      <c r="L489" s="3">
        <f t="shared" si="42"/>
        <v>1</v>
      </c>
      <c r="M489" s="21">
        <v>-4.5975852073346618E-2</v>
      </c>
      <c r="N489" s="21" cm="1">
        <f t="array" ref="N489">SUMPRODUCT(
    (Transactions_and_Customer_Information_Joined[Customer ID]=$A489)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89" s="21" cm="1">
        <f t="array" ref="O489">IFERROR(
    SUMPRODUCT(
        (Transactions_and_Customer_Information_Joined[Customer ID]=$A489)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$J489,
0)</f>
        <v>-4.5975852073346618E-2</v>
      </c>
      <c r="P489" s="5" cm="1">
        <f t="array" ref="P489">_xlfn.IFS(B489="At-Risk Churner",$B$2,$B489="Dormant",$B$3,$B489="Deal Hunter",$B$4,$B489="New Customer",$B$5,$B489="Occasional Buyer",$B$6,$B489="Loyal High-Value",$B$7)</f>
        <v>35</v>
      </c>
      <c r="Q489" s="9" cm="1">
        <f t="array" ref="Q489">_xlfn.IFS($B489 = "At-Risk Churner", $B$8, $B489="Dormant",$B$9, $B489="Deal Hunter", $B$10, $B489="New Customer", $B$11, $B489="Occasional Buyer", $B$12, $B489 = "Loyal High-Value",$B$13)</f>
        <v>0.35</v>
      </c>
      <c r="R489" s="5">
        <v>-5</v>
      </c>
      <c r="S489" s="5">
        <v>-8</v>
      </c>
      <c r="T489" s="5">
        <v>-5</v>
      </c>
      <c r="U489" s="5">
        <f t="shared" si="43"/>
        <v>15</v>
      </c>
      <c r="V489" s="5">
        <f t="shared" si="44"/>
        <v>1.8390340829338647</v>
      </c>
      <c r="W489" s="43">
        <f t="shared" si="45"/>
        <v>33.446534082933866</v>
      </c>
      <c r="X489" s="5" t="str" cm="1">
        <f t="array" ref="X489">_xlfn.IFS($W489 &lt;= 30, "Low", $W489 &lt;=50, "Medium", $W489 &lt;= 70, "High", $W489 &gt; 70, "Critical")</f>
        <v>Medium</v>
      </c>
      <c r="Y489" s="9">
        <f t="shared" si="46"/>
        <v>5.6135677879952856E-2</v>
      </c>
      <c r="Z489" s="22">
        <f t="shared" si="47"/>
        <v>20.545377613879396</v>
      </c>
    </row>
    <row r="490" spans="1:26">
      <c r="A490" s="24" t="str">
        <v>CUST-1185</v>
      </c>
      <c r="B490" s="24" t="str">
        <v>New Customer</v>
      </c>
      <c r="C490" s="24" t="str">
        <v>Influencer</v>
      </c>
      <c r="D490" s="24" t="str">
        <v>Northeast</v>
      </c>
      <c r="E490" s="24" t="str">
        <v>18-24</v>
      </c>
      <c r="F490" s="24" t="str">
        <v>Medium</v>
      </c>
      <c r="G490" s="24">
        <v>0</v>
      </c>
      <c r="H490" s="24">
        <v>359</v>
      </c>
      <c r="I490" s="23">
        <v>33.03</v>
      </c>
      <c r="J490" s="24" cm="1">
        <f t="array" ref="J490">SUMPRODUCT(
    (Transactions_and_Customer_Information_Joined[Customer ID]='V1-Based Churn Model (Step 3)'!$A490) *
    (IFERROR(_xlfn.XLOOKUP(Transactions_and_Customer_Information_Joined[SKU], 'V1 Pricing Model (Step 2)'!$A$22:$A$71, 'V1 Pricing Model (Step 2)'!$AL$22:$AL$71), "Exclude")&lt;&gt;"Exclude") *
    Transactions_and_Customer_Information_Joined[Gross Revenue])</f>
        <v>373.64</v>
      </c>
      <c r="K490" s="24">
        <f>SUMIF(Transactions_and_Customer_Information_Joined[Customer ID], 'V1-Based Churn Model (Step 3)'!$A490, Transactions_and_Customer_Information_Joined[Gross Revenue])</f>
        <v>373.64</v>
      </c>
      <c r="L490" s="3">
        <f t="shared" si="42"/>
        <v>1</v>
      </c>
      <c r="M490" s="21">
        <v>-6.1928730463004879E-2</v>
      </c>
      <c r="N490" s="21" cm="1">
        <f t="array" ref="N490">SUMPRODUCT(
    (Transactions_and_Customer_Information_Joined[Customer ID]=$A490)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90" s="21" cm="1">
        <f t="array" ref="O490">IFERROR(
    SUMPRODUCT(
        (Transactions_and_Customer_Information_Joined[Customer ID]=$A490)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$J490,
0)</f>
        <v>-6.1928730463004872E-2</v>
      </c>
      <c r="P490" s="5" cm="1">
        <f t="array" ref="P490">_xlfn.IFS(B490="At-Risk Churner",$B$2,$B490="Dormant",$B$3,$B490="Deal Hunter",$B$4,$B490="New Customer",$B$5,$B490="Occasional Buyer",$B$6,$B490="Loyal High-Value",$B$7)</f>
        <v>35</v>
      </c>
      <c r="Q490" s="9" cm="1">
        <f t="array" ref="Q490">_xlfn.IFS($B490 = "At-Risk Churner", $B$8, $B490="Dormant",$B$9, $B490="Deal Hunter", $B$10, $B490="New Customer", $B$11, $B490="Occasional Buyer", $B$12, $B490 = "Loyal High-Value",$B$13)</f>
        <v>0.35</v>
      </c>
      <c r="R490" s="5">
        <v>5</v>
      </c>
      <c r="S490" s="5">
        <v>10</v>
      </c>
      <c r="T490" s="5">
        <v>15</v>
      </c>
      <c r="U490" s="5">
        <f t="shared" si="43"/>
        <v>15</v>
      </c>
      <c r="V490" s="5">
        <f t="shared" si="44"/>
        <v>2.4771492185201947</v>
      </c>
      <c r="W490" s="43">
        <f t="shared" si="45"/>
        <v>82.939649218520188</v>
      </c>
      <c r="X490" s="5" t="str" cm="1">
        <f t="array" ref="X490">_xlfn.IFS($W490 &lt;= 30, "Low", $W490 &lt;=50, "Medium", $W490 &lt;= 70, "High", $W490 &gt; 70, "Critical")</f>
        <v>Critical</v>
      </c>
      <c r="Y490" s="9">
        <f t="shared" si="46"/>
        <v>0.33747741676657395</v>
      </c>
      <c r="Z490" s="22">
        <f t="shared" si="47"/>
        <v>11.146879075799937</v>
      </c>
    </row>
    <row r="491" spans="1:26">
      <c r="A491" s="24" t="str">
        <v>CUST-4646</v>
      </c>
      <c r="B491" s="24" t="str">
        <v>Dormant</v>
      </c>
      <c r="C491" s="24" t="str">
        <v>Referral</v>
      </c>
      <c r="D491" s="24" t="str">
        <v>Southwest</v>
      </c>
      <c r="E491" s="24" t="str">
        <v>18-24</v>
      </c>
      <c r="F491" s="24" t="str">
        <v>Low</v>
      </c>
      <c r="G491" s="24">
        <v>2</v>
      </c>
      <c r="H491" s="24">
        <v>128</v>
      </c>
      <c r="I491" s="23">
        <v>40.21</v>
      </c>
      <c r="J491" s="24" cm="1">
        <f t="array" ref="J491">SUMPRODUCT(
    (Transactions_and_Customer_Information_Joined[Customer ID]='V1-Based Churn Model (Step 3)'!$A491) *
    (IFERROR(_xlfn.XLOOKUP(Transactions_and_Customer_Information_Joined[SKU], 'V1 Pricing Model (Step 2)'!$A$22:$A$71, 'V1 Pricing Model (Step 2)'!$AL$22:$AL$71), "Exclude")&lt;&gt;"Exclude") *
    Transactions_and_Customer_Information_Joined[Gross Revenue])</f>
        <v>77.67</v>
      </c>
      <c r="K491" s="24">
        <f>SUMIF(Transactions_and_Customer_Information_Joined[Customer ID], 'V1-Based Churn Model (Step 3)'!$A491, Transactions_and_Customer_Information_Joined[Gross Revenue])</f>
        <v>77.67</v>
      </c>
      <c r="L491" s="3">
        <f t="shared" si="42"/>
        <v>1</v>
      </c>
      <c r="M491" s="21">
        <v>-0.1229980207344718</v>
      </c>
      <c r="N491" s="21" cm="1">
        <f t="array" ref="N491">SUMPRODUCT(
    (Transactions_and_Customer_Information_Joined[Customer ID]=$A491)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91" s="21" cm="1">
        <f t="array" ref="O491">IFERROR(
    SUMPRODUCT(
        (Transactions_and_Customer_Information_Joined[Customer ID]=$A491)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$J491,
0)</f>
        <v>-0.1229980207344718</v>
      </c>
      <c r="P491" s="5" cm="1">
        <f t="array" ref="P491">_xlfn.IFS(B491="At-Risk Churner",$B$2,$B491="Dormant",$B$3,$B491="Deal Hunter",$B$4,$B491="New Customer",$B$5,$B491="Occasional Buyer",$B$6,$B491="Loyal High-Value",$B$7)</f>
        <v>65</v>
      </c>
      <c r="Q491" s="9" cm="1">
        <f t="array" ref="Q491">_xlfn.IFS($B491 = "At-Risk Churner", $B$8, $B491="Dormant",$B$9, $B491="Deal Hunter", $B$10, $B491="New Customer", $B$11, $B491="Occasional Buyer", $B$12, $B491 = "Loyal High-Value",$B$13)</f>
        <v>0.6</v>
      </c>
      <c r="R491" s="5">
        <v>-5</v>
      </c>
      <c r="S491" s="5">
        <v>10</v>
      </c>
      <c r="T491" s="5">
        <v>0</v>
      </c>
      <c r="U491" s="5">
        <f t="shared" si="43"/>
        <v>15</v>
      </c>
      <c r="V491" s="5">
        <f t="shared" si="44"/>
        <v>4.9199208293788725</v>
      </c>
      <c r="W491" s="43">
        <f t="shared" si="45"/>
        <v>90.457420829378876</v>
      </c>
      <c r="X491" s="5" t="str" cm="1">
        <f t="array" ref="X491">_xlfn.IFS($W491 &lt;= 30, "Low", $W491 &lt;=50, "Medium", $W491 &lt;= 70, "High", $W491 &gt; 70, "Critical")</f>
        <v>Critical</v>
      </c>
      <c r="Y491" s="9">
        <f t="shared" si="46"/>
        <v>0.58968249299444686</v>
      </c>
      <c r="Z491" s="22">
        <f t="shared" si="47"/>
        <v>23.71113304330671</v>
      </c>
    </row>
    <row r="492" spans="1:26">
      <c r="A492" s="24" t="str">
        <v>CUST-1258</v>
      </c>
      <c r="B492" s="24" t="str">
        <v>New Customer</v>
      </c>
      <c r="C492" s="24" t="str">
        <v>Paid Social</v>
      </c>
      <c r="D492" s="24" t="str">
        <v>Midwest</v>
      </c>
      <c r="E492" s="24" t="str">
        <v>45-54</v>
      </c>
      <c r="F492" s="24" t="str">
        <v>Low</v>
      </c>
      <c r="G492" s="24">
        <v>1</v>
      </c>
      <c r="H492" s="24">
        <v>351</v>
      </c>
      <c r="I492" s="23">
        <v>129.6</v>
      </c>
      <c r="J492" s="24" cm="1">
        <f t="array" ref="J492">SUMPRODUCT(
    (Transactions_and_Customer_Information_Joined[Customer ID]='V1-Based Churn Model (Step 3)'!$A492) *
    (IFERROR(_xlfn.XLOOKUP(Transactions_and_Customer_Information_Joined[SKU], 'V1 Pricing Model (Step 2)'!$A$22:$A$71, 'V1 Pricing Model (Step 2)'!$AL$22:$AL$71), "Exclude")&lt;&gt;"Exclude") *
    Transactions_and_Customer_Information_Joined[Gross Revenue])</f>
        <v>37.4</v>
      </c>
      <c r="K492" s="24">
        <f>SUMIF(Transactions_and_Customer_Information_Joined[Customer ID], 'V1-Based Churn Model (Step 3)'!$A492, Transactions_and_Customer_Information_Joined[Gross Revenue])</f>
        <v>37.4</v>
      </c>
      <c r="L492" s="3">
        <f t="shared" si="42"/>
        <v>1</v>
      </c>
      <c r="M492" s="21">
        <v>0</v>
      </c>
      <c r="N492" s="21" cm="1">
        <f t="array" ref="N492">SUMPRODUCT(
    (Transactions_and_Customer_Information_Joined[Customer ID]=$A492)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92" s="21" cm="1">
        <f t="array" ref="O492">IFERROR(
    SUMPRODUCT(
        (Transactions_and_Customer_Information_Joined[Customer ID]=$A492)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$J492,
0)</f>
        <v>0</v>
      </c>
      <c r="P492" s="5" cm="1">
        <f t="array" ref="P492">_xlfn.IFS(B492="At-Risk Churner",$B$2,$B492="Dormant",$B$3,$B492="Deal Hunter",$B$4,$B492="New Customer",$B$5,$B492="Occasional Buyer",$B$6,$B492="Loyal High-Value",$B$7)</f>
        <v>35</v>
      </c>
      <c r="Q492" s="9" cm="1">
        <f t="array" ref="Q492">_xlfn.IFS($B492 = "At-Risk Churner", $B$8, $B492="Dormant",$B$9, $B492="Deal Hunter", $B$10, $B492="New Customer", $B$11, $B492="Occasional Buyer", $B$12, $B492 = "Loyal High-Value",$B$13)</f>
        <v>0.35</v>
      </c>
      <c r="R492" s="5">
        <v>-5</v>
      </c>
      <c r="S492" s="5">
        <v>10</v>
      </c>
      <c r="T492" s="5">
        <v>15</v>
      </c>
      <c r="U492" s="5">
        <f t="shared" si="43"/>
        <v>15</v>
      </c>
      <c r="V492" s="5">
        <f t="shared" si="44"/>
        <v>0</v>
      </c>
      <c r="W492" s="43">
        <f t="shared" si="45"/>
        <v>70.237499999999997</v>
      </c>
      <c r="X492" s="5" t="str" cm="1">
        <f t="array" ref="X492">_xlfn.IFS($W492 &lt;= 30, "Low", $W492 &lt;=50, "Medium", $W492 &lt;= 70, "High", $W492 &gt; 70, "Critical")</f>
        <v>Critical</v>
      </c>
      <c r="Y492" s="9">
        <f t="shared" si="46"/>
        <v>0.30914387375309954</v>
      </c>
      <c r="Z492" s="22">
        <f t="shared" si="47"/>
        <v>40.065046038401697</v>
      </c>
    </row>
    <row r="493" spans="1:26">
      <c r="A493" s="24" t="str">
        <v>CUST-2958</v>
      </c>
      <c r="B493" s="24" t="str">
        <v>New Customer</v>
      </c>
      <c r="C493" s="24" t="str">
        <v>Direct</v>
      </c>
      <c r="D493" s="24" t="str">
        <v>Southwest</v>
      </c>
      <c r="E493" s="24" t="str">
        <v>18-24</v>
      </c>
      <c r="F493" s="24" t="str">
        <v>Medium</v>
      </c>
      <c r="G493" s="24">
        <v>0</v>
      </c>
      <c r="H493" s="24">
        <v>183</v>
      </c>
      <c r="I493" s="23">
        <v>149.97999999999999</v>
      </c>
      <c r="J493" s="24" cm="1">
        <f t="array" ref="J493">SUMPRODUCT(
    (Transactions_and_Customer_Information_Joined[Customer ID]='V1-Based Churn Model (Step 3)'!$A493) *
    (IFERROR(_xlfn.XLOOKUP(Transactions_and_Customer_Information_Joined[SKU], 'V1 Pricing Model (Step 2)'!$A$22:$A$71, 'V1 Pricing Model (Step 2)'!$AL$22:$AL$71), "Exclude")&lt;&gt;"Exclude") *
    Transactions_and_Customer_Information_Joined[Gross Revenue])</f>
        <v>107.9</v>
      </c>
      <c r="K493" s="24">
        <f>SUMIF(Transactions_and_Customer_Information_Joined[Customer ID], 'V1-Based Churn Model (Step 3)'!$A493, Transactions_and_Customer_Information_Joined[Gross Revenue])</f>
        <v>107.9</v>
      </c>
      <c r="L493" s="3">
        <f t="shared" si="42"/>
        <v>1</v>
      </c>
      <c r="M493" s="21">
        <v>-6.3633334648082567E-3</v>
      </c>
      <c r="N493" s="21" cm="1">
        <f t="array" ref="N493">SUMPRODUCT(
    (Transactions_and_Customer_Information_Joined[Customer ID]=$A493)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93" s="21" cm="1">
        <f t="array" ref="O493">IFERROR(
    SUMPRODUCT(
        (Transactions_and_Customer_Information_Joined[Customer ID]=$A493)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$J493,
0)</f>
        <v>-6.3633334648082575E-3</v>
      </c>
      <c r="P493" s="5" cm="1">
        <f t="array" ref="P493">_xlfn.IFS(B493="At-Risk Churner",$B$2,$B493="Dormant",$B$3,$B493="Deal Hunter",$B$4,$B493="New Customer",$B$5,$B493="Occasional Buyer",$B$6,$B493="Loyal High-Value",$B$7)</f>
        <v>35</v>
      </c>
      <c r="Q493" s="9" cm="1">
        <f t="array" ref="Q493">_xlfn.IFS($B493 = "At-Risk Churner", $B$8, $B493="Dormant",$B$9, $B493="Deal Hunter", $B$10, $B493="New Customer", $B$11, $B493="Occasional Buyer", $B$12, $B493 = "Loyal High-Value",$B$13)</f>
        <v>0.35</v>
      </c>
      <c r="R493" s="5">
        <v>5</v>
      </c>
      <c r="S493" s="5">
        <v>10</v>
      </c>
      <c r="T493" s="5">
        <v>8</v>
      </c>
      <c r="U493" s="5">
        <f t="shared" si="43"/>
        <v>15</v>
      </c>
      <c r="V493" s="5">
        <f t="shared" si="44"/>
        <v>0.25453333859233029</v>
      </c>
      <c r="W493" s="43">
        <f t="shared" si="45"/>
        <v>73.717033338592316</v>
      </c>
      <c r="X493" s="5" t="str" cm="1">
        <f t="array" ref="X493">_xlfn.IFS($W493 &lt;= 30, "Low", $W493 &lt;=50, "Medium", $W493 &lt;= 70, "High", $W493 &gt; 70, "Critical")</f>
        <v>Critical</v>
      </c>
      <c r="Y493" s="9">
        <f t="shared" si="46"/>
        <v>0.32012537707105637</v>
      </c>
      <c r="Z493" s="22">
        <f t="shared" si="47"/>
        <v>48.012404053117031</v>
      </c>
    </row>
    <row r="494" spans="1:26">
      <c r="A494" s="24" t="str">
        <v>CUST-2067</v>
      </c>
      <c r="B494" s="24" t="str">
        <v>Loyal High-Value</v>
      </c>
      <c r="C494" s="24" t="str">
        <v>Organic Search</v>
      </c>
      <c r="D494" s="24" t="str">
        <v>Canada</v>
      </c>
      <c r="E494" s="24" t="str">
        <v>18-24</v>
      </c>
      <c r="F494" s="24" t="str">
        <v>Low</v>
      </c>
      <c r="G494" s="24">
        <v>6</v>
      </c>
      <c r="H494" s="24">
        <v>15</v>
      </c>
      <c r="I494" s="23">
        <v>1981.99</v>
      </c>
      <c r="J494" s="24" cm="1">
        <f t="array" ref="J494">SUMPRODUCT(
    (Transactions_and_Customer_Information_Joined[Customer ID]='V1-Based Churn Model (Step 3)'!$A494) *
    (IFERROR(_xlfn.XLOOKUP(Transactions_and_Customer_Information_Joined[SKU], 'V1 Pricing Model (Step 2)'!$A$22:$A$71, 'V1 Pricing Model (Step 2)'!$AL$22:$AL$71), "Exclude")&lt;&gt;"Exclude") *
    Transactions_and_Customer_Information_Joined[Gross Revenue])</f>
        <v>99.6</v>
      </c>
      <c r="K494" s="24">
        <f>SUMIF(Transactions_and_Customer_Information_Joined[Customer ID], 'V1-Based Churn Model (Step 3)'!$A494, Transactions_and_Customer_Information_Joined[Gross Revenue])</f>
        <v>99.6</v>
      </c>
      <c r="L494" s="3">
        <f t="shared" si="42"/>
        <v>1</v>
      </c>
      <c r="M494" s="21">
        <v>-0.13274948234794526</v>
      </c>
      <c r="N494" s="21" cm="1">
        <f t="array" ref="N494">SUMPRODUCT(
    (Transactions_and_Customer_Information_Joined[Customer ID]=$A494)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94" s="21" cm="1">
        <f t="array" ref="O494">IFERROR(
    SUMPRODUCT(
        (Transactions_and_Customer_Information_Joined[Customer ID]=$A494)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$J494,
0)</f>
        <v>-0.13274948234794526</v>
      </c>
      <c r="P494" s="5" cm="1">
        <f t="array" ref="P494">_xlfn.IFS(B494="At-Risk Churner",$B$2,$B494="Dormant",$B$3,$B494="Deal Hunter",$B$4,$B494="New Customer",$B$5,$B494="Occasional Buyer",$B$6,$B494="Loyal High-Value",$B$7)</f>
        <v>15</v>
      </c>
      <c r="Q494" s="9" cm="1">
        <f t="array" ref="Q494">_xlfn.IFS($B494 = "At-Risk Churner", $B$8, $B494="Dormant",$B$9, $B494="Deal Hunter", $B$10, $B494="New Customer", $B$11, $B494="Occasional Buyer", $B$12, $B494 = "Loyal High-Value",$B$13)</f>
        <v>0.05</v>
      </c>
      <c r="R494" s="5">
        <v>-5</v>
      </c>
      <c r="S494" s="5">
        <v>0</v>
      </c>
      <c r="T494" s="5">
        <v>-5</v>
      </c>
      <c r="U494" s="5">
        <f t="shared" si="43"/>
        <v>15</v>
      </c>
      <c r="V494" s="5">
        <f t="shared" si="44"/>
        <v>5.3099792939178103</v>
      </c>
      <c r="W494" s="43">
        <f t="shared" si="45"/>
        <v>25.197479293917809</v>
      </c>
      <c r="X494" s="5" t="str" cm="1">
        <f t="array" ref="X494">_xlfn.IFS($W494 &lt;= 30, "Low", $W494 &lt;=50, "Medium", $W494 &lt;= 70, "High", $W494 &gt; 70, "Critical")</f>
        <v>Low</v>
      </c>
      <c r="Y494" s="9">
        <f t="shared" si="46"/>
        <v>3.8627115556300199E-3</v>
      </c>
      <c r="Z494" s="22">
        <f t="shared" si="47"/>
        <v>7.6558556761431431</v>
      </c>
    </row>
    <row r="495" spans="1:26">
      <c r="A495" s="24" t="str">
        <v>CUST-1565</v>
      </c>
      <c r="B495" s="24" t="str">
        <v>At-Risk Churner</v>
      </c>
      <c r="C495" s="24" t="str">
        <v>Direct</v>
      </c>
      <c r="D495" s="24" t="str">
        <v>Northeast</v>
      </c>
      <c r="E495" s="24" t="str">
        <v>55+</v>
      </c>
      <c r="F495" s="24" t="str">
        <v>Low</v>
      </c>
      <c r="G495" s="24">
        <v>5</v>
      </c>
      <c r="H495" s="24">
        <v>344</v>
      </c>
      <c r="I495" s="23">
        <v>220.19</v>
      </c>
      <c r="J495" s="24" cm="1">
        <f t="array" ref="J495">SUMPRODUCT(
    (Transactions_and_Customer_Information_Joined[Customer ID]='V1-Based Churn Model (Step 3)'!$A495) *
    (IFERROR(_xlfn.XLOOKUP(Transactions_and_Customer_Information_Joined[SKU], 'V1 Pricing Model (Step 2)'!$A$22:$A$71, 'V1 Pricing Model (Step 2)'!$AL$22:$AL$71), "Exclude")&lt;&gt;"Exclude") *
    Transactions_and_Customer_Information_Joined[Gross Revenue])</f>
        <v>729.6</v>
      </c>
      <c r="K495" s="24">
        <f>SUMIF(Transactions_and_Customer_Information_Joined[Customer ID], 'V1-Based Churn Model (Step 3)'!$A495, Transactions_and_Customer_Information_Joined[Gross Revenue])</f>
        <v>729.6</v>
      </c>
      <c r="L495" s="3">
        <f t="shared" si="42"/>
        <v>1</v>
      </c>
      <c r="M495" s="21">
        <v>9.1108129362620652E-2</v>
      </c>
      <c r="N495" s="21" cm="1">
        <f t="array" ref="N495">SUMPRODUCT(
    (Transactions_and_Customer_Information_Joined[Customer ID]=$A495)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95" s="21" cm="1">
        <f t="array" ref="O495">IFERROR(
    SUMPRODUCT(
        (Transactions_and_Customer_Information_Joined[Customer ID]=$A495)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$J495,
0)</f>
        <v>3.9995059176571153E-2</v>
      </c>
      <c r="P495" s="5" cm="1">
        <f t="array" ref="P495">_xlfn.IFS(B495="At-Risk Churner",$B$2,$B495="Dormant",$B$3,$B495="Deal Hunter",$B$4,$B495="New Customer",$B$5,$B495="Occasional Buyer",$B$6,$B495="Loyal High-Value",$B$7)</f>
        <v>70</v>
      </c>
      <c r="Q495" s="9" cm="1">
        <f t="array" ref="Q495">_xlfn.IFS($B495 = "At-Risk Churner", $B$8, $B495="Dormant",$B$9, $B495="Deal Hunter", $B$10, $B495="New Customer", $B$11, $B495="Occasional Buyer", $B$12, $B495 = "Loyal High-Value",$B$13)</f>
        <v>0.45</v>
      </c>
      <c r="R495" s="5">
        <v>-5</v>
      </c>
      <c r="S495" s="5">
        <v>0</v>
      </c>
      <c r="T495" s="5">
        <v>15</v>
      </c>
      <c r="U495" s="5">
        <f t="shared" si="43"/>
        <v>15</v>
      </c>
      <c r="V495" s="5">
        <f t="shared" si="44"/>
        <v>2.6220637707838361</v>
      </c>
      <c r="W495" s="43">
        <f t="shared" si="45"/>
        <v>97.509563770783842</v>
      </c>
      <c r="X495" s="5" t="str" cm="1">
        <f t="array" ref="X495">_xlfn.IFS($W495 &lt;= 30, "Low", $W495 &lt;=50, "Medium", $W495 &lt;= 70, "High", $W495 &gt; 70, "Critical")</f>
        <v>Critical</v>
      </c>
      <c r="Y495" s="9">
        <f t="shared" si="46"/>
        <v>0.44614378967029372</v>
      </c>
      <c r="Z495" s="22">
        <f t="shared" si="47"/>
        <v>98.236401047501971</v>
      </c>
    </row>
    <row r="496" spans="1:26">
      <c r="A496" s="24" t="str">
        <v>CUST-1380</v>
      </c>
      <c r="B496" s="24" t="str">
        <v>Dormant</v>
      </c>
      <c r="C496" s="24" t="str">
        <v>Direct</v>
      </c>
      <c r="D496" s="24" t="str">
        <v>Southwest</v>
      </c>
      <c r="E496" s="24" t="str">
        <v>25-34</v>
      </c>
      <c r="F496" s="24" t="str">
        <v>Medium</v>
      </c>
      <c r="G496" s="24">
        <v>1</v>
      </c>
      <c r="H496" s="24">
        <v>81</v>
      </c>
      <c r="I496" s="23">
        <v>84.71</v>
      </c>
      <c r="J496" s="24" cm="1">
        <f t="array" ref="J496">SUMPRODUCT(
    (Transactions_and_Customer_Information_Joined[Customer ID]='V1-Based Churn Model (Step 3)'!$A496) *
    (IFERROR(_xlfn.XLOOKUP(Transactions_and_Customer_Information_Joined[SKU], 'V1 Pricing Model (Step 2)'!$A$22:$A$71, 'V1 Pricing Model (Step 2)'!$AL$22:$AL$71), "Exclude")&lt;&gt;"Exclude") *
    Transactions_and_Customer_Information_Joined[Gross Revenue])</f>
        <v>105.84</v>
      </c>
      <c r="K496" s="24">
        <f>SUMIF(Transactions_and_Customer_Information_Joined[Customer ID], 'V1-Based Churn Model (Step 3)'!$A496, Transactions_and_Customer_Information_Joined[Gross Revenue])</f>
        <v>105.84</v>
      </c>
      <c r="L496" s="3">
        <f t="shared" si="42"/>
        <v>1</v>
      </c>
      <c r="M496" s="21">
        <v>-4.5975852073346618E-2</v>
      </c>
      <c r="N496" s="21" cm="1">
        <f t="array" ref="N496">SUMPRODUCT(
    (Transactions_and_Customer_Information_Joined[Customer ID]=$A496)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96" s="21" cm="1">
        <f t="array" ref="O496">IFERROR(
    SUMPRODUCT(
        (Transactions_and_Customer_Information_Joined[Customer ID]=$A496)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$J496,
0)</f>
        <v>-4.5975852073346618E-2</v>
      </c>
      <c r="P496" s="5" cm="1">
        <f t="array" ref="P496">_xlfn.IFS(B496="At-Risk Churner",$B$2,$B496="Dormant",$B$3,$B496="Deal Hunter",$B$4,$B496="New Customer",$B$5,$B496="Occasional Buyer",$B$6,$B496="Loyal High-Value",$B$7)</f>
        <v>65</v>
      </c>
      <c r="Q496" s="9" cm="1">
        <f t="array" ref="Q496">_xlfn.IFS($B496 = "At-Risk Churner", $B$8, $B496="Dormant",$B$9, $B496="Deal Hunter", $B$10, $B496="New Customer", $B$11, $B496="Occasional Buyer", $B$12, $B496 = "Loyal High-Value",$B$13)</f>
        <v>0.6</v>
      </c>
      <c r="R496" s="5">
        <v>5</v>
      </c>
      <c r="S496" s="5">
        <v>10</v>
      </c>
      <c r="T496" s="5">
        <v>0</v>
      </c>
      <c r="U496" s="5">
        <f t="shared" si="43"/>
        <v>15</v>
      </c>
      <c r="V496" s="5">
        <f t="shared" si="44"/>
        <v>1.8390340829338647</v>
      </c>
      <c r="W496" s="43">
        <f t="shared" si="45"/>
        <v>97.601534082933867</v>
      </c>
      <c r="X496" s="5" t="str" cm="1">
        <f t="array" ref="X496">_xlfn.IFS($W496 &lt;= 30, "Low", $W496 &lt;=50, "Medium", $W496 &lt;= 70, "High", $W496 &gt; 70, "Critical")</f>
        <v>Critical</v>
      </c>
      <c r="Y496" s="9">
        <f t="shared" si="46"/>
        <v>0.59490505731684507</v>
      </c>
      <c r="Z496" s="22">
        <f t="shared" si="47"/>
        <v>50.394407405309941</v>
      </c>
    </row>
    <row r="497" spans="1:26">
      <c r="A497" s="24" t="str">
        <v>CUST-2956</v>
      </c>
      <c r="B497" s="24" t="str">
        <v>Dormant</v>
      </c>
      <c r="C497" s="24" t="str">
        <v>Organic Search</v>
      </c>
      <c r="D497" s="24" t="str">
        <v>Canada</v>
      </c>
      <c r="E497" s="24" t="str">
        <v>35-44</v>
      </c>
      <c r="F497" s="24" t="str">
        <v>Low</v>
      </c>
      <c r="G497" s="24">
        <v>1</v>
      </c>
      <c r="H497" s="24">
        <v>17</v>
      </c>
      <c r="I497" s="23">
        <v>60.28</v>
      </c>
      <c r="J497" s="24" cm="1">
        <f t="array" ref="J497">SUMPRODUCT(
    (Transactions_and_Customer_Information_Joined[Customer ID]='V1-Based Churn Model (Step 3)'!$A497)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497" s="24">
        <f>SUMIF(Transactions_and_Customer_Information_Joined[Customer ID], 'V1-Based Churn Model (Step 3)'!$A497, Transactions_and_Customer_Information_Joined[Gross Revenue])</f>
        <v>497.04</v>
      </c>
      <c r="L497" s="3">
        <f t="shared" si="42"/>
        <v>0</v>
      </c>
      <c r="M497" s="21">
        <v>0</v>
      </c>
      <c r="N497" s="21" cm="1">
        <f t="array" ref="N497">SUMPRODUCT(
    (Transactions_and_Customer_Information_Joined[Customer ID]=$A497)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497" s="21" cm="1">
        <f t="array" ref="O497">IFERROR(
    SUMPRODUCT(
        (Transactions_and_Customer_Information_Joined[Customer ID]=$A497)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$J497,
0)</f>
        <v>0</v>
      </c>
      <c r="P497" s="5" cm="1">
        <f t="array" ref="P497">_xlfn.IFS(B497="At-Risk Churner",$B$2,$B497="Dormant",$B$3,$B497="Deal Hunter",$B$4,$B497="New Customer",$B$5,$B497="Occasional Buyer",$B$6,$B497="Loyal High-Value",$B$7)</f>
        <v>65</v>
      </c>
      <c r="Q497" s="9" cm="1">
        <f t="array" ref="Q497">_xlfn.IFS($B497 = "At-Risk Churner", $B$8, $B497="Dormant",$B$9, $B497="Deal Hunter", $B$10, $B497="New Customer", $B$11, $B497="Occasional Buyer", $B$12, $B497 = "Loyal High-Value",$B$13)</f>
        <v>0.6</v>
      </c>
      <c r="R497" s="5">
        <v>-5</v>
      </c>
      <c r="S497" s="5">
        <v>10</v>
      </c>
      <c r="T497" s="5">
        <v>-5</v>
      </c>
      <c r="U497" s="5">
        <f t="shared" si="43"/>
        <v>0</v>
      </c>
      <c r="V497" s="5">
        <f t="shared" si="44"/>
        <v>0</v>
      </c>
      <c r="W497" s="43">
        <f t="shared" si="45"/>
        <v>65.650000000000006</v>
      </c>
      <c r="X497" s="5" t="str" cm="1">
        <f t="array" ref="X497">_xlfn.IFS($W497 &lt;= 30, "Low", $W497 &lt;=50, "Medium", $W497 &lt;= 70, "High", $W497 &gt; 70, "Critical")</f>
        <v>High</v>
      </c>
      <c r="Y497" s="9">
        <f t="shared" si="46"/>
        <v>0.49624179006231678</v>
      </c>
      <c r="Z497" s="22">
        <f t="shared" si="47"/>
        <v>35.986764083965163</v>
      </c>
    </row>
    <row r="498" spans="1:26">
      <c r="A498" s="24" t="str">
        <v>CUST-3851</v>
      </c>
      <c r="B498" s="24" t="str">
        <v>Deal Hunter</v>
      </c>
      <c r="C498" s="24" t="str">
        <v>Direct</v>
      </c>
      <c r="D498" s="24" t="str">
        <v>Southeast</v>
      </c>
      <c r="E498" s="24" t="str">
        <v>18-24</v>
      </c>
      <c r="F498" s="24" t="str">
        <v>High</v>
      </c>
      <c r="G498" s="24">
        <v>3</v>
      </c>
      <c r="H498" s="24">
        <v>49</v>
      </c>
      <c r="I498" s="23">
        <v>202.71</v>
      </c>
      <c r="J498" s="24" cm="1">
        <f t="array" ref="J498">SUMPRODUCT(
    (Transactions_and_Customer_Information_Joined[Customer ID]='V1-Based Churn Model (Step 3)'!$A498) *
    (IFERROR(_xlfn.XLOOKUP(Transactions_and_Customer_Information_Joined[SKU], 'V1 Pricing Model (Step 2)'!$A$22:$A$71, 'V1 Pricing Model (Step 2)'!$AL$22:$AL$71), "Exclude")&lt;&gt;"Exclude") *
    Transactions_and_Customer_Information_Joined[Gross Revenue])</f>
        <v>186.82</v>
      </c>
      <c r="K498" s="24">
        <f>SUMIF(Transactions_and_Customer_Information_Joined[Customer ID], 'V1-Based Churn Model (Step 3)'!$A498, Transactions_and_Customer_Information_Joined[Gross Revenue])</f>
        <v>186.82</v>
      </c>
      <c r="L498" s="3">
        <f t="shared" si="42"/>
        <v>1</v>
      </c>
      <c r="M498" s="21">
        <v>-6.1928730463004879E-2</v>
      </c>
      <c r="N498" s="21" cm="1">
        <f t="array" ref="N498">SUMPRODUCT(
    (Transactions_and_Customer_Information_Joined[Customer ID]=$A498)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98" s="21" cm="1">
        <f t="array" ref="O498">IFERROR(
    SUMPRODUCT(
        (Transactions_and_Customer_Information_Joined[Customer ID]=$A498)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$J498,
0)</f>
        <v>-6.1928730463004872E-2</v>
      </c>
      <c r="P498" s="5" cm="1">
        <f t="array" ref="P498">_xlfn.IFS(B498="At-Risk Churner",$B$2,$B498="Dormant",$B$3,$B498="Deal Hunter",$B$4,$B498="New Customer",$B$5,$B498="Occasional Buyer",$B$6,$B498="Loyal High-Value",$B$7)</f>
        <v>45</v>
      </c>
      <c r="Q498" s="9" cm="1">
        <f t="array" ref="Q498">_xlfn.IFS($B498 = "At-Risk Churner", $B$8, $B498="Dormant",$B$9, $B498="Deal Hunter", $B$10, $B498="New Customer", $B$11, $B498="Occasional Buyer", $B$12, $B498 = "Loyal High-Value",$B$13)</f>
        <v>0.25</v>
      </c>
      <c r="R498" s="5">
        <v>15</v>
      </c>
      <c r="S498" s="5">
        <v>10</v>
      </c>
      <c r="T498" s="5">
        <v>-5</v>
      </c>
      <c r="U498" s="5">
        <f t="shared" si="43"/>
        <v>15</v>
      </c>
      <c r="V498" s="5">
        <f t="shared" si="44"/>
        <v>2.4771492185201947</v>
      </c>
      <c r="W498" s="43">
        <f t="shared" si="45"/>
        <v>83.264649218520205</v>
      </c>
      <c r="X498" s="5" t="str" cm="1">
        <f t="array" ref="X498">_xlfn.IFS($W498 &lt;= 30, "Low", $W498 &lt;=50, "Medium", $W498 &lt;= 70, "High", $W498 &gt; 70, "Critical")</f>
        <v>Critical</v>
      </c>
      <c r="Y498" s="9">
        <f t="shared" si="46"/>
        <v>0.24133140946100326</v>
      </c>
      <c r="Z498" s="22">
        <f t="shared" si="47"/>
        <v>48.920290011839974</v>
      </c>
    </row>
    <row r="499" spans="1:26">
      <c r="A499" s="24" t="str">
        <v>CUST-4613</v>
      </c>
      <c r="B499" s="24" t="str">
        <v>Deal Hunter</v>
      </c>
      <c r="C499" s="24" t="str">
        <v>Direct</v>
      </c>
      <c r="D499" s="24" t="str">
        <v>Northeast</v>
      </c>
      <c r="E499" s="24" t="str">
        <v>55+</v>
      </c>
      <c r="F499" s="24" t="str">
        <v>High</v>
      </c>
      <c r="G499" s="24">
        <v>0</v>
      </c>
      <c r="H499" s="24">
        <v>357</v>
      </c>
      <c r="I499" s="23">
        <v>546.02</v>
      </c>
      <c r="J499" s="24" cm="1">
        <f t="array" ref="J499">SUMPRODUCT(
    (Transactions_and_Customer_Information_Joined[Customer ID]='V1-Based Churn Model (Step 3)'!$A499) *
    (IFERROR(_xlfn.XLOOKUP(Transactions_and_Customer_Information_Joined[SKU], 'V1 Pricing Model (Step 2)'!$A$22:$A$71, 'V1 Pricing Model (Step 2)'!$AL$22:$AL$71), "Exclude")&lt;&gt;"Exclude") *
    Transactions_and_Customer_Information_Joined[Gross Revenue])</f>
        <v>68.959999999999994</v>
      </c>
      <c r="K499" s="24">
        <f>SUMIF(Transactions_and_Customer_Information_Joined[Customer ID], 'V1-Based Churn Model (Step 3)'!$A499, Transactions_and_Customer_Information_Joined[Gross Revenue])</f>
        <v>68.959999999999994</v>
      </c>
      <c r="L499" s="3">
        <f t="shared" si="42"/>
        <v>1</v>
      </c>
      <c r="M499" s="21">
        <v>7.0422329455997176E-2</v>
      </c>
      <c r="N499" s="21" cm="1">
        <f t="array" ref="N499">SUMPRODUCT(
    (Transactions_and_Customer_Information_Joined[Customer ID]=$A499)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499" s="21" cm="1">
        <f t="array" ref="O499">IFERROR(
    SUMPRODUCT(
        (Transactions_and_Customer_Information_Joined[Customer ID]=$A499)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$J499,
0)</f>
        <v>7.0422329455997176E-2</v>
      </c>
      <c r="P499" s="5" cm="1">
        <f t="array" ref="P499">_xlfn.IFS(B499="At-Risk Churner",$B$2,$B499="Dormant",$B$3,$B499="Deal Hunter",$B$4,$B499="New Customer",$B$5,$B499="Occasional Buyer",$B$6,$B499="Loyal High-Value",$B$7)</f>
        <v>45</v>
      </c>
      <c r="Q499" s="9" cm="1">
        <f t="array" ref="Q499">_xlfn.IFS($B499 = "At-Risk Churner", $B$8, $B499="Dormant",$B$9, $B499="Deal Hunter", $B$10, $B499="New Customer", $B$11, $B499="Occasional Buyer", $B$12, $B499 = "Loyal High-Value",$B$13)</f>
        <v>0.25</v>
      </c>
      <c r="R499" s="5">
        <v>15</v>
      </c>
      <c r="S499" s="5">
        <v>10</v>
      </c>
      <c r="T499" s="5">
        <v>15</v>
      </c>
      <c r="U499" s="5">
        <f t="shared" si="43"/>
        <v>15</v>
      </c>
      <c r="V499" s="5">
        <f t="shared" si="44"/>
        <v>2.8168931782398872</v>
      </c>
      <c r="W499" s="43">
        <f t="shared" si="45"/>
        <v>100</v>
      </c>
      <c r="X499" s="5" t="str" cm="1">
        <f t="array" ref="X499">_xlfn.IFS($W499 &lt;= 30, "Low", $W499 &lt;=50, "Medium", $W499 &lt;= 70, "High", $W499 &gt; 70, "Critical")</f>
        <v>Critical</v>
      </c>
      <c r="Y499" s="9">
        <f t="shared" si="46"/>
        <v>0.24832678726892882</v>
      </c>
      <c r="Z499" s="22">
        <f t="shared" si="47"/>
        <v>135.5913923845805</v>
      </c>
    </row>
    <row r="500" spans="1:26">
      <c r="A500" s="24" t="str">
        <v>CUST-2395</v>
      </c>
      <c r="B500" s="24" t="str">
        <v>Dormant</v>
      </c>
      <c r="C500" s="24" t="str">
        <v>Paid Social</v>
      </c>
      <c r="D500" s="24" t="str">
        <v>Midwest</v>
      </c>
      <c r="E500" s="24" t="str">
        <v>35-44</v>
      </c>
      <c r="F500" s="24" t="str">
        <v>Low</v>
      </c>
      <c r="G500" s="24">
        <v>6</v>
      </c>
      <c r="H500" s="24">
        <v>212</v>
      </c>
      <c r="I500" s="23">
        <v>74.03</v>
      </c>
      <c r="J500" s="24" cm="1">
        <f t="array" ref="J500">SUMPRODUCT(
    (Transactions_and_Customer_Information_Joined[Customer ID]='V1-Based Churn Model (Step 3)'!$A500) *
    (IFERROR(_xlfn.XLOOKUP(Transactions_and_Customer_Information_Joined[SKU], 'V1 Pricing Model (Step 2)'!$A$22:$A$71, 'V1 Pricing Model (Step 2)'!$AL$22:$AL$71), "Exclude")&lt;&gt;"Exclude") *
    Transactions_and_Customer_Information_Joined[Gross Revenue])</f>
        <v>197.02</v>
      </c>
      <c r="K500" s="24">
        <f>SUMIF(Transactions_and_Customer_Information_Joined[Customer ID], 'V1-Based Churn Model (Step 3)'!$A500, Transactions_and_Customer_Information_Joined[Gross Revenue])</f>
        <v>197.02</v>
      </c>
      <c r="L500" s="3">
        <f t="shared" si="42"/>
        <v>1</v>
      </c>
      <c r="M500" s="21">
        <v>0.17380489413507264</v>
      </c>
      <c r="N500" s="21" cm="1">
        <f t="array" ref="N500">SUMPRODUCT(
    (Transactions_and_Customer_Information_Joined[Customer ID]=$A500)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00" s="21" cm="1">
        <f t="array" ref="O500">IFERROR(
    SUMPRODUCT(
        (Transactions_and_Customer_Information_Joined[Customer ID]=$A500)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$J500,
0)</f>
        <v>0.17380489413507264</v>
      </c>
      <c r="P500" s="5" cm="1">
        <f t="array" ref="P500">_xlfn.IFS(B500="At-Risk Churner",$B$2,$B500="Dormant",$B$3,$B500="Deal Hunter",$B$4,$B500="New Customer",$B$5,$B500="Occasional Buyer",$B$6,$B500="Loyal High-Value",$B$7)</f>
        <v>65</v>
      </c>
      <c r="Q500" s="9" cm="1">
        <f t="array" ref="Q500">_xlfn.IFS($B500 = "At-Risk Churner", $B$8, $B500="Dormant",$B$9, $B500="Deal Hunter", $B$10, $B500="New Customer", $B$11, $B500="Occasional Buyer", $B$12, $B500 = "Loyal High-Value",$B$13)</f>
        <v>0.6</v>
      </c>
      <c r="R500" s="5">
        <v>-5</v>
      </c>
      <c r="S500" s="5">
        <v>0</v>
      </c>
      <c r="T500" s="5">
        <v>8</v>
      </c>
      <c r="U500" s="5">
        <f t="shared" si="43"/>
        <v>15</v>
      </c>
      <c r="V500" s="5">
        <f t="shared" si="44"/>
        <v>6.9521957654029052</v>
      </c>
      <c r="W500" s="43">
        <f t="shared" si="45"/>
        <v>89.839695765402908</v>
      </c>
      <c r="X500" s="5" t="str" cm="1">
        <f t="array" ref="X500">_xlfn.IFS($W500 &lt;= 30, "Low", $W500 &lt;=50, "Medium", $W500 &lt;= 70, "High", $W500 &gt; 70, "Critical")</f>
        <v>Critical</v>
      </c>
      <c r="Y500" s="9">
        <f t="shared" si="46"/>
        <v>0.58903707042238918</v>
      </c>
      <c r="Z500" s="22">
        <f t="shared" si="47"/>
        <v>43.606414323369471</v>
      </c>
    </row>
    <row r="501" spans="1:26">
      <c r="A501" s="24" t="str">
        <v>CUST-2805</v>
      </c>
      <c r="B501" s="24" t="str">
        <v>New Customer</v>
      </c>
      <c r="C501" s="24" t="str">
        <v>Referral</v>
      </c>
      <c r="D501" s="24" t="str">
        <v>Southwest</v>
      </c>
      <c r="E501" s="24" t="str">
        <v>35-44</v>
      </c>
      <c r="F501" s="24" t="str">
        <v>High</v>
      </c>
      <c r="G501" s="24">
        <v>8</v>
      </c>
      <c r="H501" s="24">
        <v>259</v>
      </c>
      <c r="I501" s="23">
        <v>142.19</v>
      </c>
      <c r="J501" s="24" cm="1">
        <f t="array" ref="J501">SUMPRODUCT(
    (Transactions_and_Customer_Information_Joined[Customer ID]='V1-Based Churn Model (Step 3)'!$A501)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501" s="24">
        <f>SUMIF(Transactions_and_Customer_Information_Joined[Customer ID], 'V1-Based Churn Model (Step 3)'!$A501, Transactions_and_Customer_Information_Joined[Gross Revenue])</f>
        <v>196.29000000000002</v>
      </c>
      <c r="L501" s="3">
        <f t="shared" si="42"/>
        <v>0</v>
      </c>
      <c r="M501" s="21">
        <v>0</v>
      </c>
      <c r="N501" s="21" cm="1">
        <f t="array" ref="N501">SUMPRODUCT(
    (Transactions_and_Customer_Information_Joined[Customer ID]=$A501)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501" s="21" cm="1">
        <f t="array" ref="O501">IFERROR(
    SUMPRODUCT(
        (Transactions_and_Customer_Information_Joined[Customer ID]=$A501)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$J501,
0)</f>
        <v>0</v>
      </c>
      <c r="P501" s="5" cm="1">
        <f t="array" ref="P501">_xlfn.IFS(B501="At-Risk Churner",$B$2,$B501="Dormant",$B$3,$B501="Deal Hunter",$B$4,$B501="New Customer",$B$5,$B501="Occasional Buyer",$B$6,$B501="Loyal High-Value",$B$7)</f>
        <v>35</v>
      </c>
      <c r="Q501" s="9" cm="1">
        <f t="array" ref="Q501">_xlfn.IFS($B501 = "At-Risk Churner", $B$8, $B501="Dormant",$B$9, $B501="Deal Hunter", $B$10, $B501="New Customer", $B$11, $B501="Occasional Buyer", $B$12, $B501 = "Loyal High-Value",$B$13)</f>
        <v>0.35</v>
      </c>
      <c r="R501" s="5">
        <v>15</v>
      </c>
      <c r="S501" s="5">
        <v>-8</v>
      </c>
      <c r="T501" s="5">
        <v>8</v>
      </c>
      <c r="U501" s="5">
        <f t="shared" si="43"/>
        <v>0</v>
      </c>
      <c r="V501" s="5">
        <f t="shared" si="44"/>
        <v>0</v>
      </c>
      <c r="W501" s="43">
        <f t="shared" si="45"/>
        <v>49.72</v>
      </c>
      <c r="X501" s="5" t="str" cm="1">
        <f t="array" ref="X501">_xlfn.IFS($W501 &lt;= 30, "Low", $W501 &lt;=50, "Medium", $W501 &lt;= 70, "High", $W501 &gt; 70, "Critical")</f>
        <v>Medium</v>
      </c>
      <c r="Y501" s="9">
        <f t="shared" si="46"/>
        <v>0.17255016005411844</v>
      </c>
      <c r="Z501" s="22">
        <f t="shared" si="47"/>
        <v>48.065925806476088</v>
      </c>
    </row>
    <row r="502" spans="1:26">
      <c r="A502" s="24" t="str">
        <v>CUST-1373</v>
      </c>
      <c r="B502" s="24" t="str">
        <v>Loyal High-Value</v>
      </c>
      <c r="C502" s="24" t="str">
        <v>Email Campaign</v>
      </c>
      <c r="D502" s="24" t="str">
        <v>Midwest</v>
      </c>
      <c r="E502" s="24" t="str">
        <v>35-44</v>
      </c>
      <c r="F502" s="24" t="str">
        <v>High</v>
      </c>
      <c r="G502" s="24">
        <v>0</v>
      </c>
      <c r="H502" s="24">
        <v>55</v>
      </c>
      <c r="I502" s="23">
        <v>2094.0300000000002</v>
      </c>
      <c r="J502" s="24" cm="1">
        <f t="array" ref="J502">SUMPRODUCT(
    (Transactions_and_Customer_Information_Joined[Customer ID]='V1-Based Churn Model (Step 3)'!$A502) *
    (IFERROR(_xlfn.XLOOKUP(Transactions_and_Customer_Information_Joined[SKU], 'V1 Pricing Model (Step 2)'!$A$22:$A$71, 'V1 Pricing Model (Step 2)'!$AL$22:$AL$71), "Exclude")&lt;&gt;"Exclude") *
    Transactions_and_Customer_Information_Joined[Gross Revenue])</f>
        <v>248.48000000000002</v>
      </c>
      <c r="K502" s="24">
        <f>SUMIF(Transactions_and_Customer_Information_Joined[Customer ID], 'V1-Based Churn Model (Step 3)'!$A502, Transactions_and_Customer_Information_Joined[Gross Revenue])</f>
        <v>248.48000000000002</v>
      </c>
      <c r="L502" s="3">
        <f t="shared" si="42"/>
        <v>1</v>
      </c>
      <c r="M502" s="21">
        <v>1.4049546680818285E-2</v>
      </c>
      <c r="N502" s="21" cm="1">
        <f t="array" ref="N502">SUMPRODUCT(
    (Transactions_and_Customer_Information_Joined[Customer ID]=$A502)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02" s="21" cm="1">
        <f t="array" ref="O502">IFERROR(
    SUMPRODUCT(
        (Transactions_and_Customer_Information_Joined[Customer ID]=$A502)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$J502,
0)</f>
        <v>-1.5371701088146715E-2</v>
      </c>
      <c r="P502" s="5" cm="1">
        <f t="array" ref="P502">_xlfn.IFS(B502="At-Risk Churner",$B$2,$B502="Dormant",$B$3,$B502="Deal Hunter",$B$4,$B502="New Customer",$B$5,$B502="Occasional Buyer",$B$6,$B502="Loyal High-Value",$B$7)</f>
        <v>15</v>
      </c>
      <c r="Q502" s="9" cm="1">
        <f t="array" ref="Q502">_xlfn.IFS($B502 = "At-Risk Churner", $B$8, $B502="Dormant",$B$9, $B502="Deal Hunter", $B$10, $B502="New Customer", $B$11, $B502="Occasional Buyer", $B$12, $B502 = "Loyal High-Value",$B$13)</f>
        <v>0.05</v>
      </c>
      <c r="R502" s="5">
        <v>15</v>
      </c>
      <c r="S502" s="5">
        <v>10</v>
      </c>
      <c r="T502" s="5">
        <v>-5</v>
      </c>
      <c r="U502" s="5">
        <f t="shared" si="43"/>
        <v>15</v>
      </c>
      <c r="V502" s="5">
        <f t="shared" si="44"/>
        <v>0.58842495537929995</v>
      </c>
      <c r="W502" s="43">
        <f t="shared" si="45"/>
        <v>51.0759249553793</v>
      </c>
      <c r="X502" s="5" t="str" cm="1">
        <f t="array" ref="X502">_xlfn.IFS($W502 &lt;= 30, "Low", $W502 &lt;=50, "Medium", $W502 &lt;= 70, "High", $W502 &gt; 70, "Critical")</f>
        <v>High</v>
      </c>
      <c r="Y502" s="9">
        <f t="shared" si="46"/>
        <v>2.6343610291921685E-2</v>
      </c>
      <c r="Z502" s="22">
        <f t="shared" si="47"/>
        <v>462.93744820767427</v>
      </c>
    </row>
    <row r="503" spans="1:26">
      <c r="A503" s="24" t="str">
        <v>CUST-2919</v>
      </c>
      <c r="B503" s="24" t="str">
        <v>New Customer</v>
      </c>
      <c r="C503" s="24" t="str">
        <v>Paid Social</v>
      </c>
      <c r="D503" s="24" t="str">
        <v>Canada</v>
      </c>
      <c r="E503" s="24" t="str">
        <v>55+</v>
      </c>
      <c r="F503" s="24" t="str">
        <v>Medium</v>
      </c>
      <c r="G503" s="24">
        <v>10</v>
      </c>
      <c r="H503" s="24">
        <v>27</v>
      </c>
      <c r="I503" s="23">
        <v>128.51</v>
      </c>
      <c r="J503" s="24" cm="1">
        <f t="array" ref="J503">SUMPRODUCT(
    (Transactions_and_Customer_Information_Joined[Customer ID]='V1-Based Churn Model (Step 3)'!$A503)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503" s="24">
        <f>SUMIF(Transactions_and_Customer_Information_Joined[Customer ID], 'V1-Based Churn Model (Step 3)'!$A503, Transactions_and_Customer_Information_Joined[Gross Revenue])</f>
        <v>227.07</v>
      </c>
      <c r="L503" s="3">
        <f t="shared" si="42"/>
        <v>0</v>
      </c>
      <c r="M503" s="21">
        <v>0</v>
      </c>
      <c r="N503" s="21" cm="1">
        <f t="array" ref="N503">SUMPRODUCT(
    (Transactions_and_Customer_Information_Joined[Customer ID]=$A503)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503" s="21" cm="1">
        <f t="array" ref="O503">IFERROR(
    SUMPRODUCT(
        (Transactions_and_Customer_Information_Joined[Customer ID]=$A503)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$J503,
0)</f>
        <v>0</v>
      </c>
      <c r="P503" s="5" cm="1">
        <f t="array" ref="P503">_xlfn.IFS(B503="At-Risk Churner",$B$2,$B503="Dormant",$B$3,$B503="Deal Hunter",$B$4,$B503="New Customer",$B$5,$B503="Occasional Buyer",$B$6,$B503="Loyal High-Value",$B$7)</f>
        <v>35</v>
      </c>
      <c r="Q503" s="9" cm="1">
        <f t="array" ref="Q503">_xlfn.IFS($B503 = "At-Risk Churner", $B$8, $B503="Dormant",$B$9, $B503="Deal Hunter", $B$10, $B503="New Customer", $B$11, $B503="Occasional Buyer", $B$12, $B503 = "Loyal High-Value",$B$13)</f>
        <v>0.35</v>
      </c>
      <c r="R503" s="5">
        <v>5</v>
      </c>
      <c r="S503" s="5">
        <v>-8</v>
      </c>
      <c r="T503" s="5">
        <v>-5</v>
      </c>
      <c r="U503" s="5">
        <f t="shared" si="43"/>
        <v>0</v>
      </c>
      <c r="V503" s="5">
        <f t="shared" si="44"/>
        <v>0</v>
      </c>
      <c r="W503" s="43">
        <f t="shared" si="45"/>
        <v>26.72</v>
      </c>
      <c r="X503" s="5" t="str" cm="1">
        <f t="array" ref="X503">_xlfn.IFS($W503 &lt;= 30, "Low", $W503 &lt;=50, "Medium", $W503 &lt;= 70, "High", $W503 &gt; 70, "Critical")</f>
        <v>Low</v>
      </c>
      <c r="Y503" s="9">
        <f t="shared" si="46"/>
        <v>3.109064326413364E-2</v>
      </c>
      <c r="Z503" s="22">
        <f t="shared" si="47"/>
        <v>3.9954585658738138</v>
      </c>
    </row>
    <row r="504" spans="1:26">
      <c r="A504" s="24" t="str">
        <v>CUST-4806</v>
      </c>
      <c r="B504" s="24" t="str">
        <v>Deal Hunter</v>
      </c>
      <c r="C504" s="24" t="str">
        <v>Organic Search</v>
      </c>
      <c r="D504" s="24" t="str">
        <v>Northeast</v>
      </c>
      <c r="E504" s="24" t="str">
        <v>18-24</v>
      </c>
      <c r="F504" s="24" t="str">
        <v>Medium</v>
      </c>
      <c r="G504" s="24">
        <v>8</v>
      </c>
      <c r="H504" s="24">
        <v>100</v>
      </c>
      <c r="I504" s="23">
        <v>399.23</v>
      </c>
      <c r="J504" s="24" cm="1">
        <f t="array" ref="J504">SUMPRODUCT(
    (Transactions_and_Customer_Information_Joined[Customer ID]='V1-Based Churn Model (Step 3)'!$A504) *
    (IFERROR(_xlfn.XLOOKUP(Transactions_and_Customer_Information_Joined[SKU], 'V1 Pricing Model (Step 2)'!$A$22:$A$71, 'V1 Pricing Model (Step 2)'!$AL$22:$AL$71), "Exclude")&lt;&gt;"Exclude") *
    Transactions_and_Customer_Information_Joined[Gross Revenue])</f>
        <v>452.72</v>
      </c>
      <c r="K504" s="24">
        <f>SUMIF(Transactions_and_Customer_Information_Joined[Customer ID], 'V1-Based Churn Model (Step 3)'!$A504, Transactions_and_Customer_Information_Joined[Gross Revenue])</f>
        <v>452.72</v>
      </c>
      <c r="L504" s="3">
        <f t="shared" si="42"/>
        <v>1</v>
      </c>
      <c r="M504" s="21">
        <v>7.8578478868305213E-2</v>
      </c>
      <c r="N504" s="21" cm="1">
        <f t="array" ref="N504">SUMPRODUCT(
    (Transactions_and_Customer_Information_Joined[Customer ID]=$A504)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04" s="21" cm="1">
        <f t="array" ref="O504">IFERROR(
    SUMPRODUCT(
        (Transactions_and_Customer_Information_Joined[Customer ID]=$A504)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$J504,
0)</f>
        <v>7.8578478868305213E-2</v>
      </c>
      <c r="P504" s="5" cm="1">
        <f t="array" ref="P504">_xlfn.IFS(B504="At-Risk Churner",$B$2,$B504="Dormant",$B$3,$B504="Deal Hunter",$B$4,$B504="New Customer",$B$5,$B504="Occasional Buyer",$B$6,$B504="Loyal High-Value",$B$7)</f>
        <v>45</v>
      </c>
      <c r="Q504" s="9" cm="1">
        <f t="array" ref="Q504">_xlfn.IFS($B504 = "At-Risk Churner", $B$8, $B504="Dormant",$B$9, $B504="Deal Hunter", $B$10, $B504="New Customer", $B$11, $B504="Occasional Buyer", $B$12, $B504 = "Loyal High-Value",$B$13)</f>
        <v>0.25</v>
      </c>
      <c r="R504" s="5">
        <v>5</v>
      </c>
      <c r="S504" s="5">
        <v>-8</v>
      </c>
      <c r="T504" s="5">
        <v>0</v>
      </c>
      <c r="U504" s="5">
        <f t="shared" si="43"/>
        <v>15</v>
      </c>
      <c r="V504" s="5">
        <f t="shared" si="44"/>
        <v>3.1431391547322085</v>
      </c>
      <c r="W504" s="43">
        <f t="shared" si="45"/>
        <v>59.895639154732208</v>
      </c>
      <c r="X504" s="5" t="str" cm="1">
        <f t="array" ref="X504">_xlfn.IFS($W504 &lt;= 30, "Low", $W504 &lt;=50, "Medium", $W504 &lt;= 70, "High", $W504 &gt; 70, "Critical")</f>
        <v>High</v>
      </c>
      <c r="Y504" s="9">
        <f t="shared" si="46"/>
        <v>0.18225044472139507</v>
      </c>
      <c r="Z504" s="22">
        <f t="shared" si="47"/>
        <v>138.05387603689803</v>
      </c>
    </row>
    <row r="505" spans="1:26">
      <c r="A505" s="24" t="str">
        <v>CUST-3414</v>
      </c>
      <c r="B505" s="24" t="str">
        <v>Occasional Buyer</v>
      </c>
      <c r="C505" s="24" t="str">
        <v>Influencer</v>
      </c>
      <c r="D505" s="24" t="str">
        <v>Canada</v>
      </c>
      <c r="E505" s="24" t="str">
        <v>18-24</v>
      </c>
      <c r="F505" s="24" t="str">
        <v>High</v>
      </c>
      <c r="G505" s="24">
        <v>6</v>
      </c>
      <c r="H505" s="24">
        <v>1</v>
      </c>
      <c r="I505" s="23">
        <v>345.99</v>
      </c>
      <c r="J505" s="24" cm="1">
        <f t="array" ref="J505">SUMPRODUCT(
    (Transactions_and_Customer_Information_Joined[Customer ID]='V1-Based Churn Model (Step 3)'!$A505) *
    (IFERROR(_xlfn.XLOOKUP(Transactions_and_Customer_Information_Joined[SKU], 'V1 Pricing Model (Step 2)'!$A$22:$A$71, 'V1 Pricing Model (Step 2)'!$AL$22:$AL$71), "Exclude")&lt;&gt;"Exclude") *
    Transactions_and_Customer_Information_Joined[Gross Revenue])</f>
        <v>26.46</v>
      </c>
      <c r="K505" s="24">
        <f>SUMIF(Transactions_and_Customer_Information_Joined[Customer ID], 'V1-Based Churn Model (Step 3)'!$A505, Transactions_and_Customer_Information_Joined[Gross Revenue])</f>
        <v>26.46</v>
      </c>
      <c r="L505" s="3">
        <f t="shared" si="42"/>
        <v>1</v>
      </c>
      <c r="M505" s="21">
        <v>-4.5975852073346618E-2</v>
      </c>
      <c r="N505" s="21" cm="1">
        <f t="array" ref="N505">SUMPRODUCT(
    (Transactions_and_Customer_Information_Joined[Customer ID]=$A505)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05" s="21" cm="1">
        <f t="array" ref="O505">IFERROR(
    SUMPRODUCT(
        (Transactions_and_Customer_Information_Joined[Customer ID]=$A505)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$J505,
0)</f>
        <v>-4.5975852073346618E-2</v>
      </c>
      <c r="P505" s="5" cm="1">
        <f t="array" ref="P505">_xlfn.IFS(B505="At-Risk Churner",$B$2,$B505="Dormant",$B$3,$B505="Deal Hunter",$B$4,$B505="New Customer",$B$5,$B505="Occasional Buyer",$B$6,$B505="Loyal High-Value",$B$7)</f>
        <v>25</v>
      </c>
      <c r="Q505" s="9" cm="1">
        <f t="array" ref="Q505">_xlfn.IFS($B505 = "At-Risk Churner", $B$8, $B505="Dormant",$B$9, $B505="Deal Hunter", $B$10, $B505="New Customer", $B$11, $B505="Occasional Buyer", $B$12, $B505 = "Loyal High-Value",$B$13)</f>
        <v>0.18</v>
      </c>
      <c r="R505" s="5">
        <v>15</v>
      </c>
      <c r="S505" s="5">
        <v>0</v>
      </c>
      <c r="T505" s="5">
        <v>-5</v>
      </c>
      <c r="U505" s="5">
        <f t="shared" si="43"/>
        <v>15</v>
      </c>
      <c r="V505" s="5">
        <f t="shared" si="44"/>
        <v>1.8390340829338647</v>
      </c>
      <c r="W505" s="43">
        <f t="shared" si="45"/>
        <v>52.176534082933863</v>
      </c>
      <c r="X505" s="5" t="str" cm="1">
        <f t="array" ref="X505">_xlfn.IFS($W505 &lt;= 30, "Low", $W505 &lt;=50, "Medium", $W505 &lt;= 70, "High", $W505 &gt; 70, "Critical")</f>
        <v>High</v>
      </c>
      <c r="Y505" s="9">
        <f t="shared" si="46"/>
        <v>9.9755919810203444E-2</v>
      </c>
      <c r="Z505" s="22">
        <f t="shared" si="47"/>
        <v>96.809640556105833</v>
      </c>
    </row>
    <row r="506" spans="1:26">
      <c r="A506" s="24" t="str">
        <v>CUST-2026</v>
      </c>
      <c r="B506" s="24" t="str">
        <v>Occasional Buyer</v>
      </c>
      <c r="C506" s="24" t="str">
        <v>Paid Social</v>
      </c>
      <c r="D506" s="24" t="str">
        <v>Northeast</v>
      </c>
      <c r="E506" s="24" t="str">
        <v>25-34</v>
      </c>
      <c r="F506" s="24" t="str">
        <v>Medium</v>
      </c>
      <c r="G506" s="24">
        <v>5</v>
      </c>
      <c r="H506" s="24">
        <v>323</v>
      </c>
      <c r="I506" s="23">
        <v>281.42</v>
      </c>
      <c r="J506" s="24" cm="1">
        <f t="array" ref="J506">SUMPRODUCT(
    (Transactions_and_Customer_Information_Joined[Customer ID]='V1-Based Churn Model (Step 3)'!$A506) *
    (IFERROR(_xlfn.XLOOKUP(Transactions_and_Customer_Information_Joined[SKU], 'V1 Pricing Model (Step 2)'!$A$22:$A$71, 'V1 Pricing Model (Step 2)'!$AL$22:$AL$71), "Exclude")&lt;&gt;"Exclude") *
    Transactions_and_Customer_Information_Joined[Gross Revenue])</f>
        <v>749</v>
      </c>
      <c r="K506" s="24">
        <f>SUMIF(Transactions_and_Customer_Information_Joined[Customer ID], 'V1-Based Churn Model (Step 3)'!$A506, Transactions_and_Customer_Information_Joined[Gross Revenue])</f>
        <v>749</v>
      </c>
      <c r="L506" s="3">
        <f t="shared" si="42"/>
        <v>1</v>
      </c>
      <c r="M506" s="21">
        <v>0.18240919880904002</v>
      </c>
      <c r="N506" s="21" cm="1">
        <f t="array" ref="N506">SUMPRODUCT(
    (Transactions_and_Customer_Information_Joined[Customer ID]=$A506)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06" s="21" cm="1">
        <f t="array" ref="O506">IFERROR(
    SUMPRODUCT(
        (Transactions_and_Customer_Information_Joined[Customer ID]=$A506)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$J506,
0)</f>
        <v>0.15351135029440596</v>
      </c>
      <c r="P506" s="5" cm="1">
        <f t="array" ref="P506">_xlfn.IFS(B506="At-Risk Churner",$B$2,$B506="Dormant",$B$3,$B506="Deal Hunter",$B$4,$B506="New Customer",$B$5,$B506="Occasional Buyer",$B$6,$B506="Loyal High-Value",$B$7)</f>
        <v>25</v>
      </c>
      <c r="Q506" s="9" cm="1">
        <f t="array" ref="Q506">_xlfn.IFS($B506 = "At-Risk Churner", $B$8, $B506="Dormant",$B$9, $B506="Deal Hunter", $B$10, $B506="New Customer", $B$11, $B506="Occasional Buyer", $B$12, $B506 = "Loyal High-Value",$B$13)</f>
        <v>0.18</v>
      </c>
      <c r="R506" s="5">
        <v>5</v>
      </c>
      <c r="S506" s="5">
        <v>0</v>
      </c>
      <c r="T506" s="5">
        <v>15</v>
      </c>
      <c r="U506" s="5">
        <f t="shared" si="43"/>
        <v>15</v>
      </c>
      <c r="V506" s="5">
        <f t="shared" si="44"/>
        <v>6.71841098206892</v>
      </c>
      <c r="W506" s="43">
        <f t="shared" si="45"/>
        <v>66.830910982068914</v>
      </c>
      <c r="X506" s="5" t="str" cm="1">
        <f t="array" ref="X506">_xlfn.IFS($W506 &lt;= 30, "Low", $W506 &lt;=50, "Medium", $W506 &lt;= 70, "High", $W506 &gt; 70, "Critical")</f>
        <v>High</v>
      </c>
      <c r="Y506" s="9">
        <f t="shared" si="46"/>
        <v>0.15179641375485095</v>
      </c>
      <c r="Z506" s="22">
        <f t="shared" si="47"/>
        <v>90.458837407112128</v>
      </c>
    </row>
    <row r="507" spans="1:26">
      <c r="A507" s="24" t="str">
        <v>CUST-2682</v>
      </c>
      <c r="B507" s="24" t="str">
        <v>Dormant</v>
      </c>
      <c r="C507" s="24" t="str">
        <v>Referral</v>
      </c>
      <c r="D507" s="24" t="str">
        <v>Midwest</v>
      </c>
      <c r="E507" s="24" t="str">
        <v>25-34</v>
      </c>
      <c r="F507" s="24" t="str">
        <v>High</v>
      </c>
      <c r="G507" s="24">
        <v>1</v>
      </c>
      <c r="H507" s="24">
        <v>16</v>
      </c>
      <c r="I507" s="23">
        <v>47.56</v>
      </c>
      <c r="J507" s="24" cm="1">
        <f t="array" ref="J507">SUMPRODUCT(
    (Transactions_and_Customer_Information_Joined[Customer ID]='V1-Based Churn Model (Step 3)'!$A507)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507" s="24">
        <f>SUMIF(Transactions_and_Customer_Information_Joined[Customer ID], 'V1-Based Churn Model (Step 3)'!$A507, Transactions_and_Customer_Information_Joined[Gross Revenue])</f>
        <v>462.09000000000003</v>
      </c>
      <c r="L507" s="3">
        <f t="shared" si="42"/>
        <v>0</v>
      </c>
      <c r="M507" s="21">
        <v>0</v>
      </c>
      <c r="N507" s="21" cm="1">
        <f t="array" ref="N507">SUMPRODUCT(
    (Transactions_and_Customer_Information_Joined[Customer ID]=$A507)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507" s="21" cm="1">
        <f t="array" ref="O507">IFERROR(
    SUMPRODUCT(
        (Transactions_and_Customer_Information_Joined[Customer ID]=$A507)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$J507,
0)</f>
        <v>0</v>
      </c>
      <c r="P507" s="5" cm="1">
        <f t="array" ref="P507">_xlfn.IFS(B507="At-Risk Churner",$B$2,$B507="Dormant",$B$3,$B507="Deal Hunter",$B$4,$B507="New Customer",$B$5,$B507="Occasional Buyer",$B$6,$B507="Loyal High-Value",$B$7)</f>
        <v>65</v>
      </c>
      <c r="Q507" s="9" cm="1">
        <f t="array" ref="Q507">_xlfn.IFS($B507 = "At-Risk Churner", $B$8, $B507="Dormant",$B$9, $B507="Deal Hunter", $B$10, $B507="New Customer", $B$11, $B507="Occasional Buyer", $B$12, $B507 = "Loyal High-Value",$B$13)</f>
        <v>0.6</v>
      </c>
      <c r="R507" s="5">
        <v>15</v>
      </c>
      <c r="S507" s="5">
        <v>10</v>
      </c>
      <c r="T507" s="5">
        <v>-5</v>
      </c>
      <c r="U507" s="5">
        <f t="shared" si="43"/>
        <v>0</v>
      </c>
      <c r="V507" s="5">
        <f t="shared" si="44"/>
        <v>0</v>
      </c>
      <c r="W507" s="43">
        <f t="shared" si="45"/>
        <v>85.65</v>
      </c>
      <c r="X507" s="5" t="str" cm="1">
        <f t="array" ref="X507">_xlfn.IFS($W507 &lt;= 30, "Low", $W507 &lt;=50, "Medium", $W507 &lt;= 70, "High", $W507 &gt; 70, "Critical")</f>
        <v>Critical</v>
      </c>
      <c r="Y507" s="9">
        <f t="shared" si="46"/>
        <v>0.5834890196799345</v>
      </c>
      <c r="Z507" s="22">
        <f t="shared" si="47"/>
        <v>27.750737775977687</v>
      </c>
    </row>
    <row r="508" spans="1:26">
      <c r="A508" s="24" t="str">
        <v>CUST-3348</v>
      </c>
      <c r="B508" s="24" t="str">
        <v>New Customer</v>
      </c>
      <c r="C508" s="24" t="str">
        <v>Organic Search</v>
      </c>
      <c r="D508" s="24" t="str">
        <v>Southeast</v>
      </c>
      <c r="E508" s="24" t="str">
        <v>18-24</v>
      </c>
      <c r="F508" s="24" t="str">
        <v>High</v>
      </c>
      <c r="G508" s="24">
        <v>7</v>
      </c>
      <c r="H508" s="24">
        <v>264</v>
      </c>
      <c r="I508" s="23">
        <v>76.61</v>
      </c>
      <c r="J508" s="24" cm="1">
        <f t="array" ref="J508">SUMPRODUCT(
    (Transactions_and_Customer_Information_Joined[Customer ID]='V1-Based Churn Model (Step 3)'!$A508) *
    (IFERROR(_xlfn.XLOOKUP(Transactions_and_Customer_Information_Joined[SKU], 'V1 Pricing Model (Step 2)'!$A$22:$A$71, 'V1 Pricing Model (Step 2)'!$AL$22:$AL$71), "Exclude")&lt;&gt;"Exclude") *
    Transactions_and_Customer_Information_Joined[Gross Revenue])</f>
        <v>298.02</v>
      </c>
      <c r="K508" s="24">
        <f>SUMIF(Transactions_and_Customer_Information_Joined[Customer ID], 'V1-Based Churn Model (Step 3)'!$A508, Transactions_and_Customer_Information_Joined[Gross Revenue])</f>
        <v>298.02</v>
      </c>
      <c r="L508" s="3">
        <f t="shared" si="42"/>
        <v>1</v>
      </c>
      <c r="M508" s="21">
        <v>1.4049546680818285E-2</v>
      </c>
      <c r="N508" s="21" cm="1">
        <f t="array" ref="N508">SUMPRODUCT(
    (Transactions_and_Customer_Information_Joined[Customer ID]=$A508)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08" s="21" cm="1">
        <f t="array" ref="O508">IFERROR(
    SUMPRODUCT(
        (Transactions_and_Customer_Information_Joined[Customer ID]=$A508)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$J508,
0)</f>
        <v>1.4049546680818283E-2</v>
      </c>
      <c r="P508" s="5" cm="1">
        <f t="array" ref="P508">_xlfn.IFS(B508="At-Risk Churner",$B$2,$B508="Dormant",$B$3,$B508="Deal Hunter",$B$4,$B508="New Customer",$B$5,$B508="Occasional Buyer",$B$6,$B508="Loyal High-Value",$B$7)</f>
        <v>35</v>
      </c>
      <c r="Q508" s="9" cm="1">
        <f t="array" ref="Q508">_xlfn.IFS($B508 = "At-Risk Churner", $B$8, $B508="Dormant",$B$9, $B508="Deal Hunter", $B$10, $B508="New Customer", $B$11, $B508="Occasional Buyer", $B$12, $B508 = "Loyal High-Value",$B$13)</f>
        <v>0.35</v>
      </c>
      <c r="R508" s="5">
        <v>15</v>
      </c>
      <c r="S508" s="5">
        <v>-8</v>
      </c>
      <c r="T508" s="5">
        <v>8</v>
      </c>
      <c r="U508" s="5">
        <f t="shared" si="43"/>
        <v>15</v>
      </c>
      <c r="V508" s="5">
        <f t="shared" si="44"/>
        <v>0.56198186723273136</v>
      </c>
      <c r="W508" s="43">
        <f t="shared" si="45"/>
        <v>65.619481867232736</v>
      </c>
      <c r="X508" s="5" t="str" cm="1">
        <f t="array" ref="X508">_xlfn.IFS($W508 &lt;= 30, "Low", $W508 &lt;=50, "Medium", $W508 &lt;= 70, "High", $W508 &gt; 70, "Critical")</f>
        <v>High</v>
      </c>
      <c r="Y508" s="9">
        <f t="shared" si="46"/>
        <v>0.28932145458205383</v>
      </c>
      <c r="Z508" s="22">
        <f t="shared" si="47"/>
        <v>33.053933308424917</v>
      </c>
    </row>
    <row r="509" spans="1:26">
      <c r="A509" s="24" t="str">
        <v>CUST-1353</v>
      </c>
      <c r="B509" s="24" t="str">
        <v>Deal Hunter</v>
      </c>
      <c r="C509" s="24" t="str">
        <v>Email Campaign</v>
      </c>
      <c r="D509" s="24" t="str">
        <v>Midwest</v>
      </c>
      <c r="E509" s="24" t="str">
        <v>35-44</v>
      </c>
      <c r="F509" s="24" t="str">
        <v>Low</v>
      </c>
      <c r="G509" s="24">
        <v>2</v>
      </c>
      <c r="H509" s="24">
        <v>218</v>
      </c>
      <c r="I509" s="23">
        <v>149.72999999999999</v>
      </c>
      <c r="J509" s="24" cm="1">
        <f t="array" ref="J509">SUMPRODUCT(
    (Transactions_and_Customer_Information_Joined[Customer ID]='V1-Based Churn Model (Step 3)'!$A509) *
    (IFERROR(_xlfn.XLOOKUP(Transactions_and_Customer_Information_Joined[SKU], 'V1 Pricing Model (Step 2)'!$A$22:$A$71, 'V1 Pricing Model (Step 2)'!$AL$22:$AL$71), "Exclude")&lt;&gt;"Exclude") *
    Transactions_and_Customer_Information_Joined[Gross Revenue])</f>
        <v>18.7</v>
      </c>
      <c r="K509" s="24">
        <f>SUMIF(Transactions_and_Customer_Information_Joined[Customer ID], 'V1-Based Churn Model (Step 3)'!$A509, Transactions_and_Customer_Information_Joined[Gross Revenue])</f>
        <v>18.7</v>
      </c>
      <c r="L509" s="3">
        <f t="shared" si="42"/>
        <v>1</v>
      </c>
      <c r="M509" s="21">
        <v>0</v>
      </c>
      <c r="N509" s="21" cm="1">
        <f t="array" ref="N509">SUMPRODUCT(
    (Transactions_and_Customer_Information_Joined[Customer ID]=$A509)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09" s="21" cm="1">
        <f t="array" ref="O509">IFERROR(
    SUMPRODUCT(
        (Transactions_and_Customer_Information_Joined[Customer ID]=$A509)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$J509,
0)</f>
        <v>0</v>
      </c>
      <c r="P509" s="5" cm="1">
        <f t="array" ref="P509">_xlfn.IFS(B509="At-Risk Churner",$B$2,$B509="Dormant",$B$3,$B509="Deal Hunter",$B$4,$B509="New Customer",$B$5,$B509="Occasional Buyer",$B$6,$B509="Loyal High-Value",$B$7)</f>
        <v>45</v>
      </c>
      <c r="Q509" s="9" cm="1">
        <f t="array" ref="Q509">_xlfn.IFS($B509 = "At-Risk Churner", $B$8, $B509="Dormant",$B$9, $B509="Deal Hunter", $B$10, $B509="New Customer", $B$11, $B509="Occasional Buyer", $B$12, $B509 = "Loyal High-Value",$B$13)</f>
        <v>0.25</v>
      </c>
      <c r="R509" s="5">
        <v>-5</v>
      </c>
      <c r="S509" s="5">
        <v>10</v>
      </c>
      <c r="T509" s="5">
        <v>8</v>
      </c>
      <c r="U509" s="5">
        <f t="shared" si="43"/>
        <v>15</v>
      </c>
      <c r="V509" s="5">
        <f t="shared" si="44"/>
        <v>0</v>
      </c>
      <c r="W509" s="43">
        <f t="shared" si="45"/>
        <v>73.337500000000006</v>
      </c>
      <c r="X509" s="5" t="str" cm="1">
        <f t="array" ref="X509">_xlfn.IFS($W509 &lt;= 30, "Low", $W509 &lt;=50, "Medium", $W509 &lt;= 70, "High", $W509 &gt; 70, "Critical")</f>
        <v>Critical</v>
      </c>
      <c r="Y509" s="9">
        <f t="shared" si="46"/>
        <v>0.22790847354772634</v>
      </c>
      <c r="Z509" s="22">
        <f t="shared" si="47"/>
        <v>34.124735744301063</v>
      </c>
    </row>
    <row r="510" spans="1:26">
      <c r="A510" s="24" t="str">
        <v>CUST-4997</v>
      </c>
      <c r="B510" s="24" t="str">
        <v>At-Risk Churner</v>
      </c>
      <c r="C510" s="24" t="str">
        <v>Influencer</v>
      </c>
      <c r="D510" s="24" t="str">
        <v>Canada</v>
      </c>
      <c r="E510" s="24" t="str">
        <v>18-24</v>
      </c>
      <c r="F510" s="24" t="str">
        <v>Low</v>
      </c>
      <c r="G510" s="24">
        <v>6</v>
      </c>
      <c r="H510" s="24">
        <v>334</v>
      </c>
      <c r="I510" s="23">
        <v>108.48</v>
      </c>
      <c r="J510" s="24" cm="1">
        <f t="array" ref="J510">SUMPRODUCT(
    (Transactions_and_Customer_Information_Joined[Customer ID]='V1-Based Churn Model (Step 3)'!$A510) *
    (IFERROR(_xlfn.XLOOKUP(Transactions_and_Customer_Information_Joined[SKU], 'V1 Pricing Model (Step 2)'!$A$22:$A$71, 'V1 Pricing Model (Step 2)'!$AL$22:$AL$71), "Exclude")&lt;&gt;"Exclude") *
    Transactions_and_Customer_Information_Joined[Gross Revenue])</f>
        <v>394.04</v>
      </c>
      <c r="K510" s="24">
        <f>SUMIF(Transactions_and_Customer_Information_Joined[Customer ID], 'V1-Based Churn Model (Step 3)'!$A510, Transactions_and_Customer_Information_Joined[Gross Revenue])</f>
        <v>394.04</v>
      </c>
      <c r="L510" s="3">
        <f t="shared" si="42"/>
        <v>1</v>
      </c>
      <c r="M510" s="21">
        <v>0.17380489413507264</v>
      </c>
      <c r="N510" s="21" cm="1">
        <f t="array" ref="N510">SUMPRODUCT(
    (Transactions_and_Customer_Information_Joined[Customer ID]=$A510)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10" s="21" cm="1">
        <f t="array" ref="O510">IFERROR(
    SUMPRODUCT(
        (Transactions_and_Customer_Information_Joined[Customer ID]=$A510)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$J510,
0)</f>
        <v>0.17380489413507264</v>
      </c>
      <c r="P510" s="5" cm="1">
        <f t="array" ref="P510">_xlfn.IFS(B510="At-Risk Churner",$B$2,$B510="Dormant",$B$3,$B510="Deal Hunter",$B$4,$B510="New Customer",$B$5,$B510="Occasional Buyer",$B$6,$B510="Loyal High-Value",$B$7)</f>
        <v>70</v>
      </c>
      <c r="Q510" s="9" cm="1">
        <f t="array" ref="Q510">_xlfn.IFS($B510 = "At-Risk Churner", $B$8, $B510="Dormant",$B$9, $B510="Deal Hunter", $B$10, $B510="New Customer", $B$11, $B510="Occasional Buyer", $B$12, $B510 = "Loyal High-Value",$B$13)</f>
        <v>0.45</v>
      </c>
      <c r="R510" s="5">
        <v>-5</v>
      </c>
      <c r="S510" s="5">
        <v>0</v>
      </c>
      <c r="T510" s="5">
        <v>15</v>
      </c>
      <c r="U510" s="5">
        <f t="shared" si="43"/>
        <v>15</v>
      </c>
      <c r="V510" s="5">
        <f t="shared" si="44"/>
        <v>6.9521957654029052</v>
      </c>
      <c r="W510" s="43">
        <f t="shared" si="45"/>
        <v>100</v>
      </c>
      <c r="X510" s="5" t="str" cm="1">
        <f t="array" ref="X510">_xlfn.IFS($W510 &lt;= 30, "Low", $W510 &lt;=50, "Medium", $W510 &lt;= 70, "High", $W510 &gt; 70, "Critical")</f>
        <v>Critical</v>
      </c>
      <c r="Y510" s="9">
        <f t="shared" si="46"/>
        <v>0.44698821708407188</v>
      </c>
      <c r="Z510" s="22">
        <f t="shared" si="47"/>
        <v>48.48928178928012</v>
      </c>
    </row>
    <row r="511" spans="1:26">
      <c r="A511" s="24" t="str">
        <v>CUST-1389</v>
      </c>
      <c r="B511" s="24" t="str">
        <v>Deal Hunter</v>
      </c>
      <c r="C511" s="24" t="str">
        <v>Referral</v>
      </c>
      <c r="D511" s="24" t="str">
        <v>Southeast</v>
      </c>
      <c r="E511" s="24" t="str">
        <v>18-24</v>
      </c>
      <c r="F511" s="24" t="str">
        <v>Low</v>
      </c>
      <c r="G511" s="24">
        <v>3</v>
      </c>
      <c r="H511" s="24">
        <v>23</v>
      </c>
      <c r="I511" s="23">
        <v>583.33000000000004</v>
      </c>
      <c r="J511" s="24" cm="1">
        <f t="array" ref="J511">SUMPRODUCT(
    (Transactions_and_Customer_Information_Joined[Customer ID]='V1-Based Churn Model (Step 3)'!$A511) *
    (IFERROR(_xlfn.XLOOKUP(Transactions_and_Customer_Information_Joined[SKU], 'V1 Pricing Model (Step 2)'!$A$22:$A$71, 'V1 Pricing Model (Step 2)'!$AL$22:$AL$71), "Exclude")&lt;&gt;"Exclude") *
    Transactions_and_Customer_Information_Joined[Gross Revenue])</f>
        <v>161.85000000000002</v>
      </c>
      <c r="K511" s="24">
        <f>SUMIF(Transactions_and_Customer_Information_Joined[Customer ID], 'V1-Based Churn Model (Step 3)'!$A511, Transactions_and_Customer_Information_Joined[Gross Revenue])</f>
        <v>161.85000000000002</v>
      </c>
      <c r="L511" s="3">
        <f t="shared" si="42"/>
        <v>1</v>
      </c>
      <c r="M511" s="21">
        <v>-6.3633334648082567E-3</v>
      </c>
      <c r="N511" s="21" cm="1">
        <f t="array" ref="N511">SUMPRODUCT(
    (Transactions_and_Customer_Information_Joined[Customer ID]=$A511)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11" s="21" cm="1">
        <f t="array" ref="O511">IFERROR(
    SUMPRODUCT(
        (Transactions_and_Customer_Information_Joined[Customer ID]=$A511)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$J511,
0)</f>
        <v>-6.3633334648082567E-3</v>
      </c>
      <c r="P511" s="5" cm="1">
        <f t="array" ref="P511">_xlfn.IFS(B511="At-Risk Churner",$B$2,$B511="Dormant",$B$3,$B511="Deal Hunter",$B$4,$B511="New Customer",$B$5,$B511="Occasional Buyer",$B$6,$B511="Loyal High-Value",$B$7)</f>
        <v>45</v>
      </c>
      <c r="Q511" s="9" cm="1">
        <f t="array" ref="Q511">_xlfn.IFS($B511 = "At-Risk Churner", $B$8, $B511="Dormant",$B$9, $B511="Deal Hunter", $B$10, $B511="New Customer", $B$11, $B511="Occasional Buyer", $B$12, $B511 = "Loyal High-Value",$B$13)</f>
        <v>0.25</v>
      </c>
      <c r="R511" s="5">
        <v>-5</v>
      </c>
      <c r="S511" s="5">
        <v>10</v>
      </c>
      <c r="T511" s="5">
        <v>-5</v>
      </c>
      <c r="U511" s="5">
        <f t="shared" si="43"/>
        <v>15</v>
      </c>
      <c r="V511" s="5">
        <f t="shared" si="44"/>
        <v>0.25453333859233029</v>
      </c>
      <c r="W511" s="43">
        <f t="shared" si="45"/>
        <v>60.592033338592337</v>
      </c>
      <c r="X511" s="5" t="str" cm="1">
        <f t="array" ref="X511">_xlfn.IFS($W511 &lt;= 30, "Low", $W511 &lt;=50, "Medium", $W511 &lt;= 70, "High", $W511 &gt; 70, "Critical")</f>
        <v>High</v>
      </c>
      <c r="Y511" s="9">
        <f t="shared" si="46"/>
        <v>0.18563456798378811</v>
      </c>
      <c r="Z511" s="22">
        <f t="shared" si="47"/>
        <v>203.29497003358651</v>
      </c>
    </row>
    <row r="512" spans="1:26">
      <c r="A512" s="24" t="str">
        <v>CUST-3658</v>
      </c>
      <c r="B512" s="24" t="str">
        <v>Occasional Buyer</v>
      </c>
      <c r="C512" s="24" t="str">
        <v>Referral</v>
      </c>
      <c r="D512" s="24" t="str">
        <v>Midwest</v>
      </c>
      <c r="E512" s="24" t="str">
        <v>18-24</v>
      </c>
      <c r="F512" s="24" t="str">
        <v>Medium</v>
      </c>
      <c r="G512" s="24">
        <v>2</v>
      </c>
      <c r="H512" s="24">
        <v>350</v>
      </c>
      <c r="I512" s="23">
        <v>697.56</v>
      </c>
      <c r="J512" s="24" cm="1">
        <f t="array" ref="J512">SUMPRODUCT(
    (Transactions_and_Customer_Information_Joined[Customer ID]='V1-Based Churn Model (Step 3)'!$A512) *
    (IFERROR(_xlfn.XLOOKUP(Transactions_and_Customer_Information_Joined[SKU], 'V1 Pricing Model (Step 2)'!$A$22:$A$71, 'V1 Pricing Model (Step 2)'!$AL$22:$AL$71), "Exclude")&lt;&gt;"Exclude") *
    Transactions_and_Customer_Information_Joined[Gross Revenue])</f>
        <v>197.02</v>
      </c>
      <c r="K512" s="24">
        <f>SUMIF(Transactions_and_Customer_Information_Joined[Customer ID], 'V1-Based Churn Model (Step 3)'!$A512, Transactions_and_Customer_Information_Joined[Gross Revenue])</f>
        <v>197.02</v>
      </c>
      <c r="L512" s="3">
        <f t="shared" si="42"/>
        <v>1</v>
      </c>
      <c r="M512" s="21">
        <v>0.17380489413507264</v>
      </c>
      <c r="N512" s="21" cm="1">
        <f t="array" ref="N512">SUMPRODUCT(
    (Transactions_and_Customer_Information_Joined[Customer ID]=$A512)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12" s="21" cm="1">
        <f t="array" ref="O512">IFERROR(
    SUMPRODUCT(
        (Transactions_and_Customer_Information_Joined[Customer ID]=$A512)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$J512,
0)</f>
        <v>0.17380489413507264</v>
      </c>
      <c r="P512" s="5" cm="1">
        <f t="array" ref="P512">_xlfn.IFS(B512="At-Risk Churner",$B$2,$B512="Dormant",$B$3,$B512="Deal Hunter",$B$4,$B512="New Customer",$B$5,$B512="Occasional Buyer",$B$6,$B512="Loyal High-Value",$B$7)</f>
        <v>25</v>
      </c>
      <c r="Q512" s="9" cm="1">
        <f t="array" ref="Q512">_xlfn.IFS($B512 = "At-Risk Churner", $B$8, $B512="Dormant",$B$9, $B512="Deal Hunter", $B$10, $B512="New Customer", $B$11, $B512="Occasional Buyer", $B$12, $B512 = "Loyal High-Value",$B$13)</f>
        <v>0.18</v>
      </c>
      <c r="R512" s="5">
        <v>5</v>
      </c>
      <c r="S512" s="5">
        <v>10</v>
      </c>
      <c r="T512" s="5">
        <v>15</v>
      </c>
      <c r="U512" s="5">
        <f t="shared" si="43"/>
        <v>15</v>
      </c>
      <c r="V512" s="5">
        <f t="shared" si="44"/>
        <v>6.9521957654029052</v>
      </c>
      <c r="W512" s="43">
        <f t="shared" si="45"/>
        <v>77.314695765402902</v>
      </c>
      <c r="X512" s="5" t="str" cm="1">
        <f t="array" ref="X512">_xlfn.IFS($W512 &lt;= 30, "Low", $W512 &lt;=50, "Medium", $W512 &lt;= 70, "High", $W512 &gt; 70, "Critical")</f>
        <v>Critical</v>
      </c>
      <c r="Y512" s="9">
        <f t="shared" si="46"/>
        <v>0.16899448506281986</v>
      </c>
      <c r="Z512" s="22">
        <f t="shared" si="47"/>
        <v>117.88379300042061</v>
      </c>
    </row>
    <row r="513" spans="1:26">
      <c r="A513" s="24" t="str">
        <v>CUST-2296</v>
      </c>
      <c r="B513" s="24" t="str">
        <v>At-Risk Churner</v>
      </c>
      <c r="C513" s="24" t="str">
        <v>Paid Social</v>
      </c>
      <c r="D513" s="24" t="str">
        <v>Midwest</v>
      </c>
      <c r="E513" s="24" t="str">
        <v>25-34</v>
      </c>
      <c r="F513" s="24" t="str">
        <v>Low</v>
      </c>
      <c r="G513" s="24">
        <v>6</v>
      </c>
      <c r="H513" s="24">
        <v>126</v>
      </c>
      <c r="I513" s="23">
        <v>239</v>
      </c>
      <c r="J513" s="24" cm="1">
        <f t="array" ref="J513">SUMPRODUCT(
    (Transactions_and_Customer_Information_Joined[Customer ID]='V1-Based Churn Model (Step 3)'!$A513) *
    (IFERROR(_xlfn.XLOOKUP(Transactions_and_Customer_Information_Joined[SKU], 'V1 Pricing Model (Step 2)'!$A$22:$A$71, 'V1 Pricing Model (Step 2)'!$AL$22:$AL$71), "Exclude")&lt;&gt;"Exclude") *
    Transactions_and_Customer_Information_Joined[Gross Revenue])</f>
        <v>691.02</v>
      </c>
      <c r="K513" s="24">
        <f>SUMIF(Transactions_and_Customer_Information_Joined[Customer ID], 'V1-Based Churn Model (Step 3)'!$A513, Transactions_and_Customer_Information_Joined[Gross Revenue])</f>
        <v>691.02</v>
      </c>
      <c r="L513" s="3">
        <f t="shared" si="42"/>
        <v>1</v>
      </c>
      <c r="M513" s="21">
        <v>0.26791845407776477</v>
      </c>
      <c r="N513" s="21" cm="1">
        <f t="array" ref="N513">SUMPRODUCT(
    (Transactions_and_Customer_Information_Joined[Customer ID]=$A513)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13" s="21" cm="1">
        <f t="array" ref="O513">IFERROR(
    SUMPRODUCT(
        (Transactions_and_Customer_Information_Joined[Customer ID]=$A513)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$J513,
0)</f>
        <v>0.26791845407776477</v>
      </c>
      <c r="P513" s="5" cm="1">
        <f t="array" ref="P513">_xlfn.IFS(B513="At-Risk Churner",$B$2,$B513="Dormant",$B$3,$B513="Deal Hunter",$B$4,$B513="New Customer",$B$5,$B513="Occasional Buyer",$B$6,$B513="Loyal High-Value",$B$7)</f>
        <v>70</v>
      </c>
      <c r="Q513" s="9" cm="1">
        <f t="array" ref="Q513">_xlfn.IFS($B513 = "At-Risk Churner", $B$8, $B513="Dormant",$B$9, $B513="Deal Hunter", $B$10, $B513="New Customer", $B$11, $B513="Occasional Buyer", $B$12, $B513 = "Loyal High-Value",$B$13)</f>
        <v>0.45</v>
      </c>
      <c r="R513" s="5">
        <v>-5</v>
      </c>
      <c r="S513" s="5">
        <v>0</v>
      </c>
      <c r="T513" s="5">
        <v>0</v>
      </c>
      <c r="U513" s="5">
        <f t="shared" si="43"/>
        <v>15</v>
      </c>
      <c r="V513" s="5">
        <f t="shared" si="44"/>
        <v>10.716738163110591</v>
      </c>
      <c r="W513" s="43">
        <f t="shared" si="45"/>
        <v>90.604238163110594</v>
      </c>
      <c r="X513" s="5" t="str" cm="1">
        <f t="array" ref="X513">_xlfn.IFS($W513 &lt;= 30, "Low", $W513 &lt;=50, "Medium", $W513 &lt;= 70, "High", $W513 &gt; 70, "Critical")</f>
        <v>Critical</v>
      </c>
      <c r="Y513" s="9">
        <f t="shared" si="46"/>
        <v>0.44237273743918765</v>
      </c>
      <c r="Z513" s="22">
        <f t="shared" si="47"/>
        <v>105.72708424796585</v>
      </c>
    </row>
    <row r="514" spans="1:26">
      <c r="A514" s="24" t="str">
        <v>CUST-2532</v>
      </c>
      <c r="B514" s="24" t="str">
        <v>At-Risk Churner</v>
      </c>
      <c r="C514" s="24" t="str">
        <v>Influencer</v>
      </c>
      <c r="D514" s="24" t="str">
        <v>UK</v>
      </c>
      <c r="E514" s="24" t="str">
        <v>35-44</v>
      </c>
      <c r="F514" s="24" t="str">
        <v>Medium</v>
      </c>
      <c r="G514" s="24">
        <v>2</v>
      </c>
      <c r="H514" s="24">
        <v>122</v>
      </c>
      <c r="I514" s="23">
        <v>218.64</v>
      </c>
      <c r="J514" s="24" cm="1">
        <f t="array" ref="J514">SUMPRODUCT(
    (Transactions_and_Customer_Information_Joined[Customer ID]='V1-Based Churn Model (Step 3)'!$A514) *
    (IFERROR(_xlfn.XLOOKUP(Transactions_and_Customer_Information_Joined[SKU], 'V1 Pricing Model (Step 2)'!$A$22:$A$71, 'V1 Pricing Model (Step 2)'!$AL$22:$AL$71), "Exclude")&lt;&gt;"Exclude") *
    Transactions_and_Customer_Information_Joined[Gross Revenue])</f>
        <v>254.85000000000002</v>
      </c>
      <c r="K514" s="24">
        <f>SUMIF(Transactions_and_Customer_Information_Joined[Customer ID], 'V1-Based Churn Model (Step 3)'!$A514, Transactions_and_Customer_Information_Joined[Gross Revenue])</f>
        <v>254.85000000000002</v>
      </c>
      <c r="L514" s="3">
        <f t="shared" si="42"/>
        <v>1</v>
      </c>
      <c r="M514" s="21">
        <v>0</v>
      </c>
      <c r="N514" s="21" cm="1">
        <f t="array" ref="N514">SUMPRODUCT(
    (Transactions_and_Customer_Information_Joined[Customer ID]=$A514)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14" s="21" cm="1">
        <f t="array" ref="O514">IFERROR(
    SUMPRODUCT(
        (Transactions_and_Customer_Information_Joined[Customer ID]=$A514)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$J514,
0)</f>
        <v>0</v>
      </c>
      <c r="P514" s="5" cm="1">
        <f t="array" ref="P514">_xlfn.IFS(B514="At-Risk Churner",$B$2,$B514="Dormant",$B$3,$B514="Deal Hunter",$B$4,$B514="New Customer",$B$5,$B514="Occasional Buyer",$B$6,$B514="Loyal High-Value",$B$7)</f>
        <v>70</v>
      </c>
      <c r="Q514" s="9" cm="1">
        <f t="array" ref="Q514">_xlfn.IFS($B514 = "At-Risk Churner", $B$8, $B514="Dormant",$B$9, $B514="Deal Hunter", $B$10, $B514="New Customer", $B$11, $B514="Occasional Buyer", $B$12, $B514 = "Loyal High-Value",$B$13)</f>
        <v>0.45</v>
      </c>
      <c r="R514" s="5">
        <v>5</v>
      </c>
      <c r="S514" s="5">
        <v>10</v>
      </c>
      <c r="T514" s="5">
        <v>0</v>
      </c>
      <c r="U514" s="5">
        <f t="shared" si="43"/>
        <v>15</v>
      </c>
      <c r="V514" s="5">
        <f t="shared" si="44"/>
        <v>0</v>
      </c>
      <c r="W514" s="43">
        <f t="shared" si="45"/>
        <v>100</v>
      </c>
      <c r="X514" s="5" t="str" cm="1">
        <f t="array" ref="X514">_xlfn.IFS($W514 &lt;= 30, "Low", $W514 &lt;=50, "Medium", $W514 &lt;= 70, "High", $W514 &gt; 70, "Critical")</f>
        <v>Critical</v>
      </c>
      <c r="Y514" s="9">
        <f t="shared" si="46"/>
        <v>0.44698821708407188</v>
      </c>
      <c r="Z514" s="22">
        <f t="shared" si="47"/>
        <v>97.729503783261464</v>
      </c>
    </row>
    <row r="515" spans="1:26">
      <c r="A515" s="24" t="str">
        <v>CUST-2160</v>
      </c>
      <c r="B515" s="24" t="str">
        <v>Loyal High-Value</v>
      </c>
      <c r="C515" s="24" t="str">
        <v>Influencer</v>
      </c>
      <c r="D515" s="24" t="str">
        <v>Canada</v>
      </c>
      <c r="E515" s="24" t="str">
        <v>55+</v>
      </c>
      <c r="F515" s="24" t="str">
        <v>Low</v>
      </c>
      <c r="G515" s="24">
        <v>0</v>
      </c>
      <c r="H515" s="24">
        <v>232</v>
      </c>
      <c r="I515" s="23">
        <v>1187.52</v>
      </c>
      <c r="J515" s="24" cm="1">
        <f t="array" ref="J515">SUMPRODUCT(
    (Transactions_and_Customer_Information_Joined[Customer ID]='V1-Based Churn Model (Step 3)'!$A515) *
    (IFERROR(_xlfn.XLOOKUP(Transactions_and_Customer_Information_Joined[SKU], 'V1 Pricing Model (Step 2)'!$A$22:$A$71, 'V1 Pricing Model (Step 2)'!$AL$22:$AL$71), "Exclude")&lt;&gt;"Exclude") *
    Transactions_and_Customer_Information_Joined[Gross Revenue])</f>
        <v>109.28</v>
      </c>
      <c r="K515" s="24">
        <f>SUMIF(Transactions_and_Customer_Information_Joined[Customer ID], 'V1-Based Churn Model (Step 3)'!$A515, Transactions_and_Customer_Information_Joined[Gross Revenue])</f>
        <v>482.06000000000006</v>
      </c>
      <c r="L515" s="3">
        <f t="shared" si="42"/>
        <v>0.2266937725594324</v>
      </c>
      <c r="M515" s="21">
        <v>0.24833629343146826</v>
      </c>
      <c r="N515" s="21" cm="1">
        <f t="array" ref="N515">SUMPRODUCT(
    (Transactions_and_Customer_Information_Joined[Customer ID]=$A515)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15" s="21" cm="1">
        <f t="array" ref="O515">IFERROR(
    SUMPRODUCT(
        (Transactions_and_Customer_Information_Joined[Customer ID]=$A515)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$J515,
0)</f>
        <v>0.24833629343146826</v>
      </c>
      <c r="P515" s="5" cm="1">
        <f t="array" ref="P515">_xlfn.IFS(B515="At-Risk Churner",$B$2,$B515="Dormant",$B$3,$B515="Deal Hunter",$B$4,$B515="New Customer",$B$5,$B515="Occasional Buyer",$B$6,$B515="Loyal High-Value",$B$7)</f>
        <v>15</v>
      </c>
      <c r="Q515" s="9" cm="1">
        <f t="array" ref="Q515">_xlfn.IFS($B515 = "At-Risk Churner", $B$8, $B515="Dormant",$B$9, $B515="Deal Hunter", $B$10, $B515="New Customer", $B$11, $B515="Occasional Buyer", $B$12, $B515 = "Loyal High-Value",$B$13)</f>
        <v>0.05</v>
      </c>
      <c r="R515" s="5">
        <v>-5</v>
      </c>
      <c r="S515" s="5">
        <v>10</v>
      </c>
      <c r="T515" s="5">
        <v>8</v>
      </c>
      <c r="U515" s="5">
        <f t="shared" si="43"/>
        <v>5.6673443139858097</v>
      </c>
      <c r="V515" s="5">
        <f t="shared" si="44"/>
        <v>9.9334517372587303</v>
      </c>
      <c r="W515" s="43">
        <f t="shared" si="45"/>
        <v>43.708290968889642</v>
      </c>
      <c r="X515" s="5" t="str" cm="1">
        <f t="array" ref="X515">_xlfn.IFS($W515 &lt;= 30, "Low", $W515 &lt;=50, "Medium", $W515 &lt;= 70, "High", $W515 &gt; 70, "Critical")</f>
        <v>Medium</v>
      </c>
      <c r="Y515" s="9">
        <f t="shared" si="46"/>
        <v>1.7384927838490809E-2</v>
      </c>
      <c r="Z515" s="22">
        <f t="shared" si="47"/>
        <v>254.01995960541171</v>
      </c>
    </row>
    <row r="516" spans="1:26">
      <c r="A516" s="24" t="str">
        <v>CUST-4427</v>
      </c>
      <c r="B516" s="24" t="str">
        <v>Dormant</v>
      </c>
      <c r="C516" s="24" t="str">
        <v>Referral</v>
      </c>
      <c r="D516" s="24" t="str">
        <v>Canada</v>
      </c>
      <c r="E516" s="24" t="str">
        <v>18-24</v>
      </c>
      <c r="F516" s="24" t="str">
        <v>Medium</v>
      </c>
      <c r="G516" s="24">
        <v>7</v>
      </c>
      <c r="H516" s="24">
        <v>213</v>
      </c>
      <c r="I516" s="23">
        <v>71.02</v>
      </c>
      <c r="J516" s="24" cm="1">
        <f t="array" ref="J516">SUMPRODUCT(
    (Transactions_and_Customer_Information_Joined[Customer ID]='V1-Based Churn Model (Step 3)'!$A516) *
    (IFERROR(_xlfn.XLOOKUP(Transactions_and_Customer_Information_Joined[SKU], 'V1 Pricing Model (Step 2)'!$A$22:$A$71, 'V1 Pricing Model (Step 2)'!$AL$22:$AL$71), "Exclude")&lt;&gt;"Exclude") *
    Transactions_and_Customer_Information_Joined[Gross Revenue])</f>
        <v>424.24</v>
      </c>
      <c r="K516" s="24">
        <f>SUMIF(Transactions_and_Customer_Information_Joined[Customer ID], 'V1-Based Churn Model (Step 3)'!$A516, Transactions_and_Customer_Information_Joined[Gross Revenue])</f>
        <v>424.24</v>
      </c>
      <c r="L516" s="3">
        <f t="shared" si="42"/>
        <v>1</v>
      </c>
      <c r="M516" s="21">
        <v>0.18762795201583557</v>
      </c>
      <c r="N516" s="21" cm="1">
        <f t="array" ref="N516">SUMPRODUCT(
    (Transactions_and_Customer_Information_Joined[Customer ID]=$A516)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16" s="21" cm="1">
        <f t="array" ref="O516">IFERROR(
    SUMPRODUCT(
        (Transactions_and_Customer_Information_Joined[Customer ID]=$A516)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$J516,
0)</f>
        <v>0.18762795201583557</v>
      </c>
      <c r="P516" s="5" cm="1">
        <f t="array" ref="P516">_xlfn.IFS(B516="At-Risk Churner",$B$2,$B516="Dormant",$B$3,$B516="Deal Hunter",$B$4,$B516="New Customer",$B$5,$B516="Occasional Buyer",$B$6,$B516="Loyal High-Value",$B$7)</f>
        <v>65</v>
      </c>
      <c r="Q516" s="9" cm="1">
        <f t="array" ref="Q516">_xlfn.IFS($B516 = "At-Risk Churner", $B$8, $B516="Dormant",$B$9, $B516="Deal Hunter", $B$10, $B516="New Customer", $B$11, $B516="Occasional Buyer", $B$12, $B516 = "Loyal High-Value",$B$13)</f>
        <v>0.6</v>
      </c>
      <c r="R516" s="5">
        <v>5</v>
      </c>
      <c r="S516" s="5">
        <v>-8</v>
      </c>
      <c r="T516" s="5">
        <v>8</v>
      </c>
      <c r="U516" s="5">
        <f t="shared" si="43"/>
        <v>15</v>
      </c>
      <c r="V516" s="5">
        <f t="shared" si="44"/>
        <v>7.505118080633423</v>
      </c>
      <c r="W516" s="43">
        <f t="shared" si="45"/>
        <v>92.097618080633424</v>
      </c>
      <c r="X516" s="5" t="str" cm="1">
        <f t="array" ref="X516">_xlfn.IFS($W516 &lt;= 30, "Low", $W516 &lt;=50, "Medium", $W516 &lt;= 70, "High", $W516 &gt; 70, "Critical")</f>
        <v>Critical</v>
      </c>
      <c r="Y516" s="9">
        <f t="shared" si="46"/>
        <v>0.59122043271382885</v>
      </c>
      <c r="Z516" s="22">
        <f t="shared" si="47"/>
        <v>41.988475131336124</v>
      </c>
    </row>
    <row r="517" spans="1:26">
      <c r="A517" s="24" t="str">
        <v>CUST-2973</v>
      </c>
      <c r="B517" s="24" t="str">
        <v>At-Risk Churner</v>
      </c>
      <c r="C517" s="24" t="str">
        <v>Email Campaign</v>
      </c>
      <c r="D517" s="24" t="str">
        <v>Southwest</v>
      </c>
      <c r="E517" s="24" t="str">
        <v>18-24</v>
      </c>
      <c r="F517" s="24" t="str">
        <v>Medium</v>
      </c>
      <c r="G517" s="24">
        <v>10</v>
      </c>
      <c r="H517" s="24">
        <v>56</v>
      </c>
      <c r="I517" s="23">
        <v>328.15</v>
      </c>
      <c r="J517" s="24" cm="1">
        <f t="array" ref="J517">SUMPRODUCT(
    (Transactions_and_Customer_Information_Joined[Customer ID]='V1-Based Churn Model (Step 3)'!$A517) *
    (IFERROR(_xlfn.XLOOKUP(Transactions_and_Customer_Information_Joined[SKU], 'V1 Pricing Model (Step 2)'!$A$22:$A$71, 'V1 Pricing Model (Step 2)'!$AL$22:$AL$71), "Exclude")&lt;&gt;"Exclude") *
    Transactions_and_Customer_Information_Joined[Gross Revenue])</f>
        <v>310.68</v>
      </c>
      <c r="K517" s="24">
        <f>SUMIF(Transactions_and_Customer_Information_Joined[Customer ID], 'V1-Based Churn Model (Step 3)'!$A517, Transactions_and_Customer_Information_Joined[Gross Revenue])</f>
        <v>310.68</v>
      </c>
      <c r="L517" s="3">
        <f t="shared" si="42"/>
        <v>1</v>
      </c>
      <c r="M517" s="21">
        <v>1.0827913756041518E-3</v>
      </c>
      <c r="N517" s="21" cm="1">
        <f t="array" ref="N517">SUMPRODUCT(
    (Transactions_and_Customer_Information_Joined[Customer ID]=$A517)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17" s="21" cm="1">
        <f t="array" ref="O517">IFERROR(
    SUMPRODUCT(
        (Transactions_and_Customer_Information_Joined[Customer ID]=$A517)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$J517,
0)</f>
        <v>1.0827913756041518E-3</v>
      </c>
      <c r="P517" s="5" cm="1">
        <f t="array" ref="P517">_xlfn.IFS(B517="At-Risk Churner",$B$2,$B517="Dormant",$B$3,$B517="Deal Hunter",$B$4,$B517="New Customer",$B$5,$B517="Occasional Buyer",$B$6,$B517="Loyal High-Value",$B$7)</f>
        <v>70</v>
      </c>
      <c r="Q517" s="9" cm="1">
        <f t="array" ref="Q517">_xlfn.IFS($B517 = "At-Risk Churner", $B$8, $B517="Dormant",$B$9, $B517="Deal Hunter", $B$10, $B517="New Customer", $B$11, $B517="Occasional Buyer", $B$12, $B517 = "Loyal High-Value",$B$13)</f>
        <v>0.45</v>
      </c>
      <c r="R517" s="5">
        <v>5</v>
      </c>
      <c r="S517" s="5">
        <v>-8</v>
      </c>
      <c r="T517" s="5">
        <v>-5</v>
      </c>
      <c r="U517" s="5">
        <f t="shared" si="43"/>
        <v>15</v>
      </c>
      <c r="V517" s="5">
        <f t="shared" si="44"/>
        <v>4.3311655024166069E-2</v>
      </c>
      <c r="W517" s="43">
        <f t="shared" si="45"/>
        <v>76.595811655024164</v>
      </c>
      <c r="X517" s="5" t="str" cm="1">
        <f t="array" ref="X517">_xlfn.IFS($W517 &lt;= 30, "Low", $W517 &lt;=50, "Medium", $W517 &lt;= 70, "High", $W517 &gt; 70, "Critical")</f>
        <v>Critical</v>
      </c>
      <c r="Y517" s="9">
        <f t="shared" si="46"/>
        <v>0.42056958174370623</v>
      </c>
      <c r="Z517" s="22">
        <f t="shared" si="47"/>
        <v>138.0099082491972</v>
      </c>
    </row>
    <row r="518" spans="1:26">
      <c r="A518" s="24" t="str">
        <v>CUST-2849</v>
      </c>
      <c r="B518" s="24" t="str">
        <v>New Customer</v>
      </c>
      <c r="C518" s="24" t="str">
        <v>Email Campaign</v>
      </c>
      <c r="D518" s="24" t="str">
        <v>UK</v>
      </c>
      <c r="E518" s="24" t="str">
        <v>55+</v>
      </c>
      <c r="F518" s="24" t="str">
        <v>High</v>
      </c>
      <c r="G518" s="24">
        <v>8</v>
      </c>
      <c r="H518" s="24">
        <v>70</v>
      </c>
      <c r="I518" s="23">
        <v>46.55</v>
      </c>
      <c r="J518" s="24" cm="1">
        <f t="array" ref="J518">SUMPRODUCT(
    (Transactions_and_Customer_Information_Joined[Customer ID]='V1-Based Churn Model (Step 3)'!$A518) *
    (IFERROR(_xlfn.XLOOKUP(Transactions_and_Customer_Information_Joined[SKU], 'V1 Pricing Model (Step 2)'!$A$22:$A$71, 'V1 Pricing Model (Step 2)'!$AL$22:$AL$71), "Exclude")&lt;&gt;"Exclude") *
    Transactions_and_Customer_Information_Joined[Gross Revenue])</f>
        <v>77.67</v>
      </c>
      <c r="K518" s="24">
        <f>SUMIF(Transactions_and_Customer_Information_Joined[Customer ID], 'V1-Based Churn Model (Step 3)'!$A518, Transactions_and_Customer_Information_Joined[Gross Revenue])</f>
        <v>77.67</v>
      </c>
      <c r="L518" s="3">
        <f t="shared" si="42"/>
        <v>1</v>
      </c>
      <c r="M518" s="21">
        <v>-0.1229980207344718</v>
      </c>
      <c r="N518" s="21" cm="1">
        <f t="array" ref="N518">SUMPRODUCT(
    (Transactions_and_Customer_Information_Joined[Customer ID]=$A518)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18" s="21" cm="1">
        <f t="array" ref="O518">IFERROR(
    SUMPRODUCT(
        (Transactions_and_Customer_Information_Joined[Customer ID]=$A518)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$J518,
0)</f>
        <v>-0.1229980207344718</v>
      </c>
      <c r="P518" s="5" cm="1">
        <f t="array" ref="P518">_xlfn.IFS(B518="At-Risk Churner",$B$2,$B518="Dormant",$B$3,$B518="Deal Hunter",$B$4,$B518="New Customer",$B$5,$B518="Occasional Buyer",$B$6,$B518="Loyal High-Value",$B$7)</f>
        <v>35</v>
      </c>
      <c r="Q518" s="9" cm="1">
        <f t="array" ref="Q518">_xlfn.IFS($B518 = "At-Risk Churner", $B$8, $B518="Dormant",$B$9, $B518="Deal Hunter", $B$10, $B518="New Customer", $B$11, $B518="Occasional Buyer", $B$12, $B518 = "Loyal High-Value",$B$13)</f>
        <v>0.35</v>
      </c>
      <c r="R518" s="5">
        <v>15</v>
      </c>
      <c r="S518" s="5">
        <v>-8</v>
      </c>
      <c r="T518" s="5">
        <v>0</v>
      </c>
      <c r="U518" s="5">
        <f t="shared" si="43"/>
        <v>15</v>
      </c>
      <c r="V518" s="5">
        <f t="shared" si="44"/>
        <v>4.9199208293788725</v>
      </c>
      <c r="W518" s="43">
        <f t="shared" si="45"/>
        <v>61.977420829378872</v>
      </c>
      <c r="X518" s="5" t="str" cm="1">
        <f t="array" ref="X518">_xlfn.IFS($W518 &lt;= 30, "Low", $W518 &lt;=50, "Medium", $W518 &lt;= 70, "High", $W518 &gt; 70, "Critical")</f>
        <v>High</v>
      </c>
      <c r="Y518" s="9">
        <f t="shared" si="46"/>
        <v>0.2688430041827552</v>
      </c>
      <c r="Z518" s="22">
        <f t="shared" si="47"/>
        <v>19.321713475765804</v>
      </c>
    </row>
    <row r="519" spans="1:26">
      <c r="A519" s="24" t="str">
        <v>CUST-1554</v>
      </c>
      <c r="B519" s="24" t="str">
        <v>Deal Hunter</v>
      </c>
      <c r="C519" s="24" t="str">
        <v>Direct</v>
      </c>
      <c r="D519" s="24" t="str">
        <v>Northeast</v>
      </c>
      <c r="E519" s="24" t="str">
        <v>35-44</v>
      </c>
      <c r="F519" s="24" t="str">
        <v>Low</v>
      </c>
      <c r="G519" s="24">
        <v>3</v>
      </c>
      <c r="H519" s="24">
        <v>15</v>
      </c>
      <c r="I519" s="23">
        <v>596.14</v>
      </c>
      <c r="J519" s="24" cm="1">
        <f t="array" ref="J519">SUMPRODUCT(
    (Transactions_and_Customer_Information_Joined[Customer ID]='V1-Based Churn Model (Step 3)'!$A519) *
    (IFERROR(_xlfn.XLOOKUP(Transactions_and_Customer_Information_Joined[SKU], 'V1 Pricing Model (Step 2)'!$A$22:$A$71, 'V1 Pricing Model (Step 2)'!$AL$22:$AL$71), "Exclude")&lt;&gt;"Exclude") *
    Transactions_and_Customer_Information_Joined[Gross Revenue])</f>
        <v>379.98</v>
      </c>
      <c r="K519" s="24">
        <f>SUMIF(Transactions_and_Customer_Information_Joined[Customer ID], 'V1-Based Churn Model (Step 3)'!$A519, Transactions_and_Customer_Information_Joined[Gross Revenue])</f>
        <v>379.98</v>
      </c>
      <c r="L519" s="3">
        <f t="shared" si="42"/>
        <v>1</v>
      </c>
      <c r="M519" s="21">
        <v>0.22185784964769206</v>
      </c>
      <c r="N519" s="21" cm="1">
        <f t="array" ref="N519">SUMPRODUCT(
    (Transactions_and_Customer_Information_Joined[Customer ID]=$A519)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19" s="21" cm="1">
        <f t="array" ref="O519">IFERROR(
    SUMPRODUCT(
        (Transactions_and_Customer_Information_Joined[Customer ID]=$A519)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$J519,
0)</f>
        <v>0.22185784964769206</v>
      </c>
      <c r="P519" s="5" cm="1">
        <f t="array" ref="P519">_xlfn.IFS(B519="At-Risk Churner",$B$2,$B519="Dormant",$B$3,$B519="Deal Hunter",$B$4,$B519="New Customer",$B$5,$B519="Occasional Buyer",$B$6,$B519="Loyal High-Value",$B$7)</f>
        <v>45</v>
      </c>
      <c r="Q519" s="9" cm="1">
        <f t="array" ref="Q519">_xlfn.IFS($B519 = "At-Risk Churner", $B$8, $B519="Dormant",$B$9, $B519="Deal Hunter", $B$10, $B519="New Customer", $B$11, $B519="Occasional Buyer", $B$12, $B519 = "Loyal High-Value",$B$13)</f>
        <v>0.25</v>
      </c>
      <c r="R519" s="5">
        <v>-5</v>
      </c>
      <c r="S519" s="5">
        <v>10</v>
      </c>
      <c r="T519" s="5">
        <v>-5</v>
      </c>
      <c r="U519" s="5">
        <f t="shared" si="43"/>
        <v>15</v>
      </c>
      <c r="V519" s="5">
        <f t="shared" si="44"/>
        <v>8.8743139859076834</v>
      </c>
      <c r="W519" s="43">
        <f t="shared" si="45"/>
        <v>69.211813985907696</v>
      </c>
      <c r="X519" s="5" t="str" cm="1">
        <f t="array" ref="X519">_xlfn.IFS($W519 &lt;= 30, "Low", $W519 &lt;=50, "Medium", $W519 &lt;= 70, "High", $W519 &gt; 70, "Critical")</f>
        <v>High</v>
      </c>
      <c r="Y519" s="9">
        <f t="shared" si="46"/>
        <v>0.21806752926413572</v>
      </c>
      <c r="Z519" s="22">
        <f t="shared" si="47"/>
        <v>223.22702151641749</v>
      </c>
    </row>
    <row r="520" spans="1:26">
      <c r="A520" s="24" t="str">
        <v>CUST-4032</v>
      </c>
      <c r="B520" s="24" t="str">
        <v>New Customer</v>
      </c>
      <c r="C520" s="24" t="str">
        <v>Direct</v>
      </c>
      <c r="D520" s="24" t="str">
        <v>Southeast</v>
      </c>
      <c r="E520" s="24" t="str">
        <v>35-44</v>
      </c>
      <c r="F520" s="24" t="str">
        <v>Low</v>
      </c>
      <c r="G520" s="24">
        <v>9</v>
      </c>
      <c r="H520" s="24">
        <v>359</v>
      </c>
      <c r="I520" s="23">
        <v>61.68</v>
      </c>
      <c r="J520" s="24" cm="1">
        <f t="array" ref="J520">SUMPRODUCT(
    (Transactions_and_Customer_Information_Joined[Customer ID]='V1-Based Churn Model (Step 3)'!$A520) *
    (IFERROR(_xlfn.XLOOKUP(Transactions_and_Customer_Information_Joined[SKU], 'V1 Pricing Model (Step 2)'!$A$22:$A$71, 'V1 Pricing Model (Step 2)'!$AL$22:$AL$71), "Exclude")&lt;&gt;"Exclude") *
    Transactions_and_Customer_Information_Joined[Gross Revenue])</f>
        <v>394.04</v>
      </c>
      <c r="K520" s="24">
        <f>SUMIF(Transactions_and_Customer_Information_Joined[Customer ID], 'V1-Based Churn Model (Step 3)'!$A520, Transactions_and_Customer_Information_Joined[Gross Revenue])</f>
        <v>394.04</v>
      </c>
      <c r="L520" s="3">
        <f t="shared" si="42"/>
        <v>1</v>
      </c>
      <c r="M520" s="21">
        <v>0.17380489413507264</v>
      </c>
      <c r="N520" s="21" cm="1">
        <f t="array" ref="N520">SUMPRODUCT(
    (Transactions_and_Customer_Information_Joined[Customer ID]=$A520)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20" s="21" cm="1">
        <f t="array" ref="O520">IFERROR(
    SUMPRODUCT(
        (Transactions_and_Customer_Information_Joined[Customer ID]=$A520)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$J520,
0)</f>
        <v>0.17380489413507264</v>
      </c>
      <c r="P520" s="5" cm="1">
        <f t="array" ref="P520">_xlfn.IFS(B520="At-Risk Churner",$B$2,$B520="Dormant",$B$3,$B520="Deal Hunter",$B$4,$B520="New Customer",$B$5,$B520="Occasional Buyer",$B$6,$B520="Loyal High-Value",$B$7)</f>
        <v>35</v>
      </c>
      <c r="Q520" s="9" cm="1">
        <f t="array" ref="Q520">_xlfn.IFS($B520 = "At-Risk Churner", $B$8, $B520="Dormant",$B$9, $B520="Deal Hunter", $B$10, $B520="New Customer", $B$11, $B520="Occasional Buyer", $B$12, $B520 = "Loyal High-Value",$B$13)</f>
        <v>0.35</v>
      </c>
      <c r="R520" s="5">
        <v>-5</v>
      </c>
      <c r="S520" s="5">
        <v>-8</v>
      </c>
      <c r="T520" s="5">
        <v>15</v>
      </c>
      <c r="U520" s="5">
        <f t="shared" si="43"/>
        <v>15</v>
      </c>
      <c r="V520" s="5">
        <f t="shared" si="44"/>
        <v>6.9521957654029052</v>
      </c>
      <c r="W520" s="43">
        <f t="shared" si="45"/>
        <v>58.559695765402907</v>
      </c>
      <c r="X520" s="5" t="str" cm="1">
        <f t="array" ref="X520">_xlfn.IFS($W520 &lt;= 30, "Low", $W520 &lt;=50, "Medium", $W520 &lt;= 70, "High", $W520 &gt; 70, "Critical")</f>
        <v>High</v>
      </c>
      <c r="Y520" s="9">
        <f t="shared" si="46"/>
        <v>0.24563626365052049</v>
      </c>
      <c r="Z520" s="22">
        <f t="shared" si="47"/>
        <v>24.456675793571286</v>
      </c>
    </row>
    <row r="521" spans="1:26">
      <c r="A521" s="24" t="str">
        <v>CUST-4274</v>
      </c>
      <c r="B521" s="24" t="str">
        <v>Dormant</v>
      </c>
      <c r="C521" s="24" t="str">
        <v>Influencer</v>
      </c>
      <c r="D521" s="24" t="str">
        <v>Southwest</v>
      </c>
      <c r="E521" s="24" t="str">
        <v>25-34</v>
      </c>
      <c r="F521" s="24" t="str">
        <v>Low</v>
      </c>
      <c r="G521" s="24">
        <v>10</v>
      </c>
      <c r="H521" s="24">
        <v>352</v>
      </c>
      <c r="I521" s="23">
        <v>195.17</v>
      </c>
      <c r="J521" s="24" cm="1">
        <f t="array" ref="J521">SUMPRODUCT(
    (Transactions_and_Customer_Information_Joined[Customer ID]='V1-Based Churn Model (Step 3)'!$A521) *
    (IFERROR(_xlfn.XLOOKUP(Transactions_and_Customer_Information_Joined[SKU], 'V1 Pricing Model (Step 2)'!$A$22:$A$71, 'V1 Pricing Model (Step 2)'!$AL$22:$AL$71), "Exclude")&lt;&gt;"Exclude") *
    Transactions_and_Customer_Information_Joined[Gross Revenue])</f>
        <v>56.33</v>
      </c>
      <c r="K521" s="24">
        <f>SUMIF(Transactions_and_Customer_Information_Joined[Customer ID], 'V1-Based Churn Model (Step 3)'!$A521, Transactions_and_Customer_Information_Joined[Gross Revenue])</f>
        <v>56.33</v>
      </c>
      <c r="L521" s="3">
        <f t="shared" si="42"/>
        <v>1</v>
      </c>
      <c r="M521" s="21">
        <v>1.5146952408836394E-2</v>
      </c>
      <c r="N521" s="21" cm="1">
        <f t="array" ref="N521">SUMPRODUCT(
    (Transactions_and_Customer_Information_Joined[Customer ID]=$A521)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21" s="21" cm="1">
        <f t="array" ref="O521">IFERROR(
    SUMPRODUCT(
        (Transactions_and_Customer_Information_Joined[Customer ID]=$A521)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$J521,
0)</f>
        <v>1.5146952408836394E-2</v>
      </c>
      <c r="P521" s="5" cm="1">
        <f t="array" ref="P521">_xlfn.IFS(B521="At-Risk Churner",$B$2,$B521="Dormant",$B$3,$B521="Deal Hunter",$B$4,$B521="New Customer",$B$5,$B521="Occasional Buyer",$B$6,$B521="Loyal High-Value",$B$7)</f>
        <v>65</v>
      </c>
      <c r="Q521" s="9" cm="1">
        <f t="array" ref="Q521">_xlfn.IFS($B521 = "At-Risk Churner", $B$8, $B521="Dormant",$B$9, $B521="Deal Hunter", $B$10, $B521="New Customer", $B$11, $B521="Occasional Buyer", $B$12, $B521 = "Loyal High-Value",$B$13)</f>
        <v>0.6</v>
      </c>
      <c r="R521" s="5">
        <v>-5</v>
      </c>
      <c r="S521" s="5">
        <v>-8</v>
      </c>
      <c r="T521" s="5">
        <v>15</v>
      </c>
      <c r="U521" s="5">
        <f t="shared" si="43"/>
        <v>15</v>
      </c>
      <c r="V521" s="5">
        <f t="shared" si="44"/>
        <v>0.6058780963534558</v>
      </c>
      <c r="W521" s="43">
        <f t="shared" si="45"/>
        <v>81.973378096353457</v>
      </c>
      <c r="X521" s="5" t="str" cm="1">
        <f t="array" ref="X521">_xlfn.IFS($W521 &lt;= 30, "Low", $W521 &lt;=50, "Medium", $W521 &lt;= 70, "High", $W521 &gt; 70, "Critical")</f>
        <v>Critical</v>
      </c>
      <c r="Y521" s="9">
        <f t="shared" si="46"/>
        <v>0.57644038276294685</v>
      </c>
      <c r="Z521" s="22">
        <f t="shared" si="47"/>
        <v>112.50386950384433</v>
      </c>
    </row>
    <row r="522" spans="1:26">
      <c r="A522" s="24" t="str">
        <v>CUST-2015</v>
      </c>
      <c r="B522" s="24" t="str">
        <v>Dormant</v>
      </c>
      <c r="C522" s="24" t="str">
        <v>Influencer</v>
      </c>
      <c r="D522" s="24" t="str">
        <v>Southwest</v>
      </c>
      <c r="E522" s="24" t="str">
        <v>18-24</v>
      </c>
      <c r="F522" s="24" t="str">
        <v>Medium</v>
      </c>
      <c r="G522" s="24">
        <v>5</v>
      </c>
      <c r="H522" s="24">
        <v>312</v>
      </c>
      <c r="I522" s="23">
        <v>152.57</v>
      </c>
      <c r="J522" s="24" cm="1">
        <f t="array" ref="J522">SUMPRODUCT(
    (Transactions_and_Customer_Information_Joined[Customer ID]='V1-Based Churn Model (Step 3)'!$A522) *
    (IFERROR(_xlfn.XLOOKUP(Transactions_and_Customer_Information_Joined[SKU], 'V1 Pricing Model (Step 2)'!$A$22:$A$71, 'V1 Pricing Model (Step 2)'!$AL$22:$AL$71), "Exclude")&lt;&gt;"Exclude") *
    Transactions_and_Customer_Information_Joined[Gross Revenue])</f>
        <v>53.4</v>
      </c>
      <c r="K522" s="24">
        <f>SUMIF(Transactions_and_Customer_Information_Joined[Customer ID], 'V1-Based Churn Model (Step 3)'!$A522, Transactions_and_Customer_Information_Joined[Gross Revenue])</f>
        <v>53.4</v>
      </c>
      <c r="L522" s="3">
        <f t="shared" si="42"/>
        <v>1</v>
      </c>
      <c r="M522" s="21">
        <v>7.5818801139291682E-3</v>
      </c>
      <c r="N522" s="21" cm="1">
        <f t="array" ref="N522">SUMPRODUCT(
    (Transactions_and_Customer_Information_Joined[Customer ID]=$A522)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22" s="21" cm="1">
        <f t="array" ref="O522">IFERROR(
    SUMPRODUCT(
        (Transactions_and_Customer_Information_Joined[Customer ID]=$A522)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$J522,
0)</f>
        <v>7.5818801139291682E-3</v>
      </c>
      <c r="P522" s="5" cm="1">
        <f t="array" ref="P522">_xlfn.IFS(B522="At-Risk Churner",$B$2,$B522="Dormant",$B$3,$B522="Deal Hunter",$B$4,$B522="New Customer",$B$5,$B522="Occasional Buyer",$B$6,$B522="Loyal High-Value",$B$7)</f>
        <v>65</v>
      </c>
      <c r="Q522" s="9" cm="1">
        <f t="array" ref="Q522">_xlfn.IFS($B522 = "At-Risk Churner", $B$8, $B522="Dormant",$B$9, $B522="Deal Hunter", $B$10, $B522="New Customer", $B$11, $B522="Occasional Buyer", $B$12, $B522 = "Loyal High-Value",$B$13)</f>
        <v>0.6</v>
      </c>
      <c r="R522" s="5">
        <v>5</v>
      </c>
      <c r="S522" s="5">
        <v>0</v>
      </c>
      <c r="T522" s="5">
        <v>15</v>
      </c>
      <c r="U522" s="5">
        <f t="shared" si="43"/>
        <v>15</v>
      </c>
      <c r="V522" s="5">
        <f t="shared" si="44"/>
        <v>0.30327520455716672</v>
      </c>
      <c r="W522" s="43">
        <f t="shared" si="45"/>
        <v>100</v>
      </c>
      <c r="X522" s="5" t="str" cm="1">
        <f t="array" ref="X522">_xlfn.IFS($W522 &lt;= 30, "Low", $W522 &lt;=50, "Medium", $W522 &lt;= 70, "High", $W522 &gt; 70, "Critical")</f>
        <v>Critical</v>
      </c>
      <c r="Y522" s="9">
        <f t="shared" si="46"/>
        <v>0.59598428944542914</v>
      </c>
      <c r="Z522" s="22">
        <f t="shared" si="47"/>
        <v>90.929323040689113</v>
      </c>
    </row>
    <row r="523" spans="1:26">
      <c r="A523" s="24" t="str">
        <v>CUST-3828</v>
      </c>
      <c r="B523" s="24" t="str">
        <v>New Customer</v>
      </c>
      <c r="C523" s="24" t="str">
        <v>Paid Social</v>
      </c>
      <c r="D523" s="24" t="str">
        <v>West</v>
      </c>
      <c r="E523" s="24" t="str">
        <v>18-24</v>
      </c>
      <c r="F523" s="24" t="str">
        <v>High</v>
      </c>
      <c r="G523" s="24">
        <v>10</v>
      </c>
      <c r="H523" s="24">
        <v>65</v>
      </c>
      <c r="I523" s="23">
        <v>113.59</v>
      </c>
      <c r="J523" s="24" cm="1">
        <f t="array" ref="J523">SUMPRODUCT(
    (Transactions_and_Customer_Information_Joined[Customer ID]='V1-Based Churn Model (Step 3)'!$A523) *
    (IFERROR(_xlfn.XLOOKUP(Transactions_and_Customer_Information_Joined[SKU], 'V1 Pricing Model (Step 2)'!$A$22:$A$71, 'V1 Pricing Model (Step 2)'!$AL$22:$AL$71), "Exclude")&lt;&gt;"Exclude") *
    Transactions_and_Customer_Information_Joined[Gross Revenue])</f>
        <v>310.68</v>
      </c>
      <c r="K523" s="24">
        <f>SUMIF(Transactions_and_Customer_Information_Joined[Customer ID], 'V1-Based Churn Model (Step 3)'!$A523, Transactions_and_Customer_Information_Joined[Gross Revenue])</f>
        <v>516.08000000000004</v>
      </c>
      <c r="L523" s="3">
        <f t="shared" si="42"/>
        <v>0.6019996899705472</v>
      </c>
      <c r="M523" s="21">
        <v>1.0827913756041518E-3</v>
      </c>
      <c r="N523" s="21" cm="1">
        <f t="array" ref="N523">SUMPRODUCT(
    (Transactions_and_Customer_Information_Joined[Customer ID]=$A523)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23" s="21" cm="1">
        <f t="array" ref="O523">IFERROR(
    SUMPRODUCT(
        (Transactions_and_Customer_Information_Joined[Customer ID]=$A523)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$J523,
0)</f>
        <v>1.0827913756041518E-3</v>
      </c>
      <c r="P523" s="5" cm="1">
        <f t="array" ref="P523">_xlfn.IFS(B523="At-Risk Churner",$B$2,$B523="Dormant",$B$3,$B523="Deal Hunter",$B$4,$B523="New Customer",$B$5,$B523="Occasional Buyer",$B$6,$B523="Loyal High-Value",$B$7)</f>
        <v>35</v>
      </c>
      <c r="Q523" s="9" cm="1">
        <f t="array" ref="Q523">_xlfn.IFS($B523 = "At-Risk Churner", $B$8, $B523="Dormant",$B$9, $B523="Deal Hunter", $B$10, $B523="New Customer", $B$11, $B523="Occasional Buyer", $B$12, $B523 = "Loyal High-Value",$B$13)</f>
        <v>0.35</v>
      </c>
      <c r="R523" s="5">
        <v>15</v>
      </c>
      <c r="S523" s="5">
        <v>-8</v>
      </c>
      <c r="T523" s="5">
        <v>0</v>
      </c>
      <c r="U523" s="5">
        <f t="shared" si="43"/>
        <v>15</v>
      </c>
      <c r="V523" s="5">
        <f t="shared" si="44"/>
        <v>4.3311655024166069E-2</v>
      </c>
      <c r="W523" s="43">
        <f t="shared" si="45"/>
        <v>57.100811655024167</v>
      </c>
      <c r="X523" s="5" t="str" cm="1">
        <f t="array" ref="X523">_xlfn.IFS($W523 &lt;= 30, "Low", $W523 &lt;=50, "Medium", $W523 &lt;= 70, "High", $W523 &gt; 70, "Critical")</f>
        <v>High</v>
      </c>
      <c r="Y523" s="9">
        <f t="shared" si="46"/>
        <v>0.23464668295943761</v>
      </c>
      <c r="Z523" s="22">
        <f t="shared" si="47"/>
        <v>44.040813373890018</v>
      </c>
    </row>
    <row r="524" spans="1:26">
      <c r="A524" s="24" t="str">
        <v>CUST-2790</v>
      </c>
      <c r="B524" s="24" t="str">
        <v>New Customer</v>
      </c>
      <c r="C524" s="24" t="str">
        <v>Direct</v>
      </c>
      <c r="D524" s="24" t="str">
        <v>UK</v>
      </c>
      <c r="E524" s="24" t="str">
        <v>25-34</v>
      </c>
      <c r="F524" s="24" t="str">
        <v>Low</v>
      </c>
      <c r="G524" s="24">
        <v>5</v>
      </c>
      <c r="H524" s="24">
        <v>61</v>
      </c>
      <c r="I524" s="23">
        <v>77.47</v>
      </c>
      <c r="J524" s="24" cm="1">
        <f t="array" ref="J524">SUMPRODUCT(
    (Transactions_and_Customer_Information_Joined[Customer ID]='V1-Based Churn Model (Step 3)'!$A524) *
    (IFERROR(_xlfn.XLOOKUP(Transactions_and_Customer_Information_Joined[SKU], 'V1 Pricing Model (Step 2)'!$A$22:$A$71, 'V1 Pricing Model (Step 2)'!$AL$22:$AL$71), "Exclude")&lt;&gt;"Exclude") *
    Transactions_and_Customer_Information_Joined[Gross Revenue])</f>
        <v>640.13</v>
      </c>
      <c r="K524" s="24">
        <f>SUMIF(Transactions_and_Customer_Information_Joined[Customer ID], 'V1-Based Churn Model (Step 3)'!$A524, Transactions_and_Customer_Information_Joined[Gross Revenue])</f>
        <v>640.13</v>
      </c>
      <c r="L524" s="3">
        <f t="shared" si="42"/>
        <v>1</v>
      </c>
      <c r="M524" s="21">
        <v>9.4555309750757724E-2</v>
      </c>
      <c r="N524" s="21" cm="1">
        <f t="array" ref="N524">SUMPRODUCT(
    (Transactions_and_Customer_Information_Joined[Customer ID]=$A524)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24" s="21" cm="1">
        <f t="array" ref="O524">IFERROR(
    SUMPRODUCT(
        (Transactions_and_Customer_Information_Joined[Customer ID]=$A524)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$J524,
0)</f>
        <v>7.7544512564311899E-2</v>
      </c>
      <c r="P524" s="5" cm="1">
        <f t="array" ref="P524">_xlfn.IFS(B524="At-Risk Churner",$B$2,$B524="Dormant",$B$3,$B524="Deal Hunter",$B$4,$B524="New Customer",$B$5,$B524="Occasional Buyer",$B$6,$B524="Loyal High-Value",$B$7)</f>
        <v>35</v>
      </c>
      <c r="Q524" s="9" cm="1">
        <f t="array" ref="Q524">_xlfn.IFS($B524 = "At-Risk Churner", $B$8, $B524="Dormant",$B$9, $B524="Deal Hunter", $B$10, $B524="New Customer", $B$11, $B524="Occasional Buyer", $B$12, $B524 = "Loyal High-Value",$B$13)</f>
        <v>0.35</v>
      </c>
      <c r="R524" s="5">
        <v>-5</v>
      </c>
      <c r="S524" s="5">
        <v>0</v>
      </c>
      <c r="T524" s="5">
        <v>0</v>
      </c>
      <c r="U524" s="5">
        <f t="shared" si="43"/>
        <v>15</v>
      </c>
      <c r="V524" s="5">
        <f t="shared" si="44"/>
        <v>3.4419964463013923</v>
      </c>
      <c r="W524" s="43">
        <f t="shared" si="45"/>
        <v>48.329496446301398</v>
      </c>
      <c r="X524" s="5" t="str" cm="1">
        <f t="array" ref="X524">_xlfn.IFS($W524 &lt;= 30, "Low", $W524 &lt;=50, "Medium", $W524 &lt;= 70, "High", $W524 &gt; 70, "Critical")</f>
        <v>Medium</v>
      </c>
      <c r="Y524" s="9">
        <f t="shared" si="46"/>
        <v>0.16041699071381763</v>
      </c>
      <c r="Z524" s="22">
        <f t="shared" si="47"/>
        <v>25.436003416479561</v>
      </c>
    </row>
    <row r="525" spans="1:26">
      <c r="A525" s="24" t="str">
        <v>CUST-3143</v>
      </c>
      <c r="B525" s="24" t="str">
        <v>Dormant</v>
      </c>
      <c r="C525" s="24" t="str">
        <v>Influencer</v>
      </c>
      <c r="D525" s="24" t="str">
        <v>UK</v>
      </c>
      <c r="E525" s="24" t="str">
        <v>55+</v>
      </c>
      <c r="F525" s="24" t="str">
        <v>High</v>
      </c>
      <c r="G525" s="24">
        <v>2</v>
      </c>
      <c r="H525" s="24">
        <v>261</v>
      </c>
      <c r="I525" s="23">
        <v>63.57</v>
      </c>
      <c r="J525" s="24" cm="1">
        <f t="array" ref="J525">SUMPRODUCT(
    (Transactions_and_Customer_Information_Joined[Customer ID]='V1-Based Churn Model (Step 3)'!$A525) *
    (IFERROR(_xlfn.XLOOKUP(Transactions_and_Customer_Information_Joined[SKU], 'V1 Pricing Model (Step 2)'!$A$22:$A$71, 'V1 Pricing Model (Step 2)'!$AL$22:$AL$71), "Exclude")&lt;&gt;"Exclude") *
    Transactions_and_Customer_Information_Joined[Gross Revenue])</f>
        <v>318.18</v>
      </c>
      <c r="K525" s="24">
        <f>SUMIF(Transactions_and_Customer_Information_Joined[Customer ID], 'V1-Based Churn Model (Step 3)'!$A525, Transactions_and_Customer_Information_Joined[Gross Revenue])</f>
        <v>318.18</v>
      </c>
      <c r="L525" s="3">
        <f t="shared" si="42"/>
        <v>1</v>
      </c>
      <c r="M525" s="21">
        <v>0.18762795201583557</v>
      </c>
      <c r="N525" s="21" cm="1">
        <f t="array" ref="N525">SUMPRODUCT(
    (Transactions_and_Customer_Information_Joined[Customer ID]=$A525)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25" s="21" cm="1">
        <f t="array" ref="O525">IFERROR(
    SUMPRODUCT(
        (Transactions_and_Customer_Information_Joined[Customer ID]=$A525)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$J525,
0)</f>
        <v>0.18762795201583557</v>
      </c>
      <c r="P525" s="5" cm="1">
        <f t="array" ref="P525">_xlfn.IFS(B525="At-Risk Churner",$B$2,$B525="Dormant",$B$3,$B525="Deal Hunter",$B$4,$B525="New Customer",$B$5,$B525="Occasional Buyer",$B$6,$B525="Loyal High-Value",$B$7)</f>
        <v>65</v>
      </c>
      <c r="Q525" s="9" cm="1">
        <f t="array" ref="Q525">_xlfn.IFS($B525 = "At-Risk Churner", $B$8, $B525="Dormant",$B$9, $B525="Deal Hunter", $B$10, $B525="New Customer", $B$11, $B525="Occasional Buyer", $B$12, $B525 = "Loyal High-Value",$B$13)</f>
        <v>0.6</v>
      </c>
      <c r="R525" s="5">
        <v>15</v>
      </c>
      <c r="S525" s="5">
        <v>10</v>
      </c>
      <c r="T525" s="5">
        <v>8</v>
      </c>
      <c r="U525" s="5">
        <f t="shared" si="43"/>
        <v>15</v>
      </c>
      <c r="V525" s="5">
        <f t="shared" si="44"/>
        <v>7.505118080633423</v>
      </c>
      <c r="W525" s="43">
        <f t="shared" si="45"/>
        <v>100</v>
      </c>
      <c r="X525" s="5" t="str" cm="1">
        <f t="array" ref="X525">_xlfn.IFS($W525 &lt;= 30, "Low", $W525 &lt;=50, "Medium", $W525 &lt;= 70, "High", $W525 &gt; 70, "Critical")</f>
        <v>Critical</v>
      </c>
      <c r="Y525" s="9">
        <f t="shared" si="46"/>
        <v>0.59598428944542914</v>
      </c>
      <c r="Z525" s="22">
        <f t="shared" si="47"/>
        <v>37.886721280045933</v>
      </c>
    </row>
    <row r="526" spans="1:26">
      <c r="A526" s="24" t="str">
        <v>CUST-2794</v>
      </c>
      <c r="B526" s="24" t="str">
        <v>Dormant</v>
      </c>
      <c r="C526" s="24" t="str">
        <v>Paid Social</v>
      </c>
      <c r="D526" s="24" t="str">
        <v>Northeast</v>
      </c>
      <c r="E526" s="24" t="str">
        <v>18-24</v>
      </c>
      <c r="F526" s="24" t="str">
        <v>High</v>
      </c>
      <c r="G526" s="24">
        <v>1</v>
      </c>
      <c r="H526" s="24">
        <v>291</v>
      </c>
      <c r="I526" s="23">
        <v>80.59</v>
      </c>
      <c r="J526" s="24" cm="1">
        <f t="array" ref="J526">SUMPRODUCT(
    (Transactions_and_Customer_Information_Joined[Customer ID]='V1-Based Churn Model (Step 3)'!$A526) *
    (IFERROR(_xlfn.XLOOKUP(Transactions_and_Customer_Information_Joined[SKU], 'V1 Pricing Model (Step 2)'!$A$22:$A$71, 'V1 Pricing Model (Step 2)'!$AL$22:$AL$71), "Exclude")&lt;&gt;"Exclude") *
    Transactions_and_Customer_Information_Joined[Gross Revenue])</f>
        <v>263.26</v>
      </c>
      <c r="K526" s="24">
        <f>SUMIF(Transactions_and_Customer_Information_Joined[Customer ID], 'V1-Based Churn Model (Step 3)'!$A526, Transactions_and_Customer_Information_Joined[Gross Revenue])</f>
        <v>263.26</v>
      </c>
      <c r="L526" s="3">
        <f t="shared" si="42"/>
        <v>1</v>
      </c>
      <c r="M526" s="21">
        <v>0.24833629343146826</v>
      </c>
      <c r="N526" s="21" cm="1">
        <f t="array" ref="N526">SUMPRODUCT(
    (Transactions_and_Customer_Information_Joined[Customer ID]=$A526)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26" s="21" cm="1">
        <f t="array" ref="O526">IFERROR(
    SUMPRODUCT(
        (Transactions_and_Customer_Information_Joined[Customer ID]=$A526)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$J526,
0)</f>
        <v>0.15992922277048838</v>
      </c>
      <c r="P526" s="5" cm="1">
        <f t="array" ref="P526">_xlfn.IFS(B526="At-Risk Churner",$B$2,$B526="Dormant",$B$3,$B526="Deal Hunter",$B$4,$B526="New Customer",$B$5,$B526="Occasional Buyer",$B$6,$B526="Loyal High-Value",$B$7)</f>
        <v>65</v>
      </c>
      <c r="Q526" s="9" cm="1">
        <f t="array" ref="Q526">_xlfn.IFS($B526 = "At-Risk Churner", $B$8, $B526="Dormant",$B$9, $B526="Deal Hunter", $B$10, $B526="New Customer", $B$11, $B526="Occasional Buyer", $B$12, $B526 = "Loyal High-Value",$B$13)</f>
        <v>0.6</v>
      </c>
      <c r="R526" s="5">
        <v>15</v>
      </c>
      <c r="S526" s="5">
        <v>10</v>
      </c>
      <c r="T526" s="5">
        <v>8</v>
      </c>
      <c r="U526" s="5">
        <f t="shared" si="43"/>
        <v>15</v>
      </c>
      <c r="V526" s="5">
        <f t="shared" si="44"/>
        <v>8.1653103240391331</v>
      </c>
      <c r="W526" s="43">
        <f t="shared" si="45"/>
        <v>100</v>
      </c>
      <c r="X526" s="5" t="str" cm="1">
        <f t="array" ref="X526">_xlfn.IFS($W526 &lt;= 30, "Low", $W526 &lt;=50, "Medium", $W526 &lt;= 70, "High", $W526 &gt; 70, "Critical")</f>
        <v>Critical</v>
      </c>
      <c r="Y526" s="9">
        <f t="shared" si="46"/>
        <v>0.59598428944542914</v>
      </c>
      <c r="Z526" s="22">
        <f t="shared" si="47"/>
        <v>48.030373886407133</v>
      </c>
    </row>
    <row r="527" spans="1:26">
      <c r="A527" s="24" t="str">
        <v>CUST-2753</v>
      </c>
      <c r="B527" s="24" t="str">
        <v>Deal Hunter</v>
      </c>
      <c r="C527" s="24" t="str">
        <v>Paid Social</v>
      </c>
      <c r="D527" s="24" t="str">
        <v>Northeast</v>
      </c>
      <c r="E527" s="24" t="str">
        <v>25-34</v>
      </c>
      <c r="F527" s="24" t="str">
        <v>Low</v>
      </c>
      <c r="G527" s="24">
        <v>1</v>
      </c>
      <c r="H527" s="24">
        <v>357</v>
      </c>
      <c r="I527" s="23">
        <v>596.21</v>
      </c>
      <c r="J527" s="24" cm="1">
        <f t="array" ref="J527">SUMPRODUCT(
    (Transactions_and_Customer_Information_Joined[Customer ID]='V1-Based Churn Model (Step 3)'!$A527) *
    (IFERROR(_xlfn.XLOOKUP(Transactions_and_Customer_Information_Joined[SKU], 'V1 Pricing Model (Step 2)'!$A$22:$A$71, 'V1 Pricing Model (Step 2)'!$AL$22:$AL$71), "Exclude")&lt;&gt;"Exclude") *
    Transactions_and_Customer_Information_Joined[Gross Revenue])</f>
        <v>236.52</v>
      </c>
      <c r="K527" s="24">
        <f>SUMIF(Transactions_and_Customer_Information_Joined[Customer ID], 'V1-Based Churn Model (Step 3)'!$A527, Transactions_and_Customer_Information_Joined[Gross Revenue])</f>
        <v>236.52</v>
      </c>
      <c r="L527" s="3">
        <f t="shared" si="42"/>
        <v>1</v>
      </c>
      <c r="M527" s="21">
        <v>9.1108129362620652E-2</v>
      </c>
      <c r="N527" s="21" cm="1">
        <f t="array" ref="N527">SUMPRODUCT(
    (Transactions_and_Customer_Information_Joined[Customer ID]=$A527)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27" s="21" cm="1">
        <f t="array" ref="O527">IFERROR(
    SUMPRODUCT(
        (Transactions_and_Customer_Information_Joined[Customer ID]=$A527)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$J527,
0)</f>
        <v>9.1108129362620652E-2</v>
      </c>
      <c r="P527" s="5" cm="1">
        <f t="array" ref="P527">_xlfn.IFS(B527="At-Risk Churner",$B$2,$B527="Dormant",$B$3,$B527="Deal Hunter",$B$4,$B527="New Customer",$B$5,$B527="Occasional Buyer",$B$6,$B527="Loyal High-Value",$B$7)</f>
        <v>45</v>
      </c>
      <c r="Q527" s="9" cm="1">
        <f t="array" ref="Q527">_xlfn.IFS($B527 = "At-Risk Churner", $B$8, $B527="Dormant",$B$9, $B527="Deal Hunter", $B$10, $B527="New Customer", $B$11, $B527="Occasional Buyer", $B$12, $B527 = "Loyal High-Value",$B$13)</f>
        <v>0.25</v>
      </c>
      <c r="R527" s="5">
        <v>-5</v>
      </c>
      <c r="S527" s="5">
        <v>10</v>
      </c>
      <c r="T527" s="5">
        <v>15</v>
      </c>
      <c r="U527" s="5">
        <f t="shared" si="43"/>
        <v>15</v>
      </c>
      <c r="V527" s="5">
        <f t="shared" si="44"/>
        <v>3.644325174504826</v>
      </c>
      <c r="W527" s="43">
        <f t="shared" si="45"/>
        <v>83.981825174504834</v>
      </c>
      <c r="X527" s="5" t="str" cm="1">
        <f t="array" ref="X527">_xlfn.IFS($W527 &lt;= 30, "Low", $W527 &lt;=50, "Medium", $W527 &lt;= 70, "High", $W527 &gt; 70, "Critical")</f>
        <v>Critical</v>
      </c>
      <c r="Y527" s="9">
        <f t="shared" si="46"/>
        <v>0.24191192154457417</v>
      </c>
      <c r="Z527" s="22">
        <f t="shared" si="47"/>
        <v>144.23030674409057</v>
      </c>
    </row>
    <row r="528" spans="1:26">
      <c r="A528" s="24" t="str">
        <v>CUST-2868</v>
      </c>
      <c r="B528" s="24" t="str">
        <v>Dormant</v>
      </c>
      <c r="C528" s="24" t="str">
        <v>Email Campaign</v>
      </c>
      <c r="D528" s="24" t="str">
        <v>Southwest</v>
      </c>
      <c r="E528" s="24" t="str">
        <v>25-34</v>
      </c>
      <c r="F528" s="24" t="str">
        <v>Medium</v>
      </c>
      <c r="G528" s="24">
        <v>7</v>
      </c>
      <c r="H528" s="24">
        <v>137</v>
      </c>
      <c r="I528" s="23">
        <v>106.24</v>
      </c>
      <c r="J528" s="24" cm="1">
        <f t="array" ref="J528">SUMPRODUCT(
    (Transactions_and_Customer_Information_Joined[Customer ID]='V1-Based Churn Model (Step 3)'!$A528) *
    (IFERROR(_xlfn.XLOOKUP(Transactions_and_Customer_Information_Joined[SKU], 'V1 Pricing Model (Step 2)'!$A$22:$A$71, 'V1 Pricing Model (Step 2)'!$AL$22:$AL$71), "Exclude")&lt;&gt;"Exclude") *
    Transactions_and_Customer_Information_Joined[Gross Revenue])</f>
        <v>67.56</v>
      </c>
      <c r="K528" s="24">
        <f>SUMIF(Transactions_and_Customer_Information_Joined[Customer ID], 'V1-Based Churn Model (Step 3)'!$A528, Transactions_and_Customer_Information_Joined[Gross Revenue])</f>
        <v>67.56</v>
      </c>
      <c r="L528" s="3">
        <f t="shared" si="42"/>
        <v>1</v>
      </c>
      <c r="M528" s="21">
        <v>0.10788177153562864</v>
      </c>
      <c r="N528" s="21" cm="1">
        <f t="array" ref="N528">SUMPRODUCT(
    (Transactions_and_Customer_Information_Joined[Customer ID]=$A528)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28" s="21" cm="1">
        <f t="array" ref="O528">IFERROR(
    SUMPRODUCT(
        (Transactions_and_Customer_Information_Joined[Customer ID]=$A528)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$J528,
0)</f>
        <v>0.10788177153562864</v>
      </c>
      <c r="P528" s="5" cm="1">
        <f t="array" ref="P528">_xlfn.IFS(B528="At-Risk Churner",$B$2,$B528="Dormant",$B$3,$B528="Deal Hunter",$B$4,$B528="New Customer",$B$5,$B528="Occasional Buyer",$B$6,$B528="Loyal High-Value",$B$7)</f>
        <v>65</v>
      </c>
      <c r="Q528" s="9" cm="1">
        <f t="array" ref="Q528">_xlfn.IFS($B528 = "At-Risk Churner", $B$8, $B528="Dormant",$B$9, $B528="Deal Hunter", $B$10, $B528="New Customer", $B$11, $B528="Occasional Buyer", $B$12, $B528 = "Loyal High-Value",$B$13)</f>
        <v>0.6</v>
      </c>
      <c r="R528" s="5">
        <v>5</v>
      </c>
      <c r="S528" s="5">
        <v>-8</v>
      </c>
      <c r="T528" s="5">
        <v>0</v>
      </c>
      <c r="U528" s="5">
        <f t="shared" si="43"/>
        <v>15</v>
      </c>
      <c r="V528" s="5">
        <f t="shared" si="44"/>
        <v>4.3152708614251454</v>
      </c>
      <c r="W528" s="43">
        <f t="shared" si="45"/>
        <v>80.907770861425149</v>
      </c>
      <c r="X528" s="5" t="str" cm="1">
        <f t="array" ref="X528">_xlfn.IFS($W528 &lt;= 30, "Low", $W528 &lt;=50, "Medium", $W528 &lt;= 70, "High", $W528 &gt; 70, "Critical")</f>
        <v>Critical</v>
      </c>
      <c r="Y528" s="9">
        <f t="shared" si="46"/>
        <v>0.57390642103660672</v>
      </c>
      <c r="Z528" s="22">
        <f t="shared" si="47"/>
        <v>60.971818170929097</v>
      </c>
    </row>
    <row r="529" spans="1:26">
      <c r="A529" s="24" t="str">
        <v>CUST-3095</v>
      </c>
      <c r="B529" s="24" t="str">
        <v>New Customer</v>
      </c>
      <c r="C529" s="24" t="str">
        <v>Organic Search</v>
      </c>
      <c r="D529" s="24" t="str">
        <v>Northeast</v>
      </c>
      <c r="E529" s="24" t="str">
        <v>18-24</v>
      </c>
      <c r="F529" s="24" t="str">
        <v>Medium</v>
      </c>
      <c r="G529" s="24">
        <v>3</v>
      </c>
      <c r="H529" s="24">
        <v>81</v>
      </c>
      <c r="I529" s="23">
        <v>50.39</v>
      </c>
      <c r="J529" s="24" cm="1">
        <f t="array" ref="J529">SUMPRODUCT(
    (Transactions_and_Customer_Information_Joined[Customer ID]='V1-Based Churn Model (Step 3)'!$A529) *
    (IFERROR(_xlfn.XLOOKUP(Transactions_and_Customer_Information_Joined[SKU], 'V1 Pricing Model (Step 2)'!$A$22:$A$71, 'V1 Pricing Model (Step 2)'!$AL$22:$AL$71), "Exclude")&lt;&gt;"Exclude") *
    Transactions_and_Customer_Information_Joined[Gross Revenue])</f>
        <v>588.84</v>
      </c>
      <c r="K529" s="24">
        <f>SUMIF(Transactions_and_Customer_Information_Joined[Customer ID], 'V1-Based Churn Model (Step 3)'!$A529, Transactions_and_Customer_Information_Joined[Gross Revenue])</f>
        <v>588.84</v>
      </c>
      <c r="L529" s="3">
        <f t="shared" si="42"/>
        <v>1</v>
      </c>
      <c r="M529" s="21">
        <v>0.16615780750618397</v>
      </c>
      <c r="N529" s="21" cm="1">
        <f t="array" ref="N529">SUMPRODUCT(
    (Transactions_and_Customer_Information_Joined[Customer ID]=$A529)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29" s="21" cm="1">
        <f t="array" ref="O529">IFERROR(
    SUMPRODUCT(
        (Transactions_and_Customer_Information_Joined[Customer ID]=$A529)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$J529,
0)</f>
        <v>0.16615780750618397</v>
      </c>
      <c r="P529" s="5" cm="1">
        <f t="array" ref="P529">_xlfn.IFS(B529="At-Risk Churner",$B$2,$B529="Dormant",$B$3,$B529="Deal Hunter",$B$4,$B529="New Customer",$B$5,$B529="Occasional Buyer",$B$6,$B529="Loyal High-Value",$B$7)</f>
        <v>35</v>
      </c>
      <c r="Q529" s="9" cm="1">
        <f t="array" ref="Q529">_xlfn.IFS($B529 = "At-Risk Churner", $B$8, $B529="Dormant",$B$9, $B529="Deal Hunter", $B$10, $B529="New Customer", $B$11, $B529="Occasional Buyer", $B$12, $B529 = "Loyal High-Value",$B$13)</f>
        <v>0.35</v>
      </c>
      <c r="R529" s="5">
        <v>5</v>
      </c>
      <c r="S529" s="5">
        <v>10</v>
      </c>
      <c r="T529" s="5">
        <v>0</v>
      </c>
      <c r="U529" s="5">
        <f t="shared" si="43"/>
        <v>15</v>
      </c>
      <c r="V529" s="5">
        <f t="shared" si="44"/>
        <v>6.6463123002473594</v>
      </c>
      <c r="W529" s="43">
        <f t="shared" si="45"/>
        <v>72.108812300247351</v>
      </c>
      <c r="X529" s="5" t="str" cm="1">
        <f t="array" ref="X529">_xlfn.IFS($W529 &lt;= 30, "Low", $W529 &lt;=50, "Medium", $W529 &lt;= 70, "High", $W529 &gt; 70, "Critical")</f>
        <v>Critical</v>
      </c>
      <c r="Y529" s="9">
        <f t="shared" si="46"/>
        <v>0.31542784076112967</v>
      </c>
      <c r="Z529" s="22">
        <f t="shared" si="47"/>
        <v>15.894408895953324</v>
      </c>
    </row>
    <row r="530" spans="1:26">
      <c r="A530" s="24" t="str">
        <v>CUST-4243</v>
      </c>
      <c r="B530" s="24" t="str">
        <v>Dormant</v>
      </c>
      <c r="C530" s="24" t="str">
        <v>Direct</v>
      </c>
      <c r="D530" s="24" t="str">
        <v>Southeast</v>
      </c>
      <c r="E530" s="24" t="str">
        <v>18-24</v>
      </c>
      <c r="F530" s="24" t="str">
        <v>Low</v>
      </c>
      <c r="G530" s="24">
        <v>7</v>
      </c>
      <c r="H530" s="24">
        <v>46</v>
      </c>
      <c r="I530" s="23">
        <v>95.38</v>
      </c>
      <c r="J530" s="24" cm="1">
        <f t="array" ref="J530">SUMPRODUCT(
    (Transactions_and_Customer_Information_Joined[Customer ID]='V1-Based Churn Model (Step 3)'!$A530) *
    (IFERROR(_xlfn.XLOOKUP(Transactions_and_Customer_Information_Joined[SKU], 'V1 Pricing Model (Step 2)'!$A$22:$A$71, 'V1 Pricing Model (Step 2)'!$AL$22:$AL$71), "Exclude")&lt;&gt;"Exclude") *
    Transactions_and_Customer_Information_Joined[Gross Revenue])</f>
        <v>98.58</v>
      </c>
      <c r="K530" s="24">
        <f>SUMIF(Transactions_and_Customer_Information_Joined[Customer ID], 'V1-Based Churn Model (Step 3)'!$A530, Transactions_and_Customer_Information_Joined[Gross Revenue])</f>
        <v>98.58</v>
      </c>
      <c r="L530" s="3">
        <f t="shared" si="42"/>
        <v>1</v>
      </c>
      <c r="M530" s="21">
        <v>0</v>
      </c>
      <c r="N530" s="21" cm="1">
        <f t="array" ref="N530">SUMPRODUCT(
    (Transactions_and_Customer_Information_Joined[Customer ID]=$A530)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30" s="21" cm="1">
        <f t="array" ref="O530">IFERROR(
    SUMPRODUCT(
        (Transactions_and_Customer_Information_Joined[Customer ID]=$A530)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$J530,
0)</f>
        <v>0</v>
      </c>
      <c r="P530" s="5" cm="1">
        <f t="array" ref="P530">_xlfn.IFS(B530="At-Risk Churner",$B$2,$B530="Dormant",$B$3,$B530="Deal Hunter",$B$4,$B530="New Customer",$B$5,$B530="Occasional Buyer",$B$6,$B530="Loyal High-Value",$B$7)</f>
        <v>65</v>
      </c>
      <c r="Q530" s="9" cm="1">
        <f t="array" ref="Q530">_xlfn.IFS($B530 = "At-Risk Churner", $B$8, $B530="Dormant",$B$9, $B530="Deal Hunter", $B$10, $B530="New Customer", $B$11, $B530="Occasional Buyer", $B$12, $B530 = "Loyal High-Value",$B$13)</f>
        <v>0.6</v>
      </c>
      <c r="R530" s="5">
        <v>-5</v>
      </c>
      <c r="S530" s="5">
        <v>-8</v>
      </c>
      <c r="T530" s="5">
        <v>-5</v>
      </c>
      <c r="U530" s="5">
        <f t="shared" si="43"/>
        <v>15</v>
      </c>
      <c r="V530" s="5">
        <f t="shared" si="44"/>
        <v>0</v>
      </c>
      <c r="W530" s="43">
        <f t="shared" si="45"/>
        <v>61.3675</v>
      </c>
      <c r="X530" s="5" t="str" cm="1">
        <f t="array" ref="X530">_xlfn.IFS($W530 &lt;= 30, "Low", $W530 &lt;=50, "Medium", $W530 &lt;= 70, "High", $W530 &gt; 70, "Critical")</f>
        <v>High</v>
      </c>
      <c r="Y530" s="9">
        <f t="shared" si="46"/>
        <v>0.45424946129050198</v>
      </c>
      <c r="Z530" s="22">
        <f t="shared" si="47"/>
        <v>53.737050894310457</v>
      </c>
    </row>
    <row r="531" spans="1:26">
      <c r="A531" s="24" t="str">
        <v>CUST-2145</v>
      </c>
      <c r="B531" s="24" t="str">
        <v>At-Risk Churner</v>
      </c>
      <c r="C531" s="24" t="str">
        <v>Direct</v>
      </c>
      <c r="D531" s="24" t="str">
        <v>West</v>
      </c>
      <c r="E531" s="24" t="str">
        <v>25-34</v>
      </c>
      <c r="F531" s="24" t="str">
        <v>Low</v>
      </c>
      <c r="G531" s="24">
        <v>2</v>
      </c>
      <c r="H531" s="24">
        <v>193</v>
      </c>
      <c r="I531" s="23">
        <v>215.08</v>
      </c>
      <c r="J531" s="24" cm="1">
        <f t="array" ref="J531">SUMPRODUCT(
    (Transactions_and_Customer_Information_Joined[Customer ID]='V1-Based Churn Model (Step 3)'!$A531) *
    (IFERROR(_xlfn.XLOOKUP(Transactions_and_Customer_Information_Joined[SKU], 'V1 Pricing Model (Step 2)'!$A$22:$A$71, 'V1 Pricing Model (Step 2)'!$AL$22:$AL$71), "Exclude")&lt;&gt;"Exclude") *
    Transactions_and_Customer_Information_Joined[Gross Revenue])</f>
        <v>424.24</v>
      </c>
      <c r="K531" s="24">
        <f>SUMIF(Transactions_and_Customer_Information_Joined[Customer ID], 'V1-Based Churn Model (Step 3)'!$A531, Transactions_and_Customer_Information_Joined[Gross Revenue])</f>
        <v>424.24</v>
      </c>
      <c r="L531" s="3">
        <f t="shared" si="42"/>
        <v>1</v>
      </c>
      <c r="M531" s="21">
        <v>0.18762795201583557</v>
      </c>
      <c r="N531" s="21" cm="1">
        <f t="array" ref="N531">SUMPRODUCT(
    (Transactions_and_Customer_Information_Joined[Customer ID]=$A531)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31" s="21" cm="1">
        <f t="array" ref="O531">IFERROR(
    SUMPRODUCT(
        (Transactions_and_Customer_Information_Joined[Customer ID]=$A531)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$J531,
0)</f>
        <v>0.18762795201583557</v>
      </c>
      <c r="P531" s="5" cm="1">
        <f t="array" ref="P531">_xlfn.IFS(B531="At-Risk Churner",$B$2,$B531="Dormant",$B$3,$B531="Deal Hunter",$B$4,$B531="New Customer",$B$5,$B531="Occasional Buyer",$B$6,$B531="Loyal High-Value",$B$7)</f>
        <v>70</v>
      </c>
      <c r="Q531" s="9" cm="1">
        <f t="array" ref="Q531">_xlfn.IFS($B531 = "At-Risk Churner", $B$8, $B531="Dormant",$B$9, $B531="Deal Hunter", $B$10, $B531="New Customer", $B$11, $B531="Occasional Buyer", $B$12, $B531 = "Loyal High-Value",$B$13)</f>
        <v>0.45</v>
      </c>
      <c r="R531" s="5">
        <v>-5</v>
      </c>
      <c r="S531" s="5">
        <v>10</v>
      </c>
      <c r="T531" s="5">
        <v>8</v>
      </c>
      <c r="U531" s="5">
        <f t="shared" si="43"/>
        <v>15</v>
      </c>
      <c r="V531" s="5">
        <f t="shared" si="44"/>
        <v>7.505118080633423</v>
      </c>
      <c r="W531" s="43">
        <f t="shared" si="45"/>
        <v>100</v>
      </c>
      <c r="X531" s="5" t="str" cm="1">
        <f t="array" ref="X531">_xlfn.IFS($W531 &lt;= 30, "Low", $W531 &lt;=50, "Medium", $W531 &lt;= 70, "High", $W531 &gt; 70, "Critical")</f>
        <v>Critical</v>
      </c>
      <c r="Y531" s="9">
        <f t="shared" si="46"/>
        <v>0.44698821708407188</v>
      </c>
      <c r="Z531" s="22">
        <f t="shared" si="47"/>
        <v>96.138225730442187</v>
      </c>
    </row>
    <row r="532" spans="1:26">
      <c r="A532" s="24" t="str">
        <v>CUST-1460</v>
      </c>
      <c r="B532" s="24" t="str">
        <v>Deal Hunter</v>
      </c>
      <c r="C532" s="24" t="str">
        <v>Organic Search</v>
      </c>
      <c r="D532" s="24" t="str">
        <v>UK</v>
      </c>
      <c r="E532" s="24" t="str">
        <v>18-24</v>
      </c>
      <c r="F532" s="24" t="str">
        <v>High</v>
      </c>
      <c r="G532" s="24">
        <v>8</v>
      </c>
      <c r="H532" s="24">
        <v>106</v>
      </c>
      <c r="I532" s="23">
        <v>299.25</v>
      </c>
      <c r="J532" s="24" cm="1">
        <f t="array" ref="J532">SUMPRODUCT(
    (Transactions_and_Customer_Information_Joined[Customer ID]='V1-Based Churn Model (Step 3)'!$A532) *
    (IFERROR(_xlfn.XLOOKUP(Transactions_and_Customer_Information_Joined[SKU], 'V1 Pricing Model (Step 2)'!$A$22:$A$71, 'V1 Pricing Model (Step 2)'!$AL$22:$AL$71), "Exclude")&lt;&gt;"Exclude") *
    Transactions_and_Customer_Information_Joined[Gross Revenue])</f>
        <v>281.64</v>
      </c>
      <c r="K532" s="24">
        <f>SUMIF(Transactions_and_Customer_Information_Joined[Customer ID], 'V1-Based Churn Model (Step 3)'!$A532, Transactions_and_Customer_Information_Joined[Gross Revenue])</f>
        <v>281.64</v>
      </c>
      <c r="L532" s="3">
        <f t="shared" si="42"/>
        <v>1</v>
      </c>
      <c r="M532" s="21">
        <v>0.10702390858761081</v>
      </c>
      <c r="N532" s="21" cm="1">
        <f t="array" ref="N532">SUMPRODUCT(
    (Transactions_and_Customer_Information_Joined[Customer ID]=$A532)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32" s="21" cm="1">
        <f t="array" ref="O532">IFERROR(
    SUMPRODUCT(
        (Transactions_and_Customer_Information_Joined[Customer ID]=$A532)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$J532,
0)</f>
        <v>0.10702390858761081</v>
      </c>
      <c r="P532" s="5" cm="1">
        <f t="array" ref="P532">_xlfn.IFS(B532="At-Risk Churner",$B$2,$B532="Dormant",$B$3,$B532="Deal Hunter",$B$4,$B532="New Customer",$B$5,$B532="Occasional Buyer",$B$6,$B532="Loyal High-Value",$B$7)</f>
        <v>45</v>
      </c>
      <c r="Q532" s="9" cm="1">
        <f t="array" ref="Q532">_xlfn.IFS($B532 = "At-Risk Churner", $B$8, $B532="Dormant",$B$9, $B532="Deal Hunter", $B$10, $B532="New Customer", $B$11, $B532="Occasional Buyer", $B$12, $B532 = "Loyal High-Value",$B$13)</f>
        <v>0.25</v>
      </c>
      <c r="R532" s="5">
        <v>15</v>
      </c>
      <c r="S532" s="5">
        <v>-8</v>
      </c>
      <c r="T532" s="5">
        <v>0</v>
      </c>
      <c r="U532" s="5">
        <f t="shared" si="43"/>
        <v>15</v>
      </c>
      <c r="V532" s="5">
        <f t="shared" si="44"/>
        <v>4.2809563435044327</v>
      </c>
      <c r="W532" s="43">
        <f t="shared" si="45"/>
        <v>71.258456343504434</v>
      </c>
      <c r="X532" s="5" t="str" cm="1">
        <f t="array" ref="X532">_xlfn.IFS($W532 &lt;= 30, "Low", $W532 &lt;=50, "Medium", $W532 &lt;= 70, "High", $W532 &gt; 70, "Critical")</f>
        <v>Critical</v>
      </c>
      <c r="Y532" s="9">
        <f t="shared" si="46"/>
        <v>0.22334749368177748</v>
      </c>
      <c r="Z532" s="22">
        <f t="shared" si="47"/>
        <v>66.836737484271907</v>
      </c>
    </row>
    <row r="533" spans="1:26">
      <c r="A533" s="24" t="str">
        <v>CUST-4625</v>
      </c>
      <c r="B533" s="24" t="str">
        <v>Deal Hunter</v>
      </c>
      <c r="C533" s="24" t="str">
        <v>Organic Search</v>
      </c>
      <c r="D533" s="24" t="str">
        <v>UK</v>
      </c>
      <c r="E533" s="24" t="str">
        <v>35-44</v>
      </c>
      <c r="F533" s="24" t="str">
        <v>High</v>
      </c>
      <c r="G533" s="24">
        <v>4</v>
      </c>
      <c r="H533" s="24">
        <v>280</v>
      </c>
      <c r="I533" s="23">
        <v>340.01</v>
      </c>
      <c r="J533" s="24" cm="1">
        <f t="array" ref="J533">SUMPRODUCT(
    (Transactions_and_Customer_Information_Joined[Customer ID]='V1-Based Churn Model (Step 3)'!$A533) *
    (IFERROR(_xlfn.XLOOKUP(Transactions_and_Customer_Information_Joined[SKU], 'V1 Pricing Model (Step 2)'!$A$22:$A$71, 'V1 Pricing Model (Step 2)'!$AL$22:$AL$71), "Exclude")&lt;&gt;"Exclude") *
    Transactions_and_Customer_Information_Joined[Gross Revenue])</f>
        <v>56.099999999999994</v>
      </c>
      <c r="K533" s="24">
        <f>SUMIF(Transactions_and_Customer_Information_Joined[Customer ID], 'V1-Based Churn Model (Step 3)'!$A533, Transactions_and_Customer_Information_Joined[Gross Revenue])</f>
        <v>56.099999999999994</v>
      </c>
      <c r="L533" s="3">
        <f t="shared" si="42"/>
        <v>1</v>
      </c>
      <c r="M533" s="21">
        <v>0</v>
      </c>
      <c r="N533" s="21" cm="1">
        <f t="array" ref="N533">SUMPRODUCT(
    (Transactions_and_Customer_Information_Joined[Customer ID]=$A533)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33" s="21" cm="1">
        <f t="array" ref="O533">IFERROR(
    SUMPRODUCT(
        (Transactions_and_Customer_Information_Joined[Customer ID]=$A533)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$J533,
0)</f>
        <v>0</v>
      </c>
      <c r="P533" s="5" cm="1">
        <f t="array" ref="P533">_xlfn.IFS(B533="At-Risk Churner",$B$2,$B533="Dormant",$B$3,$B533="Deal Hunter",$B$4,$B533="New Customer",$B$5,$B533="Occasional Buyer",$B$6,$B533="Loyal High-Value",$B$7)</f>
        <v>45</v>
      </c>
      <c r="Q533" s="9" cm="1">
        <f t="array" ref="Q533">_xlfn.IFS($B533 = "At-Risk Churner", $B$8, $B533="Dormant",$B$9, $B533="Deal Hunter", $B$10, $B533="New Customer", $B$11, $B533="Occasional Buyer", $B$12, $B533 = "Loyal High-Value",$B$13)</f>
        <v>0.25</v>
      </c>
      <c r="R533" s="5">
        <v>15</v>
      </c>
      <c r="S533" s="5">
        <v>0</v>
      </c>
      <c r="T533" s="5">
        <v>8</v>
      </c>
      <c r="U533" s="5">
        <f t="shared" si="43"/>
        <v>15</v>
      </c>
      <c r="V533" s="5">
        <f t="shared" si="44"/>
        <v>0</v>
      </c>
      <c r="W533" s="43">
        <f t="shared" si="45"/>
        <v>83.337500000000006</v>
      </c>
      <c r="X533" s="5" t="str" cm="1">
        <f t="array" ref="X533">_xlfn.IFS($W533 &lt;= 30, "Low", $W533 &lt;=50, "Medium", $W533 &lt;= 70, "High", $W533 &gt; 70, "Critical")</f>
        <v>Critical</v>
      </c>
      <c r="Y533" s="9">
        <f t="shared" si="46"/>
        <v>0.2413921648619228</v>
      </c>
      <c r="Z533" s="22">
        <f t="shared" si="47"/>
        <v>82.075749974702376</v>
      </c>
    </row>
    <row r="534" spans="1:26">
      <c r="A534" s="24" t="str">
        <v>CUST-1519</v>
      </c>
      <c r="B534" s="24" t="str">
        <v>Dormant</v>
      </c>
      <c r="C534" s="24" t="str">
        <v>Email Campaign</v>
      </c>
      <c r="D534" s="24" t="str">
        <v>UK</v>
      </c>
      <c r="E534" s="24" t="str">
        <v>35-44</v>
      </c>
      <c r="F534" s="24" t="str">
        <v>Medium</v>
      </c>
      <c r="G534" s="24">
        <v>10</v>
      </c>
      <c r="H534" s="24">
        <v>224</v>
      </c>
      <c r="I534" s="23">
        <v>177.08</v>
      </c>
      <c r="J534" s="24" cm="1">
        <f t="array" ref="J534">SUMPRODUCT(
    (Transactions_and_Customer_Information_Joined[Customer ID]='V1-Based Churn Model (Step 3)'!$A534) *
    (IFERROR(_xlfn.XLOOKUP(Transactions_and_Customer_Information_Joined[SKU], 'V1 Pricing Model (Step 2)'!$A$22:$A$71, 'V1 Pricing Model (Step 2)'!$AL$22:$AL$71), "Exclude")&lt;&gt;"Exclude") *
    Transactions_and_Customer_Information_Joined[Gross Revenue])</f>
        <v>159.78</v>
      </c>
      <c r="K534" s="24">
        <f>SUMIF(Transactions_and_Customer_Information_Joined[Customer ID], 'V1-Based Churn Model (Step 3)'!$A534, Transactions_and_Customer_Information_Joined[Gross Revenue])</f>
        <v>159.78</v>
      </c>
      <c r="L534" s="3">
        <f t="shared" si="42"/>
        <v>1</v>
      </c>
      <c r="M534" s="21">
        <v>8.081096121299744E-2</v>
      </c>
      <c r="N534" s="21" cm="1">
        <f t="array" ref="N534">SUMPRODUCT(
    (Transactions_and_Customer_Information_Joined[Customer ID]=$A534)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34" s="21" cm="1">
        <f t="array" ref="O534">IFERROR(
    SUMPRODUCT(
        (Transactions_and_Customer_Information_Joined[Customer ID]=$A534)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$J534,
0)</f>
        <v>8.081096121299744E-2</v>
      </c>
      <c r="P534" s="5" cm="1">
        <f t="array" ref="P534">_xlfn.IFS(B534="At-Risk Churner",$B$2,$B534="Dormant",$B$3,$B534="Deal Hunter",$B$4,$B534="New Customer",$B$5,$B534="Occasional Buyer",$B$6,$B534="Loyal High-Value",$B$7)</f>
        <v>65</v>
      </c>
      <c r="Q534" s="9" cm="1">
        <f t="array" ref="Q534">_xlfn.IFS($B534 = "At-Risk Churner", $B$8, $B534="Dormant",$B$9, $B534="Deal Hunter", $B$10, $B534="New Customer", $B$11, $B534="Occasional Buyer", $B$12, $B534 = "Loyal High-Value",$B$13)</f>
        <v>0.6</v>
      </c>
      <c r="R534" s="5">
        <v>5</v>
      </c>
      <c r="S534" s="5">
        <v>-8</v>
      </c>
      <c r="T534" s="5">
        <v>8</v>
      </c>
      <c r="U534" s="5">
        <f t="shared" si="43"/>
        <v>15</v>
      </c>
      <c r="V534" s="5">
        <f t="shared" si="44"/>
        <v>3.2324384485198978</v>
      </c>
      <c r="W534" s="43">
        <f t="shared" si="45"/>
        <v>87.824938448519902</v>
      </c>
      <c r="X534" s="5" t="str" cm="1">
        <f t="array" ref="X534">_xlfn.IFS($W534 &lt;= 30, "Low", $W534 &lt;=50, "Medium", $W534 &lt;= 70, "High", $W534 &gt; 70, "Critical")</f>
        <v>Critical</v>
      </c>
      <c r="Y534" s="9">
        <f t="shared" si="46"/>
        <v>0.58664454068040228</v>
      </c>
      <c r="Z534" s="22">
        <f t="shared" si="47"/>
        <v>103.88301526368565</v>
      </c>
    </row>
    <row r="535" spans="1:26">
      <c r="A535" s="24" t="str">
        <v>CUST-2523</v>
      </c>
      <c r="B535" s="24" t="str">
        <v>At-Risk Churner</v>
      </c>
      <c r="C535" s="24" t="str">
        <v>Organic Search</v>
      </c>
      <c r="D535" s="24" t="str">
        <v>Southwest</v>
      </c>
      <c r="E535" s="24" t="str">
        <v>18-24</v>
      </c>
      <c r="F535" s="24" t="str">
        <v>High</v>
      </c>
      <c r="G535" s="24">
        <v>2</v>
      </c>
      <c r="H535" s="24">
        <v>304</v>
      </c>
      <c r="I535" s="23">
        <v>373.87</v>
      </c>
      <c r="J535" s="24" cm="1">
        <f t="array" ref="J535">SUMPRODUCT(
    (Transactions_and_Customer_Information_Joined[Customer ID]='V1-Based Churn Model (Step 3)'!$A535) *
    (IFERROR(_xlfn.XLOOKUP(Transactions_and_Customer_Information_Joined[SKU], 'V1 Pricing Model (Step 2)'!$A$22:$A$71, 'V1 Pricing Model (Step 2)'!$AL$22:$AL$71), "Exclude")&lt;&gt;"Exclude") *
    Transactions_and_Customer_Information_Joined[Gross Revenue])</f>
        <v>280.23</v>
      </c>
      <c r="K535" s="24">
        <f>SUMIF(Transactions_and_Customer_Information_Joined[Customer ID], 'V1-Based Churn Model (Step 3)'!$A535, Transactions_and_Customer_Information_Joined[Gross Revenue])</f>
        <v>280.23</v>
      </c>
      <c r="L535" s="3">
        <f t="shared" si="42"/>
        <v>1</v>
      </c>
      <c r="M535" s="21">
        <v>-6.1928730463004879E-2</v>
      </c>
      <c r="N535" s="21" cm="1">
        <f t="array" ref="N535">SUMPRODUCT(
    (Transactions_and_Customer_Information_Joined[Customer ID]=$A535)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35" s="21" cm="1">
        <f t="array" ref="O535">IFERROR(
    SUMPRODUCT(
        (Transactions_and_Customer_Information_Joined[Customer ID]=$A535)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$J535,
0)</f>
        <v>-6.1928730463004886E-2</v>
      </c>
      <c r="P535" s="5" cm="1">
        <f t="array" ref="P535">_xlfn.IFS(B535="At-Risk Churner",$B$2,$B535="Dormant",$B$3,$B535="Deal Hunter",$B$4,$B535="New Customer",$B$5,$B535="Occasional Buyer",$B$6,$B535="Loyal High-Value",$B$7)</f>
        <v>70</v>
      </c>
      <c r="Q535" s="9" cm="1">
        <f t="array" ref="Q535">_xlfn.IFS($B535 = "At-Risk Churner", $B$8, $B535="Dormant",$B$9, $B535="Deal Hunter", $B$10, $B535="New Customer", $B$11, $B535="Occasional Buyer", $B$12, $B535 = "Loyal High-Value",$B$13)</f>
        <v>0.45</v>
      </c>
      <c r="R535" s="5">
        <v>15</v>
      </c>
      <c r="S535" s="5">
        <v>10</v>
      </c>
      <c r="T535" s="5">
        <v>15</v>
      </c>
      <c r="U535" s="5">
        <f t="shared" si="43"/>
        <v>15</v>
      </c>
      <c r="V535" s="5">
        <f t="shared" si="44"/>
        <v>2.4771492185201955</v>
      </c>
      <c r="W535" s="43">
        <f t="shared" si="45"/>
        <v>100</v>
      </c>
      <c r="X535" s="5" t="str" cm="1">
        <f t="array" ref="X535">_xlfn.IFS($W535 &lt;= 30, "Low", $W535 &lt;=50, "Medium", $W535 &lt;= 70, "High", $W535 &gt; 70, "Critical")</f>
        <v>Critical</v>
      </c>
      <c r="Y535" s="9">
        <f t="shared" si="46"/>
        <v>0.44698821708407188</v>
      </c>
      <c r="Z535" s="22">
        <f t="shared" si="47"/>
        <v>167.11548472122195</v>
      </c>
    </row>
    <row r="536" spans="1:26">
      <c r="A536" s="24" t="str">
        <v>CUST-2269</v>
      </c>
      <c r="B536" s="24" t="str">
        <v>Loyal High-Value</v>
      </c>
      <c r="C536" s="24" t="str">
        <v>Paid Social</v>
      </c>
      <c r="D536" s="24" t="str">
        <v>UK</v>
      </c>
      <c r="E536" s="24" t="str">
        <v>45-54</v>
      </c>
      <c r="F536" s="24" t="str">
        <v>Low</v>
      </c>
      <c r="G536" s="24">
        <v>8</v>
      </c>
      <c r="H536" s="24">
        <v>278</v>
      </c>
      <c r="I536" s="23">
        <v>2455.8000000000002</v>
      </c>
      <c r="J536" s="24" cm="1">
        <f t="array" ref="J536">SUMPRODUCT(
    (Transactions_and_Customer_Information_Joined[Customer ID]='V1-Based Churn Model (Step 3)'!$A536) *
    (IFERROR(_xlfn.XLOOKUP(Transactions_and_Customer_Information_Joined[SKU], 'V1 Pricing Model (Step 2)'!$A$22:$A$71, 'V1 Pricing Model (Step 2)'!$AL$22:$AL$71), "Exclude")&lt;&gt;"Exclude") *
    Transactions_and_Customer_Information_Joined[Gross Revenue])</f>
        <v>37.4</v>
      </c>
      <c r="K536" s="24">
        <f>SUMIF(Transactions_and_Customer_Information_Joined[Customer ID], 'V1-Based Churn Model (Step 3)'!$A536, Transactions_and_Customer_Information_Joined[Gross Revenue])</f>
        <v>37.4</v>
      </c>
      <c r="L536" s="3">
        <f t="shared" si="42"/>
        <v>1</v>
      </c>
      <c r="M536" s="21">
        <v>0</v>
      </c>
      <c r="N536" s="21" cm="1">
        <f t="array" ref="N536">SUMPRODUCT(
    (Transactions_and_Customer_Information_Joined[Customer ID]=$A536)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36" s="21" cm="1">
        <f t="array" ref="O536">IFERROR(
    SUMPRODUCT(
        (Transactions_and_Customer_Information_Joined[Customer ID]=$A536)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$J536,
0)</f>
        <v>0</v>
      </c>
      <c r="P536" s="5" cm="1">
        <f t="array" ref="P536">_xlfn.IFS(B536="At-Risk Churner",$B$2,$B536="Dormant",$B$3,$B536="Deal Hunter",$B$4,$B536="New Customer",$B$5,$B536="Occasional Buyer",$B$6,$B536="Loyal High-Value",$B$7)</f>
        <v>15</v>
      </c>
      <c r="Q536" s="9" cm="1">
        <f t="array" ref="Q536">_xlfn.IFS($B536 = "At-Risk Churner", $B$8, $B536="Dormant",$B$9, $B536="Deal Hunter", $B$10, $B536="New Customer", $B$11, $B536="Occasional Buyer", $B$12, $B536 = "Loyal High-Value",$B$13)</f>
        <v>0.05</v>
      </c>
      <c r="R536" s="5">
        <v>-5</v>
      </c>
      <c r="S536" s="5">
        <v>-8</v>
      </c>
      <c r="T536" s="5">
        <v>8</v>
      </c>
      <c r="U536" s="5">
        <f t="shared" si="43"/>
        <v>15</v>
      </c>
      <c r="V536" s="5">
        <f t="shared" si="44"/>
        <v>0</v>
      </c>
      <c r="W536" s="43">
        <f t="shared" si="45"/>
        <v>24.767499999999998</v>
      </c>
      <c r="X536" s="5" t="str" cm="1">
        <f t="array" ref="X536">_xlfn.IFS($W536 &lt;= 30, "Low", $W536 &lt;=50, "Medium", $W536 &lt;= 70, "High", $W536 &gt; 70, "Critical")</f>
        <v>Low</v>
      </c>
      <c r="Y536" s="9">
        <f t="shared" si="46"/>
        <v>3.7122128345460229E-3</v>
      </c>
      <c r="Z536" s="22">
        <f t="shared" si="47"/>
        <v>9.1164522790781231</v>
      </c>
    </row>
    <row r="537" spans="1:26">
      <c r="A537" s="24" t="str">
        <v>CUST-2729</v>
      </c>
      <c r="B537" s="24" t="str">
        <v>Loyal High-Value</v>
      </c>
      <c r="C537" s="24" t="str">
        <v>Paid Social</v>
      </c>
      <c r="D537" s="24" t="str">
        <v>UK</v>
      </c>
      <c r="E537" s="24" t="str">
        <v>55+</v>
      </c>
      <c r="F537" s="24" t="str">
        <v>Medium</v>
      </c>
      <c r="G537" s="24">
        <v>2</v>
      </c>
      <c r="H537" s="24">
        <v>11</v>
      </c>
      <c r="I537" s="23">
        <v>1256.8699999999999</v>
      </c>
      <c r="J537" s="24" cm="1">
        <f t="array" ref="J537">SUMPRODUCT(
    (Transactions_and_Customer_Information_Joined[Customer ID]='V1-Based Churn Model (Step 3)'!$A537) *
    (IFERROR(_xlfn.XLOOKUP(Transactions_and_Customer_Information_Joined[SKU], 'V1 Pricing Model (Step 2)'!$A$22:$A$71, 'V1 Pricing Model (Step 2)'!$AL$22:$AL$71), "Exclude")&lt;&gt;"Exclude") *
    Transactions_and_Customer_Information_Joined[Gross Revenue])</f>
        <v>236.14</v>
      </c>
      <c r="K537" s="24">
        <f>SUMIF(Transactions_and_Customer_Information_Joined[Customer ID], 'V1-Based Churn Model (Step 3)'!$A537, Transactions_and_Customer_Information_Joined[Gross Revenue])</f>
        <v>236.14</v>
      </c>
      <c r="L537" s="3">
        <f t="shared" si="42"/>
        <v>1</v>
      </c>
      <c r="M537" s="21">
        <v>3.7264027854690532E-2</v>
      </c>
      <c r="N537" s="21" cm="1">
        <f t="array" ref="N537">SUMPRODUCT(
    (Transactions_and_Customer_Information_Joined[Customer ID]=$A537)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37" s="21" cm="1">
        <f t="array" ref="O537">IFERROR(
    SUMPRODUCT(
        (Transactions_and_Customer_Information_Joined[Customer ID]=$A537)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$J537,
0)</f>
        <v>3.7264027854690532E-2</v>
      </c>
      <c r="P537" s="5" cm="1">
        <f t="array" ref="P537">_xlfn.IFS(B537="At-Risk Churner",$B$2,$B537="Dormant",$B$3,$B537="Deal Hunter",$B$4,$B537="New Customer",$B$5,$B537="Occasional Buyer",$B$6,$B537="Loyal High-Value",$B$7)</f>
        <v>15</v>
      </c>
      <c r="Q537" s="9" cm="1">
        <f t="array" ref="Q537">_xlfn.IFS($B537 = "At-Risk Churner", $B$8, $B537="Dormant",$B$9, $B537="Deal Hunter", $B$10, $B537="New Customer", $B$11, $B537="Occasional Buyer", $B$12, $B537 = "Loyal High-Value",$B$13)</f>
        <v>0.05</v>
      </c>
      <c r="R537" s="5">
        <v>5</v>
      </c>
      <c r="S537" s="5">
        <v>10</v>
      </c>
      <c r="T537" s="5">
        <v>-5</v>
      </c>
      <c r="U537" s="5">
        <f t="shared" si="43"/>
        <v>15</v>
      </c>
      <c r="V537" s="5">
        <f t="shared" si="44"/>
        <v>1.4905611141876212</v>
      </c>
      <c r="W537" s="43">
        <f t="shared" si="45"/>
        <v>41.753061114187616</v>
      </c>
      <c r="X537" s="5" t="str" cm="1">
        <f t="array" ref="X537">_xlfn.IFS($W537 &lt;= 30, "Low", $W537 &lt;=50, "Medium", $W537 &lt;= 70, "High", $W537 &gt; 70, "Critical")</f>
        <v>Medium</v>
      </c>
      <c r="Y537" s="9">
        <f t="shared" si="46"/>
        <v>1.5238409352642382E-2</v>
      </c>
      <c r="Z537" s="22">
        <f t="shared" si="47"/>
        <v>266.69615965044449</v>
      </c>
    </row>
    <row r="538" spans="1:26">
      <c r="A538" s="24" t="str">
        <v>CUST-3963</v>
      </c>
      <c r="B538" s="24" t="str">
        <v>At-Risk Churner</v>
      </c>
      <c r="C538" s="24" t="str">
        <v>Referral</v>
      </c>
      <c r="D538" s="24" t="str">
        <v>West</v>
      </c>
      <c r="E538" s="24" t="str">
        <v>55+</v>
      </c>
      <c r="F538" s="24" t="str">
        <v>Medium</v>
      </c>
      <c r="G538" s="24">
        <v>3</v>
      </c>
      <c r="H538" s="24">
        <v>247</v>
      </c>
      <c r="I538" s="23">
        <v>174.62</v>
      </c>
      <c r="J538" s="24" cm="1">
        <f t="array" ref="J538">SUMPRODUCT(
    (Transactions_and_Customer_Information_Joined[Customer ID]='V1-Based Churn Model (Step 3)'!$A538) *
    (IFERROR(_xlfn.XLOOKUP(Transactions_and_Customer_Information_Joined[SKU], 'V1 Pricing Model (Step 2)'!$A$22:$A$71, 'V1 Pricing Model (Step 2)'!$AL$22:$AL$71), "Exclude")&lt;&gt;"Exclude") *
    Transactions_and_Customer_Information_Joined[Gross Revenue])</f>
        <v>72.7</v>
      </c>
      <c r="K538" s="24">
        <f>SUMIF(Transactions_and_Customer_Information_Joined[Customer ID], 'V1-Based Churn Model (Step 3)'!$A538, Transactions_and_Customer_Information_Joined[Gross Revenue])</f>
        <v>72.7</v>
      </c>
      <c r="L538" s="3">
        <f t="shared" si="42"/>
        <v>1</v>
      </c>
      <c r="M538" s="21">
        <v>6.4419042005321461E-2</v>
      </c>
      <c r="N538" s="21" cm="1">
        <f t="array" ref="N538">SUMPRODUCT(
    (Transactions_and_Customer_Information_Joined[Customer ID]=$A538)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38" s="21" cm="1">
        <f t="array" ref="O538">IFERROR(
    SUMPRODUCT(
        (Transactions_and_Customer_Information_Joined[Customer ID]=$A538)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$J538,
0)</f>
        <v>6.4419042005321461E-2</v>
      </c>
      <c r="P538" s="5" cm="1">
        <f t="array" ref="P538">_xlfn.IFS(B538="At-Risk Churner",$B$2,$B538="Dormant",$B$3,$B538="Deal Hunter",$B$4,$B538="New Customer",$B$5,$B538="Occasional Buyer",$B$6,$B538="Loyal High-Value",$B$7)</f>
        <v>70</v>
      </c>
      <c r="Q538" s="9" cm="1">
        <f t="array" ref="Q538">_xlfn.IFS($B538 = "At-Risk Churner", $B$8, $B538="Dormant",$B$9, $B538="Deal Hunter", $B$10, $B538="New Customer", $B$11, $B538="Occasional Buyer", $B$12, $B538 = "Loyal High-Value",$B$13)</f>
        <v>0.45</v>
      </c>
      <c r="R538" s="5">
        <v>5</v>
      </c>
      <c r="S538" s="5">
        <v>10</v>
      </c>
      <c r="T538" s="5">
        <v>8</v>
      </c>
      <c r="U538" s="5">
        <f t="shared" si="43"/>
        <v>15</v>
      </c>
      <c r="V538" s="5">
        <f t="shared" si="44"/>
        <v>2.5767616802128583</v>
      </c>
      <c r="W538" s="43">
        <f t="shared" si="45"/>
        <v>100</v>
      </c>
      <c r="X538" s="5" t="str" cm="1">
        <f t="array" ref="X538">_xlfn.IFS($W538 &lt;= 30, "Low", $W538 &lt;=50, "Medium", $W538 &lt;= 70, "High", $W538 &gt; 70, "Critical")</f>
        <v>Critical</v>
      </c>
      <c r="Y538" s="9">
        <f t="shared" si="46"/>
        <v>0.44698821708407188</v>
      </c>
      <c r="Z538" s="22">
        <f t="shared" si="47"/>
        <v>78.053082467220634</v>
      </c>
    </row>
    <row r="539" spans="1:26">
      <c r="A539" s="24" t="str">
        <v>CUST-2008</v>
      </c>
      <c r="B539" s="24" t="str">
        <v>Loyal High-Value</v>
      </c>
      <c r="C539" s="24" t="str">
        <v>Direct</v>
      </c>
      <c r="D539" s="24" t="str">
        <v>Canada</v>
      </c>
      <c r="E539" s="24" t="str">
        <v>45-54</v>
      </c>
      <c r="F539" s="24" t="str">
        <v>Medium</v>
      </c>
      <c r="G539" s="24">
        <v>8</v>
      </c>
      <c r="H539" s="24">
        <v>99</v>
      </c>
      <c r="I539" s="23">
        <v>1314.98</v>
      </c>
      <c r="J539" s="24" cm="1">
        <f t="array" ref="J539">SUMPRODUCT(
    (Transactions_and_Customer_Information_Joined[Customer ID]='V1-Based Churn Model (Step 3)'!$A539) *
    (IFERROR(_xlfn.XLOOKUP(Transactions_and_Customer_Information_Joined[SKU], 'V1 Pricing Model (Step 2)'!$A$22:$A$71, 'V1 Pricing Model (Step 2)'!$AL$22:$AL$71), "Exclude")&lt;&gt;"Exclude") *
    Transactions_and_Customer_Information_Joined[Gross Revenue])</f>
        <v>179.24</v>
      </c>
      <c r="K539" s="24">
        <f>SUMIF(Transactions_and_Customer_Information_Joined[Customer ID], 'V1-Based Churn Model (Step 3)'!$A539, Transactions_and_Customer_Information_Joined[Gross Revenue])</f>
        <v>179.24</v>
      </c>
      <c r="L539" s="3">
        <f t="shared" si="42"/>
        <v>1</v>
      </c>
      <c r="M539" s="21">
        <v>0.10710868403533827</v>
      </c>
      <c r="N539" s="21" cm="1">
        <f t="array" ref="N539">SUMPRODUCT(
    (Transactions_and_Customer_Information_Joined[Customer ID]=$A539)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39" s="21" cm="1">
        <f t="array" ref="O539">IFERROR(
    SUMPRODUCT(
        (Transactions_and_Customer_Information_Joined[Customer ID]=$A539)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$J539,
0)</f>
        <v>0.10710868403533827</v>
      </c>
      <c r="P539" s="5" cm="1">
        <f t="array" ref="P539">_xlfn.IFS(B539="At-Risk Churner",$B$2,$B539="Dormant",$B$3,$B539="Deal Hunter",$B$4,$B539="New Customer",$B$5,$B539="Occasional Buyer",$B$6,$B539="Loyal High-Value",$B$7)</f>
        <v>15</v>
      </c>
      <c r="Q539" s="9" cm="1">
        <f t="array" ref="Q539">_xlfn.IFS($B539 = "At-Risk Churner", $B$8, $B539="Dormant",$B$9, $B539="Deal Hunter", $B$10, $B539="New Customer", $B$11, $B539="Occasional Buyer", $B$12, $B539 = "Loyal High-Value",$B$13)</f>
        <v>0.05</v>
      </c>
      <c r="R539" s="5">
        <v>5</v>
      </c>
      <c r="S539" s="5">
        <v>-8</v>
      </c>
      <c r="T539" s="5">
        <v>0</v>
      </c>
      <c r="U539" s="5">
        <f t="shared" si="43"/>
        <v>15</v>
      </c>
      <c r="V539" s="5">
        <f t="shared" si="44"/>
        <v>4.2843473614135306</v>
      </c>
      <c r="W539" s="43">
        <f t="shared" si="45"/>
        <v>31.27684736141353</v>
      </c>
      <c r="X539" s="5" t="str" cm="1">
        <f t="array" ref="X539">_xlfn.IFS($W539 &lt;= 30, "Low", $W539 &lt;=50, "Medium", $W539 &lt;= 70, "High", $W539 &gt; 70, "Critical")</f>
        <v>Medium</v>
      </c>
      <c r="Y539" s="9">
        <f t="shared" si="46"/>
        <v>6.6637027219256578E-3</v>
      </c>
      <c r="Z539" s="22">
        <f t="shared" si="47"/>
        <v>270.00610864422225</v>
      </c>
    </row>
    <row r="540" spans="1:26">
      <c r="A540" s="24" t="str">
        <v>CUST-4864</v>
      </c>
      <c r="B540" s="24" t="str">
        <v>Dormant</v>
      </c>
      <c r="C540" s="24" t="str">
        <v>Organic Search</v>
      </c>
      <c r="D540" s="24" t="str">
        <v>UK</v>
      </c>
      <c r="E540" s="24" t="str">
        <v>45-54</v>
      </c>
      <c r="F540" s="24" t="str">
        <v>Low</v>
      </c>
      <c r="G540" s="24">
        <v>6</v>
      </c>
      <c r="H540" s="24">
        <v>306</v>
      </c>
      <c r="I540" s="23">
        <v>152.29</v>
      </c>
      <c r="J540" s="24" cm="1">
        <f t="array" ref="J540">SUMPRODUCT(
    (Transactions_and_Customer_Information_Joined[Customer ID]='V1-Based Churn Model (Step 3)'!$A540) *
    (IFERROR(_xlfn.XLOOKUP(Transactions_and_Customer_Information_Joined[SKU], 'V1 Pricing Model (Step 2)'!$A$22:$A$71, 'V1 Pricing Model (Step 2)'!$AL$22:$AL$71), "Exclude")&lt;&gt;"Exclude") *
    Transactions_and_Customer_Information_Joined[Gross Revenue])</f>
        <v>522.68999999999994</v>
      </c>
      <c r="K540" s="24">
        <f>SUMIF(Transactions_and_Customer_Information_Joined[Customer ID], 'V1-Based Churn Model (Step 3)'!$A540, Transactions_and_Customer_Information_Joined[Gross Revenue])</f>
        <v>522.68999999999994</v>
      </c>
      <c r="L540" s="3">
        <f t="shared" si="42"/>
        <v>1</v>
      </c>
      <c r="M540" s="21">
        <v>5.8348079685156623E-2</v>
      </c>
      <c r="N540" s="21" cm="1">
        <f t="array" ref="N540">SUMPRODUCT(
    (Transactions_and_Customer_Information_Joined[Customer ID]=$A540)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40" s="21" cm="1">
        <f t="array" ref="O540">IFERROR(
    SUMPRODUCT(
        (Transactions_and_Customer_Information_Joined[Customer ID]=$A540)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$J540,
0)</f>
        <v>5.8348079685156623E-2</v>
      </c>
      <c r="P540" s="5" cm="1">
        <f t="array" ref="P540">_xlfn.IFS(B540="At-Risk Churner",$B$2,$B540="Dormant",$B$3,$B540="Deal Hunter",$B$4,$B540="New Customer",$B$5,$B540="Occasional Buyer",$B$6,$B540="Loyal High-Value",$B$7)</f>
        <v>65</v>
      </c>
      <c r="Q540" s="9" cm="1">
        <f t="array" ref="Q540">_xlfn.IFS($B540 = "At-Risk Churner", $B$8, $B540="Dormant",$B$9, $B540="Deal Hunter", $B$10, $B540="New Customer", $B$11, $B540="Occasional Buyer", $B$12, $B540 = "Loyal High-Value",$B$13)</f>
        <v>0.6</v>
      </c>
      <c r="R540" s="5">
        <v>-5</v>
      </c>
      <c r="S540" s="5">
        <v>0</v>
      </c>
      <c r="T540" s="5">
        <v>15</v>
      </c>
      <c r="U540" s="5">
        <f t="shared" si="43"/>
        <v>15</v>
      </c>
      <c r="V540" s="5">
        <f t="shared" si="44"/>
        <v>2.3339231874062651</v>
      </c>
      <c r="W540" s="43">
        <f t="shared" si="45"/>
        <v>92.221423187406273</v>
      </c>
      <c r="X540" s="5" t="str" cm="1">
        <f t="array" ref="X540">_xlfn.IFS($W540 &lt;= 30, "Low", $W540 &lt;=50, "Medium", $W540 &lt;= 70, "High", $W540 &gt; 70, "Critical")</f>
        <v>Critical</v>
      </c>
      <c r="Y540" s="9">
        <f t="shared" si="46"/>
        <v>0.59132689662910531</v>
      </c>
      <c r="Z540" s="22">
        <f t="shared" si="47"/>
        <v>90.053173087646442</v>
      </c>
    </row>
    <row r="541" spans="1:26">
      <c r="A541" s="24" t="str">
        <v>CUST-2865</v>
      </c>
      <c r="B541" s="24" t="str">
        <v>At-Risk Churner</v>
      </c>
      <c r="C541" s="24" t="str">
        <v>Email Campaign</v>
      </c>
      <c r="D541" s="24" t="str">
        <v>Canada</v>
      </c>
      <c r="E541" s="24" t="str">
        <v>45-54</v>
      </c>
      <c r="F541" s="24" t="str">
        <v>Low</v>
      </c>
      <c r="G541" s="24">
        <v>3</v>
      </c>
      <c r="H541" s="24">
        <v>167</v>
      </c>
      <c r="I541" s="23">
        <v>322.88</v>
      </c>
      <c r="J541" s="24" cm="1">
        <f t="array" ref="J541">SUMPRODUCT(
    (Transactions_and_Customer_Information_Joined[Customer ID]='V1-Based Churn Model (Step 3)'!$A541)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541" s="24">
        <f>SUMIF(Transactions_and_Customer_Information_Joined[Customer ID], 'V1-Based Churn Model (Step 3)'!$A541, Transactions_and_Customer_Information_Joined[Gross Revenue])</f>
        <v>207.92</v>
      </c>
      <c r="L541" s="3">
        <f t="shared" si="42"/>
        <v>0</v>
      </c>
      <c r="M541" s="21">
        <v>0</v>
      </c>
      <c r="N541" s="21" cm="1">
        <f t="array" ref="N541">SUMPRODUCT(
    (Transactions_and_Customer_Information_Joined[Customer ID]=$A541)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541" s="21" cm="1">
        <f t="array" ref="O541">IFERROR(
    SUMPRODUCT(
        (Transactions_and_Customer_Information_Joined[Customer ID]=$A541)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$J541,
0)</f>
        <v>0</v>
      </c>
      <c r="P541" s="5" cm="1">
        <f t="array" ref="P541">_xlfn.IFS(B541="At-Risk Churner",$B$2,$B541="Dormant",$B$3,$B541="Deal Hunter",$B$4,$B541="New Customer",$B$5,$B541="Occasional Buyer",$B$6,$B541="Loyal High-Value",$B$7)</f>
        <v>70</v>
      </c>
      <c r="Q541" s="9" cm="1">
        <f t="array" ref="Q541">_xlfn.IFS($B541 = "At-Risk Churner", $B$8, $B541="Dormant",$B$9, $B541="Deal Hunter", $B$10, $B541="New Customer", $B$11, $B541="Occasional Buyer", $B$12, $B541 = "Loyal High-Value",$B$13)</f>
        <v>0.45</v>
      </c>
      <c r="R541" s="5">
        <v>-5</v>
      </c>
      <c r="S541" s="5">
        <v>10</v>
      </c>
      <c r="T541" s="5">
        <v>0</v>
      </c>
      <c r="U541" s="5">
        <f t="shared" si="43"/>
        <v>0</v>
      </c>
      <c r="V541" s="5">
        <f t="shared" si="44"/>
        <v>0</v>
      </c>
      <c r="W541" s="43">
        <f t="shared" si="45"/>
        <v>75.7</v>
      </c>
      <c r="X541" s="5" t="str" cm="1">
        <f t="array" ref="X541">_xlfn.IFS($W541 &lt;= 30, "Low", $W541 &lt;=50, "Medium", $W541 &lt;= 70, "High", $W541 &gt; 70, "Critical")</f>
        <v>Critical</v>
      </c>
      <c r="Y541" s="9">
        <f t="shared" si="46"/>
        <v>0.41800756316207083</v>
      </c>
      <c r="Z541" s="22">
        <f t="shared" si="47"/>
        <v>134.96628199376943</v>
      </c>
    </row>
    <row r="542" spans="1:26">
      <c r="A542" s="24" t="str">
        <v>CUST-2843</v>
      </c>
      <c r="B542" s="24" t="str">
        <v>Occasional Buyer</v>
      </c>
      <c r="C542" s="24" t="str">
        <v>Referral</v>
      </c>
      <c r="D542" s="24" t="str">
        <v>Midwest</v>
      </c>
      <c r="E542" s="24" t="str">
        <v>25-34</v>
      </c>
      <c r="F542" s="24" t="str">
        <v>Low</v>
      </c>
      <c r="G542" s="24">
        <v>9</v>
      </c>
      <c r="H542" s="24">
        <v>26</v>
      </c>
      <c r="I542" s="23">
        <v>398.45</v>
      </c>
      <c r="J542" s="24" cm="1">
        <f t="array" ref="J542">SUMPRODUCT(
    (Transactions_and_Customer_Information_Joined[Customer ID]='V1-Based Churn Model (Step 3)'!$A542)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542" s="24">
        <f>SUMIF(Transactions_and_Customer_Information_Joined[Customer ID], 'V1-Based Churn Model (Step 3)'!$A542, Transactions_and_Customer_Information_Joined[Gross Revenue])</f>
        <v>244.79999999999998</v>
      </c>
      <c r="L542" s="3">
        <f t="shared" si="42"/>
        <v>0</v>
      </c>
      <c r="M542" s="21">
        <v>0</v>
      </c>
      <c r="N542" s="21" cm="1">
        <f t="array" ref="N542">SUMPRODUCT(
    (Transactions_and_Customer_Information_Joined[Customer ID]=$A542)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542" s="21" cm="1">
        <f t="array" ref="O542">IFERROR(
    SUMPRODUCT(
        (Transactions_and_Customer_Information_Joined[Customer ID]=$A542)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$J542,
0)</f>
        <v>0</v>
      </c>
      <c r="P542" s="5" cm="1">
        <f t="array" ref="P542">_xlfn.IFS(B542="At-Risk Churner",$B$2,$B542="Dormant",$B$3,$B542="Deal Hunter",$B$4,$B542="New Customer",$B$5,$B542="Occasional Buyer",$B$6,$B542="Loyal High-Value",$B$7)</f>
        <v>25</v>
      </c>
      <c r="Q542" s="9" cm="1">
        <f t="array" ref="Q542">_xlfn.IFS($B542 = "At-Risk Churner", $B$8, $B542="Dormant",$B$9, $B542="Deal Hunter", $B$10, $B542="New Customer", $B$11, $B542="Occasional Buyer", $B$12, $B542 = "Loyal High-Value",$B$13)</f>
        <v>0.18</v>
      </c>
      <c r="R542" s="5">
        <v>-5</v>
      </c>
      <c r="S542" s="5">
        <v>-8</v>
      </c>
      <c r="T542" s="5">
        <v>-5</v>
      </c>
      <c r="U542" s="5">
        <f t="shared" si="43"/>
        <v>0</v>
      </c>
      <c r="V542" s="5">
        <f t="shared" si="44"/>
        <v>0</v>
      </c>
      <c r="W542" s="43">
        <f t="shared" si="45"/>
        <v>6.8</v>
      </c>
      <c r="X542" s="5" t="str" cm="1">
        <f t="array" ref="X542">_xlfn.IFS($W542 &lt;= 30, "Low", $W542 &lt;=50, "Medium", $W542 &lt;= 70, "High", $W542 &gt; 70, "Critical")</f>
        <v>Low</v>
      </c>
      <c r="Y542" s="9">
        <f t="shared" si="46"/>
        <v>2.3625573006785037E-3</v>
      </c>
      <c r="Z542" s="22">
        <f t="shared" si="47"/>
        <v>0.94136095645534978</v>
      </c>
    </row>
    <row r="543" spans="1:26">
      <c r="A543" s="24" t="str">
        <v>CUST-4059</v>
      </c>
      <c r="B543" s="24" t="str">
        <v>New Customer</v>
      </c>
      <c r="C543" s="24" t="str">
        <v>Referral</v>
      </c>
      <c r="D543" s="24" t="str">
        <v>West</v>
      </c>
      <c r="E543" s="24" t="str">
        <v>35-44</v>
      </c>
      <c r="F543" s="24" t="str">
        <v>High</v>
      </c>
      <c r="G543" s="24">
        <v>2</v>
      </c>
      <c r="H543" s="24">
        <v>164</v>
      </c>
      <c r="I543" s="23">
        <v>133.94999999999999</v>
      </c>
      <c r="J543" s="24" cm="1">
        <f t="array" ref="J543">SUMPRODUCT(
    (Transactions_and_Customer_Information_Joined[Customer ID]='V1-Based Churn Model (Step 3)'!$A543) *
    (IFERROR(_xlfn.XLOOKUP(Transactions_and_Customer_Information_Joined[SKU], 'V1 Pricing Model (Step 2)'!$A$22:$A$71, 'V1 Pricing Model (Step 2)'!$AL$22:$AL$71), "Exclude")&lt;&gt;"Exclude") *
    Transactions_and_Customer_Information_Joined[Gross Revenue])</f>
        <v>339.8</v>
      </c>
      <c r="K543" s="24">
        <f>SUMIF(Transactions_and_Customer_Information_Joined[Customer ID], 'V1-Based Churn Model (Step 3)'!$A543, Transactions_and_Customer_Information_Joined[Gross Revenue])</f>
        <v>339.8</v>
      </c>
      <c r="L543" s="3">
        <f t="shared" si="42"/>
        <v>1</v>
      </c>
      <c r="M543" s="21">
        <v>0</v>
      </c>
      <c r="N543" s="21" cm="1">
        <f t="array" ref="N543">SUMPRODUCT(
    (Transactions_and_Customer_Information_Joined[Customer ID]=$A543)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43" s="21" cm="1">
        <f t="array" ref="O543">IFERROR(
    SUMPRODUCT(
        (Transactions_and_Customer_Information_Joined[Customer ID]=$A543)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$J543,
0)</f>
        <v>0</v>
      </c>
      <c r="P543" s="5" cm="1">
        <f t="array" ref="P543">_xlfn.IFS(B543="At-Risk Churner",$B$2,$B543="Dormant",$B$3,$B543="Deal Hunter",$B$4,$B543="New Customer",$B$5,$B543="Occasional Buyer",$B$6,$B543="Loyal High-Value",$B$7)</f>
        <v>35</v>
      </c>
      <c r="Q543" s="9" cm="1">
        <f t="array" ref="Q543">_xlfn.IFS($B543 = "At-Risk Churner", $B$8, $B543="Dormant",$B$9, $B543="Deal Hunter", $B$10, $B543="New Customer", $B$11, $B543="Occasional Buyer", $B$12, $B543 = "Loyal High-Value",$B$13)</f>
        <v>0.35</v>
      </c>
      <c r="R543" s="5">
        <v>15</v>
      </c>
      <c r="S543" s="5">
        <v>10</v>
      </c>
      <c r="T543" s="5">
        <v>0</v>
      </c>
      <c r="U543" s="5">
        <f t="shared" si="43"/>
        <v>15</v>
      </c>
      <c r="V543" s="5">
        <f t="shared" si="44"/>
        <v>0</v>
      </c>
      <c r="W543" s="43">
        <f t="shared" si="45"/>
        <v>75.6875</v>
      </c>
      <c r="X543" s="5" t="str" cm="1">
        <f t="array" ref="X543">_xlfn.IFS($W543 &lt;= 30, "Low", $W543 &lt;=50, "Medium", $W543 &lt;= 70, "High", $W543 &gt; 70, "Critical")</f>
        <v>Critical</v>
      </c>
      <c r="Y543" s="9">
        <f t="shared" si="46"/>
        <v>0.32508808561777675</v>
      </c>
      <c r="Z543" s="22">
        <f t="shared" si="47"/>
        <v>43.545549068501188</v>
      </c>
    </row>
    <row r="544" spans="1:26">
      <c r="A544" s="24" t="str">
        <v>CUST-3320</v>
      </c>
      <c r="B544" s="24" t="str">
        <v>New Customer</v>
      </c>
      <c r="C544" s="24" t="str">
        <v>Influencer</v>
      </c>
      <c r="D544" s="24" t="str">
        <v>UK</v>
      </c>
      <c r="E544" s="24" t="str">
        <v>18-24</v>
      </c>
      <c r="F544" s="24" t="str">
        <v>High</v>
      </c>
      <c r="G544" s="24">
        <v>0</v>
      </c>
      <c r="H544" s="24">
        <v>23</v>
      </c>
      <c r="I544" s="23">
        <v>73.28</v>
      </c>
      <c r="J544" s="24" cm="1">
        <f t="array" ref="J544">SUMPRODUCT(
    (Transactions_and_Customer_Information_Joined[Customer ID]='V1-Based Churn Model (Step 3)'!$A544) *
    (IFERROR(_xlfn.XLOOKUP(Transactions_and_Customer_Information_Joined[SKU], 'V1 Pricing Model (Step 2)'!$A$22:$A$71, 'V1 Pricing Model (Step 2)'!$AL$22:$AL$71), "Exclude")&lt;&gt;"Exclude") *
    Transactions_and_Customer_Information_Joined[Gross Revenue])</f>
        <v>79.83</v>
      </c>
      <c r="K544" s="24">
        <f>SUMIF(Transactions_and_Customer_Information_Joined[Customer ID], 'V1-Based Churn Model (Step 3)'!$A544, Transactions_and_Customer_Information_Joined[Gross Revenue])</f>
        <v>79.83</v>
      </c>
      <c r="L544" s="3">
        <f t="shared" si="42"/>
        <v>1</v>
      </c>
      <c r="M544" s="21">
        <v>0.10709640328514787</v>
      </c>
      <c r="N544" s="21" cm="1">
        <f t="array" ref="N544">SUMPRODUCT(
    (Transactions_and_Customer_Information_Joined[Customer ID]=$A544)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44" s="21" cm="1">
        <f t="array" ref="O544">IFERROR(
    SUMPRODUCT(
        (Transactions_and_Customer_Information_Joined[Customer ID]=$A544)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$J544,
0)</f>
        <v>0.10709640328514787</v>
      </c>
      <c r="P544" s="5" cm="1">
        <f t="array" ref="P544">_xlfn.IFS(B544="At-Risk Churner",$B$2,$B544="Dormant",$B$3,$B544="Deal Hunter",$B$4,$B544="New Customer",$B$5,$B544="Occasional Buyer",$B$6,$B544="Loyal High-Value",$B$7)</f>
        <v>35</v>
      </c>
      <c r="Q544" s="9" cm="1">
        <f t="array" ref="Q544">_xlfn.IFS($B544 = "At-Risk Churner", $B$8, $B544="Dormant",$B$9, $B544="Deal Hunter", $B$10, $B544="New Customer", $B$11, $B544="Occasional Buyer", $B$12, $B544 = "Loyal High-Value",$B$13)</f>
        <v>0.35</v>
      </c>
      <c r="R544" s="5">
        <v>15</v>
      </c>
      <c r="S544" s="5">
        <v>10</v>
      </c>
      <c r="T544" s="5">
        <v>-5</v>
      </c>
      <c r="U544" s="5">
        <f t="shared" si="43"/>
        <v>15</v>
      </c>
      <c r="V544" s="5">
        <f t="shared" si="44"/>
        <v>4.2838561314059147</v>
      </c>
      <c r="W544" s="43">
        <f t="shared" si="45"/>
        <v>74.971356131405912</v>
      </c>
      <c r="X544" s="5" t="str" cm="1">
        <f t="array" ref="X544">_xlfn.IFS($W544 &lt;= 30, "Low", $W544 &lt;=50, "Medium", $W544 &lt;= 70, "High", $W544 &gt; 70, "Critical")</f>
        <v>Critical</v>
      </c>
      <c r="Y544" s="9">
        <f t="shared" si="46"/>
        <v>0.32337927009392742</v>
      </c>
      <c r="Z544" s="22">
        <f t="shared" si="47"/>
        <v>23.697232912483003</v>
      </c>
    </row>
    <row r="545" spans="1:26">
      <c r="A545" s="24" t="str">
        <v>CUST-4106</v>
      </c>
      <c r="B545" s="24" t="str">
        <v>Dormant</v>
      </c>
      <c r="C545" s="24" t="str">
        <v>Influencer</v>
      </c>
      <c r="D545" s="24" t="str">
        <v>Southwest</v>
      </c>
      <c r="E545" s="24" t="str">
        <v>55+</v>
      </c>
      <c r="F545" s="24" t="str">
        <v>Medium</v>
      </c>
      <c r="G545" s="24">
        <v>10</v>
      </c>
      <c r="H545" s="24">
        <v>115</v>
      </c>
      <c r="I545" s="23">
        <v>131.05000000000001</v>
      </c>
      <c r="J545" s="24" cm="1">
        <f t="array" ref="J545">SUMPRODUCT(
    (Transactions_and_Customer_Information_Joined[Customer ID]='V1-Based Churn Model (Step 3)'!$A545) *
    (IFERROR(_xlfn.XLOOKUP(Transactions_and_Customer_Information_Joined[SKU], 'V1 Pricing Model (Step 2)'!$A$22:$A$71, 'V1 Pricing Model (Step 2)'!$AL$22:$AL$71), "Exclude")&lt;&gt;"Exclude") *
    Transactions_and_Customer_Information_Joined[Gross Revenue])</f>
        <v>215.8</v>
      </c>
      <c r="K545" s="24">
        <f>SUMIF(Transactions_and_Customer_Information_Joined[Customer ID], 'V1-Based Churn Model (Step 3)'!$A545, Transactions_and_Customer_Information_Joined[Gross Revenue])</f>
        <v>215.8</v>
      </c>
      <c r="L545" s="3">
        <f t="shared" si="42"/>
        <v>1</v>
      </c>
      <c r="M545" s="21">
        <v>-6.3633334648082567E-3</v>
      </c>
      <c r="N545" s="21" cm="1">
        <f t="array" ref="N545">SUMPRODUCT(
    (Transactions_and_Customer_Information_Joined[Customer ID]=$A545)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45" s="21" cm="1">
        <f t="array" ref="O545">IFERROR(
    SUMPRODUCT(
        (Transactions_and_Customer_Information_Joined[Customer ID]=$A545)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$J545,
0)</f>
        <v>-6.3633334648082575E-3</v>
      </c>
      <c r="P545" s="5" cm="1">
        <f t="array" ref="P545">_xlfn.IFS(B545="At-Risk Churner",$B$2,$B545="Dormant",$B$3,$B545="Deal Hunter",$B$4,$B545="New Customer",$B$5,$B545="Occasional Buyer",$B$6,$B545="Loyal High-Value",$B$7)</f>
        <v>65</v>
      </c>
      <c r="Q545" s="9" cm="1">
        <f t="array" ref="Q545">_xlfn.IFS($B545 = "At-Risk Churner", $B$8, $B545="Dormant",$B$9, $B545="Deal Hunter", $B$10, $B545="New Customer", $B$11, $B545="Occasional Buyer", $B$12, $B545 = "Loyal High-Value",$B$13)</f>
        <v>0.6</v>
      </c>
      <c r="R545" s="5">
        <v>5</v>
      </c>
      <c r="S545" s="5">
        <v>-8</v>
      </c>
      <c r="T545" s="5">
        <v>0</v>
      </c>
      <c r="U545" s="5">
        <f t="shared" si="43"/>
        <v>15</v>
      </c>
      <c r="V545" s="5">
        <f t="shared" si="44"/>
        <v>0.25453333859233029</v>
      </c>
      <c r="W545" s="43">
        <f t="shared" si="45"/>
        <v>76.847033338592325</v>
      </c>
      <c r="X545" s="5" t="str" cm="1">
        <f t="array" ref="X545">_xlfn.IFS($W545 &lt;= 30, "Low", $W545 &lt;=50, "Medium", $W545 &lt;= 70, "High", $W545 &gt; 70, "Critical")</f>
        <v>Critical</v>
      </c>
      <c r="Y545" s="9">
        <f t="shared" si="46"/>
        <v>0.56167077949463329</v>
      </c>
      <c r="Z545" s="22">
        <f t="shared" si="47"/>
        <v>73.606955652771703</v>
      </c>
    </row>
    <row r="546" spans="1:26">
      <c r="A546" s="24" t="str">
        <v>CUST-2441</v>
      </c>
      <c r="B546" s="24" t="str">
        <v>Deal Hunter</v>
      </c>
      <c r="C546" s="24" t="str">
        <v>Influencer</v>
      </c>
      <c r="D546" s="24" t="str">
        <v>Southwest</v>
      </c>
      <c r="E546" s="24" t="str">
        <v>45-54</v>
      </c>
      <c r="F546" s="24" t="str">
        <v>Low</v>
      </c>
      <c r="G546" s="24">
        <v>6</v>
      </c>
      <c r="H546" s="24">
        <v>155</v>
      </c>
      <c r="I546" s="23">
        <v>402.42</v>
      </c>
      <c r="J546" s="24" cm="1">
        <f t="array" ref="J546">SUMPRODUCT(
    (Transactions_and_Customer_Information_Joined[Customer ID]='V1-Based Churn Model (Step 3)'!$A546) *
    (IFERROR(_xlfn.XLOOKUP(Transactions_and_Customer_Information_Joined[SKU], 'V1 Pricing Model (Step 2)'!$A$22:$A$71, 'V1 Pricing Model (Step 2)'!$AL$22:$AL$71), "Exclude")&lt;&gt;"Exclude") *
    Transactions_and_Customer_Information_Joined[Gross Revenue])</f>
        <v>434.84999999999997</v>
      </c>
      <c r="K546" s="24">
        <f>SUMIF(Transactions_and_Customer_Information_Joined[Customer ID], 'V1-Based Churn Model (Step 3)'!$A546, Transactions_and_Customer_Information_Joined[Gross Revenue])</f>
        <v>434.84999999999997</v>
      </c>
      <c r="L546" s="3">
        <f t="shared" si="42"/>
        <v>1</v>
      </c>
      <c r="M546" s="21">
        <v>0.25481331848064742</v>
      </c>
      <c r="N546" s="21" cm="1">
        <f t="array" ref="N546">SUMPRODUCT(
    (Transactions_and_Customer_Information_Joined[Customer ID]=$A546)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46" s="21" cm="1">
        <f t="array" ref="O546">IFERROR(
    SUMPRODUCT(
        (Transactions_and_Customer_Information_Joined[Customer ID]=$A546)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$J546,
0)</f>
        <v>0.25481331848064742</v>
      </c>
      <c r="P546" s="5" cm="1">
        <f t="array" ref="P546">_xlfn.IFS(B546="At-Risk Churner",$B$2,$B546="Dormant",$B$3,$B546="Deal Hunter",$B$4,$B546="New Customer",$B$5,$B546="Occasional Buyer",$B$6,$B546="Loyal High-Value",$B$7)</f>
        <v>45</v>
      </c>
      <c r="Q546" s="9" cm="1">
        <f t="array" ref="Q546">_xlfn.IFS($B546 = "At-Risk Churner", $B$8, $B546="Dormant",$B$9, $B546="Deal Hunter", $B$10, $B546="New Customer", $B$11, $B546="Occasional Buyer", $B$12, $B546 = "Loyal High-Value",$B$13)</f>
        <v>0.25</v>
      </c>
      <c r="R546" s="5">
        <v>-5</v>
      </c>
      <c r="S546" s="5">
        <v>0</v>
      </c>
      <c r="T546" s="5">
        <v>0</v>
      </c>
      <c r="U546" s="5">
        <f t="shared" si="43"/>
        <v>15</v>
      </c>
      <c r="V546" s="5">
        <f t="shared" si="44"/>
        <v>10.192532739225896</v>
      </c>
      <c r="W546" s="43">
        <f t="shared" si="45"/>
        <v>65.080032739225899</v>
      </c>
      <c r="X546" s="5" t="str" cm="1">
        <f t="array" ref="X546">_xlfn.IFS($W546 &lt;= 30, "Low", $W546 &lt;=50, "Medium", $W546 &lt;= 70, "High", $W546 &gt; 70, "Critical")</f>
        <v>High</v>
      </c>
      <c r="Y546" s="9">
        <f t="shared" si="46"/>
        <v>0.20469127590200212</v>
      </c>
      <c r="Z546" s="22">
        <f t="shared" si="47"/>
        <v>146.38149059878697</v>
      </c>
    </row>
    <row r="547" spans="1:26">
      <c r="A547" s="24" t="str">
        <v>CUST-1863</v>
      </c>
      <c r="B547" s="24" t="str">
        <v>Dormant</v>
      </c>
      <c r="C547" s="24" t="str">
        <v>Referral</v>
      </c>
      <c r="D547" s="24" t="str">
        <v>Northeast</v>
      </c>
      <c r="E547" s="24" t="str">
        <v>35-44</v>
      </c>
      <c r="F547" s="24" t="str">
        <v>High</v>
      </c>
      <c r="G547" s="24">
        <v>7</v>
      </c>
      <c r="H547" s="24">
        <v>106</v>
      </c>
      <c r="I547" s="23">
        <v>78.209999999999994</v>
      </c>
      <c r="J547" s="24" cm="1">
        <f t="array" ref="J547">SUMPRODUCT(
    (Transactions_and_Customer_Information_Joined[Customer ID]='V1-Based Churn Model (Step 3)'!$A547) *
    (IFERROR(_xlfn.XLOOKUP(Transactions_and_Customer_Information_Joined[SKU], 'V1 Pricing Model (Step 2)'!$A$22:$A$71, 'V1 Pricing Model (Step 2)'!$AL$22:$AL$71), "Exclude")&lt;&gt;"Exclude") *
    Transactions_and_Customer_Information_Joined[Gross Revenue])</f>
        <v>35.11</v>
      </c>
      <c r="K547" s="24">
        <f>SUMIF(Transactions_and_Customer_Information_Joined[Customer ID], 'V1-Based Churn Model (Step 3)'!$A547, Transactions_and_Customer_Information_Joined[Gross Revenue])</f>
        <v>35.11</v>
      </c>
      <c r="L547" s="3">
        <f t="shared" si="42"/>
        <v>1</v>
      </c>
      <c r="M547" s="21">
        <v>0.25581555939754186</v>
      </c>
      <c r="N547" s="21" cm="1">
        <f t="array" ref="N547">SUMPRODUCT(
    (Transactions_and_Customer_Information_Joined[Customer ID]=$A547)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47" s="21" cm="1">
        <f t="array" ref="O547">IFERROR(
    SUMPRODUCT(
        (Transactions_and_Customer_Information_Joined[Customer ID]=$A547)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$J547,
0)</f>
        <v>0.25581555939754186</v>
      </c>
      <c r="P547" s="5" cm="1">
        <f t="array" ref="P547">_xlfn.IFS(B547="At-Risk Churner",$B$2,$B547="Dormant",$B$3,$B547="Deal Hunter",$B$4,$B547="New Customer",$B$5,$B547="Occasional Buyer",$B$6,$B547="Loyal High-Value",$B$7)</f>
        <v>65</v>
      </c>
      <c r="Q547" s="9" cm="1">
        <f t="array" ref="Q547">_xlfn.IFS($B547 = "At-Risk Churner", $B$8, $B547="Dormant",$B$9, $B547="Deal Hunter", $B$10, $B547="New Customer", $B$11, $B547="Occasional Buyer", $B$12, $B547 = "Loyal High-Value",$B$13)</f>
        <v>0.6</v>
      </c>
      <c r="R547" s="5">
        <v>15</v>
      </c>
      <c r="S547" s="5">
        <v>-8</v>
      </c>
      <c r="T547" s="5">
        <v>0</v>
      </c>
      <c r="U547" s="5">
        <f t="shared" si="43"/>
        <v>15</v>
      </c>
      <c r="V547" s="5">
        <f t="shared" si="44"/>
        <v>10.232622375901673</v>
      </c>
      <c r="W547" s="43">
        <f t="shared" si="45"/>
        <v>97.05012237590168</v>
      </c>
      <c r="X547" s="5" t="str" cm="1">
        <f t="array" ref="X547">_xlfn.IFS($W547 &lt;= 30, "Low", $W547 &lt;=50, "Medium", $W547 &lt;= 70, "High", $W547 &gt; 70, "Critical")</f>
        <v>Critical</v>
      </c>
      <c r="Y547" s="9">
        <f t="shared" si="46"/>
        <v>0.59461881657080362</v>
      </c>
      <c r="Z547" s="22">
        <f t="shared" si="47"/>
        <v>46.505137644002545</v>
      </c>
    </row>
    <row r="548" spans="1:26">
      <c r="A548" s="24" t="str">
        <v>CUST-1494</v>
      </c>
      <c r="B548" s="24" t="str">
        <v>Occasional Buyer</v>
      </c>
      <c r="C548" s="24" t="str">
        <v>Direct</v>
      </c>
      <c r="D548" s="24" t="str">
        <v>UK</v>
      </c>
      <c r="E548" s="24" t="str">
        <v>25-34</v>
      </c>
      <c r="F548" s="24" t="str">
        <v>Low</v>
      </c>
      <c r="G548" s="24">
        <v>9</v>
      </c>
      <c r="H548" s="24">
        <v>294</v>
      </c>
      <c r="I548" s="23">
        <v>516.98</v>
      </c>
      <c r="J548" s="24" cm="1">
        <f t="array" ref="J548">SUMPRODUCT(
    (Transactions_and_Customer_Information_Joined[Customer ID]='V1-Based Churn Model (Step 3)'!$A548) *
    (IFERROR(_xlfn.XLOOKUP(Transactions_and_Customer_Information_Joined[SKU], 'V1 Pricing Model (Step 2)'!$A$22:$A$71, 'V1 Pricing Model (Step 2)'!$AL$22:$AL$71), "Exclude")&lt;&gt;"Exclude") *
    Transactions_and_Customer_Information_Joined[Gross Revenue])</f>
        <v>53.22</v>
      </c>
      <c r="K548" s="24">
        <f>SUMIF(Transactions_and_Customer_Information_Joined[Customer ID], 'V1-Based Churn Model (Step 3)'!$A548, Transactions_and_Customer_Information_Joined[Gross Revenue])</f>
        <v>53.22</v>
      </c>
      <c r="L548" s="3">
        <f t="shared" si="42"/>
        <v>1</v>
      </c>
      <c r="M548" s="21">
        <v>0.10709640328514787</v>
      </c>
      <c r="N548" s="21" cm="1">
        <f t="array" ref="N548">SUMPRODUCT(
    (Transactions_and_Customer_Information_Joined[Customer ID]=$A548)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48" s="21" cm="1">
        <f t="array" ref="O548">IFERROR(
    SUMPRODUCT(
        (Transactions_and_Customer_Information_Joined[Customer ID]=$A548)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$J548,
0)</f>
        <v>0.10709640328514787</v>
      </c>
      <c r="P548" s="5" cm="1">
        <f t="array" ref="P548">_xlfn.IFS(B548="At-Risk Churner",$B$2,$B548="Dormant",$B$3,$B548="Deal Hunter",$B$4,$B548="New Customer",$B$5,$B548="Occasional Buyer",$B$6,$B548="Loyal High-Value",$B$7)</f>
        <v>25</v>
      </c>
      <c r="Q548" s="9" cm="1">
        <f t="array" ref="Q548">_xlfn.IFS($B548 = "At-Risk Churner", $B$8, $B548="Dormant",$B$9, $B548="Deal Hunter", $B$10, $B548="New Customer", $B$11, $B548="Occasional Buyer", $B$12, $B548 = "Loyal High-Value",$B$13)</f>
        <v>0.18</v>
      </c>
      <c r="R548" s="5">
        <v>-5</v>
      </c>
      <c r="S548" s="5">
        <v>-8</v>
      </c>
      <c r="T548" s="5">
        <v>8</v>
      </c>
      <c r="U548" s="5">
        <f t="shared" si="43"/>
        <v>15</v>
      </c>
      <c r="V548" s="5">
        <f t="shared" si="44"/>
        <v>4.2838561314059147</v>
      </c>
      <c r="W548" s="43">
        <f t="shared" si="45"/>
        <v>38.971356131405912</v>
      </c>
      <c r="X548" s="5" t="str" cm="1">
        <f t="array" ref="X548">_xlfn.IFS($W548 &lt;= 30, "Low", $W548 &lt;=50, "Medium", $W548 &lt;= 70, "High", $W548 &gt; 70, "Critical")</f>
        <v>Medium</v>
      </c>
      <c r="Y548" s="9">
        <f t="shared" si="46"/>
        <v>4.4856644292672859E-2</v>
      </c>
      <c r="Z548" s="22">
        <f t="shared" si="47"/>
        <v>121.94799037314083</v>
      </c>
    </row>
    <row r="549" spans="1:26">
      <c r="A549" s="24" t="str">
        <v>CUST-3163</v>
      </c>
      <c r="B549" s="24" t="str">
        <v>Dormant</v>
      </c>
      <c r="C549" s="24" t="str">
        <v>Paid Social</v>
      </c>
      <c r="D549" s="24" t="str">
        <v>West</v>
      </c>
      <c r="E549" s="24" t="str">
        <v>35-44</v>
      </c>
      <c r="F549" s="24" t="str">
        <v>Medium</v>
      </c>
      <c r="G549" s="24">
        <v>8</v>
      </c>
      <c r="H549" s="24">
        <v>253</v>
      </c>
      <c r="I549" s="23">
        <v>148.31</v>
      </c>
      <c r="J549" s="24" cm="1">
        <f t="array" ref="J549">SUMPRODUCT(
    (Transactions_and_Customer_Information_Joined[Customer ID]='V1-Based Churn Model (Step 3)'!$A549) *
    (IFERROR(_xlfn.XLOOKUP(Transactions_and_Customer_Information_Joined[SKU], 'V1 Pricing Model (Step 2)'!$A$22:$A$71, 'V1 Pricing Model (Step 2)'!$AL$22:$AL$71), "Exclude")&lt;&gt;"Exclude") *
    Transactions_and_Customer_Information_Joined[Gross Revenue])</f>
        <v>375.52</v>
      </c>
      <c r="K549" s="24">
        <f>SUMIF(Transactions_and_Customer_Information_Joined[Customer ID], 'V1-Based Churn Model (Step 3)'!$A549, Transactions_and_Customer_Information_Joined[Gross Revenue])</f>
        <v>375.52</v>
      </c>
      <c r="L549" s="3">
        <f t="shared" si="42"/>
        <v>1</v>
      </c>
      <c r="M549" s="21">
        <v>0.10702390858761081</v>
      </c>
      <c r="N549" s="21" cm="1">
        <f t="array" ref="N549">SUMPRODUCT(
    (Transactions_and_Customer_Information_Joined[Customer ID]=$A549)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49" s="21" cm="1">
        <f t="array" ref="O549">IFERROR(
    SUMPRODUCT(
        (Transactions_and_Customer_Information_Joined[Customer ID]=$A549)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$J549,
0)</f>
        <v>0.10702390858761079</v>
      </c>
      <c r="P549" s="5" cm="1">
        <f t="array" ref="P549">_xlfn.IFS(B549="At-Risk Churner",$B$2,$B549="Dormant",$B$3,$B549="Deal Hunter",$B$4,$B549="New Customer",$B$5,$B549="Occasional Buyer",$B$6,$B549="Loyal High-Value",$B$7)</f>
        <v>65</v>
      </c>
      <c r="Q549" s="9" cm="1">
        <f t="array" ref="Q549">_xlfn.IFS($B549 = "At-Risk Churner", $B$8, $B549="Dormant",$B$9, $B549="Deal Hunter", $B$10, $B549="New Customer", $B$11, $B549="Occasional Buyer", $B$12, $B549 = "Loyal High-Value",$B$13)</f>
        <v>0.6</v>
      </c>
      <c r="R549" s="5">
        <v>5</v>
      </c>
      <c r="S549" s="5">
        <v>-8</v>
      </c>
      <c r="T549" s="5">
        <v>8</v>
      </c>
      <c r="U549" s="5">
        <f t="shared" si="43"/>
        <v>15</v>
      </c>
      <c r="V549" s="5">
        <f t="shared" si="44"/>
        <v>4.2809563435044318</v>
      </c>
      <c r="W549" s="43">
        <f t="shared" si="45"/>
        <v>88.873456343504429</v>
      </c>
      <c r="X549" s="5" t="str" cm="1">
        <f t="array" ref="X549">_xlfn.IFS($W549 &lt;= 30, "Low", $W549 &lt;=50, "Medium", $W549 &lt;= 70, "High", $W549 &gt; 70, "Critical")</f>
        <v>Critical</v>
      </c>
      <c r="Y549" s="9">
        <f t="shared" si="46"/>
        <v>0.58794726477542036</v>
      </c>
      <c r="Z549" s="22">
        <f t="shared" si="47"/>
        <v>87.198458838842598</v>
      </c>
    </row>
    <row r="550" spans="1:26">
      <c r="A550" s="24" t="str">
        <v>CUST-2163</v>
      </c>
      <c r="B550" s="24" t="str">
        <v>Loyal High-Value</v>
      </c>
      <c r="C550" s="24" t="str">
        <v>Referral</v>
      </c>
      <c r="D550" s="24" t="str">
        <v>Southwest</v>
      </c>
      <c r="E550" s="24" t="str">
        <v>45-54</v>
      </c>
      <c r="F550" s="24" t="str">
        <v>High</v>
      </c>
      <c r="G550" s="24">
        <v>2</v>
      </c>
      <c r="H550" s="24">
        <v>16</v>
      </c>
      <c r="I550" s="23">
        <v>2485.4</v>
      </c>
      <c r="J550" s="24" cm="1">
        <f t="array" ref="J550">SUMPRODUCT(
    (Transactions_and_Customer_Information_Joined[Customer ID]='V1-Based Churn Model (Step 3)'!$A550)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550" s="24">
        <f>SUMIF(Transactions_and_Customer_Information_Joined[Customer ID], 'V1-Based Churn Model (Step 3)'!$A550, Transactions_and_Customer_Information_Joined[Gross Revenue])</f>
        <v>196.29000000000002</v>
      </c>
      <c r="L550" s="3">
        <f t="shared" si="42"/>
        <v>0</v>
      </c>
      <c r="M550" s="21">
        <v>0</v>
      </c>
      <c r="N550" s="21" cm="1">
        <f t="array" ref="N550">SUMPRODUCT(
    (Transactions_and_Customer_Information_Joined[Customer ID]=$A550)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550" s="21" cm="1">
        <f t="array" ref="O550">IFERROR(
    SUMPRODUCT(
        (Transactions_and_Customer_Information_Joined[Customer ID]=$A550)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$J550,
0)</f>
        <v>0</v>
      </c>
      <c r="P550" s="5" cm="1">
        <f t="array" ref="P550">_xlfn.IFS(B550="At-Risk Churner",$B$2,$B550="Dormant",$B$3,$B550="Deal Hunter",$B$4,$B550="New Customer",$B$5,$B550="Occasional Buyer",$B$6,$B550="Loyal High-Value",$B$7)</f>
        <v>15</v>
      </c>
      <c r="Q550" s="9" cm="1">
        <f t="array" ref="Q550">_xlfn.IFS($B550 = "At-Risk Churner", $B$8, $B550="Dormant",$B$9, $B550="Deal Hunter", $B$10, $B550="New Customer", $B$11, $B550="Occasional Buyer", $B$12, $B550 = "Loyal High-Value",$B$13)</f>
        <v>0.05</v>
      </c>
      <c r="R550" s="5">
        <v>15</v>
      </c>
      <c r="S550" s="5">
        <v>10</v>
      </c>
      <c r="T550" s="5">
        <v>-5</v>
      </c>
      <c r="U550" s="5">
        <f t="shared" si="43"/>
        <v>0</v>
      </c>
      <c r="V550" s="5">
        <f t="shared" si="44"/>
        <v>0</v>
      </c>
      <c r="W550" s="43">
        <f t="shared" si="45"/>
        <v>35.15</v>
      </c>
      <c r="X550" s="5" t="str" cm="1">
        <f t="array" ref="X550">_xlfn.IFS($W550 &lt;= 30, "Low", $W550 &lt;=50, "Medium", $W550 &lt;= 70, "High", $W550 &gt; 70, "Critical")</f>
        <v>Medium</v>
      </c>
      <c r="Y550" s="9">
        <f t="shared" si="46"/>
        <v>9.2336693198458563E-3</v>
      </c>
      <c r="Z550" s="22">
        <f t="shared" si="47"/>
        <v>515.43948938203596</v>
      </c>
    </row>
    <row r="551" spans="1:26">
      <c r="A551" s="24" t="str">
        <v>CUST-1213</v>
      </c>
      <c r="B551" s="24" t="str">
        <v>At-Risk Churner</v>
      </c>
      <c r="C551" s="24" t="str">
        <v>Organic Search</v>
      </c>
      <c r="D551" s="24" t="str">
        <v>Southeast</v>
      </c>
      <c r="E551" s="24" t="str">
        <v>18-24</v>
      </c>
      <c r="F551" s="24" t="str">
        <v>Low</v>
      </c>
      <c r="G551" s="24">
        <v>4</v>
      </c>
      <c r="H551" s="24">
        <v>110</v>
      </c>
      <c r="I551" s="23">
        <v>390.06</v>
      </c>
      <c r="J551" s="24" cm="1">
        <f t="array" ref="J551">SUMPRODUCT(
    (Transactions_and_Customer_Information_Joined[Customer ID]='V1-Based Churn Model (Step 3)'!$A551) *
    (IFERROR(_xlfn.XLOOKUP(Transactions_and_Customer_Information_Joined[SKU], 'V1 Pricing Model (Step 2)'!$A$22:$A$71, 'V1 Pricing Model (Step 2)'!$AL$22:$AL$71), "Exclude")&lt;&gt;"Exclude") *
    Transactions_and_Customer_Information_Joined[Gross Revenue])</f>
        <v>18.39</v>
      </c>
      <c r="K551" s="24">
        <f>SUMIF(Transactions_and_Customer_Information_Joined[Customer ID], 'V1-Based Churn Model (Step 3)'!$A551, Transactions_and_Customer_Information_Joined[Gross Revenue])</f>
        <v>18.39</v>
      </c>
      <c r="L551" s="3">
        <f t="shared" ref="L551:L590" si="48">IFERROR($J551/$K551, 0)</f>
        <v>1</v>
      </c>
      <c r="M551" s="21">
        <v>0.10525403225213746</v>
      </c>
      <c r="N551" s="21" cm="1">
        <f t="array" ref="N551">SUMPRODUCT(
    (Transactions_and_Customer_Information_Joined[Customer ID]=$A551)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51" s="21" cm="1">
        <f t="array" ref="O551">IFERROR(
    SUMPRODUCT(
        (Transactions_and_Customer_Information_Joined[Customer ID]=$A551)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$J551,
0)</f>
        <v>0.10525403225213746</v>
      </c>
      <c r="P551" s="5" cm="1">
        <f t="array" ref="P551">_xlfn.IFS(B551="At-Risk Churner",$B$2,$B551="Dormant",$B$3,$B551="Deal Hunter",$B$4,$B551="New Customer",$B$5,$B551="Occasional Buyer",$B$6,$B551="Loyal High-Value",$B$7)</f>
        <v>70</v>
      </c>
      <c r="Q551" s="9" cm="1">
        <f t="array" ref="Q551">_xlfn.IFS($B551 = "At-Risk Churner", $B$8, $B551="Dormant",$B$9, $B551="Deal Hunter", $B$10, $B551="New Customer", $B$11, $B551="Occasional Buyer", $B$12, $B551 = "Loyal High-Value",$B$13)</f>
        <v>0.45</v>
      </c>
      <c r="R551" s="5">
        <v>-5</v>
      </c>
      <c r="S551" s="5">
        <v>0</v>
      </c>
      <c r="T551" s="5">
        <v>0</v>
      </c>
      <c r="U551" s="5">
        <f t="shared" si="43"/>
        <v>15</v>
      </c>
      <c r="V551" s="5">
        <f t="shared" si="44"/>
        <v>4.2101612900854981</v>
      </c>
      <c r="W551" s="43">
        <f t="shared" si="45"/>
        <v>84.097661290085497</v>
      </c>
      <c r="X551" s="5" t="str" cm="1">
        <f t="array" ref="X551">_xlfn.IFS($W551 &lt;= 30, "Low", $W551 &lt;=50, "Medium", $W551 &lt;= 70, "High", $W551 &gt; 70, "Critical")</f>
        <v>Critical</v>
      </c>
      <c r="Y551" s="9">
        <f t="shared" si="46"/>
        <v>0.43560376233548243</v>
      </c>
      <c r="Z551" s="22">
        <f t="shared" si="47"/>
        <v>169.91160353657827</v>
      </c>
    </row>
    <row r="552" spans="1:26">
      <c r="A552" s="24" t="str">
        <v>CUST-4447</v>
      </c>
      <c r="B552" s="24" t="str">
        <v>Dormant</v>
      </c>
      <c r="C552" s="24" t="str">
        <v>Email Campaign</v>
      </c>
      <c r="D552" s="24" t="str">
        <v>Canada</v>
      </c>
      <c r="E552" s="24" t="str">
        <v>55+</v>
      </c>
      <c r="F552" s="24" t="str">
        <v>Medium</v>
      </c>
      <c r="G552" s="24">
        <v>7</v>
      </c>
      <c r="H552" s="24">
        <v>360</v>
      </c>
      <c r="I552" s="23">
        <v>124.24</v>
      </c>
      <c r="J552" s="24" cm="1">
        <f t="array" ref="J552">SUMPRODUCT(
    (Transactions_and_Customer_Information_Joined[Customer ID]='V1-Based Churn Model (Step 3)'!$A552) *
    (IFERROR(_xlfn.XLOOKUP(Transactions_and_Customer_Information_Joined[SKU], 'V1 Pricing Model (Step 2)'!$A$22:$A$71, 'V1 Pricing Model (Step 2)'!$AL$22:$AL$71), "Exclude")&lt;&gt;"Exclude") *
    Transactions_and_Customer_Information_Joined[Gross Revenue])</f>
        <v>177.41</v>
      </c>
      <c r="K552" s="24">
        <f>SUMIF(Transactions_and_Customer_Information_Joined[Customer ID], 'V1-Based Churn Model (Step 3)'!$A552, Transactions_and_Customer_Information_Joined[Gross Revenue])</f>
        <v>177.41</v>
      </c>
      <c r="L552" s="3">
        <f t="shared" si="48"/>
        <v>1</v>
      </c>
      <c r="M552" s="21">
        <v>9.4555309750757724E-2</v>
      </c>
      <c r="N552" s="21" cm="1">
        <f t="array" ref="N552">SUMPRODUCT(
    (Transactions_and_Customer_Information_Joined[Customer ID]=$A552)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52" s="21" cm="1">
        <f t="array" ref="O552">IFERROR(
    SUMPRODUCT(
        (Transactions_and_Customer_Information_Joined[Customer ID]=$A552)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$J552,
0)</f>
        <v>9.4555309750757724E-2</v>
      </c>
      <c r="P552" s="5" cm="1">
        <f t="array" ref="P552">_xlfn.IFS(B552="At-Risk Churner",$B$2,$B552="Dormant",$B$3,$B552="Deal Hunter",$B$4,$B552="New Customer",$B$5,$B552="Occasional Buyer",$B$6,$B552="Loyal High-Value",$B$7)</f>
        <v>65</v>
      </c>
      <c r="Q552" s="9" cm="1">
        <f t="array" ref="Q552">_xlfn.IFS($B552 = "At-Risk Churner", $B$8, $B552="Dormant",$B$9, $B552="Deal Hunter", $B$10, $B552="New Customer", $B$11, $B552="Occasional Buyer", $B$12, $B552 = "Loyal High-Value",$B$13)</f>
        <v>0.6</v>
      </c>
      <c r="R552" s="5">
        <v>5</v>
      </c>
      <c r="S552" s="5">
        <v>-8</v>
      </c>
      <c r="T552" s="5">
        <v>15</v>
      </c>
      <c r="U552" s="5">
        <f t="shared" ref="U552:U590" si="49">MIN(
    $L552 * $B$26 * (1 + $B$28 * LN(MAX($N552, 1))),
    $B$27
)</f>
        <v>15</v>
      </c>
      <c r="V552" s="5">
        <f t="shared" ref="V552:V590" si="50">MIN(
    $B$29 * ABS($O552) + $B$30 * ABS($M552),
    $B$31
)</f>
        <v>3.7822123900303088</v>
      </c>
      <c r="W552" s="43">
        <f t="shared" ref="W552:W590" si="51">MIN(MAX(
    $P552 + $R552 + $S552 + $T552 + $U552 + $V552
    + $B$32 * ($R552 * $U552) / 100
    + $B$33 * ($P552 * $S552) / 100,
0), 100)</f>
        <v>95.374712390030311</v>
      </c>
      <c r="X552" s="5" t="str" cm="1">
        <f t="array" ref="X552">_xlfn.IFS($W552 &lt;= 30, "Low", $W552 &lt;=50, "Medium", $W552 &lt;= 70, "High", $W552 &gt; 70, "Critical")</f>
        <v>Critical</v>
      </c>
      <c r="Y552" s="9">
        <f t="shared" ref="Y552:Y590" si="52">$Q552 * (1 / (1 + EXP(-($W552 - 50) / $B$34)))</f>
        <v>0.593647713483198</v>
      </c>
      <c r="Z552" s="22">
        <f t="shared" ref="Z552:Z590" si="53">_xlfn.LET(
    _xlpm.full_churn, $Y552 * $I552,
    _xlpm.partial_rate, IF(OR($X552="Medium", $X552="High"), (1 - $Y552) * 0.5 * $B$35, 0),
    _xlpm.partial_churn, _xlpm.partial_rate * $I552,
    _xlpm.full_churn + _xlpm.partial_churn
)</f>
        <v>73.75479192315251</v>
      </c>
    </row>
    <row r="553" spans="1:26">
      <c r="A553" s="24" t="str">
        <v>CUST-1031</v>
      </c>
      <c r="B553" s="24" t="str">
        <v>Loyal High-Value</v>
      </c>
      <c r="C553" s="24" t="str">
        <v>Paid Social</v>
      </c>
      <c r="D553" s="24" t="str">
        <v>UK</v>
      </c>
      <c r="E553" s="24" t="str">
        <v>18-24</v>
      </c>
      <c r="F553" s="24" t="str">
        <v>Medium</v>
      </c>
      <c r="G553" s="24">
        <v>3</v>
      </c>
      <c r="H553" s="24">
        <v>74</v>
      </c>
      <c r="I553" s="23">
        <v>1082.1400000000001</v>
      </c>
      <c r="J553" s="24" cm="1">
        <f t="array" ref="J553">SUMPRODUCT(
    (Transactions_and_Customer_Information_Joined[Customer ID]='V1-Based Churn Model (Step 3)'!$A553) *
    (IFERROR(_xlfn.XLOOKUP(Transactions_and_Customer_Information_Joined[SKU], 'V1 Pricing Model (Step 2)'!$A$22:$A$71, 'V1 Pricing Model (Step 2)'!$AL$22:$AL$71), "Exclude")&lt;&gt;"Exclude") *
    Transactions_and_Customer_Information_Joined[Gross Revenue])</f>
        <v>575.20000000000005</v>
      </c>
      <c r="K553" s="24">
        <f>SUMIF(Transactions_and_Customer_Information_Joined[Customer ID], 'V1-Based Churn Model (Step 3)'!$A553, Transactions_and_Customer_Information_Joined[Gross Revenue])</f>
        <v>575.20000000000005</v>
      </c>
      <c r="L553" s="3">
        <f t="shared" si="48"/>
        <v>1</v>
      </c>
      <c r="M553" s="21">
        <v>0.22457947495613381</v>
      </c>
      <c r="N553" s="21" cm="1">
        <f t="array" ref="N553">SUMPRODUCT(
    (Transactions_and_Customer_Information_Joined[Customer ID]=$A553)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53" s="21" cm="1">
        <f t="array" ref="O553">IFERROR(
    SUMPRODUCT(
        (Transactions_and_Customer_Information_Joined[Customer ID]=$A553)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$J553,
0)</f>
        <v>0.22457947495613381</v>
      </c>
      <c r="P553" s="5" cm="1">
        <f t="array" ref="P553">_xlfn.IFS(B553="At-Risk Churner",$B$2,$B553="Dormant",$B$3,$B553="Deal Hunter",$B$4,$B553="New Customer",$B$5,$B553="Occasional Buyer",$B$6,$B553="Loyal High-Value",$B$7)</f>
        <v>15</v>
      </c>
      <c r="Q553" s="9" cm="1">
        <f t="array" ref="Q553">_xlfn.IFS($B553 = "At-Risk Churner", $B$8, $B553="Dormant",$B$9, $B553="Deal Hunter", $B$10, $B553="New Customer", $B$11, $B553="Occasional Buyer", $B$12, $B553 = "Loyal High-Value",$B$13)</f>
        <v>0.05</v>
      </c>
      <c r="R553" s="5">
        <v>5</v>
      </c>
      <c r="S553" s="5">
        <v>10</v>
      </c>
      <c r="T553" s="5">
        <v>0</v>
      </c>
      <c r="U553" s="5">
        <f t="shared" si="49"/>
        <v>15</v>
      </c>
      <c r="V553" s="5">
        <f t="shared" si="50"/>
        <v>8.9831789982453518</v>
      </c>
      <c r="W553" s="43">
        <f t="shared" si="51"/>
        <v>54.245678998245346</v>
      </c>
      <c r="X553" s="5" t="str" cm="1">
        <f t="array" ref="X553">_xlfn.IFS($W553 &lt;= 30, "Low", $W553 &lt;=50, "Medium", $W553 &lt;= 70, "High", $W553 &gt; 70, "Critical")</f>
        <v>High</v>
      </c>
      <c r="Y553" s="9">
        <f t="shared" si="52"/>
        <v>3.0228789491414026E-2</v>
      </c>
      <c r="Z553" s="22">
        <f t="shared" si="53"/>
        <v>242.59742580819105</v>
      </c>
    </row>
    <row r="554" spans="1:26">
      <c r="A554" s="24" t="str">
        <v>CUST-2201</v>
      </c>
      <c r="B554" s="24" t="str">
        <v>Occasional Buyer</v>
      </c>
      <c r="C554" s="24" t="str">
        <v>Paid Social</v>
      </c>
      <c r="D554" s="24" t="str">
        <v>West</v>
      </c>
      <c r="E554" s="24" t="str">
        <v>25-34</v>
      </c>
      <c r="F554" s="24" t="str">
        <v>High</v>
      </c>
      <c r="G554" s="24">
        <v>9</v>
      </c>
      <c r="H554" s="24">
        <v>312</v>
      </c>
      <c r="I554" s="23">
        <v>497.52</v>
      </c>
      <c r="J554" s="24" cm="1">
        <f t="array" ref="J554">SUMPRODUCT(
    (Transactions_and_Customer_Information_Joined[Customer ID]='V1-Based Churn Model (Step 3)'!$A554) *
    (IFERROR(_xlfn.XLOOKUP(Transactions_and_Customer_Information_Joined[SKU], 'V1 Pricing Model (Step 2)'!$A$22:$A$71, 'V1 Pricing Model (Step 2)'!$AL$22:$AL$71), "Exclude")&lt;&gt;"Exclude") *
    Transactions_and_Customer_Information_Joined[Gross Revenue])</f>
        <v>53.26</v>
      </c>
      <c r="K554" s="24">
        <f>SUMIF(Transactions_and_Customer_Information_Joined[Customer ID], 'V1-Based Churn Model (Step 3)'!$A554, Transactions_and_Customer_Information_Joined[Gross Revenue])</f>
        <v>53.26</v>
      </c>
      <c r="L554" s="3">
        <f t="shared" si="48"/>
        <v>1</v>
      </c>
      <c r="M554" s="21">
        <v>8.081096121299744E-2</v>
      </c>
      <c r="N554" s="21" cm="1">
        <f t="array" ref="N554">SUMPRODUCT(
    (Transactions_and_Customer_Information_Joined[Customer ID]=$A554)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54" s="21" cm="1">
        <f t="array" ref="O554">IFERROR(
    SUMPRODUCT(
        (Transactions_and_Customer_Information_Joined[Customer ID]=$A554)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$J554,
0)</f>
        <v>8.081096121299744E-2</v>
      </c>
      <c r="P554" s="5" cm="1">
        <f t="array" ref="P554">_xlfn.IFS(B554="At-Risk Churner",$B$2,$B554="Dormant",$B$3,$B554="Deal Hunter",$B$4,$B554="New Customer",$B$5,$B554="Occasional Buyer",$B$6,$B554="Loyal High-Value",$B$7)</f>
        <v>25</v>
      </c>
      <c r="Q554" s="9" cm="1">
        <f t="array" ref="Q554">_xlfn.IFS($B554 = "At-Risk Churner", $B$8, $B554="Dormant",$B$9, $B554="Deal Hunter", $B$10, $B554="New Customer", $B$11, $B554="Occasional Buyer", $B$12, $B554 = "Loyal High-Value",$B$13)</f>
        <v>0.18</v>
      </c>
      <c r="R554" s="5">
        <v>15</v>
      </c>
      <c r="S554" s="5">
        <v>-8</v>
      </c>
      <c r="T554" s="5">
        <v>15</v>
      </c>
      <c r="U554" s="5">
        <f t="shared" si="49"/>
        <v>15</v>
      </c>
      <c r="V554" s="5">
        <f t="shared" si="50"/>
        <v>3.2324384485198978</v>
      </c>
      <c r="W554" s="43">
        <f t="shared" si="51"/>
        <v>65.369938448519903</v>
      </c>
      <c r="X554" s="5" t="str" cm="1">
        <f t="array" ref="X554">_xlfn.IFS($W554 &lt;= 30, "Low", $W554 &lt;=50, "Medium", $W554 &lt;= 70, "High", $W554 &gt; 70, "Critical")</f>
        <v>High</v>
      </c>
      <c r="Y554" s="9">
        <f t="shared" si="52"/>
        <v>0.14814491286715176</v>
      </c>
      <c r="Z554" s="22">
        <f t="shared" si="53"/>
        <v>158.46804563973228</v>
      </c>
    </row>
    <row r="555" spans="1:26">
      <c r="A555" s="24" t="str">
        <v>CUST-4400</v>
      </c>
      <c r="B555" s="24" t="str">
        <v>Dormant</v>
      </c>
      <c r="C555" s="24" t="str">
        <v>Direct</v>
      </c>
      <c r="D555" s="24" t="str">
        <v>West</v>
      </c>
      <c r="E555" s="24" t="str">
        <v>35-44</v>
      </c>
      <c r="F555" s="24" t="str">
        <v>High</v>
      </c>
      <c r="G555" s="24">
        <v>3</v>
      </c>
      <c r="H555" s="24">
        <v>153</v>
      </c>
      <c r="I555" s="23">
        <v>147.6</v>
      </c>
      <c r="J555" s="24" cm="1">
        <f t="array" ref="J555">SUMPRODUCT(
    (Transactions_and_Customer_Information_Joined[Customer ID]='V1-Based Churn Model (Step 3)'!$A555) *
    (IFERROR(_xlfn.XLOOKUP(Transactions_and_Customer_Information_Joined[SKU], 'V1 Pricing Model (Step 2)'!$A$22:$A$71, 'V1 Pricing Model (Step 2)'!$AL$22:$AL$71), "Exclude")&lt;&gt;"Exclude") *
    Transactions_and_Customer_Information_Joined[Gross Revenue])</f>
        <v>53.26</v>
      </c>
      <c r="K555" s="24">
        <f>SUMIF(Transactions_and_Customer_Information_Joined[Customer ID], 'V1-Based Churn Model (Step 3)'!$A555, Transactions_and_Customer_Information_Joined[Gross Revenue])</f>
        <v>53.26</v>
      </c>
      <c r="L555" s="3">
        <f t="shared" si="48"/>
        <v>1</v>
      </c>
      <c r="M555" s="21">
        <v>8.081096121299744E-2</v>
      </c>
      <c r="N555" s="21" cm="1">
        <f t="array" ref="N555">SUMPRODUCT(
    (Transactions_and_Customer_Information_Joined[Customer ID]=$A555)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55" s="21" cm="1">
        <f t="array" ref="O555">IFERROR(
    SUMPRODUCT(
        (Transactions_and_Customer_Information_Joined[Customer ID]=$A555)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$J555,
0)</f>
        <v>8.081096121299744E-2</v>
      </c>
      <c r="P555" s="5" cm="1">
        <f t="array" ref="P555">_xlfn.IFS(B555="At-Risk Churner",$B$2,$B555="Dormant",$B$3,$B555="Deal Hunter",$B$4,$B555="New Customer",$B$5,$B555="Occasional Buyer",$B$6,$B555="Loyal High-Value",$B$7)</f>
        <v>65</v>
      </c>
      <c r="Q555" s="9" cm="1">
        <f t="array" ref="Q555">_xlfn.IFS($B555 = "At-Risk Churner", $B$8, $B555="Dormant",$B$9, $B555="Deal Hunter", $B$10, $B555="New Customer", $B$11, $B555="Occasional Buyer", $B$12, $B555 = "Loyal High-Value",$B$13)</f>
        <v>0.6</v>
      </c>
      <c r="R555" s="5">
        <v>15</v>
      </c>
      <c r="S555" s="5">
        <v>10</v>
      </c>
      <c r="T555" s="5">
        <v>0</v>
      </c>
      <c r="U555" s="5">
        <f t="shared" si="49"/>
        <v>15</v>
      </c>
      <c r="V555" s="5">
        <f t="shared" si="50"/>
        <v>3.2324384485198978</v>
      </c>
      <c r="W555" s="43">
        <f t="shared" si="51"/>
        <v>100</v>
      </c>
      <c r="X555" s="5" t="str" cm="1">
        <f t="array" ref="X555">_xlfn.IFS($W555 &lt;= 30, "Low", $W555 &lt;=50, "Medium", $W555 &lt;= 70, "High", $W555 &gt; 70, "Critical")</f>
        <v>Critical</v>
      </c>
      <c r="Y555" s="9">
        <f t="shared" si="52"/>
        <v>0.59598428944542914</v>
      </c>
      <c r="Z555" s="22">
        <f t="shared" si="53"/>
        <v>87.967281122145337</v>
      </c>
    </row>
    <row r="556" spans="1:26">
      <c r="A556" s="24" t="str">
        <v>CUST-3627</v>
      </c>
      <c r="B556" s="24" t="str">
        <v>At-Risk Churner</v>
      </c>
      <c r="C556" s="24" t="str">
        <v>Organic Search</v>
      </c>
      <c r="D556" s="24" t="str">
        <v>UK</v>
      </c>
      <c r="E556" s="24" t="str">
        <v>45-54</v>
      </c>
      <c r="F556" s="24" t="str">
        <v>High</v>
      </c>
      <c r="G556" s="24">
        <v>5</v>
      </c>
      <c r="H556" s="24">
        <v>237</v>
      </c>
      <c r="I556" s="23">
        <v>223.38</v>
      </c>
      <c r="J556" s="24" cm="1">
        <f t="array" ref="J556">SUMPRODUCT(
    (Transactions_and_Customer_Information_Joined[Customer ID]='V1-Based Churn Model (Step 3)'!$A556) *
    (IFERROR(_xlfn.XLOOKUP(Transactions_and_Customer_Information_Joined[SKU], 'V1 Pricing Model (Step 2)'!$A$22:$A$71, 'V1 Pricing Model (Step 2)'!$AL$22:$AL$71), "Exclude")&lt;&gt;"Exclude") *
    Transactions_and_Customer_Information_Joined[Gross Revenue])</f>
        <v>242.83999999999997</v>
      </c>
      <c r="K556" s="24">
        <f>SUMIF(Transactions_and_Customer_Information_Joined[Customer ID], 'V1-Based Churn Model (Step 3)'!$A556, Transactions_and_Customer_Information_Joined[Gross Revenue])</f>
        <v>242.83999999999997</v>
      </c>
      <c r="L556" s="3">
        <f t="shared" si="48"/>
        <v>1</v>
      </c>
      <c r="M556" s="21">
        <v>0.1130897018443069</v>
      </c>
      <c r="N556" s="21" cm="1">
        <f t="array" ref="N556">SUMPRODUCT(
    (Transactions_and_Customer_Information_Joined[Customer ID]=$A556)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2</v>
      </c>
      <c r="O556" s="21" cm="1">
        <f t="array" ref="O556">IFERROR(
    SUMPRODUCT(
        (Transactions_and_Customer_Information_Joined[Customer ID]=$A556)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$J556,
0)</f>
        <v>7.6222886954033453E-2</v>
      </c>
      <c r="P556" s="5" cm="1">
        <f t="array" ref="P556">_xlfn.IFS(B556="At-Risk Churner",$B$2,$B556="Dormant",$B$3,$B556="Deal Hunter",$B$4,$B556="New Customer",$B$5,$B556="Occasional Buyer",$B$6,$B556="Loyal High-Value",$B$7)</f>
        <v>70</v>
      </c>
      <c r="Q556" s="9" cm="1">
        <f t="array" ref="Q556">_xlfn.IFS($B556 = "At-Risk Churner", $B$8, $B556="Dormant",$B$9, $B556="Deal Hunter", $B$10, $B556="New Customer", $B$11, $B556="Occasional Buyer", $B$12, $B556 = "Loyal High-Value",$B$13)</f>
        <v>0.45</v>
      </c>
      <c r="R556" s="5">
        <v>15</v>
      </c>
      <c r="S556" s="5">
        <v>0</v>
      </c>
      <c r="T556" s="5">
        <v>8</v>
      </c>
      <c r="U556" s="5">
        <f t="shared" si="49"/>
        <v>15</v>
      </c>
      <c r="V556" s="5">
        <f t="shared" si="50"/>
        <v>3.7862517759668073</v>
      </c>
      <c r="W556" s="43">
        <f t="shared" si="51"/>
        <v>100</v>
      </c>
      <c r="X556" s="5" t="str" cm="1">
        <f t="array" ref="X556">_xlfn.IFS($W556 &lt;= 30, "Low", $W556 &lt;=50, "Medium", $W556 &lt;= 70, "High", $W556 &gt; 70, "Critical")</f>
        <v>Critical</v>
      </c>
      <c r="Y556" s="9">
        <f t="shared" si="52"/>
        <v>0.44698821708407188</v>
      </c>
      <c r="Z556" s="22">
        <f t="shared" si="53"/>
        <v>99.848227932239979</v>
      </c>
    </row>
    <row r="557" spans="1:26">
      <c r="A557" s="24" t="str">
        <v>CUST-1667</v>
      </c>
      <c r="B557" s="24" t="str">
        <v>Occasional Buyer</v>
      </c>
      <c r="C557" s="24" t="str">
        <v>Paid Social</v>
      </c>
      <c r="D557" s="24" t="str">
        <v>Midwest</v>
      </c>
      <c r="E557" s="24" t="str">
        <v>25-34</v>
      </c>
      <c r="F557" s="24" t="str">
        <v>Medium</v>
      </c>
      <c r="G557" s="24">
        <v>10</v>
      </c>
      <c r="H557" s="24">
        <v>76</v>
      </c>
      <c r="I557" s="23">
        <v>460.5</v>
      </c>
      <c r="J557" s="24" cm="1">
        <f t="array" ref="J557">SUMPRODUCT(
    (Transactions_and_Customer_Information_Joined[Customer ID]='V1-Based Churn Model (Step 3)'!$A557) *
    (IFERROR(_xlfn.XLOOKUP(Transactions_and_Customer_Information_Joined[SKU], 'V1 Pricing Model (Step 2)'!$A$22:$A$71, 'V1 Pricing Model (Step 2)'!$AL$22:$AL$71), "Exclude")&lt;&gt;"Exclude") *
    Transactions_and_Customer_Information_Joined[Gross Revenue])</f>
        <v>103.56</v>
      </c>
      <c r="K557" s="24">
        <f>SUMIF(Transactions_and_Customer_Information_Joined[Customer ID], 'V1-Based Churn Model (Step 3)'!$A557, Transactions_and_Customer_Information_Joined[Gross Revenue])</f>
        <v>103.56</v>
      </c>
      <c r="L557" s="3">
        <f t="shared" si="48"/>
        <v>1</v>
      </c>
      <c r="M557" s="21">
        <v>1.0827913756041518E-3</v>
      </c>
      <c r="N557" s="21" cm="1">
        <f t="array" ref="N557">SUMPRODUCT(
    (Transactions_and_Customer_Information_Joined[Customer ID]=$A557)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57" s="21" cm="1">
        <f t="array" ref="O557">IFERROR(
    SUMPRODUCT(
        (Transactions_and_Customer_Information_Joined[Customer ID]=$A557)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$J557,
0)</f>
        <v>1.0827913756041518E-3</v>
      </c>
      <c r="P557" s="5" cm="1">
        <f t="array" ref="P557">_xlfn.IFS(B557="At-Risk Churner",$B$2,$B557="Dormant",$B$3,$B557="Deal Hunter",$B$4,$B557="New Customer",$B$5,$B557="Occasional Buyer",$B$6,$B557="Loyal High-Value",$B$7)</f>
        <v>25</v>
      </c>
      <c r="Q557" s="9" cm="1">
        <f t="array" ref="Q557">_xlfn.IFS($B557 = "At-Risk Churner", $B$8, $B557="Dormant",$B$9, $B557="Deal Hunter", $B$10, $B557="New Customer", $B$11, $B557="Occasional Buyer", $B$12, $B557 = "Loyal High-Value",$B$13)</f>
        <v>0.18</v>
      </c>
      <c r="R557" s="5">
        <v>5</v>
      </c>
      <c r="S557" s="5">
        <v>-8</v>
      </c>
      <c r="T557" s="5">
        <v>0</v>
      </c>
      <c r="U557" s="5">
        <f t="shared" si="49"/>
        <v>15</v>
      </c>
      <c r="V557" s="5">
        <f t="shared" si="50"/>
        <v>4.3311655024166069E-2</v>
      </c>
      <c r="W557" s="43">
        <f t="shared" si="51"/>
        <v>36.955811655024164</v>
      </c>
      <c r="X557" s="5" t="str" cm="1">
        <f t="array" ref="X557">_xlfn.IFS($W557 &lt;= 30, "Low", $W557 &lt;=50, "Medium", $W557 &lt;= 70, "High", $W557 &gt; 70, "Critical")</f>
        <v>Medium</v>
      </c>
      <c r="Y557" s="9">
        <f t="shared" si="52"/>
        <v>3.8416009263029946E-2</v>
      </c>
      <c r="Z557" s="22">
        <f t="shared" si="53"/>
        <v>106.25245781250024</v>
      </c>
    </row>
    <row r="558" spans="1:26">
      <c r="A558" s="24" t="str">
        <v>CUST-4795</v>
      </c>
      <c r="B558" s="24" t="str">
        <v>Loyal High-Value</v>
      </c>
      <c r="C558" s="24" t="str">
        <v>Paid Social</v>
      </c>
      <c r="D558" s="24" t="str">
        <v>Northeast</v>
      </c>
      <c r="E558" s="24" t="str">
        <v>45-54</v>
      </c>
      <c r="F558" s="24" t="str">
        <v>High</v>
      </c>
      <c r="G558" s="24">
        <v>5</v>
      </c>
      <c r="H558" s="24">
        <v>260</v>
      </c>
      <c r="I558" s="23">
        <v>1962.99</v>
      </c>
      <c r="J558" s="24" cm="1">
        <f t="array" ref="J558">SUMPRODUCT(
    (Transactions_and_Customer_Information_Joined[Customer ID]='V1-Based Churn Model (Step 3)'!$A558) *
    (IFERROR(_xlfn.XLOOKUP(Transactions_and_Customer_Information_Joined[SKU], 'V1 Pricing Model (Step 2)'!$A$22:$A$71, 'V1 Pricing Model (Step 2)'!$AL$22:$AL$71), "Exclude")&lt;&gt;"Exclude") *
    Transactions_and_Customer_Information_Joined[Gross Revenue])</f>
        <v>197.52</v>
      </c>
      <c r="K558" s="24">
        <f>SUMIF(Transactions_and_Customer_Information_Joined[Customer ID], 'V1-Based Churn Model (Step 3)'!$A558, Transactions_and_Customer_Information_Joined[Gross Revenue])</f>
        <v>197.52</v>
      </c>
      <c r="L558" s="3">
        <f t="shared" si="48"/>
        <v>1</v>
      </c>
      <c r="M558" s="21">
        <v>5.4598129129915428E-2</v>
      </c>
      <c r="N558" s="21" cm="1">
        <f t="array" ref="N558">SUMPRODUCT(
    (Transactions_and_Customer_Information_Joined[Customer ID]=$A558)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58" s="21" cm="1">
        <f t="array" ref="O558">IFERROR(
    SUMPRODUCT(
        (Transactions_and_Customer_Information_Joined[Customer ID]=$A558)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$J558,
0)</f>
        <v>5.4598129129915428E-2</v>
      </c>
      <c r="P558" s="5" cm="1">
        <f t="array" ref="P558">_xlfn.IFS(B558="At-Risk Churner",$B$2,$B558="Dormant",$B$3,$B558="Deal Hunter",$B$4,$B558="New Customer",$B$5,$B558="Occasional Buyer",$B$6,$B558="Loyal High-Value",$B$7)</f>
        <v>15</v>
      </c>
      <c r="Q558" s="9" cm="1">
        <f t="array" ref="Q558">_xlfn.IFS($B558 = "At-Risk Churner", $B$8, $B558="Dormant",$B$9, $B558="Deal Hunter", $B$10, $B558="New Customer", $B$11, $B558="Occasional Buyer", $B$12, $B558 = "Loyal High-Value",$B$13)</f>
        <v>0.05</v>
      </c>
      <c r="R558" s="5">
        <v>15</v>
      </c>
      <c r="S558" s="5">
        <v>0</v>
      </c>
      <c r="T558" s="5">
        <v>8</v>
      </c>
      <c r="U558" s="5">
        <f t="shared" si="49"/>
        <v>15</v>
      </c>
      <c r="V558" s="5">
        <f t="shared" si="50"/>
        <v>2.1839251651966172</v>
      </c>
      <c r="W558" s="43">
        <f t="shared" si="51"/>
        <v>55.521425165196618</v>
      </c>
      <c r="X558" s="5" t="str" cm="1">
        <f t="array" ref="X558">_xlfn.IFS($W558 &lt;= 30, "Low", $W558 &lt;=50, "Medium", $W558 &lt;= 70, "High", $W558 &gt; 70, "Critical")</f>
        <v>High</v>
      </c>
      <c r="Y558" s="9">
        <f t="shared" si="52"/>
        <v>3.1731626410767613E-2</v>
      </c>
      <c r="Z558" s="22">
        <f t="shared" si="53"/>
        <v>442.4290922624582</v>
      </c>
    </row>
    <row r="559" spans="1:26">
      <c r="A559" s="24" t="str">
        <v>CUST-1408</v>
      </c>
      <c r="B559" s="24" t="str">
        <v>Loyal High-Value</v>
      </c>
      <c r="C559" s="24" t="str">
        <v>Organic Search</v>
      </c>
      <c r="D559" s="24" t="str">
        <v>Southeast</v>
      </c>
      <c r="E559" s="24" t="str">
        <v>45-54</v>
      </c>
      <c r="F559" s="24" t="str">
        <v>High</v>
      </c>
      <c r="G559" s="24">
        <v>10</v>
      </c>
      <c r="H559" s="24">
        <v>232</v>
      </c>
      <c r="I559" s="23">
        <v>2501.5</v>
      </c>
      <c r="J559" s="24" cm="1">
        <f t="array" ref="J559">SUMPRODUCT(
    (Transactions_and_Customer_Information_Joined[Customer ID]='V1-Based Churn Model (Step 3)'!$A559) *
    (IFERROR(_xlfn.XLOOKUP(Transactions_and_Customer_Information_Joined[SKU], 'V1 Pricing Model (Step 2)'!$A$22:$A$71, 'V1 Pricing Model (Step 2)'!$AL$22:$AL$71), "Exclude")&lt;&gt;"Exclude") *
    Transactions_and_Customer_Information_Joined[Gross Revenue])</f>
        <v>310.68</v>
      </c>
      <c r="K559" s="24">
        <f>SUMIF(Transactions_and_Customer_Information_Joined[Customer ID], 'V1-Based Churn Model (Step 3)'!$A559, Transactions_and_Customer_Information_Joined[Gross Revenue])</f>
        <v>310.68</v>
      </c>
      <c r="L559" s="3">
        <f t="shared" si="48"/>
        <v>1</v>
      </c>
      <c r="M559" s="21">
        <v>1.0827913756041518E-3</v>
      </c>
      <c r="N559" s="21" cm="1">
        <f t="array" ref="N559">SUMPRODUCT(
    (Transactions_and_Customer_Information_Joined[Customer ID]=$A559)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59" s="21" cm="1">
        <f t="array" ref="O559">IFERROR(
    SUMPRODUCT(
        (Transactions_and_Customer_Information_Joined[Customer ID]=$A559)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$J559,
0)</f>
        <v>1.0827913756041518E-3</v>
      </c>
      <c r="P559" s="5" cm="1">
        <f t="array" ref="P559">_xlfn.IFS(B559="At-Risk Churner",$B$2,$B559="Dormant",$B$3,$B559="Deal Hunter",$B$4,$B559="New Customer",$B$5,$B559="Occasional Buyer",$B$6,$B559="Loyal High-Value",$B$7)</f>
        <v>15</v>
      </c>
      <c r="Q559" s="9" cm="1">
        <f t="array" ref="Q559">_xlfn.IFS($B559 = "At-Risk Churner", $B$8, $B559="Dormant",$B$9, $B559="Deal Hunter", $B$10, $B559="New Customer", $B$11, $B559="Occasional Buyer", $B$12, $B559 = "Loyal High-Value",$B$13)</f>
        <v>0.05</v>
      </c>
      <c r="R559" s="5">
        <v>15</v>
      </c>
      <c r="S559" s="5">
        <v>-8</v>
      </c>
      <c r="T559" s="5">
        <v>8</v>
      </c>
      <c r="U559" s="5">
        <f t="shared" si="49"/>
        <v>15</v>
      </c>
      <c r="V559" s="5">
        <f t="shared" si="50"/>
        <v>4.3311655024166069E-2</v>
      </c>
      <c r="W559" s="43">
        <f t="shared" si="51"/>
        <v>45.26081165502417</v>
      </c>
      <c r="X559" s="5" t="str" cm="1">
        <f t="array" ref="X559">_xlfn.IFS($W559 &lt;= 30, "Low", $W559 &lt;=50, "Medium", $W559 &lt;= 70, "High", $W559 &gt; 70, "Critical")</f>
        <v>Medium</v>
      </c>
      <c r="Y559" s="9">
        <f t="shared" si="52"/>
        <v>1.918445642198419E-2</v>
      </c>
      <c r="Z559" s="22">
        <f t="shared" si="53"/>
        <v>538.6919341916747</v>
      </c>
    </row>
    <row r="560" spans="1:26">
      <c r="A560" s="24" t="str">
        <v>CUST-3743</v>
      </c>
      <c r="B560" s="24" t="str">
        <v>Dormant</v>
      </c>
      <c r="C560" s="24" t="str">
        <v>Direct</v>
      </c>
      <c r="D560" s="24" t="str">
        <v>Southwest</v>
      </c>
      <c r="E560" s="24" t="str">
        <v>55+</v>
      </c>
      <c r="F560" s="24" t="str">
        <v>Medium</v>
      </c>
      <c r="G560" s="24">
        <v>2</v>
      </c>
      <c r="H560" s="24">
        <v>162</v>
      </c>
      <c r="I560" s="23">
        <v>108.78</v>
      </c>
      <c r="J560" s="24" cm="1">
        <f t="array" ref="J560">SUMPRODUCT(
    (Transactions_and_Customer_Information_Joined[Customer ID]='V1-Based Churn Model (Step 3)'!$A560)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560" s="24">
        <f>SUMIF(Transactions_and_Customer_Information_Joined[Customer ID], 'V1-Based Churn Model (Step 3)'!$A560, Transactions_and_Customer_Information_Joined[Gross Revenue])</f>
        <v>151.38</v>
      </c>
      <c r="L560" s="3">
        <f t="shared" si="48"/>
        <v>0</v>
      </c>
      <c r="M560" s="21">
        <v>0</v>
      </c>
      <c r="N560" s="21" cm="1">
        <f t="array" ref="N560">SUMPRODUCT(
    (Transactions_and_Customer_Information_Joined[Customer ID]=$A560)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560" s="21" cm="1">
        <f t="array" ref="O560">IFERROR(
    SUMPRODUCT(
        (Transactions_and_Customer_Information_Joined[Customer ID]=$A560)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$J560,
0)</f>
        <v>0</v>
      </c>
      <c r="P560" s="5" cm="1">
        <f t="array" ref="P560">_xlfn.IFS(B560="At-Risk Churner",$B$2,$B560="Dormant",$B$3,$B560="Deal Hunter",$B$4,$B560="New Customer",$B$5,$B560="Occasional Buyer",$B$6,$B560="Loyal High-Value",$B$7)</f>
        <v>65</v>
      </c>
      <c r="Q560" s="9" cm="1">
        <f t="array" ref="Q560">_xlfn.IFS($B560 = "At-Risk Churner", $B$8, $B560="Dormant",$B$9, $B560="Deal Hunter", $B$10, $B560="New Customer", $B$11, $B560="Occasional Buyer", $B$12, $B560 = "Loyal High-Value",$B$13)</f>
        <v>0.6</v>
      </c>
      <c r="R560" s="5">
        <v>5</v>
      </c>
      <c r="S560" s="5">
        <v>10</v>
      </c>
      <c r="T560" s="5">
        <v>0</v>
      </c>
      <c r="U560" s="5">
        <f t="shared" si="49"/>
        <v>0</v>
      </c>
      <c r="V560" s="5">
        <f t="shared" si="50"/>
        <v>0</v>
      </c>
      <c r="W560" s="43">
        <f t="shared" si="51"/>
        <v>80.650000000000006</v>
      </c>
      <c r="X560" s="5" t="str" cm="1">
        <f t="array" ref="X560">_xlfn.IFS($W560 &lt;= 30, "Low", $W560 &lt;=50, "Medium", $W560 &lt;= 70, "High", $W560 &gt; 70, "Critical")</f>
        <v>Critical</v>
      </c>
      <c r="Y560" s="9">
        <f t="shared" si="52"/>
        <v>0.5732554317396682</v>
      </c>
      <c r="Z560" s="22">
        <f t="shared" si="53"/>
        <v>62.358725864641109</v>
      </c>
    </row>
    <row r="561" spans="1:26">
      <c r="A561" s="24" t="str">
        <v>CUST-4990</v>
      </c>
      <c r="B561" s="24" t="str">
        <v>Dormant</v>
      </c>
      <c r="C561" s="24" t="str">
        <v>Email Campaign</v>
      </c>
      <c r="D561" s="24" t="str">
        <v>UK</v>
      </c>
      <c r="E561" s="24" t="str">
        <v>35-44</v>
      </c>
      <c r="F561" s="24" t="str">
        <v>Medium</v>
      </c>
      <c r="G561" s="24">
        <v>9</v>
      </c>
      <c r="H561" s="24">
        <v>7</v>
      </c>
      <c r="I561" s="23">
        <v>95.03</v>
      </c>
      <c r="J561" s="24" cm="1">
        <f t="array" ref="J561">SUMPRODUCT(
    (Transactions_and_Customer_Information_Joined[Customer ID]='V1-Based Churn Model (Step 3)'!$A561) *
    (IFERROR(_xlfn.XLOOKUP(Transactions_and_Customer_Information_Joined[SKU], 'V1 Pricing Model (Step 2)'!$A$22:$A$71, 'V1 Pricing Model (Step 2)'!$AL$22:$AL$71), "Exclude")&lt;&gt;"Exclude") *
    Transactions_and_Customer_Information_Joined[Gross Revenue])</f>
        <v>153.06</v>
      </c>
      <c r="K561" s="24">
        <f>SUMIF(Transactions_and_Customer_Information_Joined[Customer ID], 'V1-Based Churn Model (Step 3)'!$A561, Transactions_and_Customer_Information_Joined[Gross Revenue])</f>
        <v>153.06</v>
      </c>
      <c r="L561" s="3">
        <f t="shared" si="48"/>
        <v>1</v>
      </c>
      <c r="M561" s="21">
        <v>5.3264377873214752E-2</v>
      </c>
      <c r="N561" s="21" cm="1">
        <f t="array" ref="N561">SUMPRODUCT(
    (Transactions_and_Customer_Information_Joined[Customer ID]=$A561)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61" s="21" cm="1">
        <f t="array" ref="O561">IFERROR(
    SUMPRODUCT(
        (Transactions_and_Customer_Information_Joined[Customer ID]=$A561)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$J561,
0)</f>
        <v>5.3264377873214752E-2</v>
      </c>
      <c r="P561" s="5" cm="1">
        <f t="array" ref="P561">_xlfn.IFS(B561="At-Risk Churner",$B$2,$B561="Dormant",$B$3,$B561="Deal Hunter",$B$4,$B561="New Customer",$B$5,$B561="Occasional Buyer",$B$6,$B561="Loyal High-Value",$B$7)</f>
        <v>65</v>
      </c>
      <c r="Q561" s="9" cm="1">
        <f t="array" ref="Q561">_xlfn.IFS($B561 = "At-Risk Churner", $B$8, $B561="Dormant",$B$9, $B561="Deal Hunter", $B$10, $B561="New Customer", $B$11, $B561="Occasional Buyer", $B$12, $B561 = "Loyal High-Value",$B$13)</f>
        <v>0.6</v>
      </c>
      <c r="R561" s="5">
        <v>5</v>
      </c>
      <c r="S561" s="5">
        <v>-8</v>
      </c>
      <c r="T561" s="5">
        <v>-5</v>
      </c>
      <c r="U561" s="5">
        <f t="shared" si="49"/>
        <v>15</v>
      </c>
      <c r="V561" s="5">
        <f t="shared" si="50"/>
        <v>2.1305751149285901</v>
      </c>
      <c r="W561" s="43">
        <f t="shared" si="51"/>
        <v>73.723075114928591</v>
      </c>
      <c r="X561" s="5" t="str" cm="1">
        <f t="array" ref="X561">_xlfn.IFS($W561 &lt;= 30, "Low", $W561 &lt;=50, "Medium", $W561 &lt;= 70, "High", $W561 &gt; 70, "Critical")</f>
        <v>Critical</v>
      </c>
      <c r="Y561" s="9">
        <f t="shared" si="52"/>
        <v>0.54881465464068802</v>
      </c>
      <c r="Z561" s="22">
        <f t="shared" si="53"/>
        <v>52.153856630504585</v>
      </c>
    </row>
    <row r="562" spans="1:26">
      <c r="A562" s="24" t="str">
        <v>CUST-1525</v>
      </c>
      <c r="B562" s="24" t="str">
        <v>Deal Hunter</v>
      </c>
      <c r="C562" s="24" t="str">
        <v>Organic Search</v>
      </c>
      <c r="D562" s="24" t="str">
        <v>Midwest</v>
      </c>
      <c r="E562" s="24" t="str">
        <v>25-34</v>
      </c>
      <c r="F562" s="24" t="str">
        <v>High</v>
      </c>
      <c r="G562" s="24">
        <v>10</v>
      </c>
      <c r="H562" s="24">
        <v>137</v>
      </c>
      <c r="I562" s="23">
        <v>276.19</v>
      </c>
      <c r="J562" s="24" cm="1">
        <f t="array" ref="J562">SUMPRODUCT(
    (Transactions_and_Customer_Information_Joined[Customer ID]='V1-Based Churn Model (Step 3)'!$A562)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562" s="24">
        <f>SUMIF(Transactions_and_Customer_Information_Joined[Customer ID], 'V1-Based Churn Model (Step 3)'!$A562, Transactions_and_Customer_Information_Joined[Gross Revenue])</f>
        <v>154.03</v>
      </c>
      <c r="L562" s="3">
        <f t="shared" si="48"/>
        <v>0</v>
      </c>
      <c r="M562" s="21">
        <v>0</v>
      </c>
      <c r="N562" s="21" cm="1">
        <f t="array" ref="N562">SUMPRODUCT(
    (Transactions_and_Customer_Information_Joined[Customer ID]=$A562)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562" s="21" cm="1">
        <f t="array" ref="O562">IFERROR(
    SUMPRODUCT(
        (Transactions_and_Customer_Information_Joined[Customer ID]=$A562)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$J562,
0)</f>
        <v>0</v>
      </c>
      <c r="P562" s="5" cm="1">
        <f t="array" ref="P562">_xlfn.IFS(B562="At-Risk Churner",$B$2,$B562="Dormant",$B$3,$B562="Deal Hunter",$B$4,$B562="New Customer",$B$5,$B562="Occasional Buyer",$B$6,$B562="Loyal High-Value",$B$7)</f>
        <v>45</v>
      </c>
      <c r="Q562" s="9" cm="1">
        <f t="array" ref="Q562">_xlfn.IFS($B562 = "At-Risk Churner", $B$8, $B562="Dormant",$B$9, $B562="Deal Hunter", $B$10, $B562="New Customer", $B$11, $B562="Occasional Buyer", $B$12, $B562 = "Loyal High-Value",$B$13)</f>
        <v>0.25</v>
      </c>
      <c r="R562" s="5">
        <v>15</v>
      </c>
      <c r="S562" s="5">
        <v>-8</v>
      </c>
      <c r="T562" s="5">
        <v>0</v>
      </c>
      <c r="U562" s="5">
        <f t="shared" si="49"/>
        <v>0</v>
      </c>
      <c r="V562" s="5">
        <f t="shared" si="50"/>
        <v>0</v>
      </c>
      <c r="W562" s="43">
        <f t="shared" si="51"/>
        <v>51.64</v>
      </c>
      <c r="X562" s="5" t="str" cm="1">
        <f t="array" ref="X562">_xlfn.IFS($W562 &lt;= 30, "Low", $W562 &lt;=50, "Medium", $W562 &lt;= 70, "High", $W562 &gt; 70, "Critical")</f>
        <v>High</v>
      </c>
      <c r="Y562" s="9">
        <f t="shared" si="52"/>
        <v>0.1352270879555954</v>
      </c>
      <c r="Z562" s="22">
        <f t="shared" si="53"/>
        <v>85.116695537964716</v>
      </c>
    </row>
    <row r="563" spans="1:26">
      <c r="A563" s="24" t="str">
        <v>CUST-3978</v>
      </c>
      <c r="B563" s="24" t="str">
        <v>At-Risk Churner</v>
      </c>
      <c r="C563" s="24" t="str">
        <v>Direct</v>
      </c>
      <c r="D563" s="24" t="str">
        <v>West</v>
      </c>
      <c r="E563" s="24" t="str">
        <v>55+</v>
      </c>
      <c r="F563" s="24" t="str">
        <v>Low</v>
      </c>
      <c r="G563" s="24">
        <v>4</v>
      </c>
      <c r="H563" s="24">
        <v>217</v>
      </c>
      <c r="I563" s="23">
        <v>258.83</v>
      </c>
      <c r="J563" s="24" cm="1">
        <f t="array" ref="J563">SUMPRODUCT(
    (Transactions_and_Customer_Information_Joined[Customer ID]='V1-Based Churn Model (Step 3)'!$A563) *
    (IFERROR(_xlfn.XLOOKUP(Transactions_and_Customer_Information_Joined[SKU], 'V1 Pricing Model (Step 2)'!$A$22:$A$71, 'V1 Pricing Model (Step 2)'!$AL$22:$AL$71), "Exclude")&lt;&gt;"Exclude") *
    Transactions_and_Customer_Information_Joined[Gross Revenue])</f>
        <v>348.46</v>
      </c>
      <c r="K563" s="24">
        <f>SUMIF(Transactions_and_Customer_Information_Joined[Customer ID], 'V1-Based Churn Model (Step 3)'!$A563, Transactions_and_Customer_Information_Joined[Gross Revenue])</f>
        <v>348.46</v>
      </c>
      <c r="L563" s="3">
        <f t="shared" si="48"/>
        <v>1</v>
      </c>
      <c r="M563" s="21">
        <v>5.8348079685156623E-2</v>
      </c>
      <c r="N563" s="21" cm="1">
        <f t="array" ref="N563">SUMPRODUCT(
    (Transactions_and_Customer_Information_Joined[Customer ID]=$A563)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63" s="21" cm="1">
        <f t="array" ref="O563">IFERROR(
    SUMPRODUCT(
        (Transactions_and_Customer_Information_Joined[Customer ID]=$A563)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$J563,
0)</f>
        <v>5.8348079685156623E-2</v>
      </c>
      <c r="P563" s="5" cm="1">
        <f t="array" ref="P563">_xlfn.IFS(B563="At-Risk Churner",$B$2,$B563="Dormant",$B$3,$B563="Deal Hunter",$B$4,$B563="New Customer",$B$5,$B563="Occasional Buyer",$B$6,$B563="Loyal High-Value",$B$7)</f>
        <v>70</v>
      </c>
      <c r="Q563" s="9" cm="1">
        <f t="array" ref="Q563">_xlfn.IFS($B563 = "At-Risk Churner", $B$8, $B563="Dormant",$B$9, $B563="Deal Hunter", $B$10, $B563="New Customer", $B$11, $B563="Occasional Buyer", $B$12, $B563 = "Loyal High-Value",$B$13)</f>
        <v>0.45</v>
      </c>
      <c r="R563" s="5">
        <v>-5</v>
      </c>
      <c r="S563" s="5">
        <v>0</v>
      </c>
      <c r="T563" s="5">
        <v>8</v>
      </c>
      <c r="U563" s="5">
        <f t="shared" si="49"/>
        <v>15</v>
      </c>
      <c r="V563" s="5">
        <f t="shared" si="50"/>
        <v>2.3339231874062651</v>
      </c>
      <c r="W563" s="43">
        <f t="shared" si="51"/>
        <v>90.221423187406273</v>
      </c>
      <c r="X563" s="5" t="str" cm="1">
        <f t="array" ref="X563">_xlfn.IFS($W563 &lt;= 30, "Low", $W563 &lt;=50, "Medium", $W563 &lt;= 70, "High", $W563 &gt; 70, "Critical")</f>
        <v>Critical</v>
      </c>
      <c r="Y563" s="9">
        <f t="shared" si="52"/>
        <v>0.44208033194029633</v>
      </c>
      <c r="Z563" s="22">
        <f t="shared" si="53"/>
        <v>114.4236523161069</v>
      </c>
    </row>
    <row r="564" spans="1:26">
      <c r="A564" s="24" t="str">
        <v>CUST-3284</v>
      </c>
      <c r="B564" s="24" t="str">
        <v>Occasional Buyer</v>
      </c>
      <c r="C564" s="24" t="str">
        <v>Email Campaign</v>
      </c>
      <c r="D564" s="24" t="str">
        <v>Canada</v>
      </c>
      <c r="E564" s="24" t="str">
        <v>55+</v>
      </c>
      <c r="F564" s="24" t="str">
        <v>Medium</v>
      </c>
      <c r="G564" s="24">
        <v>4</v>
      </c>
      <c r="H564" s="24">
        <v>158</v>
      </c>
      <c r="I564" s="23">
        <v>290.07</v>
      </c>
      <c r="J564" s="24" cm="1">
        <f t="array" ref="J564">SUMPRODUCT(
    (Transactions_and_Customer_Information_Joined[Customer ID]='V1-Based Churn Model (Step 3)'!$A564) *
    (IFERROR(_xlfn.XLOOKUP(Transactions_and_Customer_Information_Joined[SKU], 'V1 Pricing Model (Step 2)'!$A$22:$A$71, 'V1 Pricing Model (Step 2)'!$AL$22:$AL$71), "Exclude")&lt;&gt;"Exclude") *
    Transactions_and_Customer_Information_Joined[Gross Revenue])</f>
        <v>779.48</v>
      </c>
      <c r="K564" s="24">
        <f>SUMIF(Transactions_and_Customer_Information_Joined[Customer ID], 'V1-Based Churn Model (Step 3)'!$A564, Transactions_and_Customer_Information_Joined[Gross Revenue])</f>
        <v>779.48</v>
      </c>
      <c r="L564" s="3">
        <f t="shared" si="48"/>
        <v>1</v>
      </c>
      <c r="M564" s="21">
        <v>0.14790650353694867</v>
      </c>
      <c r="N564" s="21" cm="1">
        <f t="array" ref="N564">SUMPRODUCT(
    (Transactions_and_Customer_Information_Joined[Customer ID]=$A564)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64" s="21" cm="1">
        <f t="array" ref="O564">IFERROR(
    SUMPRODUCT(
        (Transactions_and_Customer_Information_Joined[Customer ID]=$A564)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$J564,
0)</f>
        <v>0.14790650353694867</v>
      </c>
      <c r="P564" s="5" cm="1">
        <f t="array" ref="P564">_xlfn.IFS(B564="At-Risk Churner",$B$2,$B564="Dormant",$B$3,$B564="Deal Hunter",$B$4,$B564="New Customer",$B$5,$B564="Occasional Buyer",$B$6,$B564="Loyal High-Value",$B$7)</f>
        <v>25</v>
      </c>
      <c r="Q564" s="9" cm="1">
        <f t="array" ref="Q564">_xlfn.IFS($B564 = "At-Risk Churner", $B$8, $B564="Dormant",$B$9, $B564="Deal Hunter", $B$10, $B564="New Customer", $B$11, $B564="Occasional Buyer", $B$12, $B564 = "Loyal High-Value",$B$13)</f>
        <v>0.18</v>
      </c>
      <c r="R564" s="5">
        <v>5</v>
      </c>
      <c r="S564" s="5">
        <v>0</v>
      </c>
      <c r="T564" s="5">
        <v>0</v>
      </c>
      <c r="U564" s="5">
        <f t="shared" si="49"/>
        <v>15</v>
      </c>
      <c r="V564" s="5">
        <f t="shared" si="50"/>
        <v>5.916260141477947</v>
      </c>
      <c r="W564" s="43">
        <f t="shared" si="51"/>
        <v>51.028760141477946</v>
      </c>
      <c r="X564" s="5" t="str" cm="1">
        <f t="array" ref="X564">_xlfn.IFS($W564 &lt;= 30, "Low", $W564 &lt;=50, "Medium", $W564 &lt;= 70, "High", $W564 &gt; 70, "Critical")</f>
        <v>High</v>
      </c>
      <c r="Y564" s="9">
        <f t="shared" si="52"/>
        <v>9.4625342007014265E-2</v>
      </c>
      <c r="Z564" s="22">
        <f t="shared" si="53"/>
        <v>79.972378364779701</v>
      </c>
    </row>
    <row r="565" spans="1:26">
      <c r="A565" s="24" t="str">
        <v>CUST-2755</v>
      </c>
      <c r="B565" s="24" t="str">
        <v>New Customer</v>
      </c>
      <c r="C565" s="24" t="str">
        <v>Referral</v>
      </c>
      <c r="D565" s="24" t="str">
        <v>West</v>
      </c>
      <c r="E565" s="24" t="str">
        <v>18-24</v>
      </c>
      <c r="F565" s="24" t="str">
        <v>Low</v>
      </c>
      <c r="G565" s="24">
        <v>10</v>
      </c>
      <c r="H565" s="24">
        <v>269</v>
      </c>
      <c r="I565" s="23">
        <v>39.4</v>
      </c>
      <c r="J565" s="24" cm="1">
        <f t="array" ref="J565">SUMPRODUCT(
    (Transactions_and_Customer_Information_Joined[Customer ID]='V1-Based Churn Model (Step 3)'!$A565) *
    (IFERROR(_xlfn.XLOOKUP(Transactions_and_Customer_Information_Joined[SKU], 'V1 Pricing Model (Step 2)'!$A$22:$A$71, 'V1 Pricing Model (Step 2)'!$AL$22:$AL$71), "Exclude")&lt;&gt;"Exclude") *
    Transactions_and_Customer_Information_Joined[Gross Revenue])</f>
        <v>67.56</v>
      </c>
      <c r="K565" s="24">
        <f>SUMIF(Transactions_and_Customer_Information_Joined[Customer ID], 'V1-Based Churn Model (Step 3)'!$A565, Transactions_and_Customer_Information_Joined[Gross Revenue])</f>
        <v>67.56</v>
      </c>
      <c r="L565" s="3">
        <f t="shared" si="48"/>
        <v>1</v>
      </c>
      <c r="M565" s="21">
        <v>0.10788177153562864</v>
      </c>
      <c r="N565" s="21" cm="1">
        <f t="array" ref="N565">SUMPRODUCT(
    (Transactions_and_Customer_Information_Joined[Customer ID]=$A565)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65" s="21" cm="1">
        <f t="array" ref="O565">IFERROR(
    SUMPRODUCT(
        (Transactions_and_Customer_Information_Joined[Customer ID]=$A565)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$J565,
0)</f>
        <v>0.10788177153562864</v>
      </c>
      <c r="P565" s="5" cm="1">
        <f t="array" ref="P565">_xlfn.IFS(B565="At-Risk Churner",$B$2,$B565="Dormant",$B$3,$B565="Deal Hunter",$B$4,$B565="New Customer",$B$5,$B565="Occasional Buyer",$B$6,$B565="Loyal High-Value",$B$7)</f>
        <v>35</v>
      </c>
      <c r="Q565" s="9" cm="1">
        <f t="array" ref="Q565">_xlfn.IFS($B565 = "At-Risk Churner", $B$8, $B565="Dormant",$B$9, $B565="Deal Hunter", $B$10, $B565="New Customer", $B$11, $B565="Occasional Buyer", $B$12, $B565 = "Loyal High-Value",$B$13)</f>
        <v>0.35</v>
      </c>
      <c r="R565" s="5">
        <v>-5</v>
      </c>
      <c r="S565" s="5">
        <v>-8</v>
      </c>
      <c r="T565" s="5">
        <v>8</v>
      </c>
      <c r="U565" s="5">
        <f t="shared" si="49"/>
        <v>15</v>
      </c>
      <c r="V565" s="5">
        <f t="shared" si="50"/>
        <v>4.3152708614251454</v>
      </c>
      <c r="W565" s="43">
        <f t="shared" si="51"/>
        <v>48.92277086142515</v>
      </c>
      <c r="X565" s="5" t="str" cm="1">
        <f t="array" ref="X565">_xlfn.IFS($W565 &lt;= 30, "Low", $W565 &lt;=50, "Medium", $W565 &lt;= 70, "High", $W565 &gt; 70, "Critical")</f>
        <v>Medium</v>
      </c>
      <c r="Y565" s="9">
        <f t="shared" si="52"/>
        <v>0.16558334935546012</v>
      </c>
      <c r="Z565" s="22">
        <f t="shared" si="53"/>
        <v>13.099187171684104</v>
      </c>
    </row>
    <row r="566" spans="1:26">
      <c r="A566" s="24" t="str">
        <v>CUST-2885</v>
      </c>
      <c r="B566" s="24" t="str">
        <v>Loyal High-Value</v>
      </c>
      <c r="C566" s="24" t="str">
        <v>Email Campaign</v>
      </c>
      <c r="D566" s="24" t="str">
        <v>Southeast</v>
      </c>
      <c r="E566" s="24" t="str">
        <v>55+</v>
      </c>
      <c r="F566" s="24" t="str">
        <v>Medium</v>
      </c>
      <c r="G566" s="24">
        <v>3</v>
      </c>
      <c r="H566" s="24">
        <v>349</v>
      </c>
      <c r="I566" s="23">
        <v>2726.48</v>
      </c>
      <c r="J566" s="24" cm="1">
        <f t="array" ref="J566">SUMPRODUCT(
    (Transactions_and_Customer_Information_Joined[Customer ID]='V1-Based Churn Model (Step 3)'!$A566) *
    (IFERROR(_xlfn.XLOOKUP(Transactions_and_Customer_Information_Joined[SKU], 'V1 Pricing Model (Step 2)'!$A$22:$A$71, 'V1 Pricing Model (Step 2)'!$AL$22:$AL$71), "Exclude")&lt;&gt;"Exclude") *
    Transactions_and_Customer_Information_Joined[Gross Revenue])</f>
        <v>122.5</v>
      </c>
      <c r="K566" s="24">
        <f>SUMIF(Transactions_and_Customer_Information_Joined[Customer ID], 'V1-Based Churn Model (Step 3)'!$A566, Transactions_and_Customer_Information_Joined[Gross Revenue])</f>
        <v>122.5</v>
      </c>
      <c r="L566" s="3">
        <f t="shared" si="48"/>
        <v>1</v>
      </c>
      <c r="M566" s="21">
        <v>6.4419042005321461E-2</v>
      </c>
      <c r="N566" s="21" cm="1">
        <f t="array" ref="N566">SUMPRODUCT(
    (Transactions_and_Customer_Information_Joined[Customer ID]=$A566)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66" s="21" cm="1">
        <f t="array" ref="O566">IFERROR(
    SUMPRODUCT(
        (Transactions_and_Customer_Information_Joined[Customer ID]=$A566)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$J566,
0)</f>
        <v>-1.5735998915435125E-2</v>
      </c>
      <c r="P566" s="5" cm="1">
        <f t="array" ref="P566">_xlfn.IFS(B566="At-Risk Churner",$B$2,$B566="Dormant",$B$3,$B566="Deal Hunter",$B$4,$B566="New Customer",$B$5,$B566="Occasional Buyer",$B$6,$B566="Loyal High-Value",$B$7)</f>
        <v>15</v>
      </c>
      <c r="Q566" s="9" cm="1">
        <f t="array" ref="Q566">_xlfn.IFS($B566 = "At-Risk Churner", $B$8, $B566="Dormant",$B$9, $B566="Deal Hunter", $B$10, $B566="New Customer", $B$11, $B566="Occasional Buyer", $B$12, $B566 = "Loyal High-Value",$B$13)</f>
        <v>0.05</v>
      </c>
      <c r="R566" s="5">
        <v>5</v>
      </c>
      <c r="S566" s="5">
        <v>10</v>
      </c>
      <c r="T566" s="5">
        <v>15</v>
      </c>
      <c r="U566" s="5">
        <f t="shared" si="49"/>
        <v>15</v>
      </c>
      <c r="V566" s="5">
        <f t="shared" si="50"/>
        <v>1.6031008184151316</v>
      </c>
      <c r="W566" s="43">
        <f t="shared" si="51"/>
        <v>61.865600818415125</v>
      </c>
      <c r="X566" s="5" t="str" cm="1">
        <f t="array" ref="X566">_xlfn.IFS($W566 &lt;= 30, "Low", $W566 &lt;=50, "Medium", $W566 &lt;= 70, "High", $W566 &gt; 70, "Critical")</f>
        <v>High</v>
      </c>
      <c r="Y566" s="9">
        <f t="shared" si="52"/>
        <v>3.8306263658961698E-2</v>
      </c>
      <c r="Z566" s="22">
        <f t="shared" si="53"/>
        <v>628.84900939270869</v>
      </c>
    </row>
    <row r="567" spans="1:26">
      <c r="A567" s="24" t="str">
        <v>CUST-2207</v>
      </c>
      <c r="B567" s="24" t="str">
        <v>Loyal High-Value</v>
      </c>
      <c r="C567" s="24" t="str">
        <v>Organic Search</v>
      </c>
      <c r="D567" s="24" t="str">
        <v>Midwest</v>
      </c>
      <c r="E567" s="24" t="str">
        <v>35-44</v>
      </c>
      <c r="F567" s="24" t="str">
        <v>Medium</v>
      </c>
      <c r="G567" s="24">
        <v>4</v>
      </c>
      <c r="H567" s="24">
        <v>13</v>
      </c>
      <c r="I567" s="23">
        <v>2188.25</v>
      </c>
      <c r="J567" s="24" cm="1">
        <f t="array" ref="J567">SUMPRODUCT(
    (Transactions_and_Customer_Information_Joined[Customer ID]='V1-Based Churn Model (Step 3)'!$A567) *
    (IFERROR(_xlfn.XLOOKUP(Transactions_and_Customer_Information_Joined[SKU], 'V1 Pricing Model (Step 2)'!$A$22:$A$71, 'V1 Pricing Model (Step 2)'!$AL$22:$AL$71), "Exclude")&lt;&gt;"Exclude") *
    Transactions_and_Customer_Information_Joined[Gross Revenue])</f>
        <v>140.44</v>
      </c>
      <c r="K567" s="24">
        <f>SUMIF(Transactions_and_Customer_Information_Joined[Customer ID], 'V1-Based Churn Model (Step 3)'!$A567, Transactions_and_Customer_Information_Joined[Gross Revenue])</f>
        <v>140.44</v>
      </c>
      <c r="L567" s="3">
        <f t="shared" si="48"/>
        <v>1</v>
      </c>
      <c r="M567" s="21">
        <v>0.25581555939754186</v>
      </c>
      <c r="N567" s="21" cm="1">
        <f t="array" ref="N567">SUMPRODUCT(
    (Transactions_and_Customer_Information_Joined[Customer ID]=$A567)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67" s="21" cm="1">
        <f t="array" ref="O567">IFERROR(
    SUMPRODUCT(
        (Transactions_and_Customer_Information_Joined[Customer ID]=$A567)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$J567,
0)</f>
        <v>0.25581555939754186</v>
      </c>
      <c r="P567" s="5" cm="1">
        <f t="array" ref="P567">_xlfn.IFS(B567="At-Risk Churner",$B$2,$B567="Dormant",$B$3,$B567="Deal Hunter",$B$4,$B567="New Customer",$B$5,$B567="Occasional Buyer",$B$6,$B567="Loyal High-Value",$B$7)</f>
        <v>15</v>
      </c>
      <c r="Q567" s="9" cm="1">
        <f t="array" ref="Q567">_xlfn.IFS($B567 = "At-Risk Churner", $B$8, $B567="Dormant",$B$9, $B567="Deal Hunter", $B$10, $B567="New Customer", $B$11, $B567="Occasional Buyer", $B$12, $B567 = "Loyal High-Value",$B$13)</f>
        <v>0.05</v>
      </c>
      <c r="R567" s="5">
        <v>5</v>
      </c>
      <c r="S567" s="5">
        <v>0</v>
      </c>
      <c r="T567" s="5">
        <v>-5</v>
      </c>
      <c r="U567" s="5">
        <f t="shared" si="49"/>
        <v>15</v>
      </c>
      <c r="V567" s="5">
        <f t="shared" si="50"/>
        <v>10.232622375901673</v>
      </c>
      <c r="W567" s="43">
        <f t="shared" si="51"/>
        <v>40.345122375901667</v>
      </c>
      <c r="X567" s="5" t="str" cm="1">
        <f t="array" ref="X567">_xlfn.IFS($W567 &lt;= 30, "Low", $W567 &lt;=50, "Medium", $W567 &lt;= 70, "High", $W567 &gt; 70, "Critical")</f>
        <v>Medium</v>
      </c>
      <c r="Y567" s="9">
        <f t="shared" si="52"/>
        <v>1.3789039993120767E-2</v>
      </c>
      <c r="Z567" s="22">
        <f t="shared" si="53"/>
        <v>461.78909341195725</v>
      </c>
    </row>
    <row r="568" spans="1:26">
      <c r="A568" s="24" t="str">
        <v>CUST-3835</v>
      </c>
      <c r="B568" s="24" t="str">
        <v>Deal Hunter</v>
      </c>
      <c r="C568" s="24" t="str">
        <v>Influencer</v>
      </c>
      <c r="D568" s="24" t="str">
        <v>Midwest</v>
      </c>
      <c r="E568" s="24" t="str">
        <v>18-24</v>
      </c>
      <c r="F568" s="24" t="str">
        <v>High</v>
      </c>
      <c r="G568" s="24">
        <v>2</v>
      </c>
      <c r="H568" s="24">
        <v>236</v>
      </c>
      <c r="I568" s="23">
        <v>548.03</v>
      </c>
      <c r="J568" s="24" cm="1">
        <f t="array" ref="J568">SUMPRODUCT(
    (Transactions_and_Customer_Information_Joined[Customer ID]='V1-Based Churn Model (Step 3)'!$A568) *
    (IFERROR(_xlfn.XLOOKUP(Transactions_and_Customer_Information_Joined[SKU], 'V1 Pricing Model (Step 2)'!$A$22:$A$71, 'V1 Pricing Model (Step 2)'!$AL$22:$AL$71), "Exclude")&lt;&gt;"Exclude") *
    Transactions_and_Customer_Information_Joined[Gross Revenue])</f>
        <v>50.849999999999994</v>
      </c>
      <c r="K568" s="24">
        <f>SUMIF(Transactions_and_Customer_Information_Joined[Customer ID], 'V1-Based Churn Model (Step 3)'!$A568, Transactions_and_Customer_Information_Joined[Gross Revenue])</f>
        <v>50.849999999999994</v>
      </c>
      <c r="L568" s="3">
        <f t="shared" si="48"/>
        <v>1</v>
      </c>
      <c r="M568" s="21">
        <v>-7.0269238925823692E-3</v>
      </c>
      <c r="N568" s="21" cm="1">
        <f t="array" ref="N568">SUMPRODUCT(
    (Transactions_and_Customer_Information_Joined[Customer ID]=$A568)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68" s="21" cm="1">
        <f t="array" ref="O568">IFERROR(
    SUMPRODUCT(
        (Transactions_and_Customer_Information_Joined[Customer ID]=$A568)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$J568,
0)</f>
        <v>-7.0269238925823692E-3</v>
      </c>
      <c r="P568" s="5" cm="1">
        <f t="array" ref="P568">_xlfn.IFS(B568="At-Risk Churner",$B$2,$B568="Dormant",$B$3,$B568="Deal Hunter",$B$4,$B568="New Customer",$B$5,$B568="Occasional Buyer",$B$6,$B568="Loyal High-Value",$B$7)</f>
        <v>45</v>
      </c>
      <c r="Q568" s="9" cm="1">
        <f t="array" ref="Q568">_xlfn.IFS($B568 = "At-Risk Churner", $B$8, $B568="Dormant",$B$9, $B568="Deal Hunter", $B$10, $B568="New Customer", $B$11, $B568="Occasional Buyer", $B$12, $B568 = "Loyal High-Value",$B$13)</f>
        <v>0.25</v>
      </c>
      <c r="R568" s="5">
        <v>15</v>
      </c>
      <c r="S568" s="5">
        <v>10</v>
      </c>
      <c r="T568" s="5">
        <v>8</v>
      </c>
      <c r="U568" s="5">
        <f t="shared" si="49"/>
        <v>15</v>
      </c>
      <c r="V568" s="5">
        <f t="shared" si="50"/>
        <v>0.28107695570329477</v>
      </c>
      <c r="W568" s="43">
        <f t="shared" si="51"/>
        <v>94.068576955703307</v>
      </c>
      <c r="X568" s="5" t="str" cm="1">
        <f t="array" ref="X568">_xlfn.IFS($W568 &lt;= 30, "Low", $W568 &lt;=50, "Medium", $W568 &lt;= 70, "High", $W568 &gt; 70, "Critical")</f>
        <v>Critical</v>
      </c>
      <c r="Y568" s="9">
        <f t="shared" si="52"/>
        <v>0.24698836376811525</v>
      </c>
      <c r="Z568" s="22">
        <f t="shared" si="53"/>
        <v>135.3570329958402</v>
      </c>
    </row>
    <row r="569" spans="1:26">
      <c r="A569" s="24" t="str">
        <v>CUST-2389</v>
      </c>
      <c r="B569" s="24" t="str">
        <v>New Customer</v>
      </c>
      <c r="C569" s="24" t="str">
        <v>Organic Search</v>
      </c>
      <c r="D569" s="24" t="str">
        <v>Northeast</v>
      </c>
      <c r="E569" s="24" t="str">
        <v>18-24</v>
      </c>
      <c r="F569" s="24" t="str">
        <v>Low</v>
      </c>
      <c r="G569" s="24">
        <v>9</v>
      </c>
      <c r="H569" s="24">
        <v>34</v>
      </c>
      <c r="I569" s="23">
        <v>44.06</v>
      </c>
      <c r="J569" s="24" cm="1">
        <f t="array" ref="J569">SUMPRODUCT(
    (Transactions_and_Customer_Information_Joined[Customer ID]='V1-Based Churn Model (Step 3)'!$A569) *
    (IFERROR(_xlfn.XLOOKUP(Transactions_and_Customer_Information_Joined[SKU], 'V1 Pricing Model (Step 2)'!$A$22:$A$71, 'V1 Pricing Model (Step 2)'!$AL$22:$AL$71), "Exclude")&lt;&gt;"Exclude") *
    Transactions_and_Customer_Information_Joined[Gross Revenue])</f>
        <v>36.78</v>
      </c>
      <c r="K569" s="24">
        <f>SUMIF(Transactions_and_Customer_Information_Joined[Customer ID], 'V1-Based Churn Model (Step 3)'!$A569, Transactions_and_Customer_Information_Joined[Gross Revenue])</f>
        <v>36.78</v>
      </c>
      <c r="L569" s="3">
        <f t="shared" si="48"/>
        <v>1</v>
      </c>
      <c r="M569" s="21">
        <v>0.10525403225213746</v>
      </c>
      <c r="N569" s="21" cm="1">
        <f t="array" ref="N569">SUMPRODUCT(
    (Transactions_and_Customer_Information_Joined[Customer ID]=$A569)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69" s="21" cm="1">
        <f t="array" ref="O569">IFERROR(
    SUMPRODUCT(
        (Transactions_and_Customer_Information_Joined[Customer ID]=$A569)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$J569,
0)</f>
        <v>0.10525403225213746</v>
      </c>
      <c r="P569" s="5" cm="1">
        <f t="array" ref="P569">_xlfn.IFS(B569="At-Risk Churner",$B$2,$B569="Dormant",$B$3,$B569="Deal Hunter",$B$4,$B569="New Customer",$B$5,$B569="Occasional Buyer",$B$6,$B569="Loyal High-Value",$B$7)</f>
        <v>35</v>
      </c>
      <c r="Q569" s="9" cm="1">
        <f t="array" ref="Q569">_xlfn.IFS($B569 = "At-Risk Churner", $B$8, $B569="Dormant",$B$9, $B569="Deal Hunter", $B$10, $B569="New Customer", $B$11, $B569="Occasional Buyer", $B$12, $B569 = "Loyal High-Value",$B$13)</f>
        <v>0.35</v>
      </c>
      <c r="R569" s="5">
        <v>-5</v>
      </c>
      <c r="S569" s="5">
        <v>-8</v>
      </c>
      <c r="T569" s="5">
        <v>-5</v>
      </c>
      <c r="U569" s="5">
        <f t="shared" si="49"/>
        <v>15</v>
      </c>
      <c r="V569" s="5">
        <f t="shared" si="50"/>
        <v>4.2101612900854981</v>
      </c>
      <c r="W569" s="43">
        <f t="shared" si="51"/>
        <v>35.817661290085496</v>
      </c>
      <c r="X569" s="5" t="str" cm="1">
        <f t="array" ref="X569">_xlfn.IFS($W569 &lt;= 30, "Low", $W569 &lt;=50, "Medium", $W569 &lt;= 70, "High", $W569 &gt; 70, "Critical")</f>
        <v>Medium</v>
      </c>
      <c r="Y569" s="9">
        <f t="shared" si="52"/>
        <v>6.8228512176474604E-2</v>
      </c>
      <c r="Z569" s="22">
        <f t="shared" si="53"/>
        <v>11.216918597196377</v>
      </c>
    </row>
    <row r="570" spans="1:26">
      <c r="A570" s="24" t="str">
        <v>CUST-2766</v>
      </c>
      <c r="B570" s="24" t="str">
        <v>At-Risk Churner</v>
      </c>
      <c r="C570" s="24" t="str">
        <v>Paid Social</v>
      </c>
      <c r="D570" s="24" t="str">
        <v>Midwest</v>
      </c>
      <c r="E570" s="24" t="str">
        <v>35-44</v>
      </c>
      <c r="F570" s="24" t="str">
        <v>High</v>
      </c>
      <c r="G570" s="24">
        <v>5</v>
      </c>
      <c r="H570" s="24">
        <v>137</v>
      </c>
      <c r="I570" s="23">
        <v>142.77000000000001</v>
      </c>
      <c r="J570" s="24" cm="1">
        <f t="array" ref="J570">SUMPRODUCT(
    (Transactions_and_Customer_Information_Joined[Customer ID]='V1-Based Churn Model (Step 3)'!$A570) *
    (IFERROR(_xlfn.XLOOKUP(Transactions_and_Customer_Information_Joined[SKU], 'V1 Pricing Model (Step 2)'!$A$22:$A$71, 'V1 Pricing Model (Step 2)'!$AL$22:$AL$71), "Exclude")&lt;&gt;"Exclude") *
    Transactions_and_Customer_Information_Joined[Gross Revenue])</f>
        <v>310.68</v>
      </c>
      <c r="K570" s="24">
        <f>SUMIF(Transactions_and_Customer_Information_Joined[Customer ID], 'V1-Based Churn Model (Step 3)'!$A570, Transactions_and_Customer_Information_Joined[Gross Revenue])</f>
        <v>310.68</v>
      </c>
      <c r="L570" s="3">
        <f t="shared" si="48"/>
        <v>1</v>
      </c>
      <c r="M570" s="21">
        <v>-0.1229980207344718</v>
      </c>
      <c r="N570" s="21" cm="1">
        <f t="array" ref="N570">SUMPRODUCT(
    (Transactions_and_Customer_Information_Joined[Customer ID]=$A570)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70" s="21" cm="1">
        <f t="array" ref="O570">IFERROR(
    SUMPRODUCT(
        (Transactions_and_Customer_Information_Joined[Customer ID]=$A570)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$J570,
0)</f>
        <v>-0.1229980207344718</v>
      </c>
      <c r="P570" s="5" cm="1">
        <f t="array" ref="P570">_xlfn.IFS(B570="At-Risk Churner",$B$2,$B570="Dormant",$B$3,$B570="Deal Hunter",$B$4,$B570="New Customer",$B$5,$B570="Occasional Buyer",$B$6,$B570="Loyal High-Value",$B$7)</f>
        <v>70</v>
      </c>
      <c r="Q570" s="9" cm="1">
        <f t="array" ref="Q570">_xlfn.IFS($B570 = "At-Risk Churner", $B$8, $B570="Dormant",$B$9, $B570="Deal Hunter", $B$10, $B570="New Customer", $B$11, $B570="Occasional Buyer", $B$12, $B570 = "Loyal High-Value",$B$13)</f>
        <v>0.45</v>
      </c>
      <c r="R570" s="5">
        <v>15</v>
      </c>
      <c r="S570" s="5">
        <v>0</v>
      </c>
      <c r="T570" s="5">
        <v>0</v>
      </c>
      <c r="U570" s="5">
        <f t="shared" si="49"/>
        <v>15</v>
      </c>
      <c r="V570" s="5">
        <f t="shared" si="50"/>
        <v>4.9199208293788725</v>
      </c>
      <c r="W570" s="43">
        <f t="shared" si="51"/>
        <v>100</v>
      </c>
      <c r="X570" s="5" t="str" cm="1">
        <f t="array" ref="X570">_xlfn.IFS($W570 &lt;= 30, "Low", $W570 &lt;=50, "Medium", $W570 &lt;= 70, "High", $W570 &gt; 70, "Critical")</f>
        <v>Critical</v>
      </c>
      <c r="Y570" s="9">
        <f t="shared" si="52"/>
        <v>0.44698821708407188</v>
      </c>
      <c r="Z570" s="22">
        <f t="shared" si="53"/>
        <v>63.816507753092949</v>
      </c>
    </row>
    <row r="571" spans="1:26">
      <c r="A571" s="24" t="str">
        <v>CUST-4259</v>
      </c>
      <c r="B571" s="24" t="str">
        <v>Deal Hunter</v>
      </c>
      <c r="C571" s="24" t="str">
        <v>Influencer</v>
      </c>
      <c r="D571" s="24" t="str">
        <v>Midwest</v>
      </c>
      <c r="E571" s="24" t="str">
        <v>18-24</v>
      </c>
      <c r="F571" s="24" t="str">
        <v>Medium</v>
      </c>
      <c r="G571" s="24">
        <v>10</v>
      </c>
      <c r="H571" s="24">
        <v>36</v>
      </c>
      <c r="I571" s="23">
        <v>396.86</v>
      </c>
      <c r="J571" s="24" cm="1">
        <f t="array" ref="J571">SUMPRODUCT(
    (Transactions_and_Customer_Information_Joined[Customer ID]='V1-Based Churn Model (Step 3)'!$A571) *
    (IFERROR(_xlfn.XLOOKUP(Transactions_and_Customer_Information_Joined[SKU], 'V1 Pricing Model (Step 2)'!$A$22:$A$71, 'V1 Pricing Model (Step 2)'!$AL$22:$AL$71), "Exclude")&lt;&gt;"Exclude") *
    Transactions_and_Customer_Information_Joined[Gross Revenue])</f>
        <v>35.11</v>
      </c>
      <c r="K571" s="24">
        <f>SUMIF(Transactions_and_Customer_Information_Joined[Customer ID], 'V1-Based Churn Model (Step 3)'!$A571, Transactions_and_Customer_Information_Joined[Gross Revenue])</f>
        <v>35.11</v>
      </c>
      <c r="L571" s="3">
        <f t="shared" si="48"/>
        <v>1</v>
      </c>
      <c r="M571" s="21">
        <v>0.25581555939754186</v>
      </c>
      <c r="N571" s="21" cm="1">
        <f t="array" ref="N571">SUMPRODUCT(
    (Transactions_and_Customer_Information_Joined[Customer ID]=$A571)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71" s="21" cm="1">
        <f t="array" ref="O571">IFERROR(
    SUMPRODUCT(
        (Transactions_and_Customer_Information_Joined[Customer ID]=$A571)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$J571,
0)</f>
        <v>0.25581555939754186</v>
      </c>
      <c r="P571" s="5" cm="1">
        <f t="array" ref="P571">_xlfn.IFS(B571="At-Risk Churner",$B$2,$B571="Dormant",$B$3,$B571="Deal Hunter",$B$4,$B571="New Customer",$B$5,$B571="Occasional Buyer",$B$6,$B571="Loyal High-Value",$B$7)</f>
        <v>45</v>
      </c>
      <c r="Q571" s="9" cm="1">
        <f t="array" ref="Q571">_xlfn.IFS($B571 = "At-Risk Churner", $B$8, $B571="Dormant",$B$9, $B571="Deal Hunter", $B$10, $B571="New Customer", $B$11, $B571="Occasional Buyer", $B$12, $B571 = "Loyal High-Value",$B$13)</f>
        <v>0.25</v>
      </c>
      <c r="R571" s="5">
        <v>5</v>
      </c>
      <c r="S571" s="5">
        <v>-8</v>
      </c>
      <c r="T571" s="5">
        <v>-5</v>
      </c>
      <c r="U571" s="5">
        <f t="shared" si="49"/>
        <v>15</v>
      </c>
      <c r="V571" s="5">
        <f t="shared" si="50"/>
        <v>10.232622375901673</v>
      </c>
      <c r="W571" s="43">
        <f t="shared" si="51"/>
        <v>61.985122375901668</v>
      </c>
      <c r="X571" s="5" t="str" cm="1">
        <f t="array" ref="X571">_xlfn.IFS($W571 &lt;= 30, "Low", $W571 &lt;=50, "Medium", $W571 &lt;= 70, "High", $W571 &gt; 70, "Critical")</f>
        <v>High</v>
      </c>
      <c r="Y571" s="9">
        <f t="shared" si="52"/>
        <v>0.19206500327752166</v>
      </c>
      <c r="Z571" s="22">
        <f t="shared" si="53"/>
        <v>140.35033376057379</v>
      </c>
    </row>
    <row r="572" spans="1:26">
      <c r="A572" s="24" t="str">
        <v>CUST-3881</v>
      </c>
      <c r="B572" s="24" t="str">
        <v>Occasional Buyer</v>
      </c>
      <c r="C572" s="24" t="str">
        <v>Influencer</v>
      </c>
      <c r="D572" s="24" t="str">
        <v>Southeast</v>
      </c>
      <c r="E572" s="24" t="str">
        <v>55+</v>
      </c>
      <c r="F572" s="24" t="str">
        <v>Low</v>
      </c>
      <c r="G572" s="24">
        <v>0</v>
      </c>
      <c r="H572" s="24">
        <v>306</v>
      </c>
      <c r="I572" s="23">
        <v>661.58</v>
      </c>
      <c r="J572" s="24" cm="1">
        <f t="array" ref="J572">SUMPRODUCT(
    (Transactions_and_Customer_Information_Joined[Customer ID]='V1-Based Churn Model (Step 3)'!$A572) *
    (IFERROR(_xlfn.XLOOKUP(Transactions_and_Customer_Information_Joined[SKU], 'V1 Pricing Model (Step 2)'!$A$22:$A$71, 'V1 Pricing Model (Step 2)'!$AL$22:$AL$71), "Exclude")&lt;&gt;"Exclude") *
    Transactions_and_Customer_Information_Joined[Gross Revenue])</f>
        <v>74.699999999999989</v>
      </c>
      <c r="K572" s="24">
        <f>SUMIF(Transactions_and_Customer_Information_Joined[Customer ID], 'V1-Based Churn Model (Step 3)'!$A572, Transactions_and_Customer_Information_Joined[Gross Revenue])</f>
        <v>74.699999999999989</v>
      </c>
      <c r="L572" s="3">
        <f t="shared" si="48"/>
        <v>1</v>
      </c>
      <c r="M572" s="21">
        <v>-0.13274948234794526</v>
      </c>
      <c r="N572" s="21" cm="1">
        <f t="array" ref="N572">SUMPRODUCT(
    (Transactions_and_Customer_Information_Joined[Customer ID]=$A572)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72" s="21" cm="1">
        <f t="array" ref="O572">IFERROR(
    SUMPRODUCT(
        (Transactions_and_Customer_Information_Joined[Customer ID]=$A572)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$J572,
0)</f>
        <v>-0.13274948234794526</v>
      </c>
      <c r="P572" s="5" cm="1">
        <f t="array" ref="P572">_xlfn.IFS(B572="At-Risk Churner",$B$2,$B572="Dormant",$B$3,$B572="Deal Hunter",$B$4,$B572="New Customer",$B$5,$B572="Occasional Buyer",$B$6,$B572="Loyal High-Value",$B$7)</f>
        <v>25</v>
      </c>
      <c r="Q572" s="9" cm="1">
        <f t="array" ref="Q572">_xlfn.IFS($B572 = "At-Risk Churner", $B$8, $B572="Dormant",$B$9, $B572="Deal Hunter", $B$10, $B572="New Customer", $B$11, $B572="Occasional Buyer", $B$12, $B572 = "Loyal High-Value",$B$13)</f>
        <v>0.18</v>
      </c>
      <c r="R572" s="5">
        <v>-5</v>
      </c>
      <c r="S572" s="5">
        <v>10</v>
      </c>
      <c r="T572" s="5">
        <v>15</v>
      </c>
      <c r="U572" s="5">
        <f t="shared" si="49"/>
        <v>15</v>
      </c>
      <c r="V572" s="5">
        <f t="shared" si="50"/>
        <v>5.3099792939178103</v>
      </c>
      <c r="W572" s="43">
        <f t="shared" si="51"/>
        <v>65.447479293917809</v>
      </c>
      <c r="X572" s="5" t="str" cm="1">
        <f t="array" ref="X572">_xlfn.IFS($W572 &lt;= 30, "Low", $W572 &lt;=50, "Medium", $W572 &lt;= 70, "High", $W572 &gt; 70, "Critical")</f>
        <v>High</v>
      </c>
      <c r="Y572" s="9">
        <f t="shared" si="52"/>
        <v>0.14834769745467988</v>
      </c>
      <c r="Z572" s="22">
        <f t="shared" si="53"/>
        <v>210.83109574565373</v>
      </c>
    </row>
    <row r="573" spans="1:26">
      <c r="A573" s="24" t="str">
        <v>CUST-2058</v>
      </c>
      <c r="B573" s="24" t="str">
        <v>New Customer</v>
      </c>
      <c r="C573" s="24" t="str">
        <v>Paid Social</v>
      </c>
      <c r="D573" s="24" t="str">
        <v>UK</v>
      </c>
      <c r="E573" s="24" t="str">
        <v>25-34</v>
      </c>
      <c r="F573" s="24" t="str">
        <v>High</v>
      </c>
      <c r="G573" s="24">
        <v>9</v>
      </c>
      <c r="H573" s="24">
        <v>192</v>
      </c>
      <c r="I573" s="23">
        <v>112.15</v>
      </c>
      <c r="J573" s="24" cm="1">
        <f t="array" ref="J573">SUMPRODUCT(
    (Transactions_and_Customer_Information_Joined[Customer ID]='V1-Based Churn Model (Step 3)'!$A573) *
    (IFERROR(_xlfn.XLOOKUP(Transactions_and_Customer_Information_Joined[SKU], 'V1 Pricing Model (Step 2)'!$A$22:$A$71, 'V1 Pricing Model (Step 2)'!$AL$22:$AL$71), "Exclude")&lt;&gt;"Exclude") *
    Transactions_and_Customer_Information_Joined[Gross Revenue])</f>
        <v>105.33</v>
      </c>
      <c r="K573" s="24">
        <f>SUMIF(Transactions_and_Customer_Information_Joined[Customer ID], 'V1-Based Churn Model (Step 3)'!$A573, Transactions_and_Customer_Information_Joined[Gross Revenue])</f>
        <v>105.33</v>
      </c>
      <c r="L573" s="3">
        <f t="shared" si="48"/>
        <v>1</v>
      </c>
      <c r="M573" s="21">
        <v>0.25581555939754186</v>
      </c>
      <c r="N573" s="21" cm="1">
        <f t="array" ref="N573">SUMPRODUCT(
    (Transactions_and_Customer_Information_Joined[Customer ID]=$A573)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73" s="21" cm="1">
        <f t="array" ref="O573">IFERROR(
    SUMPRODUCT(
        (Transactions_and_Customer_Information_Joined[Customer ID]=$A573)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$J573,
0)</f>
        <v>0.25581555939754186</v>
      </c>
      <c r="P573" s="5" cm="1">
        <f t="array" ref="P573">_xlfn.IFS(B573="At-Risk Churner",$B$2,$B573="Dormant",$B$3,$B573="Deal Hunter",$B$4,$B573="New Customer",$B$5,$B573="Occasional Buyer",$B$6,$B573="Loyal High-Value",$B$7)</f>
        <v>35</v>
      </c>
      <c r="Q573" s="9" cm="1">
        <f t="array" ref="Q573">_xlfn.IFS($B573 = "At-Risk Churner", $B$8, $B573="Dormant",$B$9, $B573="Deal Hunter", $B$10, $B573="New Customer", $B$11, $B573="Occasional Buyer", $B$12, $B573 = "Loyal High-Value",$B$13)</f>
        <v>0.35</v>
      </c>
      <c r="R573" s="5">
        <v>15</v>
      </c>
      <c r="S573" s="5">
        <v>-8</v>
      </c>
      <c r="T573" s="5">
        <v>8</v>
      </c>
      <c r="U573" s="5">
        <f t="shared" si="49"/>
        <v>15</v>
      </c>
      <c r="V573" s="5">
        <f t="shared" si="50"/>
        <v>10.232622375901673</v>
      </c>
      <c r="W573" s="43">
        <f t="shared" si="51"/>
        <v>75.290122375901674</v>
      </c>
      <c r="X573" s="5" t="str" cm="1">
        <f t="array" ref="X573">_xlfn.IFS($W573 &lt;= 30, "Low", $W573 &lt;=50, "Medium", $W573 &lt;= 70, "High", $W573 &gt; 70, "Critical")</f>
        <v>Critical</v>
      </c>
      <c r="Y573" s="9">
        <f t="shared" si="52"/>
        <v>0.32415278817210819</v>
      </c>
      <c r="Z573" s="22">
        <f t="shared" si="53"/>
        <v>36.353735193501933</v>
      </c>
    </row>
    <row r="574" spans="1:26">
      <c r="A574" s="24" t="str">
        <v>CUST-4533</v>
      </c>
      <c r="B574" s="24" t="str">
        <v>Deal Hunter</v>
      </c>
      <c r="C574" s="24" t="str">
        <v>Organic Search</v>
      </c>
      <c r="D574" s="24" t="str">
        <v>West</v>
      </c>
      <c r="E574" s="24" t="str">
        <v>25-34</v>
      </c>
      <c r="F574" s="24" t="str">
        <v>High</v>
      </c>
      <c r="G574" s="24">
        <v>5</v>
      </c>
      <c r="H574" s="24">
        <v>32</v>
      </c>
      <c r="I574" s="23">
        <v>551.36</v>
      </c>
      <c r="J574" s="24" cm="1">
        <f t="array" ref="J574">SUMPRODUCT(
    (Transactions_and_Customer_Information_Joined[Customer ID]='V1-Based Churn Model (Step 3)'!$A574) *
    (IFERROR(_xlfn.XLOOKUP(Transactions_and_Customer_Information_Joined[SKU], 'V1 Pricing Model (Step 2)'!$A$22:$A$71, 'V1 Pricing Model (Step 2)'!$AL$22:$AL$71), "Exclude")&lt;&gt;"Exclude") *
    Transactions_and_Customer_Information_Joined[Gross Revenue])</f>
        <v>393.63</v>
      </c>
      <c r="K574" s="24">
        <f>SUMIF(Transactions_and_Customer_Information_Joined[Customer ID], 'V1-Based Churn Model (Step 3)'!$A574, Transactions_and_Customer_Information_Joined[Gross Revenue])</f>
        <v>393.63</v>
      </c>
      <c r="L574" s="3">
        <f t="shared" si="48"/>
        <v>1</v>
      </c>
      <c r="M574" s="21">
        <v>0.1130897018443069</v>
      </c>
      <c r="N574" s="21" cm="1">
        <f t="array" ref="N574">SUMPRODUCT(
    (Transactions_and_Customer_Information_Joined[Customer ID]=$A574)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74" s="21" cm="1">
        <f t="array" ref="O574">IFERROR(
    SUMPRODUCT(
        (Transactions_and_Customer_Information_Joined[Customer ID]=$A574)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$J574,
0)</f>
        <v>0.10900450394750202</v>
      </c>
      <c r="P574" s="5" cm="1">
        <f t="array" ref="P574">_xlfn.IFS(B574="At-Risk Churner",$B$2,$B574="Dormant",$B$3,$B574="Deal Hunter",$B$4,$B574="New Customer",$B$5,$B574="Occasional Buyer",$B$6,$B574="Loyal High-Value",$B$7)</f>
        <v>45</v>
      </c>
      <c r="Q574" s="9" cm="1">
        <f t="array" ref="Q574">_xlfn.IFS($B574 = "At-Risk Churner", $B$8, $B574="Dormant",$B$9, $B574="Deal Hunter", $B$10, $B574="New Customer", $B$11, $B574="Occasional Buyer", $B$12, $B574 = "Loyal High-Value",$B$13)</f>
        <v>0.25</v>
      </c>
      <c r="R574" s="5">
        <v>15</v>
      </c>
      <c r="S574" s="5">
        <v>0</v>
      </c>
      <c r="T574" s="5">
        <v>-5</v>
      </c>
      <c r="U574" s="5">
        <f t="shared" si="49"/>
        <v>15</v>
      </c>
      <c r="V574" s="5">
        <f t="shared" si="50"/>
        <v>4.4418841158361788</v>
      </c>
      <c r="W574" s="43">
        <f t="shared" si="51"/>
        <v>74.77938411583618</v>
      </c>
      <c r="X574" s="5" t="str" cm="1">
        <f t="array" ref="X574">_xlfn.IFS($W574 &lt;= 30, "Low", $W574 &lt;=50, "Medium", $W574 &lt;= 70, "High", $W574 &gt; 70, "Critical")</f>
        <v>Critical</v>
      </c>
      <c r="Y574" s="9">
        <f t="shared" si="52"/>
        <v>0.23064516898842416</v>
      </c>
      <c r="Z574" s="22">
        <f t="shared" si="53"/>
        <v>127.16852037345755</v>
      </c>
    </row>
    <row r="575" spans="1:26">
      <c r="A575" s="24" t="str">
        <v>CUST-1332</v>
      </c>
      <c r="B575" s="24" t="str">
        <v>Occasional Buyer</v>
      </c>
      <c r="C575" s="24" t="str">
        <v>Email Campaign</v>
      </c>
      <c r="D575" s="24" t="str">
        <v>Southwest</v>
      </c>
      <c r="E575" s="24" t="str">
        <v>18-24</v>
      </c>
      <c r="F575" s="24" t="str">
        <v>High</v>
      </c>
      <c r="G575" s="24">
        <v>3</v>
      </c>
      <c r="H575" s="24">
        <v>347</v>
      </c>
      <c r="I575" s="23">
        <v>450.77</v>
      </c>
      <c r="J575" s="24" cm="1">
        <f t="array" ref="J575">SUMPRODUCT(
    (Transactions_and_Customer_Information_Joined[Customer ID]='V1-Based Churn Model (Step 3)'!$A575) *
    (IFERROR(_xlfn.XLOOKUP(Transactions_and_Customer_Information_Joined[SKU], 'V1 Pricing Model (Step 2)'!$A$22:$A$71, 'V1 Pricing Model (Step 2)'!$AL$22:$AL$71), "Exclude")&lt;&gt;"Exclude") *
    Transactions_and_Customer_Information_Joined[Gross Revenue])</f>
        <v>98.51</v>
      </c>
      <c r="K575" s="24">
        <f>SUMIF(Transactions_and_Customer_Information_Joined[Customer ID], 'V1-Based Churn Model (Step 3)'!$A575, Transactions_and_Customer_Information_Joined[Gross Revenue])</f>
        <v>98.51</v>
      </c>
      <c r="L575" s="3">
        <f t="shared" si="48"/>
        <v>1</v>
      </c>
      <c r="M575" s="21">
        <v>0.17380489413507264</v>
      </c>
      <c r="N575" s="21" cm="1">
        <f t="array" ref="N575">SUMPRODUCT(
    (Transactions_and_Customer_Information_Joined[Customer ID]=$A575)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75" s="21" cm="1">
        <f t="array" ref="O575">IFERROR(
    SUMPRODUCT(
        (Transactions_and_Customer_Information_Joined[Customer ID]=$A575)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$J575,
0)</f>
        <v>0.17380489413507264</v>
      </c>
      <c r="P575" s="5" cm="1">
        <f t="array" ref="P575">_xlfn.IFS(B575="At-Risk Churner",$B$2,$B575="Dormant",$B$3,$B575="Deal Hunter",$B$4,$B575="New Customer",$B$5,$B575="Occasional Buyer",$B$6,$B575="Loyal High-Value",$B$7)</f>
        <v>25</v>
      </c>
      <c r="Q575" s="9" cm="1">
        <f t="array" ref="Q575">_xlfn.IFS($B575 = "At-Risk Churner", $B$8, $B575="Dormant",$B$9, $B575="Deal Hunter", $B$10, $B575="New Customer", $B$11, $B575="Occasional Buyer", $B$12, $B575 = "Loyal High-Value",$B$13)</f>
        <v>0.18</v>
      </c>
      <c r="R575" s="5">
        <v>15</v>
      </c>
      <c r="S575" s="5">
        <v>10</v>
      </c>
      <c r="T575" s="5">
        <v>15</v>
      </c>
      <c r="U575" s="5">
        <f t="shared" si="49"/>
        <v>15</v>
      </c>
      <c r="V575" s="5">
        <f t="shared" si="50"/>
        <v>6.9521957654029052</v>
      </c>
      <c r="W575" s="43">
        <f t="shared" si="51"/>
        <v>87.539695765402911</v>
      </c>
      <c r="X575" s="5" t="str" cm="1">
        <f t="array" ref="X575">_xlfn.IFS($W575 &lt;= 30, "Low", $W575 &lt;=50, "Medium", $W575 &lt;= 70, "High", $W575 &gt; 70, "Critical")</f>
        <v>Critical</v>
      </c>
      <c r="Y575" s="9">
        <f t="shared" si="52"/>
        <v>0.17588008371592628</v>
      </c>
      <c r="Z575" s="22">
        <f t="shared" si="53"/>
        <v>79.281465336628088</v>
      </c>
    </row>
    <row r="576" spans="1:26">
      <c r="A576" s="24" t="str">
        <v>CUST-1847</v>
      </c>
      <c r="B576" s="24" t="str">
        <v>New Customer</v>
      </c>
      <c r="C576" s="24" t="str">
        <v>Direct</v>
      </c>
      <c r="D576" s="24" t="str">
        <v>Northeast</v>
      </c>
      <c r="E576" s="24" t="str">
        <v>45-54</v>
      </c>
      <c r="F576" s="24" t="str">
        <v>Medium</v>
      </c>
      <c r="G576" s="24">
        <v>6</v>
      </c>
      <c r="H576" s="24">
        <v>182</v>
      </c>
      <c r="I576" s="23">
        <v>31.59</v>
      </c>
      <c r="J576" s="24" cm="1">
        <f t="array" ref="J576">SUMPRODUCT(
    (Transactions_and_Customer_Information_Joined[Customer ID]='V1-Based Churn Model (Step 3)'!$A576) *
    (IFERROR(_xlfn.XLOOKUP(Transactions_and_Customer_Information_Joined[SKU], 'V1 Pricing Model (Step 2)'!$A$22:$A$71, 'V1 Pricing Model (Step 2)'!$AL$22:$AL$71), "Exclude")&lt;&gt;"Exclude") *
    Transactions_and_Customer_Information_Joined[Gross Revenue])</f>
        <v>109.28</v>
      </c>
      <c r="K576" s="24">
        <f>SUMIF(Transactions_and_Customer_Information_Joined[Customer ID], 'V1-Based Churn Model (Step 3)'!$A576, Transactions_and_Customer_Information_Joined[Gross Revenue])</f>
        <v>109.28</v>
      </c>
      <c r="L576" s="3">
        <f t="shared" si="48"/>
        <v>1</v>
      </c>
      <c r="M576" s="21">
        <v>0.24833629343146826</v>
      </c>
      <c r="N576" s="21" cm="1">
        <f t="array" ref="N576">SUMPRODUCT(
    (Transactions_and_Customer_Information_Joined[Customer ID]=$A576)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76" s="21" cm="1">
        <f t="array" ref="O576">IFERROR(
    SUMPRODUCT(
        (Transactions_and_Customer_Information_Joined[Customer ID]=$A576)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$J576,
0)</f>
        <v>0.24833629343146826</v>
      </c>
      <c r="P576" s="5" cm="1">
        <f t="array" ref="P576">_xlfn.IFS(B576="At-Risk Churner",$B$2,$B576="Dormant",$B$3,$B576="Deal Hunter",$B$4,$B576="New Customer",$B$5,$B576="Occasional Buyer",$B$6,$B576="Loyal High-Value",$B$7)</f>
        <v>35</v>
      </c>
      <c r="Q576" s="9" cm="1">
        <f t="array" ref="Q576">_xlfn.IFS($B576 = "At-Risk Churner", $B$8, $B576="Dormant",$B$9, $B576="Deal Hunter", $B$10, $B576="New Customer", $B$11, $B576="Occasional Buyer", $B$12, $B576 = "Loyal High-Value",$B$13)</f>
        <v>0.35</v>
      </c>
      <c r="R576" s="5">
        <v>5</v>
      </c>
      <c r="S576" s="5">
        <v>0</v>
      </c>
      <c r="T576" s="5">
        <v>8</v>
      </c>
      <c r="U576" s="5">
        <f t="shared" si="49"/>
        <v>15</v>
      </c>
      <c r="V576" s="5">
        <f t="shared" si="50"/>
        <v>9.9334517372587303</v>
      </c>
      <c r="W576" s="43">
        <f t="shared" si="51"/>
        <v>73.045951737258733</v>
      </c>
      <c r="X576" s="5" t="str" cm="1">
        <f t="array" ref="X576">_xlfn.IFS($W576 &lt;= 30, "Low", $W576 &lt;=50, "Medium", $W576 &lt;= 70, "High", $W576 &gt; 70, "Critical")</f>
        <v>Critical</v>
      </c>
      <c r="Y576" s="9">
        <f t="shared" si="52"/>
        <v>0.318239913221458</v>
      </c>
      <c r="Z576" s="22">
        <f t="shared" si="53"/>
        <v>10.053198858665858</v>
      </c>
    </row>
    <row r="577" spans="1:26">
      <c r="A577" s="24" t="str">
        <v>CUST-2977</v>
      </c>
      <c r="B577" s="24" t="str">
        <v>Deal Hunter</v>
      </c>
      <c r="C577" s="24" t="str">
        <v>Influencer</v>
      </c>
      <c r="D577" s="24" t="str">
        <v>Canada</v>
      </c>
      <c r="E577" s="24" t="str">
        <v>18-24</v>
      </c>
      <c r="F577" s="24" t="str">
        <v>High</v>
      </c>
      <c r="G577" s="24">
        <v>7</v>
      </c>
      <c r="H577" s="24">
        <v>237</v>
      </c>
      <c r="I577" s="23">
        <v>404.61</v>
      </c>
      <c r="J577" s="24" cm="1">
        <f t="array" ref="J577">SUMPRODUCT(
    (Transactions_and_Customer_Information_Joined[Customer ID]='V1-Based Churn Model (Step 3)'!$A577) *
    (IFERROR(_xlfn.XLOOKUP(Transactions_and_Customer_Information_Joined[SKU], 'V1 Pricing Model (Step 2)'!$A$22:$A$71, 'V1 Pricing Model (Step 2)'!$AL$22:$AL$71), "Exclude")&lt;&gt;"Exclude") *
    Transactions_and_Customer_Information_Joined[Gross Revenue])</f>
        <v>249.54</v>
      </c>
      <c r="K577" s="24">
        <f>SUMIF(Transactions_and_Customer_Information_Joined[Customer ID], 'V1-Based Churn Model (Step 3)'!$A577, Transactions_and_Customer_Information_Joined[Gross Revenue])</f>
        <v>249.54</v>
      </c>
      <c r="L577" s="3">
        <f t="shared" si="48"/>
        <v>1</v>
      </c>
      <c r="M577" s="21">
        <v>0.1130897018443069</v>
      </c>
      <c r="N577" s="21" cm="1">
        <f t="array" ref="N577">SUMPRODUCT(
    (Transactions_and_Customer_Information_Joined[Customer ID]=$A577)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77" s="21" cm="1">
        <f t="array" ref="O577">IFERROR(
    SUMPRODUCT(
        (Transactions_and_Customer_Information_Joined[Customer ID]=$A577)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$J577,
0)</f>
        <v>0.1130897018443069</v>
      </c>
      <c r="P577" s="5" cm="1">
        <f t="array" ref="P577">_xlfn.IFS(B577="At-Risk Churner",$B$2,$B577="Dormant",$B$3,$B577="Deal Hunter",$B$4,$B577="New Customer",$B$5,$B577="Occasional Buyer",$B$6,$B577="Loyal High-Value",$B$7)</f>
        <v>45</v>
      </c>
      <c r="Q577" s="9" cm="1">
        <f t="array" ref="Q577">_xlfn.IFS($B577 = "At-Risk Churner", $B$8, $B577="Dormant",$B$9, $B577="Deal Hunter", $B$10, $B577="New Customer", $B$11, $B577="Occasional Buyer", $B$12, $B577 = "Loyal High-Value",$B$13)</f>
        <v>0.25</v>
      </c>
      <c r="R577" s="5">
        <v>15</v>
      </c>
      <c r="S577" s="5">
        <v>-8</v>
      </c>
      <c r="T577" s="5">
        <v>8</v>
      </c>
      <c r="U577" s="5">
        <f t="shared" si="49"/>
        <v>15</v>
      </c>
      <c r="V577" s="5">
        <f t="shared" si="50"/>
        <v>4.5235880737722765</v>
      </c>
      <c r="W577" s="43">
        <f t="shared" si="51"/>
        <v>79.50108807377228</v>
      </c>
      <c r="X577" s="5" t="str" cm="1">
        <f t="array" ref="X577">_xlfn.IFS($W577 &lt;= 30, "Low", $W577 &lt;=50, "Medium", $W577 &lt;= 70, "High", $W577 &gt; 70, "Critical")</f>
        <v>Critical</v>
      </c>
      <c r="Y577" s="9">
        <f t="shared" si="52"/>
        <v>0.23756715768245851</v>
      </c>
      <c r="Z577" s="22">
        <f t="shared" si="53"/>
        <v>96.122047669899544</v>
      </c>
    </row>
    <row r="578" spans="1:26">
      <c r="A578" s="24" t="str">
        <v>CUST-3415</v>
      </c>
      <c r="B578" s="24" t="str">
        <v>Dormant</v>
      </c>
      <c r="C578" s="24" t="str">
        <v>Referral</v>
      </c>
      <c r="D578" s="24" t="str">
        <v>Midwest</v>
      </c>
      <c r="E578" s="24" t="str">
        <v>55+</v>
      </c>
      <c r="F578" s="24" t="str">
        <v>Low</v>
      </c>
      <c r="G578" s="24">
        <v>1</v>
      </c>
      <c r="H578" s="24">
        <v>103</v>
      </c>
      <c r="I578" s="23">
        <v>118.99</v>
      </c>
      <c r="J578" s="24" cm="1">
        <f t="array" ref="J578">SUMPRODUCT(
    (Transactions_and_Customer_Information_Joined[Customer ID]='V1-Based Churn Model (Step 3)'!$A578) *
    (IFERROR(_xlfn.XLOOKUP(Transactions_and_Customer_Information_Joined[SKU], 'V1 Pricing Model (Step 2)'!$A$22:$A$71, 'V1 Pricing Model (Step 2)'!$AL$22:$AL$71), "Exclude")&lt;&gt;"Exclude") *
    Transactions_and_Customer_Information_Joined[Gross Revenue])</f>
        <v>386.44</v>
      </c>
      <c r="K578" s="24">
        <f>SUMIF(Transactions_and_Customer_Information_Joined[Customer ID], 'V1-Based Churn Model (Step 3)'!$A578, Transactions_and_Customer_Information_Joined[Gross Revenue])</f>
        <v>386.44</v>
      </c>
      <c r="L578" s="3">
        <f t="shared" si="48"/>
        <v>1</v>
      </c>
      <c r="M578" s="21">
        <v>0.10702390858761081</v>
      </c>
      <c r="N578" s="21" cm="1">
        <f t="array" ref="N578">SUMPRODUCT(
    (Transactions_and_Customer_Information_Joined[Customer ID]=$A578)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78" s="21" cm="1">
        <f t="array" ref="O578">IFERROR(
    SUMPRODUCT(
        (Transactions_and_Customer_Information_Joined[Customer ID]=$A578)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$J578,
0)</f>
        <v>5.922309546360309E-2</v>
      </c>
      <c r="P578" s="5" cm="1">
        <f t="array" ref="P578">_xlfn.IFS(B578="At-Risk Churner",$B$2,$B578="Dormant",$B$3,$B578="Deal Hunter",$B$4,$B578="New Customer",$B$5,$B578="Occasional Buyer",$B$6,$B578="Loyal High-Value",$B$7)</f>
        <v>65</v>
      </c>
      <c r="Q578" s="9" cm="1">
        <f t="array" ref="Q578">_xlfn.IFS($B578 = "At-Risk Churner", $B$8, $B578="Dormant",$B$9, $B578="Deal Hunter", $B$10, $B578="New Customer", $B$11, $B578="Occasional Buyer", $B$12, $B578 = "Loyal High-Value",$B$13)</f>
        <v>0.6</v>
      </c>
      <c r="R578" s="5">
        <v>-5</v>
      </c>
      <c r="S578" s="5">
        <v>10</v>
      </c>
      <c r="T578" s="5">
        <v>0</v>
      </c>
      <c r="U578" s="5">
        <f t="shared" si="49"/>
        <v>15</v>
      </c>
      <c r="V578" s="5">
        <f t="shared" si="50"/>
        <v>3.3249400810242782</v>
      </c>
      <c r="W578" s="43">
        <f t="shared" si="51"/>
        <v>88.862440081024289</v>
      </c>
      <c r="X578" s="5" t="str" cm="1">
        <f t="array" ref="X578">_xlfn.IFS($W578 &lt;= 30, "Low", $W578 &lt;=50, "Medium", $W578 &lt;= 70, "High", $W578 &gt; 70, "Critical")</f>
        <v>Critical</v>
      </c>
      <c r="Y578" s="9">
        <f t="shared" si="52"/>
        <v>0.58793424700415453</v>
      </c>
      <c r="Z578" s="22">
        <f t="shared" si="53"/>
        <v>69.958296051024348</v>
      </c>
    </row>
    <row r="579" spans="1:26">
      <c r="A579" s="24" t="str">
        <v>CUST-1761</v>
      </c>
      <c r="B579" s="24" t="str">
        <v>Loyal High-Value</v>
      </c>
      <c r="C579" s="24" t="str">
        <v>Influencer</v>
      </c>
      <c r="D579" s="24" t="str">
        <v>Canada</v>
      </c>
      <c r="E579" s="24" t="str">
        <v>25-34</v>
      </c>
      <c r="F579" s="24" t="str">
        <v>High</v>
      </c>
      <c r="G579" s="24">
        <v>1</v>
      </c>
      <c r="H579" s="24">
        <v>300</v>
      </c>
      <c r="I579" s="23">
        <v>2099.62</v>
      </c>
      <c r="J579" s="24" cm="1">
        <f t="array" ref="J579">SUMPRODUCT(
    (Transactions_and_Customer_Information_Joined[Customer ID]='V1-Based Churn Model (Step 3)'!$A579) *
    (IFERROR(_xlfn.XLOOKUP(Transactions_and_Customer_Information_Joined[SKU], 'V1 Pricing Model (Step 2)'!$A$22:$A$71, 'V1 Pricing Model (Step 2)'!$AL$22:$AL$71), "Exclude")&lt;&gt;"Exclude") *
    Transactions_and_Customer_Information_Joined[Gross Revenue])</f>
        <v>133.99</v>
      </c>
      <c r="K579" s="24">
        <f>SUMIF(Transactions_and_Customer_Information_Joined[Customer ID], 'V1-Based Churn Model (Step 3)'!$A579, Transactions_and_Customer_Information_Joined[Gross Revenue])</f>
        <v>133.99</v>
      </c>
      <c r="L579" s="3">
        <f t="shared" si="48"/>
        <v>1</v>
      </c>
      <c r="M579" s="21">
        <v>0.18240919880904002</v>
      </c>
      <c r="N579" s="21" cm="1">
        <f t="array" ref="N579">SUMPRODUCT(
    (Transactions_and_Customer_Information_Joined[Customer ID]=$A579)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79" s="21" cm="1">
        <f t="array" ref="O579">IFERROR(
    SUMPRODUCT(
        (Transactions_and_Customer_Information_Joined[Customer ID]=$A579)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$J579,
0)</f>
        <v>0.18240919880904002</v>
      </c>
      <c r="P579" s="5" cm="1">
        <f t="array" ref="P579">_xlfn.IFS(B579="At-Risk Churner",$B$2,$B579="Dormant",$B$3,$B579="Deal Hunter",$B$4,$B579="New Customer",$B$5,$B579="Occasional Buyer",$B$6,$B579="Loyal High-Value",$B$7)</f>
        <v>15</v>
      </c>
      <c r="Q579" s="9" cm="1">
        <f t="array" ref="Q579">_xlfn.IFS($B579 = "At-Risk Churner", $B$8, $B579="Dormant",$B$9, $B579="Deal Hunter", $B$10, $B579="New Customer", $B$11, $B579="Occasional Buyer", $B$12, $B579 = "Loyal High-Value",$B$13)</f>
        <v>0.05</v>
      </c>
      <c r="R579" s="5">
        <v>15</v>
      </c>
      <c r="S579" s="5">
        <v>10</v>
      </c>
      <c r="T579" s="5">
        <v>8</v>
      </c>
      <c r="U579" s="5">
        <f t="shared" si="49"/>
        <v>15</v>
      </c>
      <c r="V579" s="5">
        <f t="shared" si="50"/>
        <v>7.2963679523616012</v>
      </c>
      <c r="W579" s="43">
        <f t="shared" si="51"/>
        <v>70.783867952361618</v>
      </c>
      <c r="X579" s="5" t="str" cm="1">
        <f t="array" ref="X579">_xlfn.IFS($W579 &lt;= 30, "Low", $W579 &lt;=50, "Medium", $W579 &lt;= 70, "High", $W579 &gt; 70, "Critical")</f>
        <v>Critical</v>
      </c>
      <c r="Y579" s="9">
        <f t="shared" si="52"/>
        <v>4.4439233683168572E-2</v>
      </c>
      <c r="Z579" s="22">
        <f t="shared" si="53"/>
        <v>93.305503825854387</v>
      </c>
    </row>
    <row r="580" spans="1:26">
      <c r="A580" s="24" t="str">
        <v>CUST-3850</v>
      </c>
      <c r="B580" s="24" t="str">
        <v>Deal Hunter</v>
      </c>
      <c r="C580" s="24" t="str">
        <v>Organic Search</v>
      </c>
      <c r="D580" s="24" t="str">
        <v>Southeast</v>
      </c>
      <c r="E580" s="24" t="str">
        <v>55+</v>
      </c>
      <c r="F580" s="24" t="str">
        <v>Medium</v>
      </c>
      <c r="G580" s="24">
        <v>9</v>
      </c>
      <c r="H580" s="24">
        <v>309</v>
      </c>
      <c r="I580" s="23">
        <v>201.02</v>
      </c>
      <c r="J580" s="24" cm="1">
        <f t="array" ref="J580">SUMPRODUCT(
    (Transactions_and_Customer_Information_Joined[Customer ID]='V1-Based Churn Model (Step 3)'!$A580) *
    (IFERROR(_xlfn.XLOOKUP(Transactions_and_Customer_Information_Joined[SKU], 'V1 Pricing Model (Step 2)'!$A$22:$A$71, 'V1 Pricing Model (Step 2)'!$AL$22:$AL$71), "Exclude")&lt;&gt;"Exclude") *
    Transactions_and_Customer_Information_Joined[Gross Revenue])</f>
        <v>145.4</v>
      </c>
      <c r="K580" s="24">
        <f>SUMIF(Transactions_and_Customer_Information_Joined[Customer ID], 'V1-Based Churn Model (Step 3)'!$A580, Transactions_and_Customer_Information_Joined[Gross Revenue])</f>
        <v>145.4</v>
      </c>
      <c r="L580" s="3">
        <f t="shared" si="48"/>
        <v>1</v>
      </c>
      <c r="M580" s="21">
        <v>6.4419042005321461E-2</v>
      </c>
      <c r="N580" s="21" cm="1">
        <f t="array" ref="N580">SUMPRODUCT(
    (Transactions_and_Customer_Information_Joined[Customer ID]=$A580)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80" s="21" cm="1">
        <f t="array" ref="O580">IFERROR(
    SUMPRODUCT(
        (Transactions_and_Customer_Information_Joined[Customer ID]=$A580)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$J580,
0)</f>
        <v>6.4419042005321461E-2</v>
      </c>
      <c r="P580" s="5" cm="1">
        <f t="array" ref="P580">_xlfn.IFS(B580="At-Risk Churner",$B$2,$B580="Dormant",$B$3,$B580="Deal Hunter",$B$4,$B580="New Customer",$B$5,$B580="Occasional Buyer",$B$6,$B580="Loyal High-Value",$B$7)</f>
        <v>45</v>
      </c>
      <c r="Q580" s="9" cm="1">
        <f t="array" ref="Q580">_xlfn.IFS($B580 = "At-Risk Churner", $B$8, $B580="Dormant",$B$9, $B580="Deal Hunter", $B$10, $B580="New Customer", $B$11, $B580="Occasional Buyer", $B$12, $B580 = "Loyal High-Value",$B$13)</f>
        <v>0.25</v>
      </c>
      <c r="R580" s="5">
        <v>5</v>
      </c>
      <c r="S580" s="5">
        <v>-8</v>
      </c>
      <c r="T580" s="5">
        <v>15</v>
      </c>
      <c r="U580" s="5">
        <f t="shared" si="49"/>
        <v>15</v>
      </c>
      <c r="V580" s="5">
        <f t="shared" si="50"/>
        <v>2.5767616802128583</v>
      </c>
      <c r="W580" s="43">
        <f t="shared" si="51"/>
        <v>74.329261680212852</v>
      </c>
      <c r="X580" s="5" t="str" cm="1">
        <f t="array" ref="X580">_xlfn.IFS($W580 &lt;= 30, "Low", $W580 &lt;=50, "Medium", $W580 &lt;= 70, "High", $W580 &gt; 70, "Critical")</f>
        <v>Critical</v>
      </c>
      <c r="Y580" s="9">
        <f t="shared" si="52"/>
        <v>0.22982596872721758</v>
      </c>
      <c r="Z580" s="22">
        <f t="shared" si="53"/>
        <v>46.199616233545278</v>
      </c>
    </row>
    <row r="581" spans="1:26">
      <c r="A581" s="24" t="str">
        <v>CUST-4173</v>
      </c>
      <c r="B581" s="24" t="str">
        <v>Occasional Buyer</v>
      </c>
      <c r="C581" s="24" t="str">
        <v>Email Campaign</v>
      </c>
      <c r="D581" s="24" t="str">
        <v>Canada</v>
      </c>
      <c r="E581" s="24" t="str">
        <v>25-34</v>
      </c>
      <c r="F581" s="24" t="str">
        <v>Medium</v>
      </c>
      <c r="G581" s="24">
        <v>9</v>
      </c>
      <c r="H581" s="24">
        <v>198</v>
      </c>
      <c r="I581" s="23">
        <v>523.67999999999995</v>
      </c>
      <c r="J581" s="24" cm="1">
        <f t="array" ref="J581">SUMPRODUCT(
    (Transactions_and_Customer_Information_Joined[Customer ID]='V1-Based Churn Model (Step 3)'!$A581) *
    (IFERROR(_xlfn.XLOOKUP(Transactions_and_Customer_Information_Joined[SKU], 'V1 Pricing Model (Step 2)'!$A$22:$A$71, 'V1 Pricing Model (Step 2)'!$AL$22:$AL$71), "Exclude")&lt;&gt;"Exclude") *
    Transactions_and_Customer_Information_Joined[Gross Revenue])</f>
        <v>34.479999999999997</v>
      </c>
      <c r="K581" s="24">
        <f>SUMIF(Transactions_and_Customer_Information_Joined[Customer ID], 'V1-Based Churn Model (Step 3)'!$A581, Transactions_and_Customer_Information_Joined[Gross Revenue])</f>
        <v>34.479999999999997</v>
      </c>
      <c r="L581" s="3">
        <f t="shared" si="48"/>
        <v>1</v>
      </c>
      <c r="M581" s="21">
        <v>7.0422329455997176E-2</v>
      </c>
      <c r="N581" s="21" cm="1">
        <f t="array" ref="N581">SUMPRODUCT(
    (Transactions_and_Customer_Information_Joined[Customer ID]=$A581)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81" s="21" cm="1">
        <f t="array" ref="O581">IFERROR(
    SUMPRODUCT(
        (Transactions_and_Customer_Information_Joined[Customer ID]=$A581)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$J581,
0)</f>
        <v>7.0422329455997176E-2</v>
      </c>
      <c r="P581" s="5" cm="1">
        <f t="array" ref="P581">_xlfn.IFS(B581="At-Risk Churner",$B$2,$B581="Dormant",$B$3,$B581="Deal Hunter",$B$4,$B581="New Customer",$B$5,$B581="Occasional Buyer",$B$6,$B581="Loyal High-Value",$B$7)</f>
        <v>25</v>
      </c>
      <c r="Q581" s="9" cm="1">
        <f t="array" ref="Q581">_xlfn.IFS($B581 = "At-Risk Churner", $B$8, $B581="Dormant",$B$9, $B581="Deal Hunter", $B$10, $B581="New Customer", $B$11, $B581="Occasional Buyer", $B$12, $B581 = "Loyal High-Value",$B$13)</f>
        <v>0.18</v>
      </c>
      <c r="R581" s="5">
        <v>5</v>
      </c>
      <c r="S581" s="5">
        <v>-8</v>
      </c>
      <c r="T581" s="5">
        <v>8</v>
      </c>
      <c r="U581" s="5">
        <f t="shared" si="49"/>
        <v>15</v>
      </c>
      <c r="V581" s="5">
        <f t="shared" si="50"/>
        <v>2.8168931782398872</v>
      </c>
      <c r="W581" s="43">
        <f t="shared" si="51"/>
        <v>47.729393178239881</v>
      </c>
      <c r="X581" s="5" t="str" cm="1">
        <f t="array" ref="X581">_xlfn.IFS($W581 &lt;= 30, "Low", $W581 &lt;=50, "Medium", $W581 &lt;= 70, "High", $W581 &gt; 70, "Critical")</f>
        <v>Medium</v>
      </c>
      <c r="Y581" s="9">
        <f t="shared" si="52"/>
        <v>7.982594339550661E-2</v>
      </c>
      <c r="Z581" s="22">
        <f t="shared" si="53"/>
        <v>138.17860002988712</v>
      </c>
    </row>
    <row r="582" spans="1:26">
      <c r="A582" s="24" t="str">
        <v>CUST-3899</v>
      </c>
      <c r="B582" s="24" t="str">
        <v>Loyal High-Value</v>
      </c>
      <c r="C582" s="24" t="str">
        <v>Direct</v>
      </c>
      <c r="D582" s="24" t="str">
        <v>Northeast</v>
      </c>
      <c r="E582" s="24" t="str">
        <v>25-34</v>
      </c>
      <c r="F582" s="24" t="str">
        <v>High</v>
      </c>
      <c r="G582" s="24">
        <v>1</v>
      </c>
      <c r="H582" s="24">
        <v>41</v>
      </c>
      <c r="I582" s="23">
        <v>1107.68</v>
      </c>
      <c r="J582" s="24" cm="1">
        <f t="array" ref="J582">SUMPRODUCT(
    (Transactions_and_Customer_Information_Joined[Customer ID]='V1-Based Churn Model (Step 3)'!$A582) *
    (IFERROR(_xlfn.XLOOKUP(Transactions_and_Customer_Information_Joined[SKU], 'V1 Pricing Model (Step 2)'!$A$22:$A$71, 'V1 Pricing Model (Step 2)'!$AL$22:$AL$71), "Exclude")&lt;&gt;"Exclude") *
    Transactions_and_Customer_Information_Joined[Gross Revenue])</f>
        <v>320.7</v>
      </c>
      <c r="K582" s="24">
        <f>SUMIF(Transactions_and_Customer_Information_Joined[Customer ID], 'V1-Based Churn Model (Step 3)'!$A582, Transactions_and_Customer_Information_Joined[Gross Revenue])</f>
        <v>320.7</v>
      </c>
      <c r="L582" s="3">
        <f t="shared" si="48"/>
        <v>1</v>
      </c>
      <c r="M582" s="21">
        <v>0.13680891237597953</v>
      </c>
      <c r="N582" s="21" cm="1">
        <f t="array" ref="N582">SUMPRODUCT(
    (Transactions_and_Customer_Information_Joined[Customer ID]=$A582)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82" s="21" cm="1">
        <f t="array" ref="O582">IFERROR(
    SUMPRODUCT(
        (Transactions_and_Customer_Information_Joined[Customer ID]=$A582)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$J582,
0)</f>
        <v>0.13680891237597953</v>
      </c>
      <c r="P582" s="5" cm="1">
        <f t="array" ref="P582">_xlfn.IFS(B582="At-Risk Churner",$B$2,$B582="Dormant",$B$3,$B582="Deal Hunter",$B$4,$B582="New Customer",$B$5,$B582="Occasional Buyer",$B$6,$B582="Loyal High-Value",$B$7)</f>
        <v>15</v>
      </c>
      <c r="Q582" s="9" cm="1">
        <f t="array" ref="Q582">_xlfn.IFS($B582 = "At-Risk Churner", $B$8, $B582="Dormant",$B$9, $B582="Deal Hunter", $B$10, $B582="New Customer", $B$11, $B582="Occasional Buyer", $B$12, $B582 = "Loyal High-Value",$B$13)</f>
        <v>0.05</v>
      </c>
      <c r="R582" s="5">
        <v>15</v>
      </c>
      <c r="S582" s="5">
        <v>10</v>
      </c>
      <c r="T582" s="5">
        <v>-5</v>
      </c>
      <c r="U582" s="5">
        <f t="shared" si="49"/>
        <v>15</v>
      </c>
      <c r="V582" s="5">
        <f t="shared" si="50"/>
        <v>5.4723564950391808</v>
      </c>
      <c r="W582" s="43">
        <f t="shared" si="51"/>
        <v>55.959856495039176</v>
      </c>
      <c r="X582" s="5" t="str" cm="1">
        <f t="array" ref="X582">_xlfn.IFS($W582 &lt;= 30, "Low", $W582 &lt;=50, "Medium", $W582 &lt;= 70, "High", $W582 &gt; 70, "Critical")</f>
        <v>High</v>
      </c>
      <c r="Y582" s="9">
        <f t="shared" si="52"/>
        <v>3.2236867500139453E-2</v>
      </c>
      <c r="Z582" s="22">
        <f t="shared" si="53"/>
        <v>250.10250671404361</v>
      </c>
    </row>
    <row r="583" spans="1:26">
      <c r="A583" s="24" t="str">
        <v>CUST-3318</v>
      </c>
      <c r="B583" s="24" t="str">
        <v>Dormant</v>
      </c>
      <c r="C583" s="24" t="str">
        <v>Referral</v>
      </c>
      <c r="D583" s="24" t="str">
        <v>West</v>
      </c>
      <c r="E583" s="24" t="str">
        <v>45-54</v>
      </c>
      <c r="F583" s="24" t="str">
        <v>High</v>
      </c>
      <c r="G583" s="24">
        <v>0</v>
      </c>
      <c r="H583" s="24">
        <v>281</v>
      </c>
      <c r="I583" s="23">
        <v>170.81</v>
      </c>
      <c r="J583" s="24" cm="1">
        <f t="array" ref="J583">SUMPRODUCT(
    (Transactions_and_Customer_Information_Joined[Customer ID]='V1-Based Churn Model (Step 3)'!$A583) *
    (IFERROR(_xlfn.XLOOKUP(Transactions_and_Customer_Information_Joined[SKU], 'V1 Pricing Model (Step 2)'!$A$22:$A$71, 'V1 Pricing Model (Step 2)'!$AL$22:$AL$71), "Exclude")&lt;&gt;"Exclude") *
    Transactions_and_Customer_Information_Joined[Gross Revenue])</f>
        <v>790.08</v>
      </c>
      <c r="K583" s="24">
        <f>SUMIF(Transactions_and_Customer_Information_Joined[Customer ID], 'V1-Based Churn Model (Step 3)'!$A583, Transactions_and_Customer_Information_Joined[Gross Revenue])</f>
        <v>790.08</v>
      </c>
      <c r="L583" s="3">
        <f t="shared" si="48"/>
        <v>1</v>
      </c>
      <c r="M583" s="21">
        <v>5.4598129129915428E-2</v>
      </c>
      <c r="N583" s="21" cm="1">
        <f t="array" ref="N583">SUMPRODUCT(
    (Transactions_and_Customer_Information_Joined[Customer ID]=$A583)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83" s="21" cm="1">
        <f t="array" ref="O583">IFERROR(
    SUMPRODUCT(
        (Transactions_and_Customer_Information_Joined[Customer ID]=$A583)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$J583,
0)</f>
        <v>5.4598129129915428E-2</v>
      </c>
      <c r="P583" s="5" cm="1">
        <f t="array" ref="P583">_xlfn.IFS(B583="At-Risk Churner",$B$2,$B583="Dormant",$B$3,$B583="Deal Hunter",$B$4,$B583="New Customer",$B$5,$B583="Occasional Buyer",$B$6,$B583="Loyal High-Value",$B$7)</f>
        <v>65</v>
      </c>
      <c r="Q583" s="9" cm="1">
        <f t="array" ref="Q583">_xlfn.IFS($B583 = "At-Risk Churner", $B$8, $B583="Dormant",$B$9, $B583="Deal Hunter", $B$10, $B583="New Customer", $B$11, $B583="Occasional Buyer", $B$12, $B583 = "Loyal High-Value",$B$13)</f>
        <v>0.6</v>
      </c>
      <c r="R583" s="5">
        <v>15</v>
      </c>
      <c r="S583" s="5">
        <v>10</v>
      </c>
      <c r="T583" s="5">
        <v>8</v>
      </c>
      <c r="U583" s="5">
        <f t="shared" si="49"/>
        <v>15</v>
      </c>
      <c r="V583" s="5">
        <f t="shared" si="50"/>
        <v>2.1839251651966172</v>
      </c>
      <c r="W583" s="43">
        <f t="shared" si="51"/>
        <v>100</v>
      </c>
      <c r="X583" s="5" t="str" cm="1">
        <f t="array" ref="X583">_xlfn.IFS($W583 &lt;= 30, "Low", $W583 &lt;=50, "Medium", $W583 &lt;= 70, "High", $W583 &gt; 70, "Critical")</f>
        <v>Critical</v>
      </c>
      <c r="Y583" s="9">
        <f t="shared" si="52"/>
        <v>0.59598428944542914</v>
      </c>
      <c r="Z583" s="22">
        <f t="shared" si="53"/>
        <v>101.80007648017376</v>
      </c>
    </row>
    <row r="584" spans="1:26">
      <c r="A584" s="24" t="str">
        <v>CUST-3817</v>
      </c>
      <c r="B584" s="24" t="str">
        <v>Loyal High-Value</v>
      </c>
      <c r="C584" s="24" t="str">
        <v>Direct</v>
      </c>
      <c r="D584" s="24" t="str">
        <v>Southwest</v>
      </c>
      <c r="E584" s="24" t="str">
        <v>25-34</v>
      </c>
      <c r="F584" s="24" t="str">
        <v>High</v>
      </c>
      <c r="G584" s="24">
        <v>10</v>
      </c>
      <c r="H584" s="24">
        <v>307</v>
      </c>
      <c r="I584" s="23">
        <v>1725.58</v>
      </c>
      <c r="J584" s="24" cm="1">
        <f t="array" ref="J584">SUMPRODUCT(
    (Transactions_and_Customer_Information_Joined[Customer ID]='V1-Based Churn Model (Step 3)'!$A584) *
    (IFERROR(_xlfn.XLOOKUP(Transactions_and_Customer_Information_Joined[SKU], 'V1 Pricing Model (Step 2)'!$A$22:$A$71, 'V1 Pricing Model (Step 2)'!$AL$22:$AL$71), "Exclude")&lt;&gt;"Exclude") *
    Transactions_and_Customer_Information_Joined[Gross Revenue])</f>
        <v>414.24</v>
      </c>
      <c r="K584" s="24">
        <f>SUMIF(Transactions_and_Customer_Information_Joined[Customer ID], 'V1-Based Churn Model (Step 3)'!$A584, Transactions_and_Customer_Information_Joined[Gross Revenue])</f>
        <v>414.24</v>
      </c>
      <c r="L584" s="3">
        <f t="shared" si="48"/>
        <v>1</v>
      </c>
      <c r="M584" s="21">
        <v>1.0827913756041518E-3</v>
      </c>
      <c r="N584" s="21" cm="1">
        <f t="array" ref="N584">SUMPRODUCT(
    (Transactions_and_Customer_Information_Joined[Customer ID]=$A584)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84" s="21" cm="1">
        <f t="array" ref="O584">IFERROR(
    SUMPRODUCT(
        (Transactions_and_Customer_Information_Joined[Customer ID]=$A584)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$J584,
0)</f>
        <v>1.0827913756041518E-3</v>
      </c>
      <c r="P584" s="5" cm="1">
        <f t="array" ref="P584">_xlfn.IFS(B584="At-Risk Churner",$B$2,$B584="Dormant",$B$3,$B584="Deal Hunter",$B$4,$B584="New Customer",$B$5,$B584="Occasional Buyer",$B$6,$B584="Loyal High-Value",$B$7)</f>
        <v>15</v>
      </c>
      <c r="Q584" s="9" cm="1">
        <f t="array" ref="Q584">_xlfn.IFS($B584 = "At-Risk Churner", $B$8, $B584="Dormant",$B$9, $B584="Deal Hunter", $B$10, $B584="New Customer", $B$11, $B584="Occasional Buyer", $B$12, $B584 = "Loyal High-Value",$B$13)</f>
        <v>0.05</v>
      </c>
      <c r="R584" s="5">
        <v>15</v>
      </c>
      <c r="S584" s="5">
        <v>-8</v>
      </c>
      <c r="T584" s="5">
        <v>15</v>
      </c>
      <c r="U584" s="5">
        <f t="shared" si="49"/>
        <v>15</v>
      </c>
      <c r="V584" s="5">
        <f t="shared" si="50"/>
        <v>4.3311655024166069E-2</v>
      </c>
      <c r="W584" s="43">
        <f t="shared" si="51"/>
        <v>52.26081165502417</v>
      </c>
      <c r="X584" s="5" t="str" cm="1">
        <f t="array" ref="X584">_xlfn.IFS($W584 &lt;= 30, "Low", $W584 &lt;=50, "Medium", $W584 &lt;= 70, "High", $W584 &gt; 70, "Critical")</f>
        <v>High</v>
      </c>
      <c r="Y584" s="9">
        <f t="shared" si="52"/>
        <v>2.7814038675724025E-2</v>
      </c>
      <c r="Z584" s="22">
        <f t="shared" si="53"/>
        <v>383.51227908644472</v>
      </c>
    </row>
    <row r="585" spans="1:26">
      <c r="A585" s="24" t="str">
        <v>CUST-4406</v>
      </c>
      <c r="B585" s="24" t="str">
        <v>Loyal High-Value</v>
      </c>
      <c r="C585" s="24" t="str">
        <v>Organic Search</v>
      </c>
      <c r="D585" s="24" t="str">
        <v>Southeast</v>
      </c>
      <c r="E585" s="24" t="str">
        <v>45-54</v>
      </c>
      <c r="F585" s="24" t="str">
        <v>High</v>
      </c>
      <c r="G585" s="24">
        <v>10</v>
      </c>
      <c r="H585" s="24">
        <v>114</v>
      </c>
      <c r="I585" s="23">
        <v>1891.27</v>
      </c>
      <c r="J585" s="24" cm="1">
        <f t="array" ref="J585">SUMPRODUCT(
    (Transactions_and_Customer_Information_Joined[Customer ID]='V1-Based Churn Model (Step 3)'!$A585) *
    (IFERROR(_xlfn.XLOOKUP(Transactions_and_Customer_Information_Joined[SKU], 'V1 Pricing Model (Step 2)'!$A$22:$A$71, 'V1 Pricing Model (Step 2)'!$AL$22:$AL$71), "Exclude")&lt;&gt;"Exclude") *
    Transactions_and_Customer_Information_Joined[Gross Revenue])</f>
        <v>24.9</v>
      </c>
      <c r="K585" s="24">
        <f>SUMIF(Transactions_and_Customer_Information_Joined[Customer ID], 'V1-Based Churn Model (Step 3)'!$A585, Transactions_and_Customer_Information_Joined[Gross Revenue])</f>
        <v>24.9</v>
      </c>
      <c r="L585" s="3">
        <f t="shared" si="48"/>
        <v>1</v>
      </c>
      <c r="M585" s="21">
        <v>-0.13274948234794526</v>
      </c>
      <c r="N585" s="21" cm="1">
        <f t="array" ref="N585">SUMPRODUCT(
    (Transactions_and_Customer_Information_Joined[Customer ID]=$A585)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85" s="21" cm="1">
        <f t="array" ref="O585">IFERROR(
    SUMPRODUCT(
        (Transactions_and_Customer_Information_Joined[Customer ID]=$A585)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$J585,
0)</f>
        <v>-0.13274948234794526</v>
      </c>
      <c r="P585" s="5" cm="1">
        <f t="array" ref="P585">_xlfn.IFS(B585="At-Risk Churner",$B$2,$B585="Dormant",$B$3,$B585="Deal Hunter",$B$4,$B585="New Customer",$B$5,$B585="Occasional Buyer",$B$6,$B585="Loyal High-Value",$B$7)</f>
        <v>15</v>
      </c>
      <c r="Q585" s="9" cm="1">
        <f t="array" ref="Q585">_xlfn.IFS($B585 = "At-Risk Churner", $B$8, $B585="Dormant",$B$9, $B585="Deal Hunter", $B$10, $B585="New Customer", $B$11, $B585="Occasional Buyer", $B$12, $B585 = "Loyal High-Value",$B$13)</f>
        <v>0.05</v>
      </c>
      <c r="R585" s="5">
        <v>15</v>
      </c>
      <c r="S585" s="5">
        <v>-8</v>
      </c>
      <c r="T585" s="5">
        <v>0</v>
      </c>
      <c r="U585" s="5">
        <f t="shared" si="49"/>
        <v>15</v>
      </c>
      <c r="V585" s="5">
        <f t="shared" si="50"/>
        <v>5.3099792939178103</v>
      </c>
      <c r="W585" s="43">
        <f t="shared" si="51"/>
        <v>42.527479293917814</v>
      </c>
      <c r="X585" s="5" t="str" cm="1">
        <f t="array" ref="X585">_xlfn.IFS($W585 &lt;= 30, "Low", $W585 &lt;=50, "Medium", $W585 &lt;= 70, "High", $W585 &gt; 70, "Critical")</f>
        <v>Medium</v>
      </c>
      <c r="Y585" s="9">
        <f t="shared" si="52"/>
        <v>1.6071017773105305E-2</v>
      </c>
      <c r="Z585" s="22">
        <f t="shared" si="53"/>
        <v>402.56970702699272</v>
      </c>
    </row>
    <row r="586" spans="1:26">
      <c r="A586" s="24" t="str">
        <v>CUST-1916</v>
      </c>
      <c r="B586" s="24" t="str">
        <v>Occasional Buyer</v>
      </c>
      <c r="C586" s="24" t="str">
        <v>Referral</v>
      </c>
      <c r="D586" s="24" t="str">
        <v>West</v>
      </c>
      <c r="E586" s="24" t="str">
        <v>35-44</v>
      </c>
      <c r="F586" s="24" t="str">
        <v>Medium</v>
      </c>
      <c r="G586" s="24">
        <v>0</v>
      </c>
      <c r="H586" s="24">
        <v>16</v>
      </c>
      <c r="I586" s="23">
        <v>208.57</v>
      </c>
      <c r="J586" s="24" cm="1">
        <f t="array" ref="J586">SUMPRODUCT(
    (Transactions_and_Customer_Information_Joined[Customer ID]='V1-Based Churn Model (Step 3)'!$A586)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586" s="24">
        <f>SUMIF(Transactions_and_Customer_Information_Joined[Customer ID], 'V1-Based Churn Model (Step 3)'!$A586, Transactions_and_Customer_Information_Joined[Gross Revenue])</f>
        <v>163.19999999999999</v>
      </c>
      <c r="L586" s="3">
        <f t="shared" si="48"/>
        <v>0</v>
      </c>
      <c r="M586" s="21">
        <v>0</v>
      </c>
      <c r="N586" s="21" cm="1">
        <f t="array" ref="N586">SUMPRODUCT(
    (Transactions_and_Customer_Information_Joined[Customer ID]=$A586)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586" s="21" cm="1">
        <f t="array" ref="O586">IFERROR(
    SUMPRODUCT(
        (Transactions_and_Customer_Information_Joined[Customer ID]=$A586)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$J586,
0)</f>
        <v>0</v>
      </c>
      <c r="P586" s="5" cm="1">
        <f t="array" ref="P586">_xlfn.IFS(B586="At-Risk Churner",$B$2,$B586="Dormant",$B$3,$B586="Deal Hunter",$B$4,$B586="New Customer",$B$5,$B586="Occasional Buyer",$B$6,$B586="Loyal High-Value",$B$7)</f>
        <v>25</v>
      </c>
      <c r="Q586" s="9" cm="1">
        <f t="array" ref="Q586">_xlfn.IFS($B586 = "At-Risk Churner", $B$8, $B586="Dormant",$B$9, $B586="Deal Hunter", $B$10, $B586="New Customer", $B$11, $B586="Occasional Buyer", $B$12, $B586 = "Loyal High-Value",$B$13)</f>
        <v>0.18</v>
      </c>
      <c r="R586" s="5">
        <v>5</v>
      </c>
      <c r="S586" s="5">
        <v>10</v>
      </c>
      <c r="T586" s="5">
        <v>-5</v>
      </c>
      <c r="U586" s="5">
        <f t="shared" si="49"/>
        <v>0</v>
      </c>
      <c r="V586" s="5">
        <f t="shared" si="50"/>
        <v>0</v>
      </c>
      <c r="W586" s="43">
        <f t="shared" si="51"/>
        <v>35.25</v>
      </c>
      <c r="X586" s="5" t="str" cm="1">
        <f t="array" ref="X586">_xlfn.IFS($W586 &lt;= 30, "Low", $W586 &lt;=50, "Medium", $W586 &lt;= 70, "High", $W586 &gt; 70, "Critical")</f>
        <v>Medium</v>
      </c>
      <c r="Y586" s="9">
        <f t="shared" si="52"/>
        <v>3.3513089022271535E-2</v>
      </c>
      <c r="Z586" s="22">
        <f t="shared" si="53"/>
        <v>47.305859981900142</v>
      </c>
    </row>
    <row r="587" spans="1:26">
      <c r="A587" s="24" t="str">
        <v>CUST-1272</v>
      </c>
      <c r="B587" s="24" t="str">
        <v>New Customer</v>
      </c>
      <c r="C587" s="24" t="str">
        <v>Direct</v>
      </c>
      <c r="D587" s="24" t="str">
        <v>Northeast</v>
      </c>
      <c r="E587" s="24" t="str">
        <v>25-34</v>
      </c>
      <c r="F587" s="24" t="str">
        <v>High</v>
      </c>
      <c r="G587" s="24">
        <v>0</v>
      </c>
      <c r="H587" s="24">
        <v>218</v>
      </c>
      <c r="I587" s="23">
        <v>42.23</v>
      </c>
      <c r="J587" s="24" cm="1">
        <f t="array" ref="J587">SUMPRODUCT(
    (Transactions_and_Customer_Information_Joined[Customer ID]='V1-Based Churn Model (Step 3)'!$A587)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587" s="24">
        <f>SUMIF(Transactions_and_Customer_Information_Joined[Customer ID], 'V1-Based Churn Model (Step 3)'!$A587, Transactions_and_Customer_Information_Joined[Gross Revenue])</f>
        <v>616.12</v>
      </c>
      <c r="L587" s="3">
        <f t="shared" si="48"/>
        <v>0</v>
      </c>
      <c r="M587" s="21">
        <v>0</v>
      </c>
      <c r="N587" s="21" cm="1">
        <f t="array" ref="N587">SUMPRODUCT(
    (Transactions_and_Customer_Information_Joined[Customer ID]=$A587)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587" s="21" cm="1">
        <f t="array" ref="O587">IFERROR(
    SUMPRODUCT(
        (Transactions_and_Customer_Information_Joined[Customer ID]=$A587)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$J587,
0)</f>
        <v>0</v>
      </c>
      <c r="P587" s="5" cm="1">
        <f t="array" ref="P587">_xlfn.IFS(B587="At-Risk Churner",$B$2,$B587="Dormant",$B$3,$B587="Deal Hunter",$B$4,$B587="New Customer",$B$5,$B587="Occasional Buyer",$B$6,$B587="Loyal High-Value",$B$7)</f>
        <v>35</v>
      </c>
      <c r="Q587" s="9" cm="1">
        <f t="array" ref="Q587">_xlfn.IFS($B587 = "At-Risk Churner", $B$8, $B587="Dormant",$B$9, $B587="Deal Hunter", $B$10, $B587="New Customer", $B$11, $B587="Occasional Buyer", $B$12, $B587 = "Loyal High-Value",$B$13)</f>
        <v>0.35</v>
      </c>
      <c r="R587" s="5">
        <v>15</v>
      </c>
      <c r="S587" s="5">
        <v>10</v>
      </c>
      <c r="T587" s="5">
        <v>8</v>
      </c>
      <c r="U587" s="5">
        <f t="shared" si="49"/>
        <v>0</v>
      </c>
      <c r="V587" s="5">
        <f t="shared" si="50"/>
        <v>0</v>
      </c>
      <c r="W587" s="43">
        <f t="shared" si="51"/>
        <v>68.349999999999994</v>
      </c>
      <c r="X587" s="5" t="str" cm="1">
        <f t="array" ref="X587">_xlfn.IFS($W587 &lt;= 30, "Low", $W587 &lt;=50, "Medium", $W587 &lt;= 70, "High", $W587 &gt; 70, "Critical")</f>
        <v>High</v>
      </c>
      <c r="Y587" s="9">
        <f t="shared" si="52"/>
        <v>0.30182470233947628</v>
      </c>
      <c r="Z587" s="22">
        <f t="shared" si="53"/>
        <v>18.642845743836865</v>
      </c>
    </row>
    <row r="588" spans="1:26">
      <c r="A588" s="24" t="str">
        <v>CUST-1154</v>
      </c>
      <c r="B588" s="24" t="str">
        <v>At-Risk Churner</v>
      </c>
      <c r="C588" s="24" t="str">
        <v>Email Campaign</v>
      </c>
      <c r="D588" s="24" t="str">
        <v>UK</v>
      </c>
      <c r="E588" s="24" t="str">
        <v>55+</v>
      </c>
      <c r="F588" s="24" t="str">
        <v>High</v>
      </c>
      <c r="G588" s="24">
        <v>3</v>
      </c>
      <c r="H588" s="24">
        <v>278</v>
      </c>
      <c r="I588" s="23">
        <v>384.79</v>
      </c>
      <c r="J588" s="24" cm="1">
        <f t="array" ref="J588">SUMPRODUCT(
    (Transactions_and_Customer_Information_Joined[Customer ID]='V1-Based Churn Model (Step 3)'!$A588) *
    (IFERROR(_xlfn.XLOOKUP(Transactions_and_Customer_Information_Joined[SKU], 'V1 Pricing Model (Step 2)'!$A$22:$A$71, 'V1 Pricing Model (Step 2)'!$AL$22:$AL$71), "Exclude")&lt;&gt;"Exclude") *
    Transactions_and_Customer_Information_Joined[Gross Revenue])</f>
        <v>137.91999999999999</v>
      </c>
      <c r="K588" s="24">
        <f>SUMIF(Transactions_and_Customer_Information_Joined[Customer ID], 'V1-Based Churn Model (Step 3)'!$A588, Transactions_and_Customer_Information_Joined[Gross Revenue])</f>
        <v>137.91999999999999</v>
      </c>
      <c r="L588" s="3">
        <f t="shared" si="48"/>
        <v>1</v>
      </c>
      <c r="M588" s="21">
        <v>7.0422329455997176E-2</v>
      </c>
      <c r="N588" s="21" cm="1">
        <f t="array" ref="N588">SUMPRODUCT(
    (Transactions_and_Customer_Information_Joined[Customer ID]=$A588)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88" s="21" cm="1">
        <f t="array" ref="O588">IFERROR(
    SUMPRODUCT(
        (Transactions_and_Customer_Information_Joined[Customer ID]=$A588)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$J588,
0)</f>
        <v>7.0422329455997176E-2</v>
      </c>
      <c r="P588" s="5" cm="1">
        <f t="array" ref="P588">_xlfn.IFS(B588="At-Risk Churner",$B$2,$B588="Dormant",$B$3,$B588="Deal Hunter",$B$4,$B588="New Customer",$B$5,$B588="Occasional Buyer",$B$6,$B588="Loyal High-Value",$B$7)</f>
        <v>70</v>
      </c>
      <c r="Q588" s="9" cm="1">
        <f t="array" ref="Q588">_xlfn.IFS($B588 = "At-Risk Churner", $B$8, $B588="Dormant",$B$9, $B588="Deal Hunter", $B$10, $B588="New Customer", $B$11, $B588="Occasional Buyer", $B$12, $B588 = "Loyal High-Value",$B$13)</f>
        <v>0.45</v>
      </c>
      <c r="R588" s="5">
        <v>15</v>
      </c>
      <c r="S588" s="5">
        <v>10</v>
      </c>
      <c r="T588" s="5">
        <v>8</v>
      </c>
      <c r="U588" s="5">
        <f t="shared" si="49"/>
        <v>15</v>
      </c>
      <c r="V588" s="5">
        <f t="shared" si="50"/>
        <v>2.8168931782398872</v>
      </c>
      <c r="W588" s="43">
        <f t="shared" si="51"/>
        <v>100</v>
      </c>
      <c r="X588" s="5" t="str" cm="1">
        <f t="array" ref="X588">_xlfn.IFS($W588 &lt;= 30, "Low", $W588 &lt;=50, "Medium", $W588 &lt;= 70, "High", $W588 &gt; 70, "Critical")</f>
        <v>Critical</v>
      </c>
      <c r="Y588" s="9">
        <f t="shared" si="52"/>
        <v>0.44698821708407188</v>
      </c>
      <c r="Z588" s="22">
        <f t="shared" si="53"/>
        <v>171.99659605178002</v>
      </c>
    </row>
    <row r="589" spans="1:26">
      <c r="A589" s="24" t="str">
        <v>CUST-4108</v>
      </c>
      <c r="B589" s="24" t="str">
        <v>Occasional Buyer</v>
      </c>
      <c r="C589" s="24" t="str">
        <v>Referral</v>
      </c>
      <c r="D589" s="24" t="str">
        <v>West</v>
      </c>
      <c r="E589" s="24" t="str">
        <v>45-54</v>
      </c>
      <c r="F589" s="24" t="str">
        <v>Medium</v>
      </c>
      <c r="G589" s="24">
        <v>10</v>
      </c>
      <c r="H589" s="24">
        <v>168</v>
      </c>
      <c r="I589" s="23">
        <v>621.08000000000004</v>
      </c>
      <c r="J589" s="24" cm="1">
        <f t="array" ref="J589">SUMPRODUCT(
    (Transactions_and_Customer_Information_Joined[Customer ID]='V1-Based Churn Model (Step 3)'!$A589) *
    (IFERROR(_xlfn.XLOOKUP(Transactions_and_Customer_Information_Joined[SKU], 'V1 Pricing Model (Step 2)'!$A$22:$A$71, 'V1 Pricing Model (Step 2)'!$AL$22:$AL$71), "Exclude")&lt;&gt;"Exclude") *
    Transactions_and_Customer_Information_Joined[Gross Revenue])</f>
        <v>26.7</v>
      </c>
      <c r="K589" s="24">
        <f>SUMIF(Transactions_and_Customer_Information_Joined[Customer ID], 'V1-Based Churn Model (Step 3)'!$A589, Transactions_and_Customer_Information_Joined[Gross Revenue])</f>
        <v>26.7</v>
      </c>
      <c r="L589" s="3">
        <f t="shared" si="48"/>
        <v>1</v>
      </c>
      <c r="M589" s="21">
        <v>7.5818801139291682E-3</v>
      </c>
      <c r="N589" s="21" cm="1">
        <f t="array" ref="N589">SUMPRODUCT(
    (Transactions_and_Customer_Information_Joined[Customer ID]=$A589)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1</v>
      </c>
      <c r="O589" s="21" cm="1">
        <f t="array" ref="O589">IFERROR(
    SUMPRODUCT(
        (Transactions_and_Customer_Information_Joined[Customer ID]=$A589)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$J589,
0)</f>
        <v>7.5818801139291682E-3</v>
      </c>
      <c r="P589" s="5" cm="1">
        <f t="array" ref="P589">_xlfn.IFS(B589="At-Risk Churner",$B$2,$B589="Dormant",$B$3,$B589="Deal Hunter",$B$4,$B589="New Customer",$B$5,$B589="Occasional Buyer",$B$6,$B589="Loyal High-Value",$B$7)</f>
        <v>25</v>
      </c>
      <c r="Q589" s="9" cm="1">
        <f t="array" ref="Q589">_xlfn.IFS($B589 = "At-Risk Churner", $B$8, $B589="Dormant",$B$9, $B589="Deal Hunter", $B$10, $B589="New Customer", $B$11, $B589="Occasional Buyer", $B$12, $B589 = "Loyal High-Value",$B$13)</f>
        <v>0.18</v>
      </c>
      <c r="R589" s="5">
        <v>5</v>
      </c>
      <c r="S589" s="5">
        <v>-8</v>
      </c>
      <c r="T589" s="5">
        <v>0</v>
      </c>
      <c r="U589" s="5">
        <f t="shared" si="49"/>
        <v>15</v>
      </c>
      <c r="V589" s="5">
        <f t="shared" si="50"/>
        <v>0.30327520455716672</v>
      </c>
      <c r="W589" s="43">
        <f t="shared" si="51"/>
        <v>37.215775204557161</v>
      </c>
      <c r="X589" s="5" t="str" cm="1">
        <f t="array" ref="X589">_xlfn.IFS($W589 &lt;= 30, "Low", $W589 &lt;=50, "Medium", $W589 &lt;= 70, "High", $W589 &gt; 70, "Critical")</f>
        <v>Medium</v>
      </c>
      <c r="Y589" s="9">
        <f t="shared" si="52"/>
        <v>3.9207396978951835E-2</v>
      </c>
      <c r="Z589" s="22">
        <f t="shared" si="53"/>
        <v>143.69674409254995</v>
      </c>
    </row>
    <row r="590" spans="1:26">
      <c r="A590" s="24" t="str">
        <v>CUST-4886</v>
      </c>
      <c r="B590" s="24" t="str">
        <v>Occasional Buyer</v>
      </c>
      <c r="C590" s="24" t="str">
        <v>Referral</v>
      </c>
      <c r="D590" s="24" t="str">
        <v>West</v>
      </c>
      <c r="E590" s="24" t="str">
        <v>35-44</v>
      </c>
      <c r="F590" s="24" t="str">
        <v>High</v>
      </c>
      <c r="G590" s="24">
        <v>4</v>
      </c>
      <c r="H590" s="24">
        <v>81</v>
      </c>
      <c r="I590" s="23">
        <v>249.71</v>
      </c>
      <c r="J590" s="24" cm="1">
        <f t="array" ref="J590">SUMPRODUCT(
    (Transactions_and_Customer_Information_Joined[Customer ID]='V1-Based Churn Model (Step 3)'!$A590) *
    (IFERROR(_xlfn.XLOOKUP(Transactions_and_Customer_Information_Joined[SKU], 'V1 Pricing Model (Step 2)'!$A$22:$A$71, 'V1 Pricing Model (Step 2)'!$AL$22:$AL$71), "Exclude")&lt;&gt;"Exclude") *
    Transactions_and_Customer_Information_Joined[Gross Revenue])</f>
        <v>0</v>
      </c>
      <c r="K590" s="24">
        <f>SUMIF(Transactions_and_Customer_Information_Joined[Customer ID], 'V1-Based Churn Model (Step 3)'!$A590, Transactions_and_Customer_Information_Joined[Gross Revenue])</f>
        <v>163.19999999999999</v>
      </c>
      <c r="L590" s="3">
        <f t="shared" si="48"/>
        <v>0</v>
      </c>
      <c r="M590" s="21">
        <v>0</v>
      </c>
      <c r="N590" s="21" cm="1">
        <f t="array" ref="N590">SUMPRODUCT(
    (Transactions_and_Customer_Information_Joined[Customer ID]=$A590) *
    (Transactions_and_Customer_Information_Joined[Order Status]="Completed") *
    (IFERROR(_xlfn.XLOOKUP(Transactions_and_Customer_Information_Joined[SKU], 'V1 Pricing Model (Step 2)'!$A$22:$A$71, 'V1 Pricing Model (Step 2)'!$AL$22:$AL$71), "Exclude")&lt;&gt;"Exclude"))</f>
        <v>0</v>
      </c>
      <c r="O590" s="21" cm="1">
        <f t="array" ref="O590">IFERROR(
    SUMPRODUCT(
        (Transactions_and_Customer_Information_Joined[Customer ID]=$A590) *
        (IFERROR(_xlfn.XLOOKUP(Transactions_and_Customer_Information_Joined[SKU], 'V1 Pricing Model (Step 2)'!$A$22:$A$71, 'V1 Pricing Model (Step 2)'!$AL$22:$AL$71), "Exclude")&lt;&gt;"Exclude") *
        Transactions_and_Customer_Information_Joined[Gross Revenue] *
        IFERROR(_xlfn.XLOOKUP(Transactions_and_Customer_Information_Joined[SKU], 'V1 Pricing Model (Step 2)'!$A$22:$A$71, 'V1 Pricing Model (Step 2)'!$W$22:$W$71), 0)
    ) / $J590,
0)</f>
        <v>0</v>
      </c>
      <c r="P590" s="5" cm="1">
        <f t="array" ref="P590">_xlfn.IFS(B590="At-Risk Churner",$B$2,$B590="Dormant",$B$3,$B590="Deal Hunter",$B$4,$B590="New Customer",$B$5,$B590="Occasional Buyer",$B$6,$B590="Loyal High-Value",$B$7)</f>
        <v>25</v>
      </c>
      <c r="Q590" s="9" cm="1">
        <f t="array" ref="Q590">_xlfn.IFS($B590 = "At-Risk Churner", $B$8, $B590="Dormant",$B$9, $B590="Deal Hunter", $B$10, $B590="New Customer", $B$11, $B590="Occasional Buyer", $B$12, $B590 = "Loyal High-Value",$B$13)</f>
        <v>0.18</v>
      </c>
      <c r="R590" s="5">
        <v>15</v>
      </c>
      <c r="S590" s="5">
        <v>0</v>
      </c>
      <c r="T590" s="5">
        <v>0</v>
      </c>
      <c r="U590" s="5">
        <f t="shared" si="49"/>
        <v>0</v>
      </c>
      <c r="V590" s="5">
        <f t="shared" si="50"/>
        <v>0</v>
      </c>
      <c r="W590" s="43">
        <f t="shared" si="51"/>
        <v>40</v>
      </c>
      <c r="X590" s="5" t="str" cm="1">
        <f t="array" ref="X590">_xlfn.IFS($W590 &lt;= 30, "Low", $W590 &lt;=50, "Medium", $W590 &lt;= 70, "High", $W590 &gt; 70, "Critical")</f>
        <v>Medium</v>
      </c>
      <c r="Y590" s="9">
        <f t="shared" si="52"/>
        <v>4.8409455846599114E-2</v>
      </c>
      <c r="Z590" s="22">
        <f t="shared" si="53"/>
        <v>59.61266017556342</v>
      </c>
    </row>
    <row r="591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3"/>
      <c r="M591" s="6"/>
      <c r="N591" s="6"/>
      <c r="O591" s="6"/>
      <c r="P591" s="5"/>
      <c r="Q591" s="9"/>
      <c r="R591" s="5"/>
      <c r="S591" s="5"/>
      <c r="T591" s="5"/>
      <c r="U591" s="5"/>
      <c r="V591" s="5"/>
      <c r="W591" s="5"/>
      <c r="X591" s="5"/>
      <c r="Y591" s="9"/>
      <c r="Z591" s="2"/>
    </row>
    <row r="592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3"/>
      <c r="M592" s="6"/>
      <c r="N592" s="6"/>
      <c r="O592" s="6"/>
      <c r="P592" s="5"/>
      <c r="Q592" s="9"/>
      <c r="R592" s="5"/>
      <c r="S592" s="5"/>
      <c r="T592" s="5"/>
      <c r="U592" s="5"/>
      <c r="V592" s="5"/>
      <c r="W592" s="5"/>
      <c r="X592" s="5"/>
      <c r="Y592" s="9"/>
      <c r="Z592" s="2"/>
    </row>
    <row r="593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3"/>
      <c r="M593" s="6"/>
      <c r="N593" s="6"/>
      <c r="O593" s="6"/>
      <c r="P593" s="5"/>
      <c r="Q593" s="9"/>
      <c r="R593" s="5"/>
      <c r="S593" s="5"/>
      <c r="T593" s="5"/>
      <c r="U593" s="5"/>
      <c r="V593" s="5"/>
      <c r="W593" s="5"/>
      <c r="X593" s="5"/>
      <c r="Y593" s="9"/>
      <c r="Z593" s="2"/>
    </row>
    <row r="594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3"/>
      <c r="M594" s="6"/>
      <c r="N594" s="6"/>
      <c r="O594" s="6"/>
      <c r="P594" s="5"/>
      <c r="Q594" s="9"/>
      <c r="R594" s="5"/>
      <c r="S594" s="5"/>
      <c r="T594" s="5"/>
      <c r="U594" s="5"/>
      <c r="V594" s="5"/>
      <c r="W594" s="5"/>
      <c r="X594" s="5"/>
      <c r="Y594" s="9"/>
      <c r="Z594" s="2"/>
    </row>
    <row r="595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3"/>
      <c r="M595" s="6"/>
      <c r="N595" s="6"/>
      <c r="O595" s="6"/>
      <c r="P595" s="5"/>
      <c r="Q595" s="9"/>
      <c r="R595" s="5"/>
      <c r="S595" s="5"/>
      <c r="T595" s="5"/>
      <c r="U595" s="5"/>
      <c r="V595" s="5"/>
      <c r="W595" s="5"/>
      <c r="X595" s="5"/>
      <c r="Y595" s="9"/>
      <c r="Z595" s="2"/>
    </row>
    <row r="596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3"/>
      <c r="M596" s="6"/>
      <c r="N596" s="6"/>
      <c r="O596" s="6"/>
      <c r="P596" s="5"/>
      <c r="Q596" s="9"/>
      <c r="R596" s="5"/>
      <c r="S596" s="5"/>
      <c r="T596" s="5"/>
      <c r="U596" s="5"/>
      <c r="V596" s="5"/>
      <c r="W596" s="5"/>
      <c r="X596" s="5"/>
      <c r="Y596" s="9"/>
      <c r="Z596" s="2"/>
    </row>
    <row r="597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3"/>
      <c r="M597" s="6"/>
      <c r="N597" s="6"/>
      <c r="O597" s="6"/>
      <c r="P597" s="5"/>
      <c r="Q597" s="9"/>
      <c r="R597" s="5"/>
      <c r="S597" s="5"/>
      <c r="T597" s="5"/>
      <c r="U597" s="5"/>
      <c r="V597" s="5"/>
      <c r="W597" s="5"/>
      <c r="X597" s="5"/>
      <c r="Y597" s="9"/>
      <c r="Z597" s="2"/>
    </row>
    <row r="598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3"/>
      <c r="M598" s="6"/>
      <c r="N598" s="6"/>
      <c r="O598" s="6"/>
      <c r="P598" s="5"/>
      <c r="Q598" s="9"/>
      <c r="R598" s="5"/>
      <c r="S598" s="5"/>
      <c r="T598" s="5"/>
      <c r="U598" s="5"/>
      <c r="V598" s="5"/>
      <c r="W598" s="5"/>
      <c r="X598" s="5"/>
      <c r="Y598" s="9"/>
      <c r="Z598" s="2"/>
    </row>
    <row r="599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3"/>
      <c r="M599" s="6"/>
      <c r="N599" s="6"/>
      <c r="O599" s="6"/>
      <c r="P599" s="5"/>
      <c r="Q599" s="9"/>
      <c r="R599" s="5"/>
      <c r="S599" s="5"/>
      <c r="T599" s="5"/>
      <c r="U599" s="5"/>
      <c r="V599" s="5"/>
      <c r="W599" s="5"/>
      <c r="X599" s="5"/>
      <c r="Y599" s="9"/>
      <c r="Z599" s="2"/>
    </row>
    <row r="600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3"/>
      <c r="M600" s="6"/>
      <c r="N600" s="6"/>
      <c r="O600" s="6"/>
      <c r="P600" s="5"/>
      <c r="Q600" s="9"/>
      <c r="R600" s="5"/>
      <c r="S600" s="5"/>
      <c r="T600" s="5"/>
      <c r="U600" s="5"/>
      <c r="V600" s="5"/>
      <c r="W600" s="5"/>
      <c r="X600" s="5"/>
      <c r="Y600" s="9"/>
      <c r="Z600" s="2"/>
    </row>
    <row r="601" spans="1:26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3"/>
      <c r="M601" s="6"/>
      <c r="N601" s="6"/>
      <c r="O601" s="6"/>
      <c r="P601" s="5"/>
      <c r="Q601" s="9"/>
      <c r="R601" s="5"/>
      <c r="S601" s="5"/>
      <c r="T601" s="5"/>
      <c r="U601" s="5"/>
      <c r="V601" s="5"/>
      <c r="W601" s="5"/>
      <c r="X601" s="5"/>
      <c r="Y601" s="9"/>
      <c r="Z601" s="2"/>
    </row>
    <row r="602" spans="1:26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3"/>
      <c r="M602" s="6"/>
      <c r="N602" s="6"/>
      <c r="O602" s="6"/>
      <c r="P602" s="5"/>
      <c r="Q602" s="9"/>
      <c r="R602" s="5"/>
      <c r="S602" s="5"/>
      <c r="T602" s="5"/>
      <c r="U602" s="5"/>
      <c r="V602" s="5"/>
      <c r="W602" s="5"/>
      <c r="X602" s="5"/>
      <c r="Y602" s="9"/>
      <c r="Z602" s="2"/>
    </row>
    <row r="603" spans="1:26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3"/>
      <c r="M603" s="6"/>
      <c r="N603" s="6"/>
      <c r="O603" s="6"/>
      <c r="P603" s="5"/>
      <c r="Q603" s="9"/>
      <c r="R603" s="5"/>
      <c r="S603" s="5"/>
      <c r="T603" s="5"/>
      <c r="U603" s="5"/>
      <c r="V603" s="5"/>
      <c r="W603" s="5"/>
      <c r="X603" s="5"/>
      <c r="Y603" s="9"/>
      <c r="Z603" s="2"/>
    </row>
    <row r="604" spans="1:26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3"/>
      <c r="M604" s="6"/>
      <c r="N604" s="6"/>
      <c r="O604" s="6"/>
      <c r="P604" s="5"/>
      <c r="Q604" s="9"/>
      <c r="R604" s="5"/>
      <c r="S604" s="5"/>
      <c r="T604" s="5"/>
      <c r="U604" s="5"/>
      <c r="V604" s="5"/>
      <c r="W604" s="5"/>
      <c r="X604" s="5"/>
      <c r="Y604" s="9"/>
      <c r="Z604" s="2"/>
    </row>
    <row r="605" spans="1:26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3"/>
      <c r="M605" s="6"/>
      <c r="N605" s="6"/>
      <c r="O605" s="6"/>
      <c r="P605" s="5"/>
      <c r="Q605" s="9"/>
      <c r="R605" s="5"/>
      <c r="S605" s="5"/>
      <c r="T605" s="5"/>
      <c r="U605" s="5"/>
      <c r="V605" s="5"/>
      <c r="W605" s="5"/>
      <c r="X605" s="5"/>
      <c r="Y605" s="9"/>
      <c r="Z605" s="2"/>
    </row>
    <row r="606" spans="1:2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3"/>
      <c r="M606" s="6"/>
      <c r="N606" s="6"/>
      <c r="O606" s="6"/>
      <c r="P606" s="5"/>
      <c r="Q606" s="9"/>
      <c r="R606" s="5"/>
      <c r="S606" s="5"/>
      <c r="T606" s="5"/>
      <c r="U606" s="5"/>
      <c r="V606" s="5"/>
      <c r="W606" s="5"/>
      <c r="X606" s="5"/>
      <c r="Y606" s="9"/>
      <c r="Z606" s="2"/>
    </row>
    <row r="607" spans="1:26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3"/>
      <c r="M607" s="6"/>
      <c r="N607" s="6"/>
      <c r="O607" s="6"/>
      <c r="P607" s="5"/>
      <c r="Q607" s="9"/>
      <c r="R607" s="5"/>
      <c r="S607" s="5"/>
      <c r="T607" s="5"/>
      <c r="U607" s="5"/>
      <c r="V607" s="5"/>
      <c r="W607" s="5"/>
      <c r="X607" s="5"/>
      <c r="Y607" s="9"/>
      <c r="Z607" s="2"/>
    </row>
    <row r="608" spans="1:26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3"/>
      <c r="M608" s="6"/>
      <c r="N608" s="6"/>
      <c r="O608" s="6"/>
      <c r="P608" s="5"/>
      <c r="Q608" s="9"/>
      <c r="R608" s="5"/>
      <c r="S608" s="5"/>
      <c r="T608" s="5"/>
      <c r="U608" s="5"/>
      <c r="V608" s="5"/>
      <c r="W608" s="5"/>
      <c r="X608" s="5"/>
      <c r="Y608" s="9"/>
      <c r="Z608" s="2"/>
    </row>
    <row r="609" spans="1:26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3"/>
      <c r="M609" s="6"/>
      <c r="N609" s="6"/>
      <c r="O609" s="6"/>
      <c r="P609" s="5"/>
      <c r="Q609" s="9"/>
      <c r="R609" s="5"/>
      <c r="S609" s="5"/>
      <c r="T609" s="5"/>
      <c r="U609" s="5"/>
      <c r="V609" s="5"/>
      <c r="W609" s="5"/>
      <c r="X609" s="5"/>
      <c r="Y609" s="9"/>
      <c r="Z609" s="2"/>
    </row>
    <row r="610" spans="1:26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3"/>
      <c r="M610" s="6"/>
      <c r="N610" s="6"/>
      <c r="O610" s="6"/>
      <c r="P610" s="5"/>
      <c r="Q610" s="9"/>
      <c r="R610" s="5"/>
      <c r="S610" s="5"/>
      <c r="T610" s="5"/>
      <c r="U610" s="5"/>
      <c r="V610" s="5"/>
      <c r="W610" s="5"/>
      <c r="X610" s="5"/>
      <c r="Y610" s="9"/>
      <c r="Z610" s="2"/>
    </row>
    <row r="611" spans="1:26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3"/>
      <c r="M611" s="6"/>
      <c r="N611" s="6"/>
      <c r="O611" s="6"/>
      <c r="P611" s="5"/>
      <c r="Q611" s="9"/>
      <c r="R611" s="5"/>
      <c r="S611" s="5"/>
      <c r="T611" s="5"/>
      <c r="U611" s="5"/>
      <c r="V611" s="5"/>
      <c r="W611" s="5"/>
      <c r="X611" s="5"/>
      <c r="Y611" s="9"/>
      <c r="Z611" s="2"/>
    </row>
    <row r="612" spans="1:26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3"/>
      <c r="M612" s="6"/>
      <c r="N612" s="6"/>
      <c r="O612" s="6"/>
      <c r="P612" s="5"/>
      <c r="Q612" s="9"/>
      <c r="R612" s="5"/>
      <c r="S612" s="5"/>
      <c r="T612" s="5"/>
      <c r="U612" s="5"/>
      <c r="V612" s="5"/>
      <c r="W612" s="5"/>
      <c r="X612" s="5"/>
      <c r="Y612" s="9"/>
      <c r="Z612" s="2"/>
    </row>
    <row r="613" spans="1:26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3"/>
      <c r="M613" s="6"/>
      <c r="N613" s="6"/>
      <c r="O613" s="6"/>
      <c r="P613" s="5"/>
      <c r="Q613" s="9"/>
      <c r="R613" s="5"/>
      <c r="S613" s="5"/>
      <c r="T613" s="5"/>
      <c r="U613" s="5"/>
      <c r="V613" s="5"/>
      <c r="W613" s="5"/>
      <c r="X613" s="5"/>
      <c r="Y613" s="9"/>
      <c r="Z613" s="2"/>
    </row>
    <row r="614" spans="1:26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3"/>
      <c r="M614" s="6"/>
      <c r="N614" s="6"/>
      <c r="O614" s="6"/>
      <c r="P614" s="5"/>
      <c r="Q614" s="9"/>
      <c r="R614" s="5"/>
      <c r="S614" s="5"/>
      <c r="T614" s="5"/>
      <c r="U614" s="5"/>
      <c r="V614" s="5"/>
      <c r="W614" s="5"/>
      <c r="X614" s="5"/>
      <c r="Y614" s="9"/>
      <c r="Z614" s="2"/>
    </row>
    <row r="615" spans="1:26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3"/>
      <c r="M615" s="6"/>
      <c r="N615" s="6"/>
      <c r="O615" s="6"/>
      <c r="P615" s="5"/>
      <c r="Q615" s="9"/>
      <c r="R615" s="5"/>
      <c r="S615" s="5"/>
      <c r="T615" s="5"/>
      <c r="U615" s="5"/>
      <c r="V615" s="5"/>
      <c r="W615" s="5"/>
      <c r="X615" s="5"/>
      <c r="Y615" s="9"/>
      <c r="Z615" s="2"/>
    </row>
    <row r="616" spans="1:2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3"/>
      <c r="M616" s="6"/>
      <c r="N616" s="6"/>
      <c r="O616" s="6"/>
      <c r="P616" s="5"/>
      <c r="Q616" s="9"/>
      <c r="R616" s="5"/>
      <c r="S616" s="5"/>
      <c r="T616" s="5"/>
      <c r="U616" s="5"/>
      <c r="V616" s="5"/>
      <c r="W616" s="5"/>
      <c r="X616" s="5"/>
      <c r="Y616" s="9"/>
      <c r="Z616" s="2"/>
    </row>
    <row r="617" spans="1:26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3"/>
      <c r="M617" s="6"/>
      <c r="N617" s="6"/>
      <c r="O617" s="6"/>
      <c r="P617" s="5"/>
      <c r="Q617" s="9"/>
      <c r="R617" s="5"/>
      <c r="S617" s="5"/>
      <c r="T617" s="5"/>
      <c r="U617" s="5"/>
      <c r="V617" s="5"/>
      <c r="W617" s="5"/>
      <c r="X617" s="5"/>
      <c r="Y617" s="9"/>
      <c r="Z617" s="2"/>
    </row>
    <row r="618" spans="1:26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3"/>
      <c r="M618" s="6"/>
      <c r="N618" s="6"/>
      <c r="O618" s="6"/>
      <c r="P618" s="5"/>
      <c r="Q618" s="9"/>
      <c r="R618" s="5"/>
      <c r="S618" s="5"/>
      <c r="T618" s="5"/>
      <c r="U618" s="5"/>
      <c r="V618" s="5"/>
      <c r="W618" s="5"/>
      <c r="X618" s="5"/>
      <c r="Y618" s="9"/>
      <c r="Z618" s="2"/>
    </row>
    <row r="619" spans="1:26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3"/>
      <c r="M619" s="6"/>
      <c r="N619" s="6"/>
      <c r="O619" s="6"/>
      <c r="P619" s="5"/>
      <c r="Q619" s="9"/>
      <c r="R619" s="5"/>
      <c r="S619" s="5"/>
      <c r="T619" s="5"/>
      <c r="U619" s="5"/>
      <c r="V619" s="5"/>
      <c r="W619" s="5"/>
      <c r="X619" s="5"/>
      <c r="Y619" s="9"/>
      <c r="Z619" s="2"/>
    </row>
    <row r="620" spans="1:26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3"/>
      <c r="M620" s="6"/>
      <c r="N620" s="6"/>
      <c r="O620" s="6"/>
      <c r="P620" s="5"/>
      <c r="Q620" s="9"/>
      <c r="R620" s="5"/>
      <c r="S620" s="5"/>
      <c r="T620" s="5"/>
      <c r="U620" s="5"/>
      <c r="V620" s="5"/>
      <c r="W620" s="5"/>
      <c r="X620" s="5"/>
      <c r="Y620" s="9"/>
      <c r="Z620" s="2"/>
    </row>
    <row r="621" spans="1:26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3"/>
      <c r="M621" s="6"/>
      <c r="N621" s="6"/>
      <c r="O621" s="6"/>
      <c r="P621" s="5"/>
      <c r="Q621" s="9"/>
      <c r="R621" s="5"/>
      <c r="S621" s="5"/>
      <c r="T621" s="5"/>
      <c r="U621" s="5"/>
      <c r="V621" s="5"/>
      <c r="W621" s="5"/>
      <c r="X621" s="5"/>
      <c r="Y621" s="9"/>
      <c r="Z621" s="2"/>
    </row>
    <row r="622" spans="1:26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3"/>
      <c r="M622" s="6"/>
      <c r="N622" s="6"/>
      <c r="O622" s="6"/>
      <c r="P622" s="5"/>
      <c r="Q622" s="9"/>
      <c r="R622" s="5"/>
      <c r="S622" s="5"/>
      <c r="T622" s="5"/>
      <c r="U622" s="5"/>
      <c r="V622" s="5"/>
      <c r="W622" s="5"/>
      <c r="X622" s="5"/>
      <c r="Y622" s="9"/>
      <c r="Z622" s="2"/>
    </row>
    <row r="623" spans="1:26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3"/>
      <c r="M623" s="6"/>
      <c r="N623" s="6"/>
      <c r="O623" s="6"/>
      <c r="P623" s="5"/>
      <c r="Q623" s="9"/>
      <c r="R623" s="5"/>
      <c r="S623" s="5"/>
      <c r="T623" s="5"/>
      <c r="U623" s="5"/>
      <c r="V623" s="5"/>
      <c r="W623" s="5"/>
      <c r="X623" s="5"/>
      <c r="Y623" s="9"/>
      <c r="Z623" s="2"/>
    </row>
    <row r="624" spans="1:26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3"/>
      <c r="M624" s="6"/>
      <c r="N624" s="6"/>
      <c r="O624" s="6"/>
      <c r="P624" s="5"/>
      <c r="Q624" s="9"/>
      <c r="R624" s="5"/>
      <c r="S624" s="5"/>
      <c r="T624" s="5"/>
      <c r="U624" s="5"/>
      <c r="V624" s="5"/>
      <c r="W624" s="5"/>
      <c r="X624" s="5"/>
      <c r="Y624" s="9"/>
      <c r="Z624" s="2"/>
    </row>
    <row r="625" spans="1:26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3"/>
      <c r="M625" s="6"/>
      <c r="N625" s="6"/>
      <c r="O625" s="6"/>
      <c r="P625" s="5"/>
      <c r="Q625" s="9"/>
      <c r="R625" s="5"/>
      <c r="S625" s="5"/>
      <c r="T625" s="5"/>
      <c r="U625" s="5"/>
      <c r="V625" s="5"/>
      <c r="W625" s="5"/>
      <c r="X625" s="5"/>
      <c r="Y625" s="9"/>
      <c r="Z625" s="2"/>
    </row>
    <row r="626" spans="1: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3"/>
      <c r="M626" s="6"/>
      <c r="N626" s="6"/>
      <c r="O626" s="6"/>
      <c r="P626" s="5"/>
      <c r="Q626" s="9"/>
      <c r="R626" s="5"/>
      <c r="S626" s="5"/>
      <c r="T626" s="5"/>
      <c r="U626" s="5"/>
      <c r="V626" s="5"/>
      <c r="W626" s="5"/>
      <c r="X626" s="5"/>
      <c r="Y626" s="9"/>
      <c r="Z626" s="2"/>
    </row>
    <row r="627" spans="1:26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3"/>
      <c r="M627" s="6"/>
      <c r="N627" s="6"/>
      <c r="O627" s="6"/>
      <c r="P627" s="5"/>
      <c r="Q627" s="9"/>
      <c r="R627" s="5"/>
      <c r="S627" s="5"/>
      <c r="T627" s="5"/>
      <c r="U627" s="5"/>
      <c r="V627" s="5"/>
      <c r="W627" s="5"/>
      <c r="X627" s="5"/>
      <c r="Y627" s="9"/>
      <c r="Z627" s="2"/>
    </row>
    <row r="628" spans="1:26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3"/>
      <c r="M628" s="6"/>
      <c r="N628" s="6"/>
      <c r="O628" s="6"/>
      <c r="P628" s="5"/>
      <c r="Q628" s="9"/>
      <c r="R628" s="5"/>
      <c r="S628" s="5"/>
      <c r="T628" s="5"/>
      <c r="U628" s="5"/>
      <c r="V628" s="5"/>
      <c r="W628" s="5"/>
      <c r="X628" s="5"/>
      <c r="Y628" s="9"/>
      <c r="Z628" s="2"/>
    </row>
    <row r="629" spans="1:26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3"/>
      <c r="M629" s="6"/>
      <c r="N629" s="6"/>
      <c r="O629" s="6"/>
      <c r="P629" s="5"/>
      <c r="Q629" s="9"/>
      <c r="R629" s="5"/>
      <c r="S629" s="5"/>
      <c r="T629" s="5"/>
      <c r="U629" s="5"/>
      <c r="V629" s="5"/>
      <c r="W629" s="5"/>
      <c r="X629" s="5"/>
      <c r="Y629" s="9"/>
      <c r="Z629" s="2"/>
    </row>
    <row r="630" spans="1:26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3"/>
      <c r="M630" s="6"/>
      <c r="N630" s="6"/>
      <c r="O630" s="6"/>
      <c r="P630" s="5"/>
      <c r="Q630" s="9"/>
      <c r="R630" s="5"/>
      <c r="S630" s="5"/>
      <c r="T630" s="5"/>
      <c r="U630" s="5"/>
      <c r="V630" s="5"/>
      <c r="W630" s="5"/>
      <c r="X630" s="5"/>
      <c r="Y630" s="9"/>
      <c r="Z630" s="2"/>
    </row>
    <row r="631" spans="1:26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3"/>
      <c r="M631" s="6"/>
      <c r="N631" s="6"/>
      <c r="O631" s="6"/>
      <c r="P631" s="5"/>
      <c r="Q631" s="9"/>
      <c r="R631" s="5"/>
      <c r="S631" s="5"/>
      <c r="T631" s="5"/>
      <c r="U631" s="5"/>
      <c r="V631" s="5"/>
      <c r="W631" s="5"/>
      <c r="X631" s="5"/>
      <c r="Y631" s="9"/>
      <c r="Z631" s="2"/>
    </row>
    <row r="632" spans="1:26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3"/>
      <c r="M632" s="6"/>
      <c r="N632" s="6"/>
      <c r="O632" s="6"/>
      <c r="P632" s="5"/>
      <c r="Q632" s="9"/>
      <c r="R632" s="5"/>
      <c r="S632" s="5"/>
      <c r="T632" s="5"/>
      <c r="U632" s="5"/>
      <c r="V632" s="5"/>
      <c r="W632" s="5"/>
      <c r="X632" s="5"/>
      <c r="Y632" s="9"/>
      <c r="Z632" s="2"/>
    </row>
    <row r="633" spans="1:26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3"/>
      <c r="M633" s="6"/>
      <c r="N633" s="6"/>
      <c r="O633" s="6"/>
      <c r="P633" s="5"/>
      <c r="Q633" s="9"/>
      <c r="R633" s="5"/>
      <c r="S633" s="5"/>
      <c r="T633" s="5"/>
      <c r="U633" s="5"/>
      <c r="V633" s="5"/>
      <c r="W633" s="5"/>
      <c r="X633" s="5"/>
      <c r="Y633" s="9"/>
      <c r="Z633" s="2"/>
    </row>
    <row r="634" spans="1:26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3"/>
      <c r="M634" s="6"/>
      <c r="N634" s="6"/>
      <c r="O634" s="6"/>
      <c r="P634" s="5"/>
      <c r="Q634" s="9"/>
      <c r="R634" s="5"/>
      <c r="S634" s="5"/>
      <c r="T634" s="5"/>
      <c r="U634" s="5"/>
      <c r="V634" s="5"/>
      <c r="W634" s="5"/>
      <c r="X634" s="5"/>
      <c r="Y634" s="9"/>
      <c r="Z634" s="2"/>
    </row>
    <row r="635" spans="1:26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3"/>
      <c r="M635" s="6"/>
      <c r="N635" s="6"/>
      <c r="O635" s="6"/>
      <c r="P635" s="5"/>
      <c r="Q635" s="9"/>
      <c r="R635" s="5"/>
      <c r="S635" s="5"/>
      <c r="T635" s="5"/>
      <c r="U635" s="5"/>
      <c r="V635" s="5"/>
      <c r="W635" s="5"/>
      <c r="X635" s="5"/>
      <c r="Y635" s="9"/>
      <c r="Z635" s="2"/>
    </row>
    <row r="636" spans="1:2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3"/>
      <c r="M636" s="6"/>
      <c r="N636" s="6"/>
      <c r="O636" s="6"/>
      <c r="P636" s="5"/>
      <c r="Q636" s="9"/>
      <c r="R636" s="5"/>
      <c r="S636" s="5"/>
      <c r="T636" s="5"/>
      <c r="U636" s="5"/>
      <c r="V636" s="5"/>
      <c r="W636" s="5"/>
      <c r="X636" s="5"/>
      <c r="Y636" s="9"/>
      <c r="Z636" s="2"/>
    </row>
    <row r="637" spans="1:26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3"/>
      <c r="M637" s="6"/>
      <c r="N637" s="6"/>
      <c r="O637" s="6"/>
      <c r="P637" s="5"/>
      <c r="Q637" s="9"/>
      <c r="R637" s="5"/>
      <c r="S637" s="5"/>
      <c r="T637" s="5"/>
      <c r="U637" s="5"/>
      <c r="V637" s="5"/>
      <c r="W637" s="5"/>
      <c r="X637" s="5"/>
      <c r="Y637" s="9"/>
      <c r="Z637" s="2"/>
    </row>
    <row r="638" spans="1:26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3"/>
      <c r="M638" s="6"/>
      <c r="N638" s="6"/>
      <c r="O638" s="6"/>
      <c r="P638" s="5"/>
      <c r="Q638" s="9"/>
      <c r="R638" s="5"/>
      <c r="S638" s="5"/>
      <c r="T638" s="5"/>
      <c r="U638" s="5"/>
      <c r="V638" s="5"/>
      <c r="W638" s="5"/>
      <c r="X638" s="5"/>
      <c r="Y638" s="9"/>
      <c r="Z638" s="2"/>
    </row>
    <row r="639" spans="1:26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3"/>
      <c r="M639" s="6"/>
      <c r="N639" s="6"/>
      <c r="O639" s="6"/>
      <c r="P639" s="5"/>
      <c r="Q639" s="9"/>
      <c r="R639" s="5"/>
      <c r="S639" s="5"/>
      <c r="T639" s="5"/>
      <c r="U639" s="5"/>
      <c r="V639" s="5"/>
      <c r="W639" s="5"/>
      <c r="X639" s="5"/>
      <c r="Y639" s="9"/>
      <c r="Z639" s="2"/>
    </row>
    <row r="640" spans="1:26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3"/>
      <c r="M640" s="6"/>
      <c r="N640" s="6"/>
      <c r="O640" s="6"/>
      <c r="P640" s="5"/>
      <c r="Q640" s="9"/>
      <c r="R640" s="5"/>
      <c r="S640" s="5"/>
      <c r="T640" s="5"/>
      <c r="U640" s="5"/>
      <c r="V640" s="5"/>
      <c r="W640" s="5"/>
      <c r="X640" s="5"/>
      <c r="Y640" s="9"/>
      <c r="Z640" s="2"/>
    </row>
    <row r="641" spans="1:26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3"/>
      <c r="M641" s="6"/>
      <c r="N641" s="6"/>
      <c r="O641" s="6"/>
      <c r="P641" s="5"/>
      <c r="Q641" s="9"/>
      <c r="R641" s="5"/>
      <c r="S641" s="5"/>
      <c r="T641" s="5"/>
      <c r="U641" s="5"/>
      <c r="V641" s="5"/>
      <c r="W641" s="5"/>
      <c r="X641" s="5"/>
      <c r="Y641" s="9"/>
      <c r="Z641" s="2"/>
    </row>
    <row r="642" spans="1:26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3"/>
      <c r="M642" s="6"/>
      <c r="N642" s="6"/>
      <c r="O642" s="6"/>
      <c r="P642" s="5"/>
      <c r="Q642" s="9"/>
      <c r="R642" s="5"/>
      <c r="S642" s="5"/>
      <c r="T642" s="5"/>
      <c r="U642" s="5"/>
      <c r="V642" s="5"/>
      <c r="W642" s="5"/>
      <c r="X642" s="5"/>
      <c r="Y642" s="9"/>
      <c r="Z642" s="2"/>
    </row>
    <row r="643" spans="1:26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3"/>
      <c r="M643" s="6"/>
      <c r="N643" s="6"/>
      <c r="O643" s="6"/>
      <c r="P643" s="5"/>
      <c r="Q643" s="9"/>
      <c r="R643" s="5"/>
      <c r="S643" s="5"/>
      <c r="T643" s="5"/>
      <c r="U643" s="5"/>
      <c r="V643" s="5"/>
      <c r="W643" s="5"/>
      <c r="X643" s="5"/>
      <c r="Y643" s="9"/>
      <c r="Z643" s="2"/>
    </row>
    <row r="644" spans="1:26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3"/>
      <c r="M644" s="6"/>
      <c r="N644" s="6"/>
      <c r="O644" s="6"/>
      <c r="P644" s="5"/>
      <c r="Q644" s="9"/>
      <c r="R644" s="5"/>
      <c r="S644" s="5"/>
      <c r="T644" s="5"/>
      <c r="U644" s="5"/>
      <c r="V644" s="5"/>
      <c r="W644" s="5"/>
      <c r="X644" s="5"/>
      <c r="Y644" s="9"/>
      <c r="Z644" s="2"/>
    </row>
    <row r="645" spans="1:26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3"/>
      <c r="M645" s="6"/>
      <c r="N645" s="6"/>
      <c r="O645" s="6"/>
      <c r="P645" s="5"/>
      <c r="Q645" s="9"/>
      <c r="R645" s="5"/>
      <c r="S645" s="5"/>
      <c r="T645" s="5"/>
      <c r="U645" s="5"/>
      <c r="V645" s="5"/>
      <c r="W645" s="5"/>
      <c r="X645" s="5"/>
      <c r="Y645" s="9"/>
      <c r="Z645" s="2"/>
    </row>
    <row r="646" spans="1:2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3"/>
      <c r="M646" s="6"/>
      <c r="N646" s="6"/>
      <c r="O646" s="6"/>
      <c r="P646" s="5"/>
      <c r="Q646" s="9"/>
      <c r="R646" s="5"/>
      <c r="S646" s="5"/>
      <c r="T646" s="5"/>
      <c r="U646" s="5"/>
      <c r="V646" s="5"/>
      <c r="W646" s="5"/>
      <c r="X646" s="5"/>
      <c r="Y646" s="9"/>
      <c r="Z646" s="2"/>
    </row>
    <row r="647" spans="1:26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3"/>
      <c r="M647" s="6"/>
      <c r="N647" s="6"/>
      <c r="O647" s="6"/>
      <c r="P647" s="5"/>
      <c r="Q647" s="9"/>
      <c r="R647" s="5"/>
      <c r="S647" s="5"/>
      <c r="T647" s="5"/>
      <c r="U647" s="5"/>
      <c r="V647" s="5"/>
      <c r="W647" s="5"/>
      <c r="X647" s="5"/>
      <c r="Y647" s="9"/>
      <c r="Z647" s="2"/>
    </row>
    <row r="648" spans="1:26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3"/>
      <c r="M648" s="6"/>
      <c r="N648" s="6"/>
      <c r="O648" s="6"/>
      <c r="P648" s="5"/>
      <c r="Q648" s="9"/>
      <c r="R648" s="5"/>
      <c r="S648" s="5"/>
      <c r="T648" s="5"/>
      <c r="U648" s="5"/>
      <c r="V648" s="5"/>
      <c r="W648" s="5"/>
      <c r="X648" s="5"/>
      <c r="Y648" s="9"/>
      <c r="Z648" s="2"/>
    </row>
    <row r="649" spans="1:26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3"/>
      <c r="M649" s="6"/>
      <c r="N649" s="6"/>
      <c r="O649" s="6"/>
      <c r="P649" s="5"/>
      <c r="Q649" s="9"/>
      <c r="R649" s="5"/>
      <c r="S649" s="5"/>
      <c r="T649" s="5"/>
      <c r="U649" s="5"/>
      <c r="V649" s="5"/>
      <c r="W649" s="5"/>
      <c r="X649" s="5"/>
      <c r="Y649" s="9"/>
      <c r="Z649" s="2"/>
    </row>
    <row r="650" spans="1:26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3"/>
      <c r="M650" s="6"/>
      <c r="N650" s="6"/>
      <c r="O650" s="6"/>
      <c r="P650" s="5"/>
      <c r="Q650" s="9"/>
      <c r="R650" s="5"/>
      <c r="S650" s="5"/>
      <c r="T650" s="5"/>
      <c r="U650" s="5"/>
      <c r="V650" s="5"/>
      <c r="W650" s="5"/>
      <c r="X650" s="5"/>
      <c r="Y650" s="9"/>
      <c r="Z650" s="2"/>
    </row>
    <row r="651" spans="1:26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3"/>
      <c r="M651" s="6"/>
      <c r="N651" s="6"/>
      <c r="O651" s="6"/>
      <c r="P651" s="5"/>
      <c r="Q651" s="9"/>
      <c r="R651" s="5"/>
      <c r="S651" s="5"/>
      <c r="T651" s="5"/>
      <c r="U651" s="5"/>
      <c r="V651" s="5"/>
      <c r="W651" s="5"/>
      <c r="X651" s="5"/>
      <c r="Y651" s="9"/>
      <c r="Z651" s="2"/>
    </row>
    <row r="652" spans="1:26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3"/>
      <c r="M652" s="6"/>
      <c r="N652" s="6"/>
      <c r="O652" s="6"/>
      <c r="P652" s="5"/>
      <c r="Q652" s="9"/>
      <c r="R652" s="5"/>
      <c r="S652" s="5"/>
      <c r="T652" s="5"/>
      <c r="U652" s="5"/>
      <c r="V652" s="5"/>
      <c r="W652" s="5"/>
      <c r="X652" s="5"/>
      <c r="Y652" s="9"/>
      <c r="Z652" s="2"/>
    </row>
    <row r="653" spans="1:26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3"/>
      <c r="M653" s="6"/>
      <c r="N653" s="6"/>
      <c r="O653" s="6"/>
      <c r="P653" s="5"/>
      <c r="Q653" s="9"/>
      <c r="R653" s="5"/>
      <c r="S653" s="5"/>
      <c r="T653" s="5"/>
      <c r="U653" s="5"/>
      <c r="V653" s="5"/>
      <c r="W653" s="5"/>
      <c r="X653" s="5"/>
      <c r="Y653" s="9"/>
      <c r="Z653" s="2"/>
    </row>
    <row r="654" spans="1:26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3"/>
      <c r="M654" s="6"/>
      <c r="N654" s="6"/>
      <c r="O654" s="6"/>
      <c r="P654" s="5"/>
      <c r="Q654" s="9"/>
      <c r="R654" s="5"/>
      <c r="S654" s="5"/>
      <c r="T654" s="5"/>
      <c r="U654" s="5"/>
      <c r="V654" s="5"/>
      <c r="W654" s="5"/>
      <c r="X654" s="5"/>
      <c r="Y654" s="9"/>
      <c r="Z654" s="2"/>
    </row>
    <row r="655" spans="1:26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3"/>
      <c r="M655" s="6"/>
      <c r="N655" s="6"/>
      <c r="O655" s="6"/>
      <c r="P655" s="5"/>
      <c r="Q655" s="9"/>
      <c r="R655" s="5"/>
      <c r="S655" s="5"/>
      <c r="T655" s="5"/>
      <c r="U655" s="5"/>
      <c r="V655" s="5"/>
      <c r="W655" s="5"/>
      <c r="X655" s="5"/>
      <c r="Y655" s="9"/>
      <c r="Z655" s="2"/>
    </row>
    <row r="656" spans="1:2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3"/>
      <c r="M656" s="6"/>
      <c r="N656" s="6"/>
      <c r="O656" s="6"/>
      <c r="P656" s="5"/>
      <c r="Q656" s="9"/>
      <c r="R656" s="5"/>
      <c r="S656" s="5"/>
      <c r="T656" s="5"/>
      <c r="U656" s="5"/>
      <c r="V656" s="5"/>
      <c r="W656" s="5"/>
      <c r="X656" s="5"/>
      <c r="Y656" s="9"/>
      <c r="Z656" s="2"/>
    </row>
    <row r="657" spans="1:26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3"/>
      <c r="M657" s="6"/>
      <c r="N657" s="6"/>
      <c r="O657" s="6"/>
      <c r="P657" s="5"/>
      <c r="Q657" s="9"/>
      <c r="R657" s="5"/>
      <c r="S657" s="5"/>
      <c r="T657" s="5"/>
      <c r="U657" s="5"/>
      <c r="V657" s="5"/>
      <c r="W657" s="5"/>
      <c r="X657" s="5"/>
      <c r="Y657" s="9"/>
      <c r="Z657" s="2"/>
    </row>
    <row r="658" spans="1:26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3"/>
      <c r="M658" s="6"/>
      <c r="N658" s="6"/>
      <c r="O658" s="6"/>
      <c r="P658" s="5"/>
      <c r="Q658" s="9"/>
      <c r="R658" s="5"/>
      <c r="S658" s="5"/>
      <c r="T658" s="5"/>
      <c r="U658" s="5"/>
      <c r="V658" s="5"/>
      <c r="W658" s="5"/>
      <c r="X658" s="5"/>
      <c r="Y658" s="9"/>
      <c r="Z658" s="2"/>
    </row>
    <row r="659" spans="1:26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3"/>
      <c r="M659" s="6"/>
      <c r="N659" s="6"/>
      <c r="O659" s="6"/>
      <c r="P659" s="5"/>
      <c r="Q659" s="9"/>
      <c r="R659" s="5"/>
      <c r="S659" s="5"/>
      <c r="T659" s="5"/>
      <c r="U659" s="5"/>
      <c r="V659" s="5"/>
      <c r="W659" s="5"/>
      <c r="X659" s="5"/>
      <c r="Y659" s="9"/>
      <c r="Z659" s="2"/>
    </row>
    <row r="660" spans="1:26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3"/>
      <c r="M660" s="6"/>
      <c r="N660" s="6"/>
      <c r="O660" s="6"/>
      <c r="P660" s="5"/>
      <c r="Q660" s="9"/>
      <c r="R660" s="5"/>
      <c r="S660" s="5"/>
      <c r="T660" s="5"/>
      <c r="U660" s="5"/>
      <c r="V660" s="5"/>
      <c r="W660" s="5"/>
      <c r="X660" s="5"/>
      <c r="Y660" s="9"/>
      <c r="Z660" s="2"/>
    </row>
    <row r="661" spans="1:26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3"/>
      <c r="M661" s="6"/>
      <c r="N661" s="6"/>
      <c r="O661" s="6"/>
      <c r="P661" s="5"/>
      <c r="Q661" s="9"/>
      <c r="R661" s="5"/>
      <c r="S661" s="5"/>
      <c r="T661" s="5"/>
      <c r="U661" s="5"/>
      <c r="V661" s="5"/>
      <c r="W661" s="5"/>
      <c r="X661" s="5"/>
      <c r="Y661" s="9"/>
      <c r="Z661" s="2"/>
    </row>
    <row r="662" spans="1:26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3"/>
      <c r="M662" s="6"/>
      <c r="N662" s="6"/>
      <c r="O662" s="6"/>
      <c r="P662" s="5"/>
      <c r="Q662" s="9"/>
      <c r="R662" s="5"/>
      <c r="S662" s="5"/>
      <c r="T662" s="5"/>
      <c r="U662" s="5"/>
      <c r="V662" s="5"/>
      <c r="W662" s="5"/>
      <c r="X662" s="5"/>
      <c r="Y662" s="9"/>
      <c r="Z662" s="2"/>
    </row>
    <row r="663" spans="1:26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3"/>
      <c r="M663" s="6"/>
      <c r="N663" s="6"/>
      <c r="O663" s="6"/>
      <c r="P663" s="5"/>
      <c r="Q663" s="9"/>
      <c r="R663" s="5"/>
      <c r="S663" s="5"/>
      <c r="T663" s="5"/>
      <c r="U663" s="5"/>
      <c r="V663" s="5"/>
      <c r="W663" s="5"/>
      <c r="X663" s="5"/>
      <c r="Y663" s="9"/>
      <c r="Z663" s="2"/>
    </row>
    <row r="664" spans="1:26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3"/>
      <c r="M664" s="6"/>
      <c r="N664" s="6"/>
      <c r="O664" s="6"/>
      <c r="P664" s="5"/>
      <c r="Q664" s="9"/>
      <c r="R664" s="5"/>
      <c r="S664" s="5"/>
      <c r="T664" s="5"/>
      <c r="U664" s="5"/>
      <c r="V664" s="5"/>
      <c r="W664" s="5"/>
      <c r="X664" s="5"/>
      <c r="Y664" s="9"/>
      <c r="Z664" s="2"/>
    </row>
    <row r="665" spans="1:26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3"/>
      <c r="M665" s="6"/>
      <c r="N665" s="6"/>
      <c r="O665" s="6"/>
      <c r="P665" s="5"/>
      <c r="Q665" s="9"/>
      <c r="R665" s="5"/>
      <c r="S665" s="5"/>
      <c r="T665" s="5"/>
      <c r="U665" s="5"/>
      <c r="V665" s="5"/>
      <c r="W665" s="5"/>
      <c r="X665" s="5"/>
      <c r="Y665" s="9"/>
      <c r="Z665" s="2"/>
    </row>
    <row r="666" spans="1:2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3"/>
      <c r="M666" s="6"/>
      <c r="N666" s="6"/>
      <c r="O666" s="6"/>
      <c r="P666" s="5"/>
      <c r="Q666" s="9"/>
      <c r="R666" s="5"/>
      <c r="S666" s="5"/>
      <c r="T666" s="5"/>
      <c r="U666" s="5"/>
      <c r="V666" s="5"/>
      <c r="W666" s="5"/>
      <c r="X666" s="5"/>
      <c r="Y666" s="9"/>
      <c r="Z666" s="2"/>
    </row>
    <row r="667" spans="1:26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3"/>
      <c r="M667" s="6"/>
      <c r="N667" s="6"/>
      <c r="O667" s="6"/>
      <c r="P667" s="5"/>
      <c r="Q667" s="9"/>
      <c r="R667" s="5"/>
      <c r="S667" s="5"/>
      <c r="T667" s="5"/>
      <c r="U667" s="5"/>
      <c r="V667" s="5"/>
      <c r="W667" s="5"/>
      <c r="X667" s="5"/>
      <c r="Y667" s="9"/>
      <c r="Z667" s="2"/>
    </row>
    <row r="668" spans="1:26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3"/>
      <c r="M668" s="6"/>
      <c r="N668" s="6"/>
      <c r="O668" s="6"/>
      <c r="P668" s="5"/>
      <c r="Q668" s="9"/>
      <c r="R668" s="5"/>
      <c r="S668" s="5"/>
      <c r="T668" s="5"/>
      <c r="U668" s="5"/>
      <c r="V668" s="5"/>
      <c r="W668" s="5"/>
      <c r="X668" s="5"/>
      <c r="Y668" s="9"/>
      <c r="Z668" s="2"/>
    </row>
    <row r="669" spans="1:26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3"/>
      <c r="M669" s="6"/>
      <c r="N669" s="6"/>
      <c r="O669" s="6"/>
      <c r="P669" s="5"/>
      <c r="Q669" s="9"/>
      <c r="R669" s="5"/>
      <c r="S669" s="5"/>
      <c r="T669" s="5"/>
      <c r="U669" s="5"/>
      <c r="V669" s="5"/>
      <c r="W669" s="5"/>
      <c r="X669" s="5"/>
      <c r="Y669" s="9"/>
      <c r="Z669" s="2"/>
    </row>
    <row r="670" spans="1:26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3"/>
      <c r="M670" s="6"/>
      <c r="N670" s="6"/>
      <c r="O670" s="6"/>
      <c r="P670" s="5"/>
      <c r="Q670" s="9"/>
      <c r="R670" s="5"/>
      <c r="S670" s="5"/>
      <c r="T670" s="5"/>
      <c r="U670" s="5"/>
      <c r="V670" s="5"/>
      <c r="W670" s="5"/>
      <c r="X670" s="5"/>
      <c r="Y670" s="9"/>
      <c r="Z670" s="2"/>
    </row>
    <row r="671" spans="1:26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3"/>
      <c r="M671" s="6"/>
      <c r="N671" s="6"/>
      <c r="O671" s="6"/>
      <c r="P671" s="5"/>
      <c r="Q671" s="9"/>
      <c r="R671" s="5"/>
      <c r="S671" s="5"/>
      <c r="T671" s="5"/>
      <c r="U671" s="5"/>
      <c r="V671" s="5"/>
      <c r="W671" s="5"/>
      <c r="X671" s="5"/>
      <c r="Y671" s="9"/>
      <c r="Z671" s="2"/>
    </row>
    <row r="672" spans="1:26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3"/>
      <c r="M672" s="6"/>
      <c r="N672" s="6"/>
      <c r="O672" s="6"/>
      <c r="P672" s="5"/>
      <c r="Q672" s="9"/>
      <c r="R672" s="5"/>
      <c r="S672" s="5"/>
      <c r="T672" s="5"/>
      <c r="U672" s="5"/>
      <c r="V672" s="5"/>
      <c r="W672" s="5"/>
      <c r="X672" s="5"/>
      <c r="Y672" s="9"/>
      <c r="Z672" s="2"/>
    </row>
    <row r="673" spans="1:26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3"/>
      <c r="M673" s="6"/>
      <c r="N673" s="6"/>
      <c r="O673" s="6"/>
      <c r="P673" s="5"/>
      <c r="Q673" s="9"/>
      <c r="R673" s="5"/>
      <c r="S673" s="5"/>
      <c r="T673" s="5"/>
      <c r="U673" s="5"/>
      <c r="V673" s="5"/>
      <c r="W673" s="5"/>
      <c r="X673" s="5"/>
      <c r="Y673" s="9"/>
      <c r="Z673" s="2"/>
    </row>
    <row r="674" spans="1:26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3"/>
      <c r="M674" s="6"/>
      <c r="N674" s="6"/>
      <c r="O674" s="6"/>
      <c r="P674" s="5"/>
      <c r="Q674" s="9"/>
      <c r="R674" s="5"/>
      <c r="S674" s="5"/>
      <c r="T674" s="5"/>
      <c r="U674" s="5"/>
      <c r="V674" s="5"/>
      <c r="W674" s="5"/>
      <c r="X674" s="5"/>
      <c r="Y674" s="9"/>
      <c r="Z674" s="2"/>
    </row>
    <row r="675" spans="1:26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3"/>
      <c r="M675" s="6"/>
      <c r="N675" s="6"/>
      <c r="O675" s="6"/>
      <c r="P675" s="5"/>
      <c r="Q675" s="9"/>
      <c r="R675" s="5"/>
      <c r="S675" s="5"/>
      <c r="T675" s="5"/>
      <c r="U675" s="5"/>
      <c r="V675" s="5"/>
      <c r="W675" s="5"/>
      <c r="X675" s="5"/>
      <c r="Y675" s="9"/>
      <c r="Z675" s="2"/>
    </row>
    <row r="676" spans="1:2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3"/>
      <c r="M676" s="6"/>
      <c r="N676" s="6"/>
      <c r="O676" s="6"/>
      <c r="P676" s="5"/>
      <c r="Q676" s="9"/>
      <c r="R676" s="5"/>
      <c r="S676" s="5"/>
      <c r="T676" s="5"/>
      <c r="U676" s="5"/>
      <c r="V676" s="5"/>
      <c r="W676" s="5"/>
      <c r="X676" s="5"/>
      <c r="Y676" s="9"/>
      <c r="Z676" s="2"/>
    </row>
    <row r="677" spans="1:2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3"/>
      <c r="M677" s="6"/>
      <c r="N677" s="6"/>
      <c r="O677" s="6"/>
      <c r="P677" s="5"/>
      <c r="Q677" s="9"/>
      <c r="R677" s="5"/>
      <c r="S677" s="5"/>
      <c r="T677" s="5"/>
      <c r="U677" s="5"/>
      <c r="V677" s="5"/>
      <c r="W677" s="5"/>
      <c r="X677" s="5"/>
      <c r="Y677" s="9"/>
      <c r="Z677" s="2"/>
    </row>
    <row r="678" spans="1:2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3"/>
      <c r="M678" s="6"/>
      <c r="N678" s="6"/>
      <c r="O678" s="6"/>
      <c r="P678" s="5"/>
      <c r="Q678" s="9"/>
      <c r="R678" s="5"/>
      <c r="S678" s="5"/>
      <c r="T678" s="5"/>
      <c r="U678" s="5"/>
      <c r="V678" s="5"/>
      <c r="W678" s="5"/>
      <c r="X678" s="5"/>
      <c r="Y678" s="9"/>
      <c r="Z678" s="2"/>
    </row>
    <row r="679" spans="1:2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3"/>
      <c r="M679" s="6"/>
      <c r="N679" s="6"/>
      <c r="O679" s="6"/>
      <c r="P679" s="5"/>
      <c r="Q679" s="9"/>
      <c r="R679" s="5"/>
      <c r="S679" s="5"/>
      <c r="T679" s="5"/>
      <c r="U679" s="5"/>
      <c r="V679" s="5"/>
      <c r="W679" s="5"/>
      <c r="X679" s="5"/>
      <c r="Y679" s="9"/>
      <c r="Z679" s="2"/>
    </row>
    <row r="680" spans="1:2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3"/>
      <c r="M680" s="6"/>
      <c r="N680" s="6"/>
      <c r="O680" s="6"/>
      <c r="P680" s="5"/>
      <c r="Q680" s="9"/>
      <c r="R680" s="5"/>
      <c r="S680" s="5"/>
      <c r="T680" s="5"/>
      <c r="U680" s="5"/>
      <c r="V680" s="5"/>
      <c r="W680" s="5"/>
      <c r="X680" s="5"/>
      <c r="Y680" s="9"/>
      <c r="Z680" s="2"/>
    </row>
    <row r="681" spans="1:2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3"/>
      <c r="M681" s="6"/>
      <c r="N681" s="6"/>
      <c r="O681" s="6"/>
      <c r="P681" s="5"/>
      <c r="Q681" s="9"/>
      <c r="R681" s="5"/>
      <c r="S681" s="5"/>
      <c r="T681" s="5"/>
      <c r="U681" s="5"/>
      <c r="V681" s="5"/>
      <c r="W681" s="5"/>
      <c r="X681" s="5"/>
      <c r="Y681" s="9"/>
      <c r="Z681" s="2"/>
    </row>
    <row r="682" spans="1:2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3"/>
      <c r="M682" s="6"/>
      <c r="N682" s="6"/>
      <c r="O682" s="6"/>
      <c r="P682" s="5"/>
      <c r="Q682" s="9"/>
      <c r="R682" s="5"/>
      <c r="S682" s="5"/>
      <c r="T682" s="5"/>
      <c r="U682" s="5"/>
      <c r="V682" s="5"/>
      <c r="W682" s="5"/>
      <c r="X682" s="5"/>
      <c r="Y682" s="9"/>
      <c r="Z682" s="2"/>
    </row>
    <row r="683" spans="1:2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3"/>
      <c r="M683" s="6"/>
      <c r="N683" s="6"/>
      <c r="O683" s="6"/>
      <c r="P683" s="5"/>
      <c r="Q683" s="9"/>
      <c r="R683" s="5"/>
      <c r="S683" s="5"/>
      <c r="T683" s="5"/>
      <c r="U683" s="5"/>
      <c r="V683" s="5"/>
      <c r="W683" s="5"/>
      <c r="X683" s="5"/>
      <c r="Y683" s="9"/>
      <c r="Z683" s="2"/>
    </row>
    <row r="684" spans="1:2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3"/>
      <c r="M684" s="6"/>
      <c r="N684" s="6"/>
      <c r="O684" s="6"/>
      <c r="P684" s="5"/>
      <c r="Q684" s="9"/>
      <c r="R684" s="5"/>
      <c r="S684" s="5"/>
      <c r="T684" s="5"/>
      <c r="U684" s="5"/>
      <c r="V684" s="5"/>
      <c r="W684" s="5"/>
      <c r="X684" s="5"/>
      <c r="Y684" s="9"/>
      <c r="Z684" s="2"/>
    </row>
    <row r="685" spans="1:2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3"/>
      <c r="M685" s="6"/>
      <c r="N685" s="6"/>
      <c r="O685" s="6"/>
      <c r="P685" s="5"/>
      <c r="Q685" s="9"/>
      <c r="R685" s="5"/>
      <c r="S685" s="5"/>
      <c r="T685" s="5"/>
      <c r="U685" s="5"/>
      <c r="V685" s="5"/>
      <c r="W685" s="5"/>
      <c r="X685" s="5"/>
      <c r="Y685" s="9"/>
      <c r="Z685" s="2"/>
    </row>
    <row r="686" spans="1:2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3"/>
      <c r="M686" s="6"/>
      <c r="N686" s="6"/>
      <c r="O686" s="6"/>
      <c r="P686" s="5"/>
      <c r="Q686" s="9"/>
      <c r="R686" s="5"/>
      <c r="S686" s="5"/>
      <c r="T686" s="5"/>
      <c r="U686" s="5"/>
      <c r="V686" s="5"/>
      <c r="W686" s="5"/>
      <c r="X686" s="5"/>
      <c r="Y686" s="9"/>
      <c r="Z686" s="2"/>
    </row>
    <row r="687" spans="1:2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3"/>
      <c r="M687" s="6"/>
      <c r="N687" s="6"/>
      <c r="O687" s="6"/>
      <c r="P687" s="5"/>
      <c r="Q687" s="9"/>
      <c r="R687" s="5"/>
      <c r="S687" s="5"/>
      <c r="T687" s="5"/>
      <c r="U687" s="5"/>
      <c r="V687" s="5"/>
      <c r="W687" s="5"/>
      <c r="X687" s="5"/>
      <c r="Y687" s="9"/>
      <c r="Z687" s="2"/>
    </row>
    <row r="688" spans="1:2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3"/>
      <c r="M688" s="6"/>
      <c r="N688" s="6"/>
      <c r="O688" s="6"/>
      <c r="P688" s="5"/>
      <c r="Q688" s="9"/>
      <c r="R688" s="5"/>
      <c r="S688" s="5"/>
      <c r="T688" s="5"/>
      <c r="U688" s="5"/>
      <c r="V688" s="5"/>
      <c r="W688" s="5"/>
      <c r="X688" s="5"/>
      <c r="Y688" s="9"/>
      <c r="Z688" s="2"/>
    </row>
    <row r="689" spans="1:2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3"/>
      <c r="M689" s="6"/>
      <c r="N689" s="6"/>
      <c r="O689" s="6"/>
      <c r="P689" s="5"/>
      <c r="Q689" s="9"/>
      <c r="R689" s="5"/>
      <c r="S689" s="5"/>
      <c r="T689" s="5"/>
      <c r="U689" s="5"/>
      <c r="V689" s="5"/>
      <c r="W689" s="5"/>
      <c r="X689" s="5"/>
      <c r="Y689" s="9"/>
      <c r="Z689" s="2"/>
    </row>
    <row r="690" spans="1:2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3"/>
      <c r="M690" s="6"/>
      <c r="N690" s="6"/>
      <c r="O690" s="6"/>
      <c r="P690" s="5"/>
      <c r="Q690" s="9"/>
      <c r="R690" s="5"/>
      <c r="S690" s="5"/>
      <c r="T690" s="5"/>
      <c r="U690" s="5"/>
      <c r="V690" s="5"/>
      <c r="W690" s="5"/>
      <c r="X690" s="5"/>
      <c r="Y690" s="9"/>
      <c r="Z690" s="2"/>
    </row>
    <row r="691" spans="1:2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3"/>
      <c r="M691" s="6"/>
      <c r="N691" s="6"/>
      <c r="O691" s="6"/>
      <c r="P691" s="5"/>
      <c r="Q691" s="9"/>
      <c r="R691" s="5"/>
      <c r="S691" s="5"/>
      <c r="T691" s="5"/>
      <c r="U691" s="5"/>
      <c r="V691" s="5"/>
      <c r="W691" s="5"/>
      <c r="X691" s="5"/>
      <c r="Y691" s="9"/>
      <c r="Z691" s="2"/>
    </row>
    <row r="692" spans="1:2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3"/>
      <c r="M692" s="6"/>
      <c r="N692" s="6"/>
      <c r="O692" s="6"/>
      <c r="P692" s="5"/>
      <c r="Q692" s="9"/>
      <c r="R692" s="5"/>
      <c r="S692" s="5"/>
      <c r="T692" s="5"/>
      <c r="U692" s="5"/>
      <c r="V692" s="5"/>
      <c r="W692" s="5"/>
      <c r="X692" s="5"/>
      <c r="Y692" s="9"/>
      <c r="Z692" s="2"/>
    </row>
    <row r="693" spans="1:2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3"/>
      <c r="M693" s="6"/>
      <c r="N693" s="6"/>
      <c r="O693" s="6"/>
      <c r="P693" s="5"/>
      <c r="Q693" s="9"/>
      <c r="R693" s="5"/>
      <c r="S693" s="5"/>
      <c r="T693" s="5"/>
      <c r="U693" s="5"/>
      <c r="V693" s="5"/>
      <c r="W693" s="5"/>
      <c r="X693" s="5"/>
      <c r="Y693" s="9"/>
      <c r="Z693" s="2"/>
    </row>
    <row r="694" spans="1:2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3"/>
      <c r="M694" s="6"/>
      <c r="N694" s="6"/>
      <c r="O694" s="6"/>
      <c r="P694" s="5"/>
      <c r="Q694" s="9"/>
      <c r="R694" s="5"/>
      <c r="S694" s="5"/>
      <c r="T694" s="5"/>
      <c r="U694" s="5"/>
      <c r="V694" s="5"/>
      <c r="W694" s="5"/>
      <c r="X694" s="5"/>
      <c r="Y694" s="9"/>
      <c r="Z694" s="2"/>
    </row>
    <row r="695" spans="1:2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3"/>
      <c r="M695" s="6"/>
      <c r="N695" s="6"/>
      <c r="O695" s="6"/>
      <c r="P695" s="5"/>
      <c r="Q695" s="9"/>
      <c r="R695" s="5"/>
      <c r="S695" s="5"/>
      <c r="T695" s="5"/>
      <c r="U695" s="5"/>
      <c r="V695" s="5"/>
      <c r="W695" s="5"/>
      <c r="X695" s="5"/>
      <c r="Y695" s="9"/>
      <c r="Z695" s="2"/>
    </row>
    <row r="696" spans="1:2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3"/>
      <c r="M696" s="6"/>
      <c r="N696" s="6"/>
      <c r="O696" s="6"/>
      <c r="P696" s="5"/>
      <c r="Q696" s="9"/>
      <c r="R696" s="5"/>
      <c r="S696" s="5"/>
      <c r="T696" s="5"/>
      <c r="U696" s="5"/>
      <c r="V696" s="5"/>
      <c r="W696" s="5"/>
      <c r="X696" s="5"/>
      <c r="Y696" s="9"/>
      <c r="Z696" s="2"/>
    </row>
    <row r="697" spans="1:2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3"/>
      <c r="M697" s="6"/>
      <c r="N697" s="6"/>
      <c r="O697" s="6"/>
      <c r="P697" s="5"/>
      <c r="Q697" s="9"/>
      <c r="R697" s="5"/>
      <c r="S697" s="5"/>
      <c r="T697" s="5"/>
      <c r="U697" s="5"/>
      <c r="V697" s="5"/>
      <c r="W697" s="5"/>
      <c r="X697" s="5"/>
      <c r="Y697" s="9"/>
      <c r="Z697" s="2"/>
    </row>
    <row r="698" spans="1:2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3"/>
      <c r="M698" s="6"/>
      <c r="N698" s="6"/>
      <c r="O698" s="6"/>
      <c r="P698" s="5"/>
      <c r="Q698" s="9"/>
      <c r="R698" s="5"/>
      <c r="S698" s="5"/>
      <c r="T698" s="5"/>
      <c r="U698" s="5"/>
      <c r="V698" s="5"/>
      <c r="W698" s="5"/>
      <c r="X698" s="5"/>
      <c r="Y698" s="9"/>
      <c r="Z698" s="2"/>
    </row>
    <row r="699" spans="1:2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3"/>
      <c r="M699" s="6"/>
      <c r="N699" s="6"/>
      <c r="O699" s="6"/>
      <c r="P699" s="5"/>
      <c r="Q699" s="9"/>
      <c r="R699" s="5"/>
      <c r="S699" s="5"/>
      <c r="T699" s="5"/>
      <c r="U699" s="5"/>
      <c r="V699" s="5"/>
      <c r="W699" s="5"/>
      <c r="X699" s="5"/>
      <c r="Y699" s="9"/>
      <c r="Z699" s="2"/>
    </row>
    <row r="700" spans="1:2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3"/>
      <c r="M700" s="6"/>
      <c r="N700" s="6"/>
      <c r="O700" s="6"/>
      <c r="P700" s="5"/>
      <c r="Q700" s="9"/>
      <c r="R700" s="5"/>
      <c r="S700" s="5"/>
      <c r="T700" s="5"/>
      <c r="U700" s="5"/>
      <c r="V700" s="5"/>
      <c r="W700" s="5"/>
      <c r="X700" s="5"/>
      <c r="Y700" s="9"/>
      <c r="Z700" s="2"/>
    </row>
    <row r="701" spans="1:2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3"/>
      <c r="M701" s="6"/>
      <c r="N701" s="6"/>
      <c r="O701" s="6"/>
      <c r="P701" s="5"/>
      <c r="Q701" s="9"/>
      <c r="R701" s="5"/>
      <c r="S701" s="5"/>
      <c r="T701" s="5"/>
      <c r="U701" s="5"/>
      <c r="V701" s="5"/>
      <c r="W701" s="5"/>
      <c r="X701" s="5"/>
      <c r="Y701" s="9"/>
      <c r="Z701" s="2"/>
    </row>
    <row r="702" spans="1:2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3"/>
      <c r="M702" s="6"/>
      <c r="N702" s="6"/>
      <c r="O702" s="6"/>
      <c r="P702" s="5"/>
      <c r="Q702" s="9"/>
      <c r="R702" s="5"/>
      <c r="S702" s="5"/>
      <c r="T702" s="5"/>
      <c r="U702" s="5"/>
      <c r="V702" s="5"/>
      <c r="W702" s="5"/>
      <c r="X702" s="5"/>
      <c r="Y702" s="9"/>
      <c r="Z702" s="2"/>
    </row>
    <row r="703" spans="1:2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3"/>
      <c r="M703" s="6"/>
      <c r="N703" s="6"/>
      <c r="O703" s="6"/>
      <c r="P703" s="5"/>
      <c r="Q703" s="9"/>
      <c r="R703" s="5"/>
      <c r="S703" s="5"/>
      <c r="T703" s="5"/>
      <c r="U703" s="5"/>
      <c r="V703" s="5"/>
      <c r="W703" s="5"/>
      <c r="X703" s="5"/>
      <c r="Y703" s="9"/>
      <c r="Z703" s="2"/>
    </row>
    <row r="704" spans="1:2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3"/>
      <c r="M704" s="6"/>
      <c r="N704" s="6"/>
      <c r="O704" s="6"/>
      <c r="P704" s="5"/>
      <c r="Q704" s="9"/>
      <c r="R704" s="5"/>
      <c r="S704" s="5"/>
      <c r="T704" s="5"/>
      <c r="U704" s="5"/>
      <c r="V704" s="5"/>
      <c r="W704" s="5"/>
      <c r="X704" s="5"/>
      <c r="Y704" s="9"/>
      <c r="Z704" s="2"/>
    </row>
    <row r="705" spans="1:2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3"/>
      <c r="M705" s="6"/>
      <c r="N705" s="6"/>
      <c r="O705" s="6"/>
      <c r="P705" s="5"/>
      <c r="Q705" s="9"/>
      <c r="R705" s="5"/>
      <c r="S705" s="5"/>
      <c r="T705" s="5"/>
      <c r="U705" s="5"/>
      <c r="V705" s="5"/>
      <c r="W705" s="5"/>
      <c r="X705" s="5"/>
      <c r="Y705" s="9"/>
      <c r="Z705" s="2"/>
    </row>
    <row r="706" spans="1:2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3"/>
      <c r="M706" s="6"/>
      <c r="N706" s="6"/>
      <c r="O706" s="6"/>
      <c r="P706" s="5"/>
      <c r="Q706" s="9"/>
      <c r="R706" s="5"/>
      <c r="S706" s="5"/>
      <c r="T706" s="5"/>
      <c r="U706" s="5"/>
      <c r="V706" s="5"/>
      <c r="W706" s="5"/>
      <c r="X706" s="5"/>
      <c r="Y706" s="9"/>
      <c r="Z706" s="2"/>
    </row>
    <row r="707" spans="1:2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3"/>
      <c r="M707" s="6"/>
      <c r="N707" s="6"/>
      <c r="O707" s="6"/>
      <c r="P707" s="5"/>
      <c r="Q707" s="9"/>
      <c r="R707" s="5"/>
      <c r="S707" s="5"/>
      <c r="T707" s="5"/>
      <c r="U707" s="5"/>
      <c r="V707" s="5"/>
      <c r="W707" s="5"/>
      <c r="X707" s="5"/>
      <c r="Y707" s="9"/>
      <c r="Z707" s="2"/>
    </row>
    <row r="708" spans="1:2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3"/>
      <c r="M708" s="6"/>
      <c r="N708" s="6"/>
      <c r="O708" s="6"/>
      <c r="P708" s="5"/>
      <c r="Q708" s="9"/>
      <c r="R708" s="5"/>
      <c r="S708" s="5"/>
      <c r="T708" s="5"/>
      <c r="U708" s="5"/>
      <c r="V708" s="5"/>
      <c r="W708" s="5"/>
      <c r="X708" s="5"/>
      <c r="Y708" s="9"/>
      <c r="Z708" s="2"/>
    </row>
    <row r="709" spans="1:2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3"/>
      <c r="M709" s="6"/>
      <c r="N709" s="6"/>
      <c r="O709" s="6"/>
      <c r="P709" s="5"/>
      <c r="Q709" s="9"/>
      <c r="R709" s="5"/>
      <c r="S709" s="5"/>
      <c r="T709" s="5"/>
      <c r="U709" s="5"/>
      <c r="V709" s="5"/>
      <c r="W709" s="5"/>
      <c r="X709" s="5"/>
      <c r="Y709" s="9"/>
      <c r="Z709" s="2"/>
    </row>
    <row r="710" spans="1:2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3"/>
      <c r="M710" s="6"/>
      <c r="N710" s="6"/>
      <c r="O710" s="6"/>
      <c r="P710" s="5"/>
      <c r="Q710" s="9"/>
      <c r="R710" s="5"/>
      <c r="S710" s="5"/>
      <c r="T710" s="5"/>
      <c r="U710" s="5"/>
      <c r="V710" s="5"/>
      <c r="W710" s="5"/>
      <c r="X710" s="5"/>
      <c r="Y710" s="9"/>
      <c r="Z710" s="2"/>
    </row>
    <row r="711" spans="1:2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3"/>
      <c r="M711" s="6"/>
      <c r="N711" s="6"/>
      <c r="O711" s="6"/>
      <c r="P711" s="5"/>
      <c r="Q711" s="9"/>
      <c r="R711" s="5"/>
      <c r="S711" s="5"/>
      <c r="T711" s="5"/>
      <c r="U711" s="5"/>
      <c r="V711" s="5"/>
      <c r="W711" s="5"/>
      <c r="X711" s="5"/>
      <c r="Y711" s="9"/>
      <c r="Z711" s="2"/>
    </row>
    <row r="712" spans="1:2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3"/>
      <c r="M712" s="6"/>
      <c r="N712" s="6"/>
      <c r="O712" s="6"/>
      <c r="P712" s="5"/>
      <c r="Q712" s="9"/>
      <c r="R712" s="5"/>
      <c r="S712" s="5"/>
      <c r="T712" s="5"/>
      <c r="U712" s="5"/>
      <c r="V712" s="5"/>
      <c r="W712" s="5"/>
      <c r="X712" s="5"/>
      <c r="Y712" s="9"/>
      <c r="Z712" s="2"/>
    </row>
    <row r="713" spans="1:2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3"/>
      <c r="M713" s="6"/>
      <c r="N713" s="6"/>
      <c r="O713" s="6"/>
      <c r="P713" s="5"/>
      <c r="Q713" s="9"/>
      <c r="R713" s="5"/>
      <c r="S713" s="5"/>
      <c r="T713" s="5"/>
      <c r="U713" s="5"/>
      <c r="V713" s="5"/>
      <c r="W713" s="5"/>
      <c r="X713" s="5"/>
      <c r="Y713" s="9"/>
      <c r="Z713" s="2"/>
    </row>
    <row r="714" spans="1:2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3"/>
      <c r="M714" s="6"/>
      <c r="N714" s="6"/>
      <c r="O714" s="6"/>
      <c r="P714" s="5"/>
      <c r="Q714" s="9"/>
      <c r="R714" s="5"/>
      <c r="S714" s="5"/>
      <c r="T714" s="5"/>
      <c r="U714" s="5"/>
      <c r="V714" s="5"/>
      <c r="W714" s="5"/>
      <c r="X714" s="5"/>
      <c r="Y714" s="9"/>
      <c r="Z714" s="2"/>
    </row>
    <row r="715" spans="1:2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3"/>
      <c r="M715" s="6"/>
      <c r="N715" s="6"/>
      <c r="O715" s="6"/>
      <c r="P715" s="5"/>
      <c r="Q715" s="9"/>
      <c r="R715" s="5"/>
      <c r="S715" s="5"/>
      <c r="T715" s="5"/>
      <c r="U715" s="5"/>
      <c r="V715" s="5"/>
      <c r="W715" s="5"/>
      <c r="X715" s="5"/>
      <c r="Y715" s="9"/>
      <c r="Z715" s="2"/>
    </row>
    <row r="716" spans="1:2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3"/>
      <c r="M716" s="6"/>
      <c r="N716" s="6"/>
      <c r="O716" s="6"/>
      <c r="P716" s="5"/>
      <c r="Q716" s="9"/>
      <c r="R716" s="5"/>
      <c r="S716" s="5"/>
      <c r="T716" s="5"/>
      <c r="U716" s="5"/>
      <c r="V716" s="5"/>
      <c r="W716" s="5"/>
      <c r="X716" s="5"/>
      <c r="Y716" s="9"/>
      <c r="Z716" s="2"/>
    </row>
    <row r="717" spans="1:2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3"/>
      <c r="M717" s="6"/>
      <c r="N717" s="6"/>
      <c r="O717" s="6"/>
      <c r="P717" s="5"/>
      <c r="Q717" s="9"/>
      <c r="R717" s="5"/>
      <c r="S717" s="5"/>
      <c r="T717" s="5"/>
      <c r="U717" s="5"/>
      <c r="V717" s="5"/>
      <c r="W717" s="5"/>
      <c r="X717" s="5"/>
      <c r="Y717" s="9"/>
      <c r="Z717" s="2"/>
    </row>
    <row r="718" spans="1:2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3"/>
      <c r="M718" s="6"/>
      <c r="N718" s="6"/>
      <c r="O718" s="6"/>
      <c r="P718" s="5"/>
      <c r="Q718" s="9"/>
      <c r="R718" s="5"/>
      <c r="S718" s="5"/>
      <c r="T718" s="5"/>
      <c r="U718" s="5"/>
      <c r="V718" s="5"/>
      <c r="W718" s="5"/>
      <c r="X718" s="5"/>
      <c r="Y718" s="9"/>
      <c r="Z718" s="2"/>
    </row>
    <row r="719" spans="1:2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3"/>
      <c r="M719" s="6"/>
      <c r="N719" s="6"/>
      <c r="O719" s="6"/>
      <c r="P719" s="5"/>
      <c r="Q719" s="9"/>
      <c r="R719" s="5"/>
      <c r="S719" s="5"/>
      <c r="T719" s="5"/>
      <c r="U719" s="5"/>
      <c r="V719" s="5"/>
      <c r="W719" s="5"/>
      <c r="X719" s="5"/>
      <c r="Y719" s="9"/>
      <c r="Z719" s="2"/>
    </row>
    <row r="720" spans="1:2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3"/>
      <c r="M720" s="6"/>
      <c r="N720" s="6"/>
      <c r="O720" s="6"/>
      <c r="P720" s="5"/>
      <c r="Q720" s="9"/>
      <c r="R720" s="5"/>
      <c r="S720" s="5"/>
      <c r="T720" s="5"/>
      <c r="U720" s="5"/>
      <c r="V720" s="5"/>
      <c r="W720" s="5"/>
      <c r="X720" s="5"/>
      <c r="Y720" s="9"/>
      <c r="Z720" s="2"/>
    </row>
    <row r="721" spans="1:2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3"/>
      <c r="M721" s="6"/>
      <c r="N721" s="6"/>
      <c r="O721" s="6"/>
      <c r="P721" s="5"/>
      <c r="Q721" s="9"/>
      <c r="R721" s="5"/>
      <c r="S721" s="5"/>
      <c r="T721" s="5"/>
      <c r="U721" s="5"/>
      <c r="V721" s="5"/>
      <c r="W721" s="5"/>
      <c r="X721" s="5"/>
      <c r="Y721" s="9"/>
      <c r="Z721" s="2"/>
    </row>
    <row r="722" spans="1:2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3"/>
      <c r="M722" s="6"/>
      <c r="N722" s="6"/>
      <c r="O722" s="6"/>
      <c r="P722" s="5"/>
      <c r="Q722" s="9"/>
      <c r="R722" s="5"/>
      <c r="S722" s="5"/>
      <c r="T722" s="5"/>
      <c r="U722" s="5"/>
      <c r="V722" s="5"/>
      <c r="W722" s="5"/>
      <c r="X722" s="5"/>
      <c r="Y722" s="9"/>
      <c r="Z722" s="2"/>
    </row>
    <row r="723" spans="1:2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3"/>
      <c r="M723" s="6"/>
      <c r="N723" s="6"/>
      <c r="O723" s="6"/>
      <c r="P723" s="5"/>
      <c r="Q723" s="9"/>
      <c r="R723" s="5"/>
      <c r="S723" s="5"/>
      <c r="T723" s="5"/>
      <c r="U723" s="5"/>
      <c r="V723" s="5"/>
      <c r="W723" s="5"/>
      <c r="X723" s="5"/>
      <c r="Y723" s="9"/>
      <c r="Z723" s="2"/>
    </row>
    <row r="724" spans="1:2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3"/>
      <c r="M724" s="6"/>
      <c r="N724" s="6"/>
      <c r="O724" s="6"/>
      <c r="P724" s="5"/>
      <c r="Q724" s="9"/>
      <c r="R724" s="5"/>
      <c r="S724" s="5"/>
      <c r="T724" s="5"/>
      <c r="U724" s="5"/>
      <c r="V724" s="5"/>
      <c r="W724" s="5"/>
      <c r="X724" s="5"/>
      <c r="Y724" s="9"/>
      <c r="Z724" s="2"/>
    </row>
    <row r="725" spans="1:2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3"/>
      <c r="M725" s="6"/>
      <c r="N725" s="6"/>
      <c r="O725" s="6"/>
      <c r="P725" s="5"/>
      <c r="Q725" s="9"/>
      <c r="R725" s="5"/>
      <c r="S725" s="5"/>
      <c r="T725" s="5"/>
      <c r="U725" s="5"/>
      <c r="V725" s="5"/>
      <c r="W725" s="5"/>
      <c r="X725" s="5"/>
      <c r="Y725" s="9"/>
      <c r="Z725" s="2"/>
    </row>
    <row r="726" spans="1: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3"/>
      <c r="M726" s="6"/>
      <c r="N726" s="6"/>
      <c r="O726" s="6"/>
      <c r="P726" s="5"/>
      <c r="Q726" s="9"/>
      <c r="R726" s="5"/>
      <c r="S726" s="5"/>
      <c r="T726" s="5"/>
      <c r="U726" s="5"/>
      <c r="V726" s="5"/>
      <c r="W726" s="5"/>
      <c r="X726" s="5"/>
      <c r="Y726" s="9"/>
      <c r="Z726" s="2"/>
    </row>
    <row r="727" spans="1:2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3"/>
      <c r="M727" s="6"/>
      <c r="N727" s="6"/>
      <c r="O727" s="6"/>
      <c r="P727" s="5"/>
      <c r="Q727" s="9"/>
      <c r="R727" s="5"/>
      <c r="S727" s="5"/>
      <c r="T727" s="5"/>
      <c r="U727" s="5"/>
      <c r="V727" s="5"/>
      <c r="W727" s="5"/>
      <c r="X727" s="5"/>
      <c r="Y727" s="9"/>
      <c r="Z727" s="2"/>
    </row>
    <row r="728" spans="1:2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3"/>
      <c r="M728" s="6"/>
      <c r="N728" s="6"/>
      <c r="O728" s="6"/>
      <c r="P728" s="5"/>
      <c r="Q728" s="9"/>
      <c r="R728" s="5"/>
      <c r="S728" s="5"/>
      <c r="T728" s="5"/>
      <c r="U728" s="5"/>
      <c r="V728" s="5"/>
      <c r="W728" s="5"/>
      <c r="X728" s="5"/>
      <c r="Y728" s="9"/>
      <c r="Z728" s="2"/>
    </row>
    <row r="729" spans="1:2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3"/>
      <c r="M729" s="6"/>
      <c r="N729" s="6"/>
      <c r="O729" s="6"/>
      <c r="P729" s="5"/>
      <c r="Q729" s="9"/>
      <c r="R729" s="5"/>
      <c r="S729" s="5"/>
      <c r="T729" s="5"/>
      <c r="U729" s="5"/>
      <c r="V729" s="5"/>
      <c r="W729" s="5"/>
      <c r="X729" s="5"/>
      <c r="Y729" s="9"/>
      <c r="Z729" s="2"/>
    </row>
    <row r="730" spans="1:26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3"/>
      <c r="M730" s="6"/>
      <c r="N730" s="6"/>
      <c r="O730" s="6"/>
      <c r="P730" s="5"/>
      <c r="Q730" s="9"/>
      <c r="R730" s="5"/>
      <c r="S730" s="5"/>
      <c r="T730" s="5"/>
      <c r="U730" s="5"/>
      <c r="V730" s="5"/>
      <c r="W730" s="5"/>
      <c r="X730" s="5"/>
      <c r="Y730" s="9"/>
      <c r="Z730" s="2"/>
    </row>
    <row r="731" spans="1:26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3"/>
      <c r="M731" s="6"/>
      <c r="N731" s="6"/>
      <c r="O731" s="6"/>
      <c r="P731" s="5"/>
      <c r="Q731" s="9"/>
      <c r="R731" s="5"/>
      <c r="S731" s="5"/>
      <c r="T731" s="5"/>
      <c r="U731" s="5"/>
      <c r="V731" s="5"/>
      <c r="W731" s="5"/>
      <c r="X731" s="5"/>
      <c r="Y731" s="9"/>
      <c r="Z731" s="2"/>
    </row>
    <row r="732" spans="1:2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3"/>
      <c r="M732" s="6"/>
      <c r="N732" s="6"/>
      <c r="O732" s="6"/>
      <c r="P732" s="5"/>
      <c r="Q732" s="9"/>
      <c r="R732" s="5"/>
      <c r="S732" s="5"/>
      <c r="T732" s="5"/>
      <c r="U732" s="5"/>
      <c r="V732" s="5"/>
      <c r="W732" s="5"/>
      <c r="X732" s="5"/>
      <c r="Y732" s="9"/>
      <c r="Z732" s="2"/>
    </row>
    <row r="733" spans="1:2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3"/>
      <c r="M733" s="6"/>
      <c r="N733" s="6"/>
      <c r="O733" s="6"/>
      <c r="P733" s="5"/>
      <c r="Q733" s="9"/>
      <c r="R733" s="5"/>
      <c r="S733" s="5"/>
      <c r="T733" s="5"/>
      <c r="U733" s="5"/>
      <c r="V733" s="5"/>
      <c r="W733" s="5"/>
      <c r="X733" s="5"/>
      <c r="Y733" s="9"/>
      <c r="Z733" s="2"/>
    </row>
    <row r="734" spans="1:2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3"/>
      <c r="M734" s="6"/>
      <c r="N734" s="6"/>
      <c r="O734" s="6"/>
      <c r="P734" s="5"/>
      <c r="Q734" s="9"/>
      <c r="R734" s="5"/>
      <c r="S734" s="5"/>
      <c r="T734" s="5"/>
      <c r="U734" s="5"/>
      <c r="V734" s="5"/>
      <c r="W734" s="5"/>
      <c r="X734" s="5"/>
      <c r="Y734" s="9"/>
      <c r="Z734" s="2"/>
    </row>
    <row r="735" spans="1:2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3"/>
      <c r="M735" s="6"/>
      <c r="N735" s="6"/>
      <c r="O735" s="6"/>
      <c r="P735" s="5"/>
      <c r="Q735" s="9"/>
      <c r="R735" s="5"/>
      <c r="S735" s="5"/>
      <c r="T735" s="5"/>
      <c r="U735" s="5"/>
      <c r="V735" s="5"/>
      <c r="W735" s="5"/>
      <c r="X735" s="5"/>
      <c r="Y735" s="9"/>
      <c r="Z735" s="2"/>
    </row>
    <row r="736" spans="1:2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3"/>
      <c r="M736" s="6"/>
      <c r="N736" s="6"/>
      <c r="O736" s="6"/>
      <c r="P736" s="5"/>
      <c r="Q736" s="9"/>
      <c r="R736" s="5"/>
      <c r="S736" s="5"/>
      <c r="T736" s="5"/>
      <c r="U736" s="5"/>
      <c r="V736" s="5"/>
      <c r="W736" s="5"/>
      <c r="X736" s="5"/>
      <c r="Y736" s="9"/>
      <c r="Z736" s="2"/>
    </row>
    <row r="737" spans="1:2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3"/>
      <c r="M737" s="6"/>
      <c r="N737" s="6"/>
      <c r="O737" s="6"/>
      <c r="P737" s="5"/>
      <c r="Q737" s="9"/>
      <c r="R737" s="5"/>
      <c r="S737" s="5"/>
      <c r="T737" s="5"/>
      <c r="U737" s="5"/>
      <c r="V737" s="5"/>
      <c r="W737" s="5"/>
      <c r="X737" s="5"/>
      <c r="Y737" s="9"/>
      <c r="Z737" s="2"/>
    </row>
    <row r="738" spans="1:2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3"/>
      <c r="M738" s="6"/>
      <c r="N738" s="6"/>
      <c r="O738" s="6"/>
      <c r="P738" s="5"/>
      <c r="Q738" s="9"/>
      <c r="R738" s="5"/>
      <c r="S738" s="5"/>
      <c r="T738" s="5"/>
      <c r="U738" s="5"/>
      <c r="V738" s="5"/>
      <c r="W738" s="5"/>
      <c r="X738" s="5"/>
      <c r="Y738" s="9"/>
      <c r="Z738" s="2"/>
    </row>
    <row r="739" spans="1:2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3"/>
      <c r="M739" s="6"/>
      <c r="N739" s="6"/>
      <c r="O739" s="6"/>
      <c r="P739" s="5"/>
      <c r="Q739" s="9"/>
      <c r="R739" s="5"/>
      <c r="S739" s="5"/>
      <c r="T739" s="5"/>
      <c r="U739" s="5"/>
      <c r="V739" s="5"/>
      <c r="W739" s="5"/>
      <c r="X739" s="5"/>
      <c r="Y739" s="9"/>
      <c r="Z739" s="2"/>
    </row>
    <row r="740" spans="1:2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3"/>
      <c r="M740" s="6"/>
      <c r="N740" s="6"/>
      <c r="O740" s="6"/>
      <c r="P740" s="5"/>
      <c r="Q740" s="9"/>
      <c r="R740" s="5"/>
      <c r="S740" s="5"/>
      <c r="T740" s="5"/>
      <c r="U740" s="5"/>
      <c r="V740" s="5"/>
      <c r="W740" s="5"/>
      <c r="X740" s="5"/>
      <c r="Y740" s="9"/>
      <c r="Z740" s="2"/>
    </row>
    <row r="741" spans="1:2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3"/>
      <c r="M741" s="6"/>
      <c r="N741" s="6"/>
      <c r="O741" s="6"/>
      <c r="P741" s="5"/>
      <c r="Q741" s="9"/>
      <c r="R741" s="5"/>
      <c r="S741" s="5"/>
      <c r="T741" s="5"/>
      <c r="U741" s="5"/>
      <c r="V741" s="5"/>
      <c r="W741" s="5"/>
      <c r="X741" s="5"/>
      <c r="Y741" s="9"/>
      <c r="Z741" s="2"/>
    </row>
    <row r="742" spans="1:2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3"/>
      <c r="M742" s="6"/>
      <c r="N742" s="6"/>
      <c r="O742" s="6"/>
      <c r="P742" s="5"/>
      <c r="Q742" s="9"/>
      <c r="R742" s="5"/>
      <c r="S742" s="5"/>
      <c r="T742" s="5"/>
      <c r="U742" s="5"/>
      <c r="V742" s="5"/>
      <c r="W742" s="5"/>
      <c r="X742" s="5"/>
      <c r="Y742" s="9"/>
      <c r="Z742" s="2"/>
    </row>
    <row r="743" spans="1:2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3"/>
      <c r="M743" s="6"/>
      <c r="N743" s="6"/>
      <c r="O743" s="6"/>
      <c r="P743" s="5"/>
      <c r="Q743" s="9"/>
      <c r="R743" s="5"/>
      <c r="S743" s="5"/>
      <c r="T743" s="5"/>
      <c r="U743" s="5"/>
      <c r="V743" s="5"/>
      <c r="W743" s="5"/>
      <c r="X743" s="5"/>
      <c r="Y743" s="9"/>
      <c r="Z743" s="2"/>
    </row>
    <row r="744" spans="1:2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3"/>
      <c r="M744" s="6"/>
      <c r="N744" s="6"/>
      <c r="O744" s="6"/>
      <c r="P744" s="5"/>
      <c r="Q744" s="9"/>
      <c r="R744" s="5"/>
      <c r="S744" s="5"/>
      <c r="T744" s="5"/>
      <c r="U744" s="5"/>
      <c r="V744" s="5"/>
      <c r="W744" s="5"/>
      <c r="X744" s="5"/>
      <c r="Y744" s="9"/>
      <c r="Z744" s="2"/>
    </row>
    <row r="745" spans="1:2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3"/>
      <c r="M745" s="6"/>
      <c r="N745" s="6"/>
      <c r="O745" s="6"/>
      <c r="P745" s="5"/>
      <c r="Q745" s="9"/>
      <c r="R745" s="5"/>
      <c r="S745" s="5"/>
      <c r="T745" s="5"/>
      <c r="U745" s="5"/>
      <c r="V745" s="5"/>
      <c r="W745" s="5"/>
      <c r="X745" s="5"/>
      <c r="Y745" s="9"/>
      <c r="Z745" s="2"/>
    </row>
    <row r="746" spans="1:2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3"/>
      <c r="M746" s="6"/>
      <c r="N746" s="6"/>
      <c r="O746" s="6"/>
      <c r="P746" s="5"/>
      <c r="Q746" s="9"/>
      <c r="R746" s="5"/>
      <c r="S746" s="5"/>
      <c r="T746" s="5"/>
      <c r="U746" s="5"/>
      <c r="V746" s="5"/>
      <c r="W746" s="5"/>
      <c r="X746" s="5"/>
      <c r="Y746" s="9"/>
      <c r="Z746" s="2"/>
    </row>
    <row r="747" spans="1:2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3"/>
      <c r="M747" s="6"/>
      <c r="N747" s="6"/>
      <c r="O747" s="6"/>
      <c r="P747" s="5"/>
      <c r="Q747" s="9"/>
      <c r="R747" s="5"/>
      <c r="S747" s="5"/>
      <c r="T747" s="5"/>
      <c r="U747" s="5"/>
      <c r="V747" s="5"/>
      <c r="W747" s="5"/>
      <c r="X747" s="5"/>
      <c r="Y747" s="9"/>
      <c r="Z747" s="2"/>
    </row>
    <row r="748" spans="1:26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3"/>
      <c r="M748" s="6"/>
      <c r="N748" s="6"/>
      <c r="O748" s="6"/>
      <c r="P748" s="5"/>
      <c r="Q748" s="9"/>
      <c r="R748" s="5"/>
      <c r="S748" s="5"/>
      <c r="T748" s="5"/>
      <c r="U748" s="5"/>
      <c r="V748" s="5"/>
      <c r="W748" s="5"/>
      <c r="X748" s="5"/>
      <c r="Y748" s="9"/>
      <c r="Z748" s="2"/>
    </row>
    <row r="749" spans="1:26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3"/>
      <c r="M749" s="6"/>
      <c r="N749" s="6"/>
      <c r="O749" s="6"/>
      <c r="P749" s="5"/>
      <c r="Q749" s="9"/>
      <c r="R749" s="5"/>
      <c r="S749" s="5"/>
      <c r="T749" s="5"/>
      <c r="U749" s="5"/>
      <c r="V749" s="5"/>
      <c r="W749" s="5"/>
      <c r="X749" s="5"/>
      <c r="Y749" s="9"/>
      <c r="Z749" s="2"/>
    </row>
    <row r="750" spans="1:26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3"/>
      <c r="M750" s="6"/>
      <c r="N750" s="6"/>
      <c r="O750" s="6"/>
      <c r="P750" s="5"/>
      <c r="Q750" s="9"/>
      <c r="R750" s="5"/>
      <c r="S750" s="5"/>
      <c r="T750" s="5"/>
      <c r="U750" s="5"/>
      <c r="V750" s="5"/>
      <c r="W750" s="5"/>
      <c r="X750" s="5"/>
      <c r="Y750" s="9"/>
      <c r="Z750" s="2"/>
    </row>
    <row r="751" spans="1:26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3"/>
      <c r="M751" s="6"/>
      <c r="N751" s="6"/>
      <c r="O751" s="6"/>
      <c r="P751" s="5"/>
      <c r="Q751" s="9"/>
      <c r="R751" s="5"/>
      <c r="S751" s="5"/>
      <c r="T751" s="5"/>
      <c r="U751" s="5"/>
      <c r="V751" s="5"/>
      <c r="W751" s="5"/>
      <c r="X751" s="5"/>
      <c r="Y751" s="9"/>
      <c r="Z751" s="2"/>
    </row>
    <row r="752" spans="1:26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3"/>
      <c r="M752" s="6"/>
      <c r="N752" s="6"/>
      <c r="O752" s="6"/>
      <c r="P752" s="5"/>
      <c r="Q752" s="9"/>
      <c r="R752" s="5"/>
      <c r="S752" s="5"/>
      <c r="T752" s="5"/>
      <c r="U752" s="5"/>
      <c r="V752" s="5"/>
      <c r="W752" s="5"/>
      <c r="X752" s="5"/>
      <c r="Y752" s="9"/>
      <c r="Z752" s="2"/>
    </row>
    <row r="753" spans="1:26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3"/>
      <c r="M753" s="6"/>
      <c r="N753" s="6"/>
      <c r="O753" s="6"/>
      <c r="P753" s="5"/>
      <c r="Q753" s="9"/>
      <c r="R753" s="5"/>
      <c r="S753" s="5"/>
      <c r="T753" s="5"/>
      <c r="U753" s="5"/>
      <c r="V753" s="5"/>
      <c r="W753" s="5"/>
      <c r="X753" s="5"/>
      <c r="Y753" s="9"/>
      <c r="Z753" s="2"/>
    </row>
    <row r="754" spans="1:26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3"/>
      <c r="M754" s="6"/>
      <c r="N754" s="6"/>
      <c r="O754" s="6"/>
      <c r="P754" s="5"/>
      <c r="Q754" s="9"/>
      <c r="R754" s="5"/>
      <c r="S754" s="5"/>
      <c r="T754" s="5"/>
      <c r="U754" s="5"/>
      <c r="V754" s="5"/>
      <c r="W754" s="5"/>
      <c r="X754" s="5"/>
      <c r="Y754" s="9"/>
      <c r="Z754" s="2"/>
    </row>
    <row r="755" spans="1:26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3"/>
      <c r="M755" s="6"/>
      <c r="N755" s="6"/>
      <c r="O755" s="6"/>
      <c r="P755" s="5"/>
      <c r="Q755" s="9"/>
      <c r="R755" s="5"/>
      <c r="S755" s="5"/>
      <c r="T755" s="5"/>
      <c r="U755" s="5"/>
      <c r="V755" s="5"/>
      <c r="W755" s="5"/>
      <c r="X755" s="5"/>
      <c r="Y755" s="9"/>
      <c r="Z755" s="2"/>
    </row>
    <row r="756" spans="1:2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3"/>
      <c r="M756" s="6"/>
      <c r="N756" s="6"/>
      <c r="O756" s="6"/>
      <c r="P756" s="5"/>
      <c r="Q756" s="9"/>
      <c r="R756" s="5"/>
      <c r="S756" s="5"/>
      <c r="T756" s="5"/>
      <c r="U756" s="5"/>
      <c r="V756" s="5"/>
      <c r="W756" s="5"/>
      <c r="X756" s="5"/>
      <c r="Y756" s="9"/>
      <c r="Z756" s="2"/>
    </row>
    <row r="757" spans="1:26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3"/>
      <c r="M757" s="6"/>
      <c r="N757" s="6"/>
      <c r="O757" s="6"/>
      <c r="P757" s="5"/>
      <c r="Q757" s="9"/>
      <c r="R757" s="5"/>
      <c r="S757" s="5"/>
      <c r="T757" s="5"/>
      <c r="U757" s="5"/>
      <c r="V757" s="5"/>
      <c r="W757" s="5"/>
      <c r="X757" s="5"/>
      <c r="Y757" s="9"/>
      <c r="Z757" s="2"/>
    </row>
    <row r="758" spans="1:26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3"/>
      <c r="M758" s="6"/>
      <c r="N758" s="6"/>
      <c r="O758" s="6"/>
      <c r="P758" s="5"/>
      <c r="Q758" s="9"/>
      <c r="R758" s="5"/>
      <c r="S758" s="5"/>
      <c r="T758" s="5"/>
      <c r="U758" s="5"/>
      <c r="V758" s="5"/>
      <c r="W758" s="5"/>
      <c r="X758" s="5"/>
      <c r="Y758" s="9"/>
      <c r="Z758" s="2"/>
    </row>
    <row r="759" spans="1:26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3"/>
      <c r="M759" s="6"/>
      <c r="N759" s="6"/>
      <c r="O759" s="6"/>
      <c r="P759" s="5"/>
      <c r="Q759" s="9"/>
      <c r="R759" s="5"/>
      <c r="S759" s="5"/>
      <c r="T759" s="5"/>
      <c r="U759" s="5"/>
      <c r="V759" s="5"/>
      <c r="W759" s="5"/>
      <c r="X759" s="5"/>
      <c r="Y759" s="9"/>
      <c r="Z759" s="2"/>
    </row>
    <row r="760" spans="1:26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3"/>
      <c r="M760" s="6"/>
      <c r="N760" s="6"/>
      <c r="O760" s="6"/>
      <c r="P760" s="5"/>
      <c r="Q760" s="9"/>
      <c r="R760" s="5"/>
      <c r="S760" s="5"/>
      <c r="T760" s="5"/>
      <c r="U760" s="5"/>
      <c r="V760" s="5"/>
      <c r="W760" s="5"/>
      <c r="X760" s="5"/>
      <c r="Y760" s="9"/>
      <c r="Z760" s="2"/>
    </row>
    <row r="761" spans="1:26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3"/>
      <c r="M761" s="6"/>
      <c r="N761" s="6"/>
      <c r="O761" s="6"/>
      <c r="P761" s="5"/>
      <c r="Q761" s="9"/>
      <c r="R761" s="5"/>
      <c r="S761" s="5"/>
      <c r="T761" s="5"/>
      <c r="U761" s="5"/>
      <c r="V761" s="5"/>
      <c r="W761" s="5"/>
      <c r="X761" s="5"/>
      <c r="Y761" s="9"/>
      <c r="Z761" s="2"/>
    </row>
    <row r="762" spans="1:26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3"/>
      <c r="M762" s="6"/>
      <c r="N762" s="6"/>
      <c r="O762" s="6"/>
      <c r="P762" s="5"/>
      <c r="Q762" s="9"/>
      <c r="R762" s="5"/>
      <c r="S762" s="5"/>
      <c r="T762" s="5"/>
      <c r="U762" s="5"/>
      <c r="V762" s="5"/>
      <c r="W762" s="5"/>
      <c r="X762" s="5"/>
      <c r="Y762" s="9"/>
      <c r="Z762" s="2"/>
    </row>
    <row r="763" spans="1:26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3"/>
      <c r="M763" s="6"/>
      <c r="N763" s="6"/>
      <c r="O763" s="6"/>
      <c r="P763" s="5"/>
      <c r="Q763" s="9"/>
      <c r="R763" s="5"/>
      <c r="S763" s="5"/>
      <c r="T763" s="5"/>
      <c r="U763" s="5"/>
      <c r="V763" s="5"/>
      <c r="W763" s="5"/>
      <c r="X763" s="5"/>
      <c r="Y763" s="9"/>
      <c r="Z763" s="2"/>
    </row>
    <row r="764" spans="1:26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3"/>
      <c r="M764" s="6"/>
      <c r="N764" s="6"/>
      <c r="O764" s="6"/>
      <c r="P764" s="5"/>
      <c r="Q764" s="9"/>
      <c r="R764" s="5"/>
      <c r="S764" s="5"/>
      <c r="T764" s="5"/>
      <c r="U764" s="5"/>
      <c r="V764" s="5"/>
      <c r="W764" s="5"/>
      <c r="X764" s="5"/>
      <c r="Y764" s="9"/>
      <c r="Z764" s="2"/>
    </row>
    <row r="765" spans="1:26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3"/>
      <c r="M765" s="6"/>
      <c r="N765" s="6"/>
      <c r="O765" s="6"/>
      <c r="P765" s="5"/>
      <c r="Q765" s="9"/>
      <c r="R765" s="5"/>
      <c r="S765" s="5"/>
      <c r="T765" s="5"/>
      <c r="U765" s="5"/>
      <c r="V765" s="5"/>
      <c r="W765" s="5"/>
      <c r="X765" s="5"/>
      <c r="Y765" s="9"/>
      <c r="Z765" s="2"/>
    </row>
    <row r="766" spans="1:2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3"/>
      <c r="M766" s="6"/>
      <c r="N766" s="6"/>
      <c r="O766" s="6"/>
      <c r="P766" s="5"/>
      <c r="Q766" s="9"/>
      <c r="R766" s="5"/>
      <c r="S766" s="5"/>
      <c r="T766" s="5"/>
      <c r="U766" s="5"/>
      <c r="V766" s="5"/>
      <c r="W766" s="5"/>
      <c r="X766" s="5"/>
      <c r="Y766" s="9"/>
      <c r="Z766" s="2"/>
    </row>
    <row r="767" spans="1:26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3"/>
      <c r="M767" s="6"/>
      <c r="N767" s="6"/>
      <c r="O767" s="6"/>
      <c r="P767" s="5"/>
      <c r="Q767" s="9"/>
      <c r="R767" s="5"/>
      <c r="S767" s="5"/>
      <c r="T767" s="5"/>
      <c r="U767" s="5"/>
      <c r="V767" s="5"/>
      <c r="W767" s="5"/>
      <c r="X767" s="5"/>
      <c r="Y767" s="9"/>
      <c r="Z767" s="2"/>
    </row>
    <row r="768" spans="1:26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3"/>
      <c r="M768" s="6"/>
      <c r="N768" s="6"/>
      <c r="O768" s="6"/>
      <c r="P768" s="5"/>
      <c r="Q768" s="9"/>
      <c r="R768" s="5"/>
      <c r="S768" s="5"/>
      <c r="T768" s="5"/>
      <c r="U768" s="5"/>
      <c r="V768" s="5"/>
      <c r="W768" s="5"/>
      <c r="X768" s="5"/>
      <c r="Y768" s="9"/>
      <c r="Z768" s="2"/>
    </row>
    <row r="769" spans="1:26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3"/>
      <c r="M769" s="6"/>
      <c r="N769" s="6"/>
      <c r="O769" s="6"/>
      <c r="P769" s="5"/>
      <c r="Q769" s="9"/>
      <c r="R769" s="5"/>
      <c r="S769" s="5"/>
      <c r="T769" s="5"/>
      <c r="U769" s="5"/>
      <c r="V769" s="5"/>
      <c r="W769" s="5"/>
      <c r="X769" s="5"/>
      <c r="Y769" s="9"/>
      <c r="Z769" s="2"/>
    </row>
    <row r="770" spans="1:26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3"/>
      <c r="M770" s="6"/>
      <c r="N770" s="6"/>
      <c r="O770" s="6"/>
      <c r="P770" s="5"/>
      <c r="Q770" s="9"/>
      <c r="R770" s="5"/>
      <c r="S770" s="5"/>
      <c r="T770" s="5"/>
      <c r="U770" s="5"/>
      <c r="V770" s="5"/>
      <c r="W770" s="5"/>
      <c r="X770" s="5"/>
      <c r="Y770" s="9"/>
      <c r="Z770" s="2"/>
    </row>
    <row r="771" spans="1:26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3"/>
      <c r="M771" s="6"/>
      <c r="N771" s="6"/>
      <c r="O771" s="6"/>
      <c r="P771" s="5"/>
      <c r="Q771" s="9"/>
      <c r="R771" s="5"/>
      <c r="S771" s="5"/>
      <c r="T771" s="5"/>
      <c r="U771" s="5"/>
      <c r="V771" s="5"/>
      <c r="W771" s="5"/>
      <c r="X771" s="5"/>
      <c r="Y771" s="9"/>
      <c r="Z771" s="2"/>
    </row>
    <row r="772" spans="1:26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3"/>
      <c r="M772" s="6"/>
      <c r="N772" s="6"/>
      <c r="O772" s="6"/>
      <c r="P772" s="5"/>
      <c r="Q772" s="9"/>
      <c r="R772" s="5"/>
      <c r="S772" s="5"/>
      <c r="T772" s="5"/>
      <c r="U772" s="5"/>
      <c r="V772" s="5"/>
      <c r="W772" s="5"/>
      <c r="X772" s="5"/>
      <c r="Y772" s="9"/>
      <c r="Z772" s="2"/>
    </row>
    <row r="773" spans="1:26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3"/>
      <c r="M773" s="6"/>
      <c r="N773" s="6"/>
      <c r="O773" s="6"/>
      <c r="P773" s="5"/>
      <c r="Q773" s="9"/>
      <c r="R773" s="5"/>
      <c r="S773" s="5"/>
      <c r="T773" s="5"/>
      <c r="U773" s="5"/>
      <c r="V773" s="5"/>
      <c r="W773" s="5"/>
      <c r="X773" s="5"/>
      <c r="Y773" s="9"/>
      <c r="Z773" s="2"/>
    </row>
    <row r="774" spans="1:26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3"/>
      <c r="M774" s="6"/>
      <c r="N774" s="6"/>
      <c r="O774" s="6"/>
      <c r="P774" s="5"/>
      <c r="Q774" s="9"/>
      <c r="R774" s="5"/>
      <c r="S774" s="5"/>
      <c r="T774" s="5"/>
      <c r="U774" s="5"/>
      <c r="V774" s="5"/>
      <c r="W774" s="5"/>
      <c r="X774" s="5"/>
      <c r="Y774" s="9"/>
      <c r="Z774" s="2"/>
    </row>
    <row r="775" spans="1:26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3"/>
      <c r="M775" s="6"/>
      <c r="N775" s="6"/>
      <c r="O775" s="6"/>
      <c r="P775" s="5"/>
      <c r="Q775" s="9"/>
      <c r="R775" s="5"/>
      <c r="S775" s="5"/>
      <c r="T775" s="5"/>
      <c r="U775" s="5"/>
      <c r="V775" s="5"/>
      <c r="W775" s="5"/>
      <c r="X775" s="5"/>
      <c r="Y775" s="9"/>
      <c r="Z775" s="2"/>
    </row>
    <row r="776" spans="1:2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3"/>
      <c r="M776" s="6"/>
      <c r="N776" s="6"/>
      <c r="O776" s="6"/>
      <c r="P776" s="5"/>
      <c r="Q776" s="9"/>
      <c r="R776" s="5"/>
      <c r="S776" s="5"/>
      <c r="T776" s="5"/>
      <c r="U776" s="5"/>
      <c r="V776" s="5"/>
      <c r="W776" s="5"/>
      <c r="X776" s="5"/>
      <c r="Y776" s="9"/>
      <c r="Z776" s="2"/>
    </row>
    <row r="777" spans="1:26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3"/>
      <c r="M777" s="6"/>
      <c r="N777" s="6"/>
      <c r="O777" s="6"/>
      <c r="P777" s="5"/>
      <c r="Q777" s="9"/>
      <c r="R777" s="5"/>
      <c r="S777" s="5"/>
      <c r="T777" s="5"/>
      <c r="U777" s="5"/>
      <c r="V777" s="5"/>
      <c r="W777" s="5"/>
      <c r="X777" s="5"/>
      <c r="Y777" s="9"/>
      <c r="Z777" s="2"/>
    </row>
    <row r="778" spans="1:26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3"/>
      <c r="M778" s="6"/>
      <c r="N778" s="6"/>
      <c r="O778" s="6"/>
      <c r="P778" s="5"/>
      <c r="Q778" s="9"/>
      <c r="R778" s="5"/>
      <c r="S778" s="5"/>
      <c r="T778" s="5"/>
      <c r="U778" s="5"/>
      <c r="V778" s="5"/>
      <c r="W778" s="5"/>
      <c r="X778" s="5"/>
      <c r="Y778" s="9"/>
      <c r="Z778" s="2"/>
    </row>
    <row r="779" spans="1:26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3"/>
      <c r="M779" s="6"/>
      <c r="N779" s="6"/>
      <c r="O779" s="6"/>
      <c r="P779" s="5"/>
      <c r="Q779" s="9"/>
      <c r="R779" s="5"/>
      <c r="S779" s="5"/>
      <c r="T779" s="5"/>
      <c r="U779" s="5"/>
      <c r="V779" s="5"/>
      <c r="W779" s="5"/>
      <c r="X779" s="5"/>
      <c r="Y779" s="9"/>
      <c r="Z779" s="2"/>
    </row>
    <row r="780" spans="1:26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3"/>
      <c r="M780" s="6"/>
      <c r="N780" s="6"/>
      <c r="O780" s="6"/>
      <c r="P780" s="5"/>
      <c r="Q780" s="9"/>
      <c r="R780" s="5"/>
      <c r="S780" s="5"/>
      <c r="T780" s="5"/>
      <c r="U780" s="5"/>
      <c r="V780" s="5"/>
      <c r="W780" s="5"/>
      <c r="X780" s="5"/>
      <c r="Y780" s="9"/>
      <c r="Z780" s="2"/>
    </row>
    <row r="781" spans="1:26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3"/>
      <c r="M781" s="6"/>
      <c r="N781" s="6"/>
      <c r="O781" s="6"/>
      <c r="P781" s="5"/>
      <c r="Q781" s="9"/>
      <c r="R781" s="5"/>
      <c r="S781" s="5"/>
      <c r="T781" s="5"/>
      <c r="U781" s="5"/>
      <c r="V781" s="5"/>
      <c r="W781" s="5"/>
      <c r="X781" s="5"/>
      <c r="Y781" s="9"/>
      <c r="Z781" s="2"/>
    </row>
    <row r="782" spans="1:26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3"/>
      <c r="M782" s="6"/>
      <c r="N782" s="6"/>
      <c r="O782" s="6"/>
      <c r="P782" s="5"/>
      <c r="Q782" s="9"/>
      <c r="R782" s="5"/>
      <c r="S782" s="5"/>
      <c r="T782" s="5"/>
      <c r="U782" s="5"/>
      <c r="V782" s="5"/>
      <c r="W782" s="5"/>
      <c r="X782" s="5"/>
      <c r="Y782" s="9"/>
      <c r="Z782" s="2"/>
    </row>
    <row r="783" spans="1:26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3"/>
      <c r="M783" s="6"/>
      <c r="N783" s="6"/>
      <c r="O783" s="6"/>
      <c r="P783" s="5"/>
      <c r="Q783" s="9"/>
      <c r="R783" s="5"/>
      <c r="S783" s="5"/>
      <c r="T783" s="5"/>
      <c r="U783" s="5"/>
      <c r="V783" s="5"/>
      <c r="W783" s="5"/>
      <c r="X783" s="5"/>
      <c r="Y783" s="9"/>
      <c r="Z783" s="2"/>
    </row>
    <row r="784" spans="1:26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3"/>
      <c r="M784" s="6"/>
      <c r="N784" s="6"/>
      <c r="O784" s="6"/>
      <c r="P784" s="5"/>
      <c r="Q784" s="9"/>
      <c r="R784" s="5"/>
      <c r="S784" s="5"/>
      <c r="T784" s="5"/>
      <c r="U784" s="5"/>
      <c r="V784" s="5"/>
      <c r="W784" s="5"/>
      <c r="X784" s="5"/>
      <c r="Y784" s="9"/>
      <c r="Z784" s="2"/>
    </row>
    <row r="785" spans="1:26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3"/>
      <c r="M785" s="6"/>
      <c r="N785" s="6"/>
      <c r="O785" s="6"/>
      <c r="P785" s="5"/>
      <c r="Q785" s="9"/>
      <c r="R785" s="5"/>
      <c r="S785" s="5"/>
      <c r="T785" s="5"/>
      <c r="U785" s="5"/>
      <c r="V785" s="5"/>
      <c r="W785" s="5"/>
      <c r="X785" s="5"/>
      <c r="Y785" s="9"/>
      <c r="Z785" s="2"/>
    </row>
    <row r="786" spans="1:2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3"/>
      <c r="M786" s="6"/>
      <c r="N786" s="6"/>
      <c r="O786" s="6"/>
      <c r="P786" s="5"/>
      <c r="Q786" s="9"/>
      <c r="R786" s="5"/>
      <c r="S786" s="5"/>
      <c r="T786" s="5"/>
      <c r="U786" s="5"/>
      <c r="V786" s="5"/>
      <c r="W786" s="5"/>
      <c r="X786" s="5"/>
      <c r="Y786" s="9"/>
      <c r="Z786" s="2"/>
    </row>
    <row r="787" spans="1:26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3"/>
      <c r="M787" s="6"/>
      <c r="N787" s="6"/>
      <c r="O787" s="6"/>
      <c r="P787" s="5"/>
      <c r="Q787" s="9"/>
      <c r="R787" s="5"/>
      <c r="S787" s="5"/>
      <c r="T787" s="5"/>
      <c r="U787" s="5"/>
      <c r="V787" s="5"/>
      <c r="W787" s="5"/>
      <c r="X787" s="5"/>
      <c r="Y787" s="9"/>
      <c r="Z787" s="2"/>
    </row>
    <row r="788" spans="1:26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3"/>
      <c r="M788" s="6"/>
      <c r="N788" s="6"/>
      <c r="O788" s="6"/>
      <c r="P788" s="5"/>
      <c r="Q788" s="9"/>
      <c r="R788" s="5"/>
      <c r="S788" s="5"/>
      <c r="T788" s="5"/>
      <c r="U788" s="5"/>
      <c r="V788" s="5"/>
      <c r="W788" s="5"/>
      <c r="X788" s="5"/>
      <c r="Y788" s="9"/>
      <c r="Z788" s="2"/>
    </row>
    <row r="789" spans="1:26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3"/>
      <c r="M789" s="6"/>
      <c r="N789" s="6"/>
      <c r="O789" s="6"/>
      <c r="P789" s="5"/>
      <c r="Q789" s="9"/>
      <c r="R789" s="5"/>
      <c r="S789" s="5"/>
      <c r="T789" s="5"/>
      <c r="U789" s="5"/>
      <c r="V789" s="5"/>
      <c r="W789" s="5"/>
      <c r="X789" s="5"/>
      <c r="Y789" s="9"/>
      <c r="Z789" s="2"/>
    </row>
    <row r="790" spans="1:26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3"/>
      <c r="M790" s="6"/>
      <c r="N790" s="6"/>
      <c r="O790" s="6"/>
      <c r="P790" s="5"/>
      <c r="Q790" s="9"/>
      <c r="R790" s="5"/>
      <c r="S790" s="5"/>
      <c r="T790" s="5"/>
      <c r="U790" s="5"/>
      <c r="V790" s="5"/>
      <c r="W790" s="5"/>
      <c r="X790" s="5"/>
      <c r="Y790" s="9"/>
      <c r="Z790" s="2"/>
    </row>
    <row r="791" spans="1:26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3"/>
      <c r="M791" s="6"/>
      <c r="N791" s="6"/>
      <c r="O791" s="6"/>
      <c r="P791" s="5"/>
      <c r="Q791" s="9"/>
      <c r="R791" s="5"/>
      <c r="S791" s="5"/>
      <c r="T791" s="5"/>
      <c r="U791" s="5"/>
      <c r="V791" s="5"/>
      <c r="W791" s="5"/>
      <c r="X791" s="5"/>
      <c r="Y791" s="9"/>
      <c r="Z791" s="2"/>
    </row>
    <row r="792" spans="1:26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3"/>
      <c r="M792" s="6"/>
      <c r="N792" s="6"/>
      <c r="O792" s="6"/>
      <c r="P792" s="5"/>
      <c r="Q792" s="9"/>
      <c r="R792" s="5"/>
      <c r="S792" s="5"/>
      <c r="T792" s="5"/>
      <c r="U792" s="5"/>
      <c r="V792" s="5"/>
      <c r="W792" s="5"/>
      <c r="X792" s="5"/>
      <c r="Y792" s="9"/>
      <c r="Z792" s="2"/>
    </row>
    <row r="793" spans="1:26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3"/>
      <c r="M793" s="6"/>
      <c r="N793" s="6"/>
      <c r="O793" s="6"/>
      <c r="P793" s="5"/>
      <c r="Q793" s="9"/>
      <c r="R793" s="5"/>
      <c r="S793" s="5"/>
      <c r="T793" s="5"/>
      <c r="U793" s="5"/>
      <c r="V793" s="5"/>
      <c r="W793" s="5"/>
      <c r="X793" s="5"/>
      <c r="Y793" s="9"/>
      <c r="Z793" s="2"/>
    </row>
    <row r="794" spans="1:26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3"/>
      <c r="M794" s="6"/>
      <c r="N794" s="6"/>
      <c r="O794" s="6"/>
      <c r="P794" s="5"/>
      <c r="Q794" s="9"/>
      <c r="R794" s="5"/>
      <c r="S794" s="5"/>
      <c r="T794" s="5"/>
      <c r="U794" s="5"/>
      <c r="V794" s="5"/>
      <c r="W794" s="5"/>
      <c r="X794" s="5"/>
      <c r="Y794" s="9"/>
      <c r="Z794" s="2"/>
    </row>
    <row r="795" spans="1:26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3"/>
      <c r="M795" s="6"/>
      <c r="N795" s="6"/>
      <c r="O795" s="6"/>
      <c r="P795" s="5"/>
      <c r="Q795" s="9"/>
      <c r="R795" s="5"/>
      <c r="S795" s="5"/>
      <c r="T795" s="5"/>
      <c r="U795" s="5"/>
      <c r="V795" s="5"/>
      <c r="W795" s="5"/>
      <c r="X795" s="5"/>
      <c r="Y795" s="9"/>
      <c r="Z795" s="2"/>
    </row>
    <row r="796" spans="1:2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3"/>
      <c r="M796" s="6"/>
      <c r="N796" s="6"/>
      <c r="O796" s="6"/>
      <c r="P796" s="5"/>
      <c r="Q796" s="9"/>
      <c r="R796" s="5"/>
      <c r="S796" s="5"/>
      <c r="T796" s="5"/>
      <c r="U796" s="5"/>
      <c r="V796" s="5"/>
      <c r="W796" s="5"/>
      <c r="X796" s="5"/>
      <c r="Y796" s="9"/>
      <c r="Z796" s="2"/>
    </row>
    <row r="797" spans="1:26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3"/>
      <c r="M797" s="6"/>
      <c r="N797" s="6"/>
      <c r="O797" s="6"/>
      <c r="P797" s="5"/>
      <c r="Q797" s="9"/>
      <c r="R797" s="5"/>
      <c r="S797" s="5"/>
      <c r="T797" s="5"/>
      <c r="U797" s="5"/>
      <c r="V797" s="5"/>
      <c r="W797" s="5"/>
      <c r="X797" s="5"/>
      <c r="Y797" s="9"/>
      <c r="Z797" s="2"/>
    </row>
    <row r="798" spans="1:26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3"/>
      <c r="M798" s="6"/>
      <c r="N798" s="6"/>
      <c r="O798" s="6"/>
      <c r="P798" s="5"/>
      <c r="Q798" s="9"/>
      <c r="R798" s="5"/>
      <c r="S798" s="5"/>
      <c r="T798" s="5"/>
      <c r="U798" s="5"/>
      <c r="V798" s="5"/>
      <c r="W798" s="5"/>
      <c r="X798" s="5"/>
      <c r="Y798" s="9"/>
      <c r="Z798" s="2"/>
    </row>
    <row r="799" spans="1:26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3"/>
      <c r="M799" s="6"/>
      <c r="N799" s="6"/>
      <c r="O799" s="6"/>
      <c r="P799" s="5"/>
      <c r="Q799" s="9"/>
      <c r="R799" s="5"/>
      <c r="S799" s="5"/>
      <c r="T799" s="5"/>
      <c r="U799" s="5"/>
      <c r="V799" s="5"/>
      <c r="W799" s="5"/>
      <c r="X799" s="5"/>
      <c r="Y799" s="9"/>
      <c r="Z799" s="2"/>
    </row>
    <row r="800" spans="1:26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3"/>
      <c r="M800" s="6"/>
      <c r="N800" s="6"/>
      <c r="O800" s="6"/>
      <c r="P800" s="5"/>
      <c r="Q800" s="9"/>
      <c r="R800" s="5"/>
      <c r="S800" s="5"/>
      <c r="T800" s="5"/>
      <c r="U800" s="5"/>
      <c r="V800" s="5"/>
      <c r="W800" s="5"/>
      <c r="X800" s="5"/>
      <c r="Y800" s="9"/>
      <c r="Z800" s="2"/>
    </row>
    <row r="801" spans="1:26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3"/>
      <c r="M801" s="6"/>
      <c r="N801" s="6"/>
      <c r="O801" s="6"/>
      <c r="P801" s="5"/>
      <c r="Q801" s="9"/>
      <c r="R801" s="5"/>
      <c r="S801" s="5"/>
      <c r="T801" s="5"/>
      <c r="U801" s="5"/>
      <c r="V801" s="5"/>
      <c r="W801" s="5"/>
      <c r="X801" s="5"/>
      <c r="Y801" s="9"/>
      <c r="Z801" s="2"/>
    </row>
    <row r="802" spans="1:26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3"/>
      <c r="M802" s="6"/>
      <c r="N802" s="6"/>
      <c r="O802" s="6"/>
      <c r="P802" s="5"/>
      <c r="Q802" s="9"/>
      <c r="R802" s="5"/>
      <c r="S802" s="5"/>
      <c r="T802" s="5"/>
      <c r="U802" s="5"/>
      <c r="V802" s="5"/>
      <c r="W802" s="5"/>
      <c r="X802" s="5"/>
      <c r="Y802" s="9"/>
      <c r="Z802" s="2"/>
    </row>
    <row r="803" spans="1:26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3"/>
      <c r="M803" s="6"/>
      <c r="N803" s="6"/>
      <c r="O803" s="6"/>
      <c r="P803" s="5"/>
      <c r="Q803" s="9"/>
      <c r="R803" s="5"/>
      <c r="S803" s="5"/>
      <c r="T803" s="5"/>
      <c r="U803" s="5"/>
      <c r="V803" s="5"/>
      <c r="W803" s="5"/>
      <c r="X803" s="5"/>
      <c r="Y803" s="9"/>
      <c r="Z803" s="2"/>
    </row>
    <row r="804" spans="1:26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3"/>
      <c r="M804" s="6"/>
      <c r="N804" s="6"/>
      <c r="O804" s="6"/>
      <c r="P804" s="5"/>
      <c r="Q804" s="9"/>
      <c r="R804" s="5"/>
      <c r="S804" s="5"/>
      <c r="T804" s="5"/>
      <c r="U804" s="5"/>
      <c r="V804" s="5"/>
      <c r="W804" s="5"/>
      <c r="X804" s="5"/>
      <c r="Y804" s="9"/>
      <c r="Z804" s="2"/>
    </row>
    <row r="805" spans="1:26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3"/>
      <c r="M805" s="6"/>
      <c r="N805" s="6"/>
      <c r="O805" s="6"/>
      <c r="P805" s="5"/>
      <c r="Q805" s="9"/>
      <c r="R805" s="5"/>
      <c r="S805" s="5"/>
      <c r="T805" s="5"/>
      <c r="U805" s="5"/>
      <c r="V805" s="5"/>
      <c r="W805" s="5"/>
      <c r="X805" s="5"/>
      <c r="Y805" s="9"/>
      <c r="Z805" s="2"/>
    </row>
    <row r="806" spans="1:2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3"/>
      <c r="M806" s="6"/>
      <c r="N806" s="6"/>
      <c r="O806" s="6"/>
      <c r="P806" s="5"/>
      <c r="Q806" s="9"/>
      <c r="R806" s="5"/>
      <c r="S806" s="5"/>
      <c r="T806" s="5"/>
      <c r="U806" s="5"/>
      <c r="V806" s="5"/>
      <c r="W806" s="5"/>
      <c r="X806" s="5"/>
      <c r="Y806" s="9"/>
      <c r="Z806" s="2"/>
    </row>
    <row r="807" spans="1:26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3"/>
      <c r="M807" s="6"/>
      <c r="N807" s="6"/>
      <c r="O807" s="6"/>
      <c r="P807" s="5"/>
      <c r="Q807" s="9"/>
      <c r="R807" s="5"/>
      <c r="S807" s="5"/>
      <c r="T807" s="5"/>
      <c r="U807" s="5"/>
      <c r="V807" s="5"/>
      <c r="W807" s="5"/>
      <c r="X807" s="5"/>
      <c r="Y807" s="9"/>
      <c r="Z807" s="2"/>
    </row>
    <row r="808" spans="1:26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3"/>
      <c r="M808" s="6"/>
      <c r="N808" s="6"/>
      <c r="O808" s="6"/>
      <c r="P808" s="5"/>
      <c r="Q808" s="9"/>
      <c r="R808" s="5"/>
      <c r="S808" s="5"/>
      <c r="T808" s="5"/>
      <c r="U808" s="5"/>
      <c r="V808" s="5"/>
      <c r="W808" s="5"/>
      <c r="X808" s="5"/>
      <c r="Y808" s="9"/>
      <c r="Z808" s="2"/>
    </row>
    <row r="809" spans="1:26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3"/>
      <c r="M809" s="6"/>
      <c r="N809" s="6"/>
      <c r="O809" s="6"/>
      <c r="P809" s="5"/>
      <c r="Q809" s="9"/>
      <c r="R809" s="5"/>
      <c r="S809" s="5"/>
      <c r="T809" s="5"/>
      <c r="U809" s="5"/>
      <c r="V809" s="5"/>
      <c r="W809" s="5"/>
      <c r="X809" s="5"/>
      <c r="Y809" s="9"/>
      <c r="Z809" s="2"/>
    </row>
    <row r="810" spans="1:26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3"/>
      <c r="M810" s="6"/>
      <c r="N810" s="6"/>
      <c r="O810" s="6"/>
      <c r="P810" s="5"/>
      <c r="Q810" s="9"/>
      <c r="R810" s="5"/>
      <c r="S810" s="5"/>
      <c r="T810" s="5"/>
      <c r="U810" s="5"/>
      <c r="V810" s="5"/>
      <c r="W810" s="5"/>
      <c r="X810" s="5"/>
      <c r="Y810" s="9"/>
      <c r="Z810" s="2"/>
    </row>
    <row r="811" spans="1:26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3"/>
      <c r="M811" s="6"/>
      <c r="N811" s="6"/>
      <c r="O811" s="6"/>
      <c r="P811" s="5"/>
      <c r="Q811" s="9"/>
      <c r="R811" s="5"/>
      <c r="S811" s="5"/>
      <c r="T811" s="5"/>
      <c r="U811" s="5"/>
      <c r="V811" s="5"/>
      <c r="W811" s="5"/>
      <c r="X811" s="5"/>
      <c r="Y811" s="9"/>
      <c r="Z811" s="2"/>
    </row>
    <row r="812" spans="1:26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3"/>
      <c r="M812" s="6"/>
      <c r="N812" s="6"/>
      <c r="O812" s="6"/>
      <c r="P812" s="5"/>
      <c r="Q812" s="9"/>
      <c r="R812" s="5"/>
      <c r="S812" s="5"/>
      <c r="T812" s="5"/>
      <c r="U812" s="5"/>
      <c r="V812" s="5"/>
      <c r="W812" s="5"/>
      <c r="X812" s="5"/>
      <c r="Y812" s="9"/>
      <c r="Z812" s="2"/>
    </row>
    <row r="813" spans="1:26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3"/>
      <c r="M813" s="6"/>
      <c r="N813" s="6"/>
      <c r="O813" s="6"/>
      <c r="P813" s="5"/>
      <c r="Q813" s="9"/>
      <c r="R813" s="5"/>
      <c r="S813" s="5"/>
      <c r="T813" s="5"/>
      <c r="U813" s="5"/>
      <c r="V813" s="5"/>
      <c r="W813" s="5"/>
      <c r="X813" s="5"/>
      <c r="Y813" s="9"/>
      <c r="Z813" s="2"/>
    </row>
    <row r="814" spans="1:26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3"/>
      <c r="M814" s="6"/>
      <c r="N814" s="6"/>
      <c r="O814" s="6"/>
      <c r="P814" s="5"/>
      <c r="Q814" s="9"/>
      <c r="R814" s="5"/>
      <c r="S814" s="5"/>
      <c r="T814" s="5"/>
      <c r="U814" s="5"/>
      <c r="V814" s="5"/>
      <c r="W814" s="5"/>
      <c r="X814" s="5"/>
      <c r="Y814" s="9"/>
      <c r="Z814" s="2"/>
    </row>
    <row r="815" spans="1:26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3"/>
      <c r="M815" s="6"/>
      <c r="N815" s="6"/>
      <c r="O815" s="6"/>
      <c r="P815" s="5"/>
      <c r="Q815" s="9"/>
      <c r="R815" s="5"/>
      <c r="S815" s="5"/>
      <c r="T815" s="5"/>
      <c r="U815" s="5"/>
      <c r="V815" s="5"/>
      <c r="W815" s="5"/>
      <c r="X815" s="5"/>
      <c r="Y815" s="9"/>
      <c r="Z815" s="2"/>
    </row>
    <row r="816" spans="1:2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3"/>
      <c r="M816" s="6"/>
      <c r="N816" s="6"/>
      <c r="O816" s="6"/>
      <c r="P816" s="5"/>
      <c r="Q816" s="9"/>
      <c r="R816" s="5"/>
      <c r="S816" s="5"/>
      <c r="T816" s="5"/>
      <c r="U816" s="5"/>
      <c r="V816" s="5"/>
      <c r="W816" s="5"/>
      <c r="X816" s="5"/>
      <c r="Y816" s="9"/>
      <c r="Z816" s="2"/>
    </row>
    <row r="817" spans="1:26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3"/>
      <c r="M817" s="6"/>
      <c r="N817" s="6"/>
      <c r="O817" s="6"/>
      <c r="P817" s="5"/>
      <c r="Q817" s="9"/>
      <c r="R817" s="5"/>
      <c r="S817" s="5"/>
      <c r="T817" s="5"/>
      <c r="U817" s="5"/>
      <c r="V817" s="5"/>
      <c r="W817" s="5"/>
      <c r="X817" s="5"/>
      <c r="Y817" s="9"/>
      <c r="Z817" s="2"/>
    </row>
    <row r="818" spans="1:26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3"/>
      <c r="M818" s="6"/>
      <c r="N818" s="6"/>
      <c r="O818" s="6"/>
      <c r="P818" s="5"/>
      <c r="Q818" s="9"/>
      <c r="R818" s="5"/>
      <c r="S818" s="5"/>
      <c r="T818" s="5"/>
      <c r="U818" s="5"/>
      <c r="V818" s="5"/>
      <c r="W818" s="5"/>
      <c r="X818" s="5"/>
      <c r="Y818" s="9"/>
      <c r="Z818" s="2"/>
    </row>
    <row r="819" spans="1:26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3"/>
      <c r="M819" s="6"/>
      <c r="N819" s="6"/>
      <c r="O819" s="6"/>
      <c r="P819" s="5"/>
      <c r="Q819" s="9"/>
      <c r="R819" s="5"/>
      <c r="S819" s="5"/>
      <c r="T819" s="5"/>
      <c r="U819" s="5"/>
      <c r="V819" s="5"/>
      <c r="W819" s="5"/>
      <c r="X819" s="5"/>
      <c r="Y819" s="9"/>
      <c r="Z819" s="2"/>
    </row>
    <row r="820" spans="1:26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3"/>
      <c r="M820" s="6"/>
      <c r="N820" s="6"/>
      <c r="O820" s="6"/>
      <c r="P820" s="5"/>
      <c r="Q820" s="9"/>
      <c r="R820" s="5"/>
      <c r="S820" s="5"/>
      <c r="T820" s="5"/>
      <c r="U820" s="5"/>
      <c r="V820" s="5"/>
      <c r="W820" s="5"/>
      <c r="X820" s="5"/>
      <c r="Y820" s="9"/>
      <c r="Z820" s="2"/>
    </row>
    <row r="821" spans="1:26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3"/>
      <c r="M821" s="6"/>
      <c r="N821" s="6"/>
      <c r="O821" s="6"/>
      <c r="P821" s="5"/>
      <c r="Q821" s="9"/>
      <c r="R821" s="5"/>
      <c r="S821" s="5"/>
      <c r="T821" s="5"/>
      <c r="U821" s="5"/>
      <c r="V821" s="5"/>
      <c r="W821" s="5"/>
      <c r="X821" s="5"/>
      <c r="Y821" s="9"/>
      <c r="Z821" s="2"/>
    </row>
    <row r="822" spans="1:26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3"/>
      <c r="M822" s="6"/>
      <c r="N822" s="6"/>
      <c r="O822" s="6"/>
      <c r="P822" s="5"/>
      <c r="Q822" s="9"/>
      <c r="R822" s="5"/>
      <c r="S822" s="5"/>
      <c r="T822" s="5"/>
      <c r="U822" s="5"/>
      <c r="V822" s="5"/>
      <c r="W822" s="5"/>
      <c r="X822" s="5"/>
      <c r="Y822" s="9"/>
      <c r="Z822" s="2"/>
    </row>
    <row r="823" spans="1:26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3"/>
      <c r="M823" s="6"/>
      <c r="N823" s="6"/>
      <c r="O823" s="6"/>
      <c r="P823" s="5"/>
      <c r="Q823" s="9"/>
      <c r="R823" s="5"/>
      <c r="S823" s="5"/>
      <c r="T823" s="5"/>
      <c r="U823" s="5"/>
      <c r="V823" s="5"/>
      <c r="W823" s="5"/>
      <c r="X823" s="5"/>
      <c r="Y823" s="9"/>
      <c r="Z823" s="2"/>
    </row>
    <row r="824" spans="1:26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3"/>
      <c r="M824" s="6"/>
      <c r="N824" s="6"/>
      <c r="O824" s="6"/>
      <c r="P824" s="5"/>
      <c r="Q824" s="9"/>
      <c r="R824" s="5"/>
      <c r="S824" s="5"/>
      <c r="T824" s="5"/>
      <c r="U824" s="5"/>
      <c r="V824" s="5"/>
      <c r="W824" s="5"/>
      <c r="X824" s="5"/>
      <c r="Y824" s="9"/>
      <c r="Z824" s="2"/>
    </row>
    <row r="825" spans="1:26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3"/>
      <c r="M825" s="6"/>
      <c r="N825" s="6"/>
      <c r="O825" s="6"/>
      <c r="P825" s="5"/>
      <c r="Q825" s="9"/>
      <c r="R825" s="5"/>
      <c r="S825" s="5"/>
      <c r="T825" s="5"/>
      <c r="U825" s="5"/>
      <c r="V825" s="5"/>
      <c r="W825" s="5"/>
      <c r="X825" s="5"/>
      <c r="Y825" s="9"/>
      <c r="Z825" s="2"/>
    </row>
    <row r="826" spans="1: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3"/>
      <c r="M826" s="6"/>
      <c r="N826" s="6"/>
      <c r="O826" s="6"/>
      <c r="P826" s="5"/>
      <c r="Q826" s="9"/>
      <c r="R826" s="5"/>
      <c r="S826" s="5"/>
      <c r="T826" s="5"/>
      <c r="U826" s="5"/>
      <c r="V826" s="5"/>
      <c r="W826" s="5"/>
      <c r="X826" s="5"/>
      <c r="Y826" s="9"/>
      <c r="Z826" s="2"/>
    </row>
    <row r="827" spans="1:26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3"/>
      <c r="M827" s="6"/>
      <c r="N827" s="6"/>
      <c r="O827" s="6"/>
      <c r="P827" s="5"/>
      <c r="Q827" s="9"/>
      <c r="R827" s="5"/>
      <c r="S827" s="5"/>
      <c r="T827" s="5"/>
      <c r="U827" s="5"/>
      <c r="V827" s="5"/>
      <c r="W827" s="5"/>
      <c r="X827" s="5"/>
      <c r="Y827" s="9"/>
      <c r="Z827" s="2"/>
    </row>
    <row r="828" spans="1:26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3"/>
      <c r="M828" s="6"/>
      <c r="N828" s="6"/>
      <c r="O828" s="6"/>
      <c r="P828" s="5"/>
      <c r="Q828" s="9"/>
      <c r="R828" s="5"/>
      <c r="S828" s="5"/>
      <c r="T828" s="5"/>
      <c r="U828" s="5"/>
      <c r="V828" s="5"/>
      <c r="W828" s="5"/>
      <c r="X828" s="5"/>
      <c r="Y828" s="9"/>
      <c r="Z828" s="2"/>
    </row>
    <row r="829" spans="1:26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3"/>
      <c r="M829" s="6"/>
      <c r="N829" s="6"/>
      <c r="O829" s="6"/>
      <c r="P829" s="5"/>
      <c r="Q829" s="9"/>
      <c r="R829" s="5"/>
      <c r="S829" s="5"/>
      <c r="T829" s="5"/>
      <c r="U829" s="5"/>
      <c r="V829" s="5"/>
      <c r="W829" s="5"/>
      <c r="X829" s="5"/>
      <c r="Y829" s="9"/>
      <c r="Z829" s="2"/>
    </row>
    <row r="830" spans="1:26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3"/>
      <c r="M830" s="6"/>
      <c r="N830" s="6"/>
      <c r="O830" s="6"/>
      <c r="P830" s="5"/>
      <c r="Q830" s="9"/>
      <c r="R830" s="5"/>
      <c r="S830" s="5"/>
      <c r="T830" s="5"/>
      <c r="U830" s="5"/>
      <c r="V830" s="5"/>
      <c r="W830" s="5"/>
      <c r="X830" s="5"/>
      <c r="Y830" s="9"/>
      <c r="Z830" s="2"/>
    </row>
    <row r="831" spans="1:26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3"/>
      <c r="M831" s="6"/>
      <c r="N831" s="6"/>
      <c r="O831" s="6"/>
      <c r="P831" s="5"/>
      <c r="Q831" s="9"/>
      <c r="R831" s="5"/>
      <c r="S831" s="5"/>
      <c r="T831" s="5"/>
      <c r="U831" s="5"/>
      <c r="V831" s="5"/>
      <c r="W831" s="5"/>
      <c r="X831" s="5"/>
      <c r="Y831" s="9"/>
      <c r="Z831" s="2"/>
    </row>
    <row r="832" spans="1:26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3"/>
      <c r="M832" s="6"/>
      <c r="N832" s="6"/>
      <c r="O832" s="6"/>
      <c r="P832" s="5"/>
      <c r="Q832" s="9"/>
      <c r="R832" s="5"/>
      <c r="S832" s="5"/>
      <c r="T832" s="5"/>
      <c r="U832" s="5"/>
      <c r="V832" s="5"/>
      <c r="W832" s="5"/>
      <c r="X832" s="5"/>
      <c r="Y832" s="9"/>
      <c r="Z832" s="2"/>
    </row>
    <row r="833" spans="1:26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3"/>
      <c r="M833" s="6"/>
      <c r="N833" s="6"/>
      <c r="O833" s="6"/>
      <c r="P833" s="5"/>
      <c r="Q833" s="9"/>
      <c r="R833" s="5"/>
      <c r="S833" s="5"/>
      <c r="T833" s="5"/>
      <c r="U833" s="5"/>
      <c r="V833" s="5"/>
      <c r="W833" s="5"/>
      <c r="X833" s="5"/>
      <c r="Y833" s="9"/>
      <c r="Z833" s="2"/>
    </row>
    <row r="834" spans="1:26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3"/>
      <c r="M834" s="6"/>
      <c r="N834" s="6"/>
      <c r="O834" s="6"/>
      <c r="P834" s="5"/>
      <c r="Q834" s="9"/>
      <c r="R834" s="5"/>
      <c r="S834" s="5"/>
      <c r="T834" s="5"/>
      <c r="U834" s="5"/>
      <c r="V834" s="5"/>
      <c r="W834" s="5"/>
      <c r="X834" s="5"/>
      <c r="Y834" s="9"/>
      <c r="Z834" s="2"/>
    </row>
    <row r="835" spans="1:26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3"/>
      <c r="M835" s="6"/>
      <c r="N835" s="6"/>
      <c r="O835" s="6"/>
      <c r="P835" s="5"/>
      <c r="Q835" s="9"/>
      <c r="R835" s="5"/>
      <c r="S835" s="5"/>
      <c r="T835" s="5"/>
      <c r="U835" s="5"/>
      <c r="V835" s="5"/>
      <c r="W835" s="5"/>
      <c r="X835" s="5"/>
      <c r="Y835" s="9"/>
      <c r="Z835" s="2"/>
    </row>
    <row r="836" spans="1:2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3"/>
      <c r="M836" s="6"/>
      <c r="N836" s="6"/>
      <c r="O836" s="6"/>
      <c r="P836" s="5"/>
      <c r="Q836" s="9"/>
      <c r="R836" s="5"/>
      <c r="S836" s="5"/>
      <c r="T836" s="5"/>
      <c r="U836" s="5"/>
      <c r="V836" s="5"/>
      <c r="W836" s="5"/>
      <c r="X836" s="5"/>
      <c r="Y836" s="9"/>
      <c r="Z836" s="2"/>
    </row>
    <row r="837" spans="1:26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3"/>
      <c r="M837" s="6"/>
      <c r="N837" s="6"/>
      <c r="O837" s="6"/>
      <c r="P837" s="5"/>
      <c r="Q837" s="9"/>
      <c r="R837" s="5"/>
      <c r="S837" s="5"/>
      <c r="T837" s="5"/>
      <c r="U837" s="5"/>
      <c r="V837" s="5"/>
      <c r="W837" s="5"/>
      <c r="X837" s="5"/>
      <c r="Y837" s="9"/>
      <c r="Z837" s="2"/>
    </row>
    <row r="838" spans="1:26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3"/>
      <c r="M838" s="6"/>
      <c r="N838" s="6"/>
      <c r="O838" s="6"/>
      <c r="P838" s="5"/>
      <c r="Q838" s="9"/>
      <c r="R838" s="5"/>
      <c r="S838" s="5"/>
      <c r="T838" s="5"/>
      <c r="U838" s="5"/>
      <c r="V838" s="5"/>
      <c r="W838" s="5"/>
      <c r="X838" s="5"/>
      <c r="Y838" s="9"/>
      <c r="Z838" s="2"/>
    </row>
    <row r="839" spans="1:26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3"/>
      <c r="M839" s="6"/>
      <c r="N839" s="6"/>
      <c r="O839" s="6"/>
      <c r="P839" s="5"/>
      <c r="Q839" s="9"/>
      <c r="R839" s="5"/>
      <c r="S839" s="5"/>
      <c r="T839" s="5"/>
      <c r="U839" s="5"/>
      <c r="V839" s="5"/>
      <c r="W839" s="5"/>
      <c r="X839" s="5"/>
      <c r="Y839" s="9"/>
      <c r="Z839" s="2"/>
    </row>
    <row r="840" spans="1:26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3"/>
      <c r="M840" s="6"/>
      <c r="N840" s="6"/>
      <c r="O840" s="6"/>
      <c r="P840" s="5"/>
      <c r="Q840" s="9"/>
      <c r="R840" s="5"/>
      <c r="S840" s="5"/>
      <c r="T840" s="5"/>
      <c r="U840" s="5"/>
      <c r="V840" s="5"/>
      <c r="W840" s="5"/>
      <c r="X840" s="5"/>
      <c r="Y840" s="9"/>
      <c r="Z840" s="2"/>
    </row>
    <row r="841" spans="1:26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3"/>
      <c r="M841" s="6"/>
      <c r="N841" s="6"/>
      <c r="O841" s="6"/>
      <c r="P841" s="5"/>
      <c r="Q841" s="9"/>
      <c r="R841" s="5"/>
      <c r="S841" s="5"/>
      <c r="T841" s="5"/>
      <c r="U841" s="5"/>
      <c r="V841" s="5"/>
      <c r="W841" s="5"/>
      <c r="X841" s="5"/>
      <c r="Y841" s="9"/>
      <c r="Z841" s="2"/>
    </row>
    <row r="842" spans="1:26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3"/>
      <c r="M842" s="6"/>
      <c r="N842" s="6"/>
      <c r="O842" s="6"/>
      <c r="P842" s="5"/>
      <c r="Q842" s="9"/>
      <c r="R842" s="5"/>
      <c r="S842" s="5"/>
      <c r="T842" s="5"/>
      <c r="U842" s="5"/>
      <c r="V842" s="5"/>
      <c r="W842" s="5"/>
      <c r="X842" s="5"/>
      <c r="Y842" s="9"/>
      <c r="Z842" s="2"/>
    </row>
    <row r="843" spans="1:26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3"/>
      <c r="M843" s="6"/>
      <c r="N843" s="6"/>
      <c r="O843" s="6"/>
      <c r="P843" s="5"/>
      <c r="Q843" s="9"/>
      <c r="R843" s="5"/>
      <c r="S843" s="5"/>
      <c r="T843" s="5"/>
      <c r="U843" s="5"/>
      <c r="V843" s="5"/>
      <c r="W843" s="5"/>
      <c r="X843" s="5"/>
      <c r="Y843" s="9"/>
      <c r="Z843" s="2"/>
    </row>
    <row r="844" spans="1:26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3"/>
      <c r="M844" s="6"/>
      <c r="N844" s="6"/>
      <c r="O844" s="6"/>
      <c r="P844" s="5"/>
      <c r="Q844" s="9"/>
      <c r="R844" s="5"/>
      <c r="S844" s="5"/>
      <c r="T844" s="5"/>
      <c r="U844" s="5"/>
      <c r="V844" s="5"/>
      <c r="W844" s="5"/>
      <c r="X844" s="5"/>
      <c r="Y844" s="9"/>
      <c r="Z844" s="2"/>
    </row>
    <row r="845" spans="1:26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3"/>
      <c r="M845" s="6"/>
      <c r="N845" s="6"/>
      <c r="O845" s="6"/>
      <c r="P845" s="5"/>
      <c r="Q845" s="9"/>
      <c r="R845" s="5"/>
      <c r="S845" s="5"/>
      <c r="T845" s="5"/>
      <c r="U845" s="5"/>
      <c r="V845" s="5"/>
      <c r="W845" s="5"/>
      <c r="X845" s="5"/>
      <c r="Y845" s="9"/>
      <c r="Z845" s="2"/>
    </row>
    <row r="846" spans="1:2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3"/>
      <c r="M846" s="6"/>
      <c r="N846" s="6"/>
      <c r="O846" s="6"/>
      <c r="P846" s="5"/>
      <c r="Q846" s="9"/>
      <c r="R846" s="5"/>
      <c r="S846" s="5"/>
      <c r="T846" s="5"/>
      <c r="U846" s="5"/>
      <c r="V846" s="5"/>
      <c r="W846" s="5"/>
      <c r="X846" s="5"/>
      <c r="Y846" s="9"/>
      <c r="Z846" s="2"/>
    </row>
    <row r="847" spans="1:26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3"/>
      <c r="M847" s="6"/>
      <c r="N847" s="6"/>
      <c r="O847" s="6"/>
      <c r="P847" s="5"/>
      <c r="Q847" s="9"/>
      <c r="R847" s="5"/>
      <c r="S847" s="5"/>
      <c r="T847" s="5"/>
      <c r="U847" s="5"/>
      <c r="V847" s="5"/>
      <c r="W847" s="5"/>
      <c r="X847" s="5"/>
      <c r="Y847" s="9"/>
      <c r="Z847" s="2"/>
    </row>
    <row r="848" spans="1:26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3"/>
      <c r="M848" s="6"/>
      <c r="N848" s="6"/>
      <c r="O848" s="6"/>
      <c r="P848" s="5"/>
      <c r="Q848" s="9"/>
      <c r="R848" s="5"/>
      <c r="S848" s="5"/>
      <c r="T848" s="5"/>
      <c r="U848" s="5"/>
      <c r="V848" s="5"/>
      <c r="W848" s="5"/>
      <c r="X848" s="5"/>
      <c r="Y848" s="9"/>
      <c r="Z848" s="2"/>
    </row>
    <row r="849" spans="1:26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3"/>
      <c r="M849" s="6"/>
      <c r="N849" s="6"/>
      <c r="O849" s="6"/>
      <c r="P849" s="5"/>
      <c r="Q849" s="9"/>
      <c r="R849" s="5"/>
      <c r="S849" s="5"/>
      <c r="T849" s="5"/>
      <c r="U849" s="5"/>
      <c r="V849" s="5"/>
      <c r="W849" s="5"/>
      <c r="X849" s="5"/>
      <c r="Y849" s="9"/>
      <c r="Z849" s="2"/>
    </row>
    <row r="850" spans="1:26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3"/>
      <c r="M850" s="6"/>
      <c r="N850" s="6"/>
      <c r="O850" s="6"/>
      <c r="P850" s="5"/>
      <c r="Q850" s="9"/>
      <c r="R850" s="5"/>
      <c r="S850" s="5"/>
      <c r="T850" s="5"/>
      <c r="U850" s="5"/>
      <c r="V850" s="5"/>
      <c r="W850" s="5"/>
      <c r="X850" s="5"/>
      <c r="Y850" s="9"/>
      <c r="Z850" s="2"/>
    </row>
    <row r="851" spans="1:26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3"/>
      <c r="M851" s="6"/>
      <c r="N851" s="6"/>
      <c r="O851" s="6"/>
      <c r="P851" s="5"/>
      <c r="Q851" s="9"/>
      <c r="R851" s="5"/>
      <c r="S851" s="5"/>
      <c r="T851" s="5"/>
      <c r="U851" s="5"/>
      <c r="V851" s="5"/>
      <c r="W851" s="5"/>
      <c r="X851" s="5"/>
      <c r="Y851" s="9"/>
      <c r="Z851" s="2"/>
    </row>
    <row r="852" spans="1:26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3"/>
      <c r="M852" s="6"/>
      <c r="N852" s="6"/>
      <c r="O852" s="6"/>
      <c r="P852" s="5"/>
      <c r="Q852" s="9"/>
      <c r="R852" s="5"/>
      <c r="S852" s="5"/>
      <c r="T852" s="5"/>
      <c r="U852" s="5"/>
      <c r="V852" s="5"/>
      <c r="W852" s="5"/>
      <c r="X852" s="5"/>
      <c r="Y852" s="9"/>
      <c r="Z852" s="2"/>
    </row>
    <row r="853" spans="1:26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3"/>
      <c r="M853" s="6"/>
      <c r="N853" s="6"/>
      <c r="O853" s="6"/>
      <c r="P853" s="5"/>
      <c r="Q853" s="9"/>
      <c r="R853" s="5"/>
      <c r="S853" s="5"/>
      <c r="T853" s="5"/>
      <c r="U853" s="5"/>
      <c r="V853" s="5"/>
      <c r="W853" s="5"/>
      <c r="X853" s="5"/>
      <c r="Y853" s="9"/>
      <c r="Z853" s="2"/>
    </row>
    <row r="854" spans="1:26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3"/>
      <c r="M854" s="6"/>
      <c r="N854" s="6"/>
      <c r="O854" s="6"/>
      <c r="P854" s="5"/>
      <c r="Q854" s="9"/>
      <c r="R854" s="5"/>
      <c r="S854" s="5"/>
      <c r="T854" s="5"/>
      <c r="U854" s="5"/>
      <c r="V854" s="5"/>
      <c r="W854" s="5"/>
      <c r="X854" s="5"/>
      <c r="Y854" s="9"/>
      <c r="Z854" s="2"/>
    </row>
    <row r="855" spans="1:26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3"/>
      <c r="M855" s="6"/>
      <c r="N855" s="6"/>
      <c r="O855" s="6"/>
      <c r="P855" s="5"/>
      <c r="Q855" s="9"/>
      <c r="R855" s="5"/>
      <c r="S855" s="5"/>
      <c r="T855" s="5"/>
      <c r="U855" s="5"/>
      <c r="V855" s="5"/>
      <c r="W855" s="5"/>
      <c r="X855" s="5"/>
      <c r="Y855" s="9"/>
      <c r="Z855" s="2"/>
    </row>
    <row r="856" spans="1:2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3"/>
      <c r="M856" s="6"/>
      <c r="N856" s="6"/>
      <c r="O856" s="6"/>
      <c r="P856" s="5"/>
      <c r="Q856" s="9"/>
      <c r="R856" s="5"/>
      <c r="S856" s="5"/>
      <c r="T856" s="5"/>
      <c r="U856" s="5"/>
      <c r="V856" s="5"/>
      <c r="W856" s="5"/>
      <c r="X856" s="5"/>
      <c r="Y856" s="9"/>
      <c r="Z856" s="2"/>
    </row>
    <row r="857" spans="1:26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3"/>
      <c r="M857" s="6"/>
      <c r="N857" s="6"/>
      <c r="O857" s="6"/>
      <c r="P857" s="5"/>
      <c r="Q857" s="9"/>
      <c r="R857" s="5"/>
      <c r="S857" s="5"/>
      <c r="T857" s="5"/>
      <c r="U857" s="5"/>
      <c r="V857" s="5"/>
      <c r="W857" s="5"/>
      <c r="X857" s="5"/>
      <c r="Y857" s="9"/>
      <c r="Z857" s="2"/>
    </row>
    <row r="858" spans="1:26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3"/>
      <c r="M858" s="6"/>
      <c r="N858" s="6"/>
      <c r="O858" s="6"/>
      <c r="P858" s="5"/>
      <c r="Q858" s="9"/>
      <c r="R858" s="5"/>
      <c r="S858" s="5"/>
      <c r="T858" s="5"/>
      <c r="U858" s="5"/>
      <c r="V858" s="5"/>
      <c r="W858" s="5"/>
      <c r="X858" s="5"/>
      <c r="Y858" s="9"/>
      <c r="Z858" s="2"/>
    </row>
    <row r="859" spans="1:26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3"/>
      <c r="M859" s="6"/>
      <c r="N859" s="6"/>
      <c r="O859" s="6"/>
      <c r="P859" s="5"/>
      <c r="Q859" s="9"/>
      <c r="R859" s="5"/>
      <c r="S859" s="5"/>
      <c r="T859" s="5"/>
      <c r="U859" s="5"/>
      <c r="V859" s="5"/>
      <c r="W859" s="5"/>
      <c r="X859" s="5"/>
      <c r="Y859" s="9"/>
      <c r="Z859" s="2"/>
    </row>
    <row r="860" spans="1:26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3"/>
      <c r="M860" s="6"/>
      <c r="N860" s="6"/>
      <c r="O860" s="6"/>
      <c r="P860" s="5"/>
      <c r="Q860" s="9"/>
      <c r="R860" s="5"/>
      <c r="S860" s="5"/>
      <c r="T860" s="5"/>
      <c r="U860" s="5"/>
      <c r="V860" s="5"/>
      <c r="W860" s="5"/>
      <c r="X860" s="5"/>
      <c r="Y860" s="9"/>
      <c r="Z860" s="2"/>
    </row>
    <row r="861" spans="1:26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3"/>
      <c r="M861" s="6"/>
      <c r="N861" s="6"/>
      <c r="O861" s="6"/>
      <c r="P861" s="5"/>
      <c r="Q861" s="9"/>
      <c r="R861" s="5"/>
      <c r="S861" s="5"/>
      <c r="T861" s="5"/>
      <c r="U861" s="5"/>
      <c r="V861" s="5"/>
      <c r="W861" s="5"/>
      <c r="X861" s="5"/>
      <c r="Y861" s="9"/>
      <c r="Z861" s="2"/>
    </row>
    <row r="862" spans="1:26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3"/>
      <c r="M862" s="6"/>
      <c r="N862" s="6"/>
      <c r="O862" s="6"/>
      <c r="P862" s="5"/>
      <c r="Q862" s="9"/>
      <c r="R862" s="5"/>
      <c r="S862" s="5"/>
      <c r="T862" s="5"/>
      <c r="U862" s="5"/>
      <c r="V862" s="5"/>
      <c r="W862" s="5"/>
      <c r="X862" s="5"/>
      <c r="Y862" s="9"/>
      <c r="Z862" s="2"/>
    </row>
    <row r="863" spans="1:26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3"/>
      <c r="M863" s="6"/>
      <c r="N863" s="6"/>
      <c r="O863" s="6"/>
      <c r="P863" s="5"/>
      <c r="Q863" s="9"/>
      <c r="R863" s="5"/>
      <c r="S863" s="5"/>
      <c r="T863" s="5"/>
      <c r="U863" s="5"/>
      <c r="V863" s="5"/>
      <c r="W863" s="5"/>
      <c r="X863" s="5"/>
      <c r="Y863" s="9"/>
      <c r="Z863" s="2"/>
    </row>
    <row r="864" spans="1:26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3"/>
      <c r="M864" s="6"/>
      <c r="N864" s="6"/>
      <c r="O864" s="6"/>
      <c r="P864" s="5"/>
      <c r="Q864" s="9"/>
      <c r="R864" s="5"/>
      <c r="S864" s="5"/>
      <c r="T864" s="5"/>
      <c r="U864" s="5"/>
      <c r="V864" s="5"/>
      <c r="W864" s="5"/>
      <c r="X864" s="5"/>
      <c r="Y864" s="9"/>
      <c r="Z864" s="2"/>
    </row>
    <row r="865" spans="1:26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3"/>
      <c r="M865" s="6"/>
      <c r="N865" s="6"/>
      <c r="O865" s="6"/>
      <c r="P865" s="5"/>
      <c r="Q865" s="9"/>
      <c r="R865" s="5"/>
      <c r="S865" s="5"/>
      <c r="T865" s="5"/>
      <c r="U865" s="5"/>
      <c r="V865" s="5"/>
      <c r="W865" s="5"/>
      <c r="X865" s="5"/>
      <c r="Y865" s="9"/>
      <c r="Z865" s="2"/>
    </row>
    <row r="866" spans="1:2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3"/>
      <c r="M866" s="6"/>
      <c r="N866" s="6"/>
      <c r="O866" s="6"/>
      <c r="P866" s="5"/>
      <c r="Q866" s="9"/>
      <c r="R866" s="5"/>
      <c r="S866" s="5"/>
      <c r="T866" s="5"/>
      <c r="U866" s="5"/>
      <c r="V866" s="5"/>
      <c r="W866" s="5"/>
      <c r="X866" s="5"/>
      <c r="Y866" s="9"/>
      <c r="Z866" s="2"/>
    </row>
    <row r="867" spans="1:26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3"/>
      <c r="M867" s="6"/>
      <c r="N867" s="6"/>
      <c r="O867" s="6"/>
      <c r="P867" s="5"/>
      <c r="Q867" s="9"/>
      <c r="R867" s="5"/>
      <c r="S867" s="5"/>
      <c r="T867" s="5"/>
      <c r="U867" s="5"/>
      <c r="V867" s="5"/>
      <c r="W867" s="5"/>
      <c r="X867" s="5"/>
      <c r="Y867" s="9"/>
      <c r="Z867" s="2"/>
    </row>
    <row r="868" spans="1:26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3"/>
      <c r="M868" s="6"/>
      <c r="N868" s="6"/>
      <c r="O868" s="6"/>
      <c r="P868" s="5"/>
      <c r="Q868" s="9"/>
      <c r="R868" s="5"/>
      <c r="S868" s="5"/>
      <c r="T868" s="5"/>
      <c r="U868" s="5"/>
      <c r="V868" s="5"/>
      <c r="W868" s="5"/>
      <c r="X868" s="5"/>
      <c r="Y868" s="9"/>
      <c r="Z868" s="2"/>
    </row>
    <row r="869" spans="1:26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3"/>
      <c r="M869" s="6"/>
      <c r="N869" s="6"/>
      <c r="O869" s="6"/>
      <c r="P869" s="5"/>
      <c r="Q869" s="9"/>
      <c r="R869" s="5"/>
      <c r="S869" s="5"/>
      <c r="T869" s="5"/>
      <c r="U869" s="5"/>
      <c r="V869" s="5"/>
      <c r="W869" s="5"/>
      <c r="X869" s="5"/>
      <c r="Y869" s="9"/>
      <c r="Z869" s="2"/>
    </row>
    <row r="870" spans="1:26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3"/>
      <c r="M870" s="6"/>
      <c r="N870" s="6"/>
      <c r="O870" s="6"/>
      <c r="P870" s="5"/>
      <c r="Q870" s="9"/>
      <c r="R870" s="5"/>
      <c r="S870" s="5"/>
      <c r="T870" s="5"/>
      <c r="U870" s="5"/>
      <c r="V870" s="5"/>
      <c r="W870" s="5"/>
      <c r="X870" s="5"/>
      <c r="Y870" s="9"/>
      <c r="Z870" s="2"/>
    </row>
    <row r="871" spans="1:26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3"/>
      <c r="M871" s="6"/>
      <c r="N871" s="6"/>
      <c r="O871" s="6"/>
      <c r="P871" s="5"/>
      <c r="Q871" s="9"/>
      <c r="R871" s="5"/>
      <c r="S871" s="5"/>
      <c r="T871" s="5"/>
      <c r="U871" s="5"/>
      <c r="V871" s="5"/>
      <c r="W871" s="5"/>
      <c r="X871" s="5"/>
      <c r="Y871" s="9"/>
      <c r="Z871" s="2"/>
    </row>
    <row r="872" spans="1:26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3"/>
      <c r="M872" s="6"/>
      <c r="N872" s="6"/>
      <c r="O872" s="6"/>
      <c r="P872" s="5"/>
      <c r="Q872" s="9"/>
      <c r="R872" s="5"/>
      <c r="S872" s="5"/>
      <c r="T872" s="5"/>
      <c r="U872" s="5"/>
      <c r="V872" s="5"/>
      <c r="W872" s="5"/>
      <c r="X872" s="5"/>
      <c r="Y872" s="9"/>
      <c r="Z872" s="2"/>
    </row>
    <row r="873" spans="1:26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3"/>
      <c r="M873" s="6"/>
      <c r="N873" s="6"/>
      <c r="O873" s="6"/>
      <c r="P873" s="5"/>
      <c r="Q873" s="9"/>
      <c r="R873" s="5"/>
      <c r="S873" s="5"/>
      <c r="T873" s="5"/>
      <c r="U873" s="5"/>
      <c r="V873" s="5"/>
      <c r="W873" s="5"/>
      <c r="X873" s="5"/>
      <c r="Y873" s="9"/>
      <c r="Z873" s="2"/>
    </row>
    <row r="874" spans="1:26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3"/>
      <c r="M874" s="6"/>
      <c r="N874" s="6"/>
      <c r="O874" s="6"/>
      <c r="P874" s="5"/>
      <c r="Q874" s="9"/>
      <c r="R874" s="5"/>
      <c r="S874" s="5"/>
      <c r="T874" s="5"/>
      <c r="U874" s="5"/>
      <c r="V874" s="5"/>
      <c r="W874" s="5"/>
      <c r="X874" s="5"/>
      <c r="Y874" s="9"/>
      <c r="Z874" s="2"/>
    </row>
    <row r="875" spans="1:26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3"/>
      <c r="M875" s="6"/>
      <c r="N875" s="6"/>
      <c r="O875" s="6"/>
      <c r="P875" s="5"/>
      <c r="Q875" s="9"/>
      <c r="R875" s="5"/>
      <c r="S875" s="5"/>
      <c r="T875" s="5"/>
      <c r="U875" s="5"/>
      <c r="V875" s="5"/>
      <c r="W875" s="5"/>
      <c r="X875" s="5"/>
      <c r="Y875" s="9"/>
      <c r="Z875" s="2"/>
    </row>
    <row r="876" spans="1:2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3"/>
      <c r="M876" s="6"/>
      <c r="N876" s="6"/>
      <c r="O876" s="6"/>
      <c r="P876" s="5"/>
      <c r="Q876" s="9"/>
      <c r="R876" s="5"/>
      <c r="S876" s="5"/>
      <c r="T876" s="5"/>
      <c r="U876" s="5"/>
      <c r="V876" s="5"/>
      <c r="W876" s="5"/>
      <c r="X876" s="5"/>
      <c r="Y876" s="9"/>
      <c r="Z876" s="2"/>
    </row>
    <row r="877" spans="1:26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3"/>
      <c r="M877" s="6"/>
      <c r="N877" s="6"/>
      <c r="O877" s="6"/>
      <c r="P877" s="5"/>
      <c r="Q877" s="9"/>
      <c r="R877" s="5"/>
      <c r="S877" s="5"/>
      <c r="T877" s="5"/>
      <c r="U877" s="5"/>
      <c r="V877" s="5"/>
      <c r="W877" s="5"/>
      <c r="X877" s="5"/>
      <c r="Y877" s="9"/>
      <c r="Z877" s="2"/>
    </row>
    <row r="878" spans="1:26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3"/>
      <c r="M878" s="6"/>
      <c r="N878" s="6"/>
      <c r="O878" s="6"/>
      <c r="P878" s="5"/>
      <c r="Q878" s="9"/>
      <c r="R878" s="5"/>
      <c r="S878" s="5"/>
      <c r="T878" s="5"/>
      <c r="U878" s="5"/>
      <c r="V878" s="5"/>
      <c r="W878" s="5"/>
      <c r="X878" s="5"/>
      <c r="Y878" s="9"/>
      <c r="Z878" s="2"/>
    </row>
    <row r="879" spans="1:26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3"/>
      <c r="M879" s="6"/>
      <c r="N879" s="6"/>
      <c r="O879" s="6"/>
      <c r="P879" s="5"/>
      <c r="Q879" s="9"/>
      <c r="R879" s="5"/>
      <c r="S879" s="5"/>
      <c r="T879" s="5"/>
      <c r="U879" s="5"/>
      <c r="V879" s="5"/>
      <c r="W879" s="5"/>
      <c r="X879" s="5"/>
      <c r="Y879" s="9"/>
      <c r="Z879" s="2"/>
    </row>
    <row r="880" spans="1:26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3"/>
      <c r="M880" s="6"/>
      <c r="N880" s="6"/>
      <c r="O880" s="6"/>
      <c r="P880" s="5"/>
      <c r="Q880" s="9"/>
      <c r="R880" s="5"/>
      <c r="S880" s="5"/>
      <c r="T880" s="5"/>
      <c r="U880" s="5"/>
      <c r="V880" s="5"/>
      <c r="W880" s="5"/>
      <c r="X880" s="5"/>
      <c r="Y880" s="9"/>
      <c r="Z880" s="2"/>
    </row>
    <row r="881" spans="1:26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3"/>
      <c r="M881" s="6"/>
      <c r="N881" s="6"/>
      <c r="O881" s="6"/>
      <c r="P881" s="5"/>
      <c r="Q881" s="9"/>
      <c r="R881" s="5"/>
      <c r="S881" s="5"/>
      <c r="T881" s="5"/>
      <c r="U881" s="5"/>
      <c r="V881" s="5"/>
      <c r="W881" s="5"/>
      <c r="X881" s="5"/>
      <c r="Y881" s="9"/>
      <c r="Z881" s="2"/>
    </row>
    <row r="882" spans="1:26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3"/>
      <c r="M882" s="6"/>
      <c r="N882" s="6"/>
      <c r="O882" s="6"/>
      <c r="P882" s="5"/>
      <c r="Q882" s="9"/>
      <c r="R882" s="5"/>
      <c r="S882" s="5"/>
      <c r="T882" s="5"/>
      <c r="U882" s="5"/>
      <c r="V882" s="5"/>
      <c r="W882" s="5"/>
      <c r="X882" s="5"/>
      <c r="Y882" s="9"/>
      <c r="Z882" s="2"/>
    </row>
    <row r="883" spans="1:26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3"/>
      <c r="M883" s="6"/>
      <c r="N883" s="6"/>
      <c r="O883" s="6"/>
      <c r="P883" s="5"/>
      <c r="Q883" s="9"/>
      <c r="R883" s="5"/>
      <c r="S883" s="5"/>
      <c r="T883" s="5"/>
      <c r="U883" s="5"/>
      <c r="V883" s="5"/>
      <c r="W883" s="5"/>
      <c r="X883" s="5"/>
      <c r="Y883" s="9"/>
      <c r="Z883" s="2"/>
    </row>
    <row r="884" spans="1:26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3"/>
      <c r="M884" s="6"/>
      <c r="N884" s="6"/>
      <c r="O884" s="6"/>
      <c r="P884" s="5"/>
      <c r="Q884" s="9"/>
      <c r="R884" s="5"/>
      <c r="S884" s="5"/>
      <c r="T884" s="5"/>
      <c r="U884" s="5"/>
      <c r="V884" s="5"/>
      <c r="W884" s="5"/>
      <c r="X884" s="5"/>
      <c r="Y884" s="9"/>
      <c r="Z884" s="2"/>
    </row>
    <row r="885" spans="1:26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3"/>
      <c r="M885" s="6"/>
      <c r="N885" s="6"/>
      <c r="O885" s="6"/>
      <c r="P885" s="5"/>
      <c r="Q885" s="9"/>
      <c r="R885" s="5"/>
      <c r="S885" s="5"/>
      <c r="T885" s="5"/>
      <c r="U885" s="5"/>
      <c r="V885" s="5"/>
      <c r="W885" s="5"/>
      <c r="X885" s="5"/>
      <c r="Y885" s="9"/>
      <c r="Z885" s="2"/>
    </row>
    <row r="886" spans="1:2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3"/>
      <c r="M886" s="6"/>
      <c r="N886" s="6"/>
      <c r="O886" s="6"/>
      <c r="P886" s="5"/>
      <c r="Q886" s="9"/>
      <c r="R886" s="5"/>
      <c r="S886" s="5"/>
      <c r="T886" s="5"/>
      <c r="U886" s="5"/>
      <c r="V886" s="5"/>
      <c r="W886" s="5"/>
      <c r="X886" s="5"/>
      <c r="Y886" s="9"/>
      <c r="Z886" s="2"/>
    </row>
    <row r="887" spans="1:26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3"/>
      <c r="M887" s="6"/>
      <c r="N887" s="6"/>
      <c r="O887" s="6"/>
      <c r="P887" s="5"/>
      <c r="Q887" s="9"/>
      <c r="R887" s="5"/>
      <c r="S887" s="5"/>
      <c r="T887" s="5"/>
      <c r="U887" s="5"/>
      <c r="V887" s="5"/>
      <c r="W887" s="5"/>
      <c r="X887" s="5"/>
      <c r="Y887" s="9"/>
      <c r="Z887" s="2"/>
    </row>
    <row r="888" spans="1:26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3"/>
      <c r="M888" s="6"/>
      <c r="N888" s="6"/>
      <c r="O888" s="6"/>
      <c r="P888" s="5"/>
      <c r="Q888" s="9"/>
      <c r="R888" s="5"/>
      <c r="S888" s="5"/>
      <c r="T888" s="5"/>
      <c r="U888" s="5"/>
      <c r="V888" s="5"/>
      <c r="W888" s="5"/>
      <c r="X888" s="5"/>
      <c r="Y888" s="9"/>
      <c r="Z888" s="2"/>
    </row>
    <row r="889" spans="1:26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3"/>
      <c r="M889" s="6"/>
      <c r="N889" s="6"/>
      <c r="O889" s="6"/>
      <c r="P889" s="5"/>
      <c r="Q889" s="9"/>
      <c r="R889" s="5"/>
      <c r="S889" s="5"/>
      <c r="T889" s="5"/>
      <c r="U889" s="5"/>
      <c r="V889" s="5"/>
      <c r="W889" s="5"/>
      <c r="X889" s="5"/>
      <c r="Y889" s="9"/>
      <c r="Z889" s="2"/>
    </row>
    <row r="890" spans="1:26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3"/>
      <c r="M890" s="6"/>
      <c r="N890" s="6"/>
      <c r="O890" s="6"/>
      <c r="P890" s="5"/>
      <c r="Q890" s="9"/>
      <c r="R890" s="5"/>
      <c r="S890" s="5"/>
      <c r="T890" s="5"/>
      <c r="U890" s="5"/>
      <c r="V890" s="5"/>
      <c r="W890" s="5"/>
      <c r="X890" s="5"/>
      <c r="Y890" s="9"/>
      <c r="Z890" s="2"/>
    </row>
    <row r="891" spans="1:26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3"/>
      <c r="M891" s="6"/>
      <c r="N891" s="6"/>
      <c r="O891" s="6"/>
      <c r="P891" s="5"/>
      <c r="Q891" s="9"/>
      <c r="R891" s="5"/>
      <c r="S891" s="5"/>
      <c r="T891" s="5"/>
      <c r="U891" s="5"/>
      <c r="V891" s="5"/>
      <c r="W891" s="5"/>
      <c r="X891" s="5"/>
      <c r="Y891" s="9"/>
      <c r="Z891" s="2"/>
    </row>
    <row r="892" spans="1:26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3"/>
      <c r="M892" s="6"/>
      <c r="N892" s="6"/>
      <c r="O892" s="6"/>
      <c r="P892" s="5"/>
      <c r="Q892" s="9"/>
      <c r="R892" s="5"/>
      <c r="S892" s="5"/>
      <c r="T892" s="5"/>
      <c r="U892" s="5"/>
      <c r="V892" s="5"/>
      <c r="W892" s="5"/>
      <c r="X892" s="5"/>
      <c r="Y892" s="9"/>
      <c r="Z892" s="2"/>
    </row>
    <row r="893" spans="1:26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3"/>
      <c r="M893" s="6"/>
      <c r="N893" s="6"/>
      <c r="O893" s="6"/>
      <c r="P893" s="5"/>
      <c r="Q893" s="9"/>
      <c r="R893" s="5"/>
      <c r="S893" s="5"/>
      <c r="T893" s="5"/>
      <c r="U893" s="5"/>
      <c r="V893" s="5"/>
      <c r="W893" s="5"/>
      <c r="X893" s="5"/>
      <c r="Y893" s="9"/>
      <c r="Z893" s="2"/>
    </row>
    <row r="894" spans="1:26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3"/>
      <c r="M894" s="6"/>
      <c r="N894" s="6"/>
      <c r="O894" s="6"/>
      <c r="P894" s="5"/>
      <c r="Q894" s="9"/>
      <c r="R894" s="5"/>
      <c r="S894" s="5"/>
      <c r="T894" s="5"/>
      <c r="U894" s="5"/>
      <c r="V894" s="5"/>
      <c r="W894" s="5"/>
      <c r="X894" s="5"/>
      <c r="Y894" s="9"/>
      <c r="Z894" s="2"/>
    </row>
    <row r="895" spans="1:26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3"/>
      <c r="M895" s="6"/>
      <c r="N895" s="6"/>
      <c r="O895" s="6"/>
      <c r="P895" s="5"/>
      <c r="Q895" s="9"/>
      <c r="R895" s="5"/>
      <c r="S895" s="5"/>
      <c r="T895" s="5"/>
      <c r="U895" s="5"/>
      <c r="V895" s="5"/>
      <c r="W895" s="5"/>
      <c r="X895" s="5"/>
      <c r="Y895" s="9"/>
      <c r="Z895" s="2"/>
    </row>
    <row r="896" spans="1:2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3"/>
      <c r="M896" s="6"/>
      <c r="N896" s="6"/>
      <c r="O896" s="6"/>
      <c r="P896" s="5"/>
      <c r="Q896" s="9"/>
      <c r="R896" s="5"/>
      <c r="S896" s="5"/>
      <c r="T896" s="5"/>
      <c r="U896" s="5"/>
      <c r="V896" s="5"/>
      <c r="W896" s="5"/>
      <c r="X896" s="5"/>
      <c r="Y896" s="9"/>
      <c r="Z896" s="2"/>
    </row>
    <row r="897" spans="1:26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3"/>
      <c r="M897" s="6"/>
      <c r="N897" s="6"/>
      <c r="O897" s="6"/>
      <c r="P897" s="5"/>
      <c r="Q897" s="9"/>
      <c r="R897" s="5"/>
      <c r="S897" s="5"/>
      <c r="T897" s="5"/>
      <c r="U897" s="5"/>
      <c r="V897" s="5"/>
      <c r="W897" s="5"/>
      <c r="X897" s="5"/>
      <c r="Y897" s="9"/>
      <c r="Z897" s="2"/>
    </row>
    <row r="898" spans="1:26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3"/>
      <c r="M898" s="6"/>
      <c r="N898" s="6"/>
      <c r="O898" s="6"/>
      <c r="P898" s="5"/>
      <c r="Q898" s="9"/>
      <c r="R898" s="5"/>
      <c r="S898" s="5"/>
      <c r="T898" s="5"/>
      <c r="U898" s="5"/>
      <c r="V898" s="5"/>
      <c r="W898" s="5"/>
      <c r="X898" s="5"/>
      <c r="Y898" s="9"/>
      <c r="Z898" s="2"/>
    </row>
    <row r="899" spans="1:26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3"/>
      <c r="M899" s="6"/>
      <c r="N899" s="6"/>
      <c r="O899" s="6"/>
      <c r="P899" s="5"/>
      <c r="Q899" s="9"/>
      <c r="R899" s="5"/>
      <c r="S899" s="5"/>
      <c r="T899" s="5"/>
      <c r="U899" s="5"/>
      <c r="V899" s="5"/>
      <c r="W899" s="5"/>
      <c r="X899" s="5"/>
      <c r="Y899" s="9"/>
      <c r="Z899" s="2"/>
    </row>
    <row r="900" spans="1:26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3"/>
      <c r="M900" s="6"/>
      <c r="N900" s="6"/>
      <c r="O900" s="6"/>
      <c r="P900" s="5"/>
      <c r="Q900" s="9"/>
      <c r="R900" s="5"/>
      <c r="S900" s="5"/>
      <c r="T900" s="5"/>
      <c r="U900" s="5"/>
      <c r="V900" s="5"/>
      <c r="W900" s="5"/>
      <c r="X900" s="5"/>
      <c r="Y900" s="9"/>
      <c r="Z900" s="2"/>
    </row>
    <row r="901" spans="1:26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3"/>
      <c r="M901" s="6"/>
      <c r="N901" s="6"/>
      <c r="O901" s="6"/>
      <c r="P901" s="5"/>
      <c r="Q901" s="9"/>
      <c r="R901" s="5"/>
      <c r="S901" s="5"/>
      <c r="T901" s="5"/>
      <c r="U901" s="5"/>
      <c r="V901" s="5"/>
      <c r="W901" s="5"/>
      <c r="X901" s="5"/>
      <c r="Y901" s="9"/>
      <c r="Z901" s="2"/>
    </row>
    <row r="902" spans="1:26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3"/>
      <c r="M902" s="6"/>
      <c r="N902" s="6"/>
      <c r="O902" s="6"/>
      <c r="P902" s="5"/>
      <c r="Q902" s="9"/>
      <c r="R902" s="5"/>
      <c r="S902" s="5"/>
      <c r="T902" s="5"/>
      <c r="U902" s="5"/>
      <c r="V902" s="5"/>
      <c r="W902" s="5"/>
      <c r="X902" s="5"/>
      <c r="Y902" s="9"/>
      <c r="Z902" s="2"/>
    </row>
    <row r="903" spans="1:26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3"/>
      <c r="M903" s="6"/>
      <c r="N903" s="6"/>
      <c r="O903" s="6"/>
      <c r="P903" s="5"/>
      <c r="Q903" s="9"/>
      <c r="R903" s="5"/>
      <c r="S903" s="5"/>
      <c r="T903" s="5"/>
      <c r="U903" s="5"/>
      <c r="V903" s="5"/>
      <c r="W903" s="5"/>
      <c r="X903" s="5"/>
      <c r="Y903" s="9"/>
      <c r="Z903" s="2"/>
    </row>
    <row r="904" spans="1:26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3"/>
      <c r="M904" s="6"/>
      <c r="N904" s="6"/>
      <c r="O904" s="6"/>
      <c r="P904" s="5"/>
      <c r="Q904" s="9"/>
      <c r="R904" s="5"/>
      <c r="S904" s="5"/>
      <c r="T904" s="5"/>
      <c r="U904" s="5"/>
      <c r="V904" s="5"/>
      <c r="W904" s="5"/>
      <c r="X904" s="5"/>
      <c r="Y904" s="9"/>
      <c r="Z904" s="2"/>
    </row>
    <row r="905" spans="1:26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3"/>
      <c r="M905" s="6"/>
      <c r="N905" s="6"/>
      <c r="O905" s="6"/>
      <c r="P905" s="5"/>
      <c r="Q905" s="9"/>
      <c r="R905" s="5"/>
      <c r="S905" s="5"/>
      <c r="T905" s="5"/>
      <c r="U905" s="5"/>
      <c r="V905" s="5"/>
      <c r="W905" s="5"/>
      <c r="X905" s="5"/>
      <c r="Y905" s="9"/>
      <c r="Z905" s="2"/>
    </row>
    <row r="906" spans="1:2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3"/>
      <c r="M906" s="6"/>
      <c r="N906" s="6"/>
      <c r="O906" s="6"/>
      <c r="P906" s="5"/>
      <c r="Q906" s="9"/>
      <c r="R906" s="5"/>
      <c r="S906" s="5"/>
      <c r="T906" s="5"/>
      <c r="U906" s="5"/>
      <c r="V906" s="5"/>
      <c r="W906" s="5"/>
      <c r="X906" s="5"/>
      <c r="Y906" s="9"/>
      <c r="Z906" s="2"/>
    </row>
    <row r="907" spans="1:26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3"/>
      <c r="M907" s="6"/>
      <c r="N907" s="6"/>
      <c r="O907" s="6"/>
      <c r="P907" s="5"/>
      <c r="Q907" s="9"/>
      <c r="R907" s="5"/>
      <c r="S907" s="5"/>
      <c r="T907" s="5"/>
      <c r="U907" s="5"/>
      <c r="V907" s="5"/>
      <c r="W907" s="5"/>
      <c r="X907" s="5"/>
      <c r="Y907" s="9"/>
      <c r="Z907" s="2"/>
    </row>
    <row r="908" spans="1:26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3"/>
      <c r="M908" s="6"/>
      <c r="N908" s="6"/>
      <c r="O908" s="6"/>
      <c r="P908" s="5"/>
      <c r="Q908" s="9"/>
      <c r="R908" s="5"/>
      <c r="S908" s="5"/>
      <c r="T908" s="5"/>
      <c r="U908" s="5"/>
      <c r="V908" s="5"/>
      <c r="W908" s="5"/>
      <c r="X908" s="5"/>
      <c r="Y908" s="9"/>
      <c r="Z908" s="2"/>
    </row>
    <row r="909" spans="1:26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3"/>
      <c r="M909" s="6"/>
      <c r="N909" s="6"/>
      <c r="O909" s="6"/>
      <c r="P909" s="5"/>
      <c r="Q909" s="9"/>
      <c r="R909" s="5"/>
      <c r="S909" s="5"/>
      <c r="T909" s="5"/>
      <c r="U909" s="5"/>
      <c r="V909" s="5"/>
      <c r="W909" s="5"/>
      <c r="X909" s="5"/>
      <c r="Y909" s="9"/>
      <c r="Z909" s="2"/>
    </row>
    <row r="910" spans="1:26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3"/>
      <c r="M910" s="6"/>
      <c r="N910" s="6"/>
      <c r="O910" s="6"/>
      <c r="P910" s="5"/>
      <c r="Q910" s="9"/>
      <c r="R910" s="5"/>
      <c r="S910" s="5"/>
      <c r="T910" s="5"/>
      <c r="U910" s="5"/>
      <c r="V910" s="5"/>
      <c r="W910" s="5"/>
      <c r="X910" s="5"/>
      <c r="Y910" s="9"/>
      <c r="Z910" s="2"/>
    </row>
    <row r="911" spans="1:26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3"/>
      <c r="M911" s="6"/>
      <c r="N911" s="6"/>
      <c r="O911" s="6"/>
      <c r="P911" s="5"/>
      <c r="Q911" s="9"/>
      <c r="R911" s="5"/>
      <c r="S911" s="5"/>
      <c r="T911" s="5"/>
      <c r="U911" s="5"/>
      <c r="V911" s="5"/>
      <c r="W911" s="5"/>
      <c r="X911" s="5"/>
      <c r="Y911" s="9"/>
      <c r="Z911" s="2"/>
    </row>
    <row r="912" spans="1:26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3"/>
      <c r="M912" s="6"/>
      <c r="N912" s="6"/>
      <c r="O912" s="6"/>
      <c r="P912" s="5"/>
      <c r="Q912" s="9"/>
      <c r="R912" s="5"/>
      <c r="S912" s="5"/>
      <c r="T912" s="5"/>
      <c r="U912" s="5"/>
      <c r="V912" s="5"/>
      <c r="W912" s="5"/>
      <c r="X912" s="5"/>
      <c r="Y912" s="9"/>
      <c r="Z912" s="2"/>
    </row>
    <row r="913" spans="1:26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3"/>
      <c r="M913" s="6"/>
      <c r="N913" s="6"/>
      <c r="O913" s="6"/>
      <c r="P913" s="5"/>
      <c r="Q913" s="9"/>
      <c r="R913" s="5"/>
      <c r="S913" s="5"/>
      <c r="T913" s="5"/>
      <c r="U913" s="5"/>
      <c r="V913" s="5"/>
      <c r="W913" s="5"/>
      <c r="X913" s="5"/>
      <c r="Y913" s="9"/>
      <c r="Z913" s="2"/>
    </row>
    <row r="914" spans="1:26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3"/>
      <c r="M914" s="6"/>
      <c r="N914" s="6"/>
      <c r="O914" s="6"/>
      <c r="P914" s="5"/>
      <c r="Q914" s="9"/>
      <c r="R914" s="5"/>
      <c r="S914" s="5"/>
      <c r="T914" s="5"/>
      <c r="U914" s="5"/>
      <c r="V914" s="5"/>
      <c r="W914" s="5"/>
      <c r="X914" s="5"/>
      <c r="Y914" s="9"/>
      <c r="Z914" s="2"/>
    </row>
    <row r="915" spans="1:26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3"/>
      <c r="M915" s="6"/>
      <c r="N915" s="6"/>
      <c r="O915" s="6"/>
      <c r="P915" s="5"/>
      <c r="Q915" s="9"/>
      <c r="R915" s="5"/>
      <c r="S915" s="5"/>
      <c r="T915" s="5"/>
      <c r="U915" s="5"/>
      <c r="V915" s="5"/>
      <c r="W915" s="5"/>
      <c r="X915" s="5"/>
      <c r="Y915" s="9"/>
      <c r="Z915" s="2"/>
    </row>
    <row r="916" spans="1:2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3"/>
      <c r="M916" s="6"/>
      <c r="N916" s="6"/>
      <c r="O916" s="6"/>
      <c r="P916" s="5"/>
      <c r="Q916" s="9"/>
      <c r="R916" s="5"/>
      <c r="S916" s="5"/>
      <c r="T916" s="5"/>
      <c r="U916" s="5"/>
      <c r="V916" s="5"/>
      <c r="W916" s="5"/>
      <c r="X916" s="5"/>
      <c r="Y916" s="9"/>
      <c r="Z916" s="2"/>
    </row>
    <row r="917" spans="1:26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3"/>
      <c r="M917" s="6"/>
      <c r="N917" s="6"/>
      <c r="O917" s="6"/>
      <c r="P917" s="5"/>
      <c r="Q917" s="9"/>
      <c r="R917" s="5"/>
      <c r="S917" s="5"/>
      <c r="T917" s="5"/>
      <c r="U917" s="5"/>
      <c r="V917" s="5"/>
      <c r="W917" s="5"/>
      <c r="X917" s="5"/>
      <c r="Y917" s="9"/>
      <c r="Z917" s="2"/>
    </row>
    <row r="918" spans="1:26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3"/>
      <c r="M918" s="6"/>
      <c r="N918" s="6"/>
      <c r="O918" s="6"/>
      <c r="P918" s="5"/>
      <c r="Q918" s="9"/>
      <c r="R918" s="5"/>
      <c r="S918" s="5"/>
      <c r="T918" s="5"/>
      <c r="U918" s="5"/>
      <c r="V918" s="5"/>
      <c r="W918" s="5"/>
      <c r="X918" s="5"/>
      <c r="Y918" s="9"/>
      <c r="Z918" s="2"/>
    </row>
    <row r="919" spans="1:26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3"/>
      <c r="M919" s="6"/>
      <c r="N919" s="6"/>
      <c r="O919" s="6"/>
      <c r="P919" s="5"/>
      <c r="Q919" s="9"/>
      <c r="R919" s="5"/>
      <c r="S919" s="5"/>
      <c r="T919" s="5"/>
      <c r="U919" s="5"/>
      <c r="V919" s="5"/>
      <c r="W919" s="5"/>
      <c r="X919" s="5"/>
      <c r="Y919" s="9"/>
      <c r="Z919" s="2"/>
    </row>
    <row r="920" spans="1:26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3"/>
      <c r="M920" s="6"/>
      <c r="N920" s="6"/>
      <c r="O920" s="6"/>
      <c r="P920" s="5"/>
      <c r="Q920" s="9"/>
      <c r="R920" s="5"/>
      <c r="S920" s="5"/>
      <c r="T920" s="5"/>
      <c r="U920" s="5"/>
      <c r="V920" s="5"/>
      <c r="W920" s="5"/>
      <c r="X920" s="5"/>
      <c r="Y920" s="9"/>
      <c r="Z920" s="2"/>
    </row>
    <row r="921" spans="1:26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3"/>
      <c r="M921" s="6"/>
      <c r="N921" s="6"/>
      <c r="O921" s="6"/>
      <c r="P921" s="5"/>
      <c r="Q921" s="9"/>
      <c r="R921" s="5"/>
      <c r="S921" s="5"/>
      <c r="T921" s="5"/>
      <c r="U921" s="5"/>
      <c r="V921" s="5"/>
      <c r="W921" s="5"/>
      <c r="X921" s="5"/>
      <c r="Y921" s="9"/>
      <c r="Z921" s="2"/>
    </row>
    <row r="922" spans="1:26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3"/>
      <c r="M922" s="6"/>
      <c r="N922" s="6"/>
      <c r="O922" s="6"/>
      <c r="P922" s="5"/>
      <c r="Q922" s="9"/>
      <c r="R922" s="5"/>
      <c r="S922" s="5"/>
      <c r="T922" s="5"/>
      <c r="U922" s="5"/>
      <c r="V922" s="5"/>
      <c r="W922" s="5"/>
      <c r="X922" s="5"/>
      <c r="Y922" s="9"/>
      <c r="Z922" s="2"/>
    </row>
    <row r="923" spans="1:26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3"/>
      <c r="M923" s="6"/>
      <c r="N923" s="6"/>
      <c r="O923" s="6"/>
      <c r="P923" s="5"/>
      <c r="Q923" s="9"/>
      <c r="R923" s="5"/>
      <c r="S923" s="5"/>
      <c r="T923" s="5"/>
      <c r="U923" s="5"/>
      <c r="V923" s="5"/>
      <c r="W923" s="5"/>
      <c r="X923" s="5"/>
      <c r="Y923" s="9"/>
      <c r="Z923" s="2"/>
    </row>
    <row r="924" spans="1:26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3"/>
      <c r="M924" s="6"/>
      <c r="N924" s="6"/>
      <c r="O924" s="6"/>
      <c r="P924" s="5"/>
      <c r="Q924" s="9"/>
      <c r="R924" s="5"/>
      <c r="S924" s="5"/>
      <c r="T924" s="5"/>
      <c r="U924" s="5"/>
      <c r="V924" s="5"/>
      <c r="W924" s="5"/>
      <c r="X924" s="5"/>
      <c r="Y924" s="9"/>
      <c r="Z924" s="2"/>
    </row>
    <row r="925" spans="1:26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3"/>
      <c r="M925" s="6"/>
      <c r="N925" s="6"/>
      <c r="O925" s="6"/>
      <c r="P925" s="5"/>
      <c r="Q925" s="9"/>
      <c r="R925" s="5"/>
      <c r="S925" s="5"/>
      <c r="T925" s="5"/>
      <c r="U925" s="5"/>
      <c r="V925" s="5"/>
      <c r="W925" s="5"/>
      <c r="X925" s="5"/>
      <c r="Y925" s="9"/>
      <c r="Z925" s="2"/>
    </row>
    <row r="926" spans="1: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3"/>
      <c r="M926" s="6"/>
      <c r="N926" s="6"/>
      <c r="O926" s="6"/>
      <c r="P926" s="5"/>
      <c r="Q926" s="9"/>
      <c r="R926" s="5"/>
      <c r="S926" s="5"/>
      <c r="T926" s="5"/>
      <c r="U926" s="5"/>
      <c r="V926" s="5"/>
      <c r="W926" s="5"/>
      <c r="X926" s="5"/>
      <c r="Y926" s="9"/>
      <c r="Z926" s="2"/>
    </row>
    <row r="927" spans="1:26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3"/>
      <c r="M927" s="6"/>
      <c r="N927" s="6"/>
      <c r="O927" s="6"/>
      <c r="P927" s="5"/>
      <c r="Q927" s="9"/>
      <c r="R927" s="5"/>
      <c r="S927" s="5"/>
      <c r="T927" s="5"/>
      <c r="U927" s="5"/>
      <c r="V927" s="5"/>
      <c r="W927" s="5"/>
      <c r="X927" s="5"/>
      <c r="Y927" s="9"/>
      <c r="Z927" s="2"/>
    </row>
    <row r="928" spans="1:26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3"/>
      <c r="M928" s="6"/>
      <c r="N928" s="6"/>
      <c r="O928" s="6"/>
      <c r="P928" s="5"/>
      <c r="Q928" s="9"/>
      <c r="R928" s="5"/>
      <c r="S928" s="5"/>
      <c r="T928" s="5"/>
      <c r="U928" s="5"/>
      <c r="V928" s="5"/>
      <c r="W928" s="5"/>
      <c r="X928" s="5"/>
      <c r="Y928" s="9"/>
      <c r="Z928" s="2"/>
    </row>
    <row r="929" spans="1:26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3"/>
      <c r="M929" s="6"/>
      <c r="N929" s="6"/>
      <c r="O929" s="6"/>
      <c r="P929" s="5"/>
      <c r="Q929" s="9"/>
      <c r="R929" s="5"/>
      <c r="S929" s="5"/>
      <c r="T929" s="5"/>
      <c r="U929" s="5"/>
      <c r="V929" s="5"/>
      <c r="W929" s="5"/>
      <c r="X929" s="5"/>
      <c r="Y929" s="9"/>
      <c r="Z929" s="2"/>
    </row>
    <row r="930" spans="1:26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3"/>
      <c r="M930" s="6"/>
      <c r="N930" s="6"/>
      <c r="O930" s="6"/>
      <c r="P930" s="5"/>
      <c r="Q930" s="9"/>
      <c r="R930" s="5"/>
      <c r="S930" s="5"/>
      <c r="T930" s="5"/>
      <c r="U930" s="5"/>
      <c r="V930" s="5"/>
      <c r="W930" s="5"/>
      <c r="X930" s="5"/>
      <c r="Y930" s="9"/>
      <c r="Z930" s="2"/>
    </row>
    <row r="931" spans="1:26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3"/>
      <c r="M931" s="6"/>
      <c r="N931" s="6"/>
      <c r="O931" s="6"/>
      <c r="P931" s="5"/>
      <c r="Q931" s="9"/>
      <c r="R931" s="5"/>
      <c r="S931" s="5"/>
      <c r="T931" s="5"/>
      <c r="U931" s="5"/>
      <c r="V931" s="5"/>
      <c r="W931" s="5"/>
      <c r="X931" s="5"/>
      <c r="Y931" s="9"/>
      <c r="Z931" s="2"/>
    </row>
    <row r="932" spans="1:26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3"/>
      <c r="M932" s="6"/>
      <c r="N932" s="6"/>
      <c r="O932" s="6"/>
      <c r="P932" s="5"/>
      <c r="Q932" s="9"/>
      <c r="R932" s="5"/>
      <c r="S932" s="5"/>
      <c r="T932" s="5"/>
      <c r="U932" s="5"/>
      <c r="V932" s="5"/>
      <c r="W932" s="5"/>
      <c r="X932" s="5"/>
      <c r="Y932" s="9"/>
      <c r="Z932" s="2"/>
    </row>
    <row r="933" spans="1:26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3"/>
      <c r="M933" s="6"/>
      <c r="N933" s="6"/>
      <c r="O933" s="6"/>
      <c r="P933" s="5"/>
      <c r="Q933" s="9"/>
      <c r="R933" s="5"/>
      <c r="S933" s="5"/>
      <c r="T933" s="5"/>
      <c r="U933" s="5"/>
      <c r="V933" s="5"/>
      <c r="W933" s="5"/>
      <c r="X933" s="5"/>
      <c r="Y933" s="9"/>
      <c r="Z933" s="2"/>
    </row>
    <row r="934" spans="1:26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3"/>
      <c r="M934" s="6"/>
      <c r="N934" s="6"/>
      <c r="O934" s="6"/>
      <c r="P934" s="5"/>
      <c r="Q934" s="9"/>
      <c r="R934" s="5"/>
      <c r="S934" s="5"/>
      <c r="T934" s="5"/>
      <c r="U934" s="5"/>
      <c r="V934" s="5"/>
      <c r="W934" s="5"/>
      <c r="X934" s="5"/>
      <c r="Y934" s="9"/>
      <c r="Z934" s="2"/>
    </row>
    <row r="935" spans="1:26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3"/>
      <c r="M935" s="6"/>
      <c r="N935" s="6"/>
      <c r="O935" s="6"/>
      <c r="P935" s="5"/>
      <c r="Q935" s="9"/>
      <c r="R935" s="5"/>
      <c r="S935" s="5"/>
      <c r="T935" s="5"/>
      <c r="U935" s="5"/>
      <c r="V935" s="5"/>
      <c r="W935" s="5"/>
      <c r="X935" s="5"/>
      <c r="Y935" s="9"/>
      <c r="Z935" s="2"/>
    </row>
    <row r="936" spans="1:2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3"/>
      <c r="M936" s="6"/>
      <c r="N936" s="6"/>
      <c r="O936" s="6"/>
      <c r="P936" s="5"/>
      <c r="Q936" s="9"/>
      <c r="R936" s="5"/>
      <c r="S936" s="5"/>
      <c r="T936" s="5"/>
      <c r="U936" s="5"/>
      <c r="V936" s="5"/>
      <c r="W936" s="5"/>
      <c r="X936" s="5"/>
      <c r="Y936" s="9"/>
      <c r="Z936" s="2"/>
    </row>
    <row r="937" spans="1:26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3"/>
      <c r="M937" s="6"/>
      <c r="N937" s="6"/>
      <c r="O937" s="6"/>
      <c r="P937" s="5"/>
      <c r="Q937" s="9"/>
      <c r="R937" s="5"/>
      <c r="S937" s="5"/>
      <c r="T937" s="5"/>
      <c r="U937" s="5"/>
      <c r="V937" s="5"/>
      <c r="W937" s="5"/>
      <c r="X937" s="5"/>
      <c r="Y937" s="9"/>
      <c r="Z937" s="2"/>
    </row>
    <row r="938" spans="1:26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3"/>
      <c r="M938" s="6"/>
      <c r="N938" s="6"/>
      <c r="O938" s="6"/>
      <c r="P938" s="5"/>
      <c r="Q938" s="9"/>
      <c r="R938" s="5"/>
      <c r="S938" s="5"/>
      <c r="T938" s="5"/>
      <c r="U938" s="5"/>
      <c r="V938" s="5"/>
      <c r="W938" s="5"/>
      <c r="X938" s="5"/>
      <c r="Y938" s="9"/>
      <c r="Z938" s="2"/>
    </row>
    <row r="939" spans="1:26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3"/>
      <c r="M939" s="6"/>
      <c r="N939" s="6"/>
      <c r="O939" s="6"/>
      <c r="P939" s="5"/>
      <c r="Q939" s="9"/>
      <c r="R939" s="5"/>
      <c r="S939" s="5"/>
      <c r="T939" s="5"/>
      <c r="U939" s="5"/>
      <c r="V939" s="5"/>
      <c r="W939" s="5"/>
      <c r="X939" s="5"/>
      <c r="Y939" s="9"/>
      <c r="Z939" s="2"/>
    </row>
    <row r="940" spans="1:26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3"/>
      <c r="M940" s="6"/>
      <c r="N940" s="6"/>
      <c r="O940" s="6"/>
      <c r="P940" s="5"/>
      <c r="Q940" s="9"/>
      <c r="R940" s="5"/>
      <c r="S940" s="5"/>
      <c r="T940" s="5"/>
      <c r="U940" s="5"/>
      <c r="V940" s="5"/>
      <c r="W940" s="5"/>
      <c r="X940" s="5"/>
      <c r="Y940" s="9"/>
      <c r="Z940" s="2"/>
    </row>
    <row r="941" spans="1:26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3"/>
      <c r="M941" s="6"/>
      <c r="N941" s="6"/>
      <c r="O941" s="6"/>
      <c r="P941" s="5"/>
      <c r="Q941" s="9"/>
      <c r="R941" s="5"/>
      <c r="S941" s="5"/>
      <c r="T941" s="5"/>
      <c r="U941" s="5"/>
      <c r="V941" s="5"/>
      <c r="W941" s="5"/>
      <c r="X941" s="5"/>
      <c r="Y941" s="9"/>
      <c r="Z941" s="2"/>
    </row>
    <row r="942" spans="1:26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3"/>
      <c r="M942" s="6"/>
      <c r="N942" s="6"/>
      <c r="O942" s="6"/>
      <c r="P942" s="5"/>
      <c r="Q942" s="9"/>
      <c r="R942" s="5"/>
      <c r="S942" s="5"/>
      <c r="T942" s="5"/>
      <c r="U942" s="5"/>
      <c r="V942" s="5"/>
      <c r="W942" s="5"/>
      <c r="X942" s="5"/>
      <c r="Y942" s="9"/>
      <c r="Z942" s="2"/>
    </row>
    <row r="943" spans="1:26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3"/>
      <c r="M943" s="6"/>
      <c r="N943" s="6"/>
      <c r="O943" s="6"/>
      <c r="P943" s="5"/>
      <c r="Q943" s="9"/>
      <c r="R943" s="5"/>
      <c r="S943" s="5"/>
      <c r="T943" s="5"/>
      <c r="U943" s="5"/>
      <c r="V943" s="5"/>
      <c r="W943" s="5"/>
      <c r="X943" s="5"/>
      <c r="Y943" s="9"/>
      <c r="Z943" s="2"/>
    </row>
    <row r="944" spans="1:26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3"/>
      <c r="M944" s="6"/>
      <c r="N944" s="6"/>
      <c r="O944" s="6"/>
      <c r="P944" s="5"/>
      <c r="Q944" s="9"/>
      <c r="R944" s="5"/>
      <c r="S944" s="5"/>
      <c r="T944" s="5"/>
      <c r="U944" s="5"/>
      <c r="V944" s="5"/>
      <c r="W944" s="5"/>
      <c r="X944" s="5"/>
      <c r="Y944" s="9"/>
      <c r="Z944" s="2"/>
    </row>
    <row r="945" spans="1:26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3"/>
      <c r="M945" s="6"/>
      <c r="N945" s="6"/>
      <c r="O945" s="6"/>
      <c r="P945" s="5"/>
      <c r="Q945" s="9"/>
      <c r="R945" s="5"/>
      <c r="S945" s="5"/>
      <c r="T945" s="5"/>
      <c r="U945" s="5"/>
      <c r="V945" s="5"/>
      <c r="W945" s="5"/>
      <c r="X945" s="5"/>
      <c r="Y945" s="9"/>
      <c r="Z945" s="2"/>
    </row>
    <row r="946" spans="1:2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3"/>
      <c r="M946" s="6"/>
      <c r="N946" s="6"/>
      <c r="O946" s="6"/>
      <c r="P946" s="5"/>
      <c r="Q946" s="9"/>
      <c r="R946" s="5"/>
      <c r="S946" s="5"/>
      <c r="T946" s="5"/>
      <c r="U946" s="5"/>
      <c r="V946" s="5"/>
      <c r="W946" s="5"/>
      <c r="X946" s="5"/>
      <c r="Y946" s="9"/>
      <c r="Z946" s="2"/>
    </row>
    <row r="947" spans="1:26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3"/>
      <c r="M947" s="6"/>
      <c r="N947" s="6"/>
      <c r="O947" s="6"/>
      <c r="P947" s="5"/>
      <c r="Q947" s="9"/>
      <c r="R947" s="5"/>
      <c r="S947" s="5"/>
      <c r="T947" s="5"/>
      <c r="U947" s="5"/>
      <c r="V947" s="5"/>
      <c r="W947" s="5"/>
      <c r="X947" s="5"/>
      <c r="Y947" s="9"/>
      <c r="Z947" s="2"/>
    </row>
    <row r="948" spans="1:26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3"/>
      <c r="M948" s="6"/>
      <c r="N948" s="6"/>
      <c r="O948" s="6"/>
      <c r="P948" s="5"/>
      <c r="Q948" s="9"/>
      <c r="R948" s="5"/>
      <c r="S948" s="5"/>
      <c r="T948" s="5"/>
      <c r="U948" s="5"/>
      <c r="V948" s="5"/>
      <c r="W948" s="5"/>
      <c r="X948" s="5"/>
      <c r="Y948" s="9"/>
      <c r="Z948" s="2"/>
    </row>
    <row r="949" spans="1:26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3"/>
      <c r="M949" s="6"/>
      <c r="N949" s="6"/>
      <c r="O949" s="6"/>
      <c r="P949" s="5"/>
      <c r="Q949" s="9"/>
      <c r="R949" s="5"/>
      <c r="S949" s="5"/>
      <c r="T949" s="5"/>
      <c r="U949" s="5"/>
      <c r="V949" s="5"/>
      <c r="W949" s="5"/>
      <c r="X949" s="5"/>
      <c r="Y949" s="9"/>
      <c r="Z949" s="2"/>
    </row>
    <row r="950" spans="1:26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3"/>
      <c r="M950" s="6"/>
      <c r="N950" s="6"/>
      <c r="O950" s="6"/>
      <c r="P950" s="5"/>
      <c r="Q950" s="9"/>
      <c r="R950" s="5"/>
      <c r="S950" s="5"/>
      <c r="T950" s="5"/>
      <c r="U950" s="5"/>
      <c r="V950" s="5"/>
      <c r="W950" s="5"/>
      <c r="X950" s="5"/>
      <c r="Y950" s="9"/>
      <c r="Z950" s="2"/>
    </row>
    <row r="951" spans="1:26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3"/>
      <c r="M951" s="6"/>
      <c r="N951" s="6"/>
      <c r="O951" s="6"/>
      <c r="P951" s="5"/>
      <c r="Q951" s="9"/>
      <c r="R951" s="5"/>
      <c r="S951" s="5"/>
      <c r="T951" s="5"/>
      <c r="U951" s="5"/>
      <c r="V951" s="5"/>
      <c r="W951" s="5"/>
      <c r="X951" s="5"/>
      <c r="Y951" s="9"/>
      <c r="Z951" s="2"/>
    </row>
    <row r="952" spans="1:26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3"/>
      <c r="M952" s="6"/>
      <c r="N952" s="6"/>
      <c r="O952" s="6"/>
      <c r="P952" s="5"/>
      <c r="Q952" s="9"/>
      <c r="R952" s="5"/>
      <c r="S952" s="5"/>
      <c r="T952" s="5"/>
      <c r="U952" s="5"/>
      <c r="V952" s="5"/>
      <c r="W952" s="5"/>
      <c r="X952" s="5"/>
      <c r="Y952" s="9"/>
      <c r="Z952" s="2"/>
    </row>
    <row r="953" spans="1:26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3"/>
      <c r="M953" s="6"/>
      <c r="N953" s="6"/>
      <c r="O953" s="6"/>
      <c r="P953" s="5"/>
      <c r="Q953" s="9"/>
      <c r="R953" s="5"/>
      <c r="S953" s="5"/>
      <c r="T953" s="5"/>
      <c r="U953" s="5"/>
      <c r="V953" s="5"/>
      <c r="W953" s="5"/>
      <c r="X953" s="5"/>
      <c r="Y953" s="9"/>
      <c r="Z953" s="2"/>
    </row>
    <row r="954" spans="1:26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3"/>
      <c r="M954" s="6"/>
      <c r="N954" s="6"/>
      <c r="O954" s="6"/>
      <c r="P954" s="5"/>
      <c r="Q954" s="9"/>
      <c r="R954" s="5"/>
      <c r="S954" s="5"/>
      <c r="T954" s="5"/>
      <c r="U954" s="5"/>
      <c r="V954" s="5"/>
      <c r="W954" s="5"/>
      <c r="X954" s="5"/>
      <c r="Y954" s="9"/>
      <c r="Z954" s="2"/>
    </row>
    <row r="955" spans="1:26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3"/>
      <c r="M955" s="6"/>
      <c r="N955" s="6"/>
      <c r="O955" s="6"/>
      <c r="P955" s="5"/>
      <c r="Q955" s="9"/>
      <c r="R955" s="5"/>
      <c r="S955" s="5"/>
      <c r="T955" s="5"/>
      <c r="U955" s="5"/>
      <c r="V955" s="5"/>
      <c r="W955" s="5"/>
      <c r="X955" s="5"/>
      <c r="Y955" s="9"/>
      <c r="Z955" s="2"/>
    </row>
    <row r="956" spans="1:2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3"/>
      <c r="M956" s="6"/>
      <c r="N956" s="6"/>
      <c r="O956" s="6"/>
      <c r="P956" s="5"/>
      <c r="Q956" s="9"/>
      <c r="R956" s="5"/>
      <c r="S956" s="5"/>
      <c r="T956" s="5"/>
      <c r="U956" s="5"/>
      <c r="V956" s="5"/>
      <c r="W956" s="5"/>
      <c r="X956" s="5"/>
      <c r="Y956" s="9"/>
      <c r="Z956" s="2"/>
    </row>
    <row r="957" spans="1:26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3"/>
      <c r="M957" s="6"/>
      <c r="N957" s="6"/>
      <c r="O957" s="6"/>
      <c r="P957" s="5"/>
      <c r="Q957" s="9"/>
      <c r="R957" s="5"/>
      <c r="S957" s="5"/>
      <c r="T957" s="5"/>
      <c r="U957" s="5"/>
      <c r="V957" s="5"/>
      <c r="W957" s="5"/>
      <c r="X957" s="5"/>
      <c r="Y957" s="9"/>
      <c r="Z957" s="2"/>
    </row>
    <row r="958" spans="1:26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3"/>
      <c r="M958" s="6"/>
      <c r="N958" s="6"/>
      <c r="O958" s="6"/>
      <c r="P958" s="5"/>
      <c r="Q958" s="9"/>
      <c r="R958" s="5"/>
      <c r="S958" s="5"/>
      <c r="T958" s="5"/>
      <c r="U958" s="5"/>
      <c r="V958" s="5"/>
      <c r="W958" s="5"/>
      <c r="X958" s="5"/>
      <c r="Y958" s="9"/>
      <c r="Z958" s="2"/>
    </row>
    <row r="959" spans="1:26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3"/>
      <c r="M959" s="6"/>
      <c r="N959" s="6"/>
      <c r="O959" s="6"/>
      <c r="P959" s="5"/>
      <c r="Q959" s="9"/>
      <c r="R959" s="5"/>
      <c r="S959" s="5"/>
      <c r="T959" s="5"/>
      <c r="U959" s="5"/>
      <c r="V959" s="5"/>
      <c r="W959" s="5"/>
      <c r="X959" s="5"/>
      <c r="Y959" s="9"/>
      <c r="Z959" s="2"/>
    </row>
    <row r="960" spans="1:26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3"/>
      <c r="M960" s="6"/>
      <c r="N960" s="6"/>
      <c r="O960" s="6"/>
      <c r="P960" s="5"/>
      <c r="Q960" s="9"/>
      <c r="R960" s="5"/>
      <c r="S960" s="5"/>
      <c r="T960" s="5"/>
      <c r="U960" s="5"/>
      <c r="V960" s="5"/>
      <c r="W960" s="5"/>
      <c r="X960" s="5"/>
      <c r="Y960" s="9"/>
      <c r="Z960" s="2"/>
    </row>
    <row r="961" spans="1:26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3"/>
      <c r="M961" s="6"/>
      <c r="N961" s="6"/>
      <c r="O961" s="6"/>
      <c r="P961" s="5"/>
      <c r="Q961" s="9"/>
      <c r="R961" s="5"/>
      <c r="S961" s="5"/>
      <c r="T961" s="5"/>
      <c r="U961" s="5"/>
      <c r="V961" s="5"/>
      <c r="W961" s="5"/>
      <c r="X961" s="5"/>
      <c r="Y961" s="9"/>
      <c r="Z961" s="2"/>
    </row>
    <row r="962" spans="1:26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3"/>
      <c r="M962" s="6"/>
      <c r="N962" s="6"/>
      <c r="O962" s="6"/>
      <c r="P962" s="5"/>
      <c r="Q962" s="9"/>
      <c r="R962" s="5"/>
      <c r="S962" s="5"/>
      <c r="T962" s="5"/>
      <c r="U962" s="5"/>
      <c r="V962" s="5"/>
      <c r="W962" s="5"/>
      <c r="X962" s="5"/>
      <c r="Y962" s="9"/>
      <c r="Z962" s="2"/>
    </row>
    <row r="963" spans="1:26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3"/>
      <c r="M963" s="6"/>
      <c r="N963" s="6"/>
      <c r="O963" s="6"/>
      <c r="P963" s="5"/>
      <c r="Q963" s="9"/>
      <c r="R963" s="5"/>
      <c r="S963" s="5"/>
      <c r="T963" s="5"/>
      <c r="U963" s="5"/>
      <c r="V963" s="5"/>
      <c r="W963" s="5"/>
      <c r="X963" s="5"/>
      <c r="Y963" s="9"/>
      <c r="Z963" s="2"/>
    </row>
    <row r="964" spans="1:26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3"/>
      <c r="M964" s="6"/>
      <c r="N964" s="6"/>
      <c r="O964" s="6"/>
      <c r="P964" s="5"/>
      <c r="Q964" s="9"/>
      <c r="R964" s="5"/>
      <c r="S964" s="5"/>
      <c r="T964" s="5"/>
      <c r="U964" s="5"/>
      <c r="V964" s="5"/>
      <c r="W964" s="5"/>
      <c r="X964" s="5"/>
      <c r="Y964" s="9"/>
      <c r="Z964" s="2"/>
    </row>
    <row r="965" spans="1:26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3"/>
      <c r="M965" s="6"/>
      <c r="N965" s="6"/>
      <c r="O965" s="6"/>
      <c r="P965" s="5"/>
      <c r="Q965" s="9"/>
      <c r="R965" s="5"/>
      <c r="S965" s="5"/>
      <c r="T965" s="5"/>
      <c r="U965" s="5"/>
      <c r="V965" s="5"/>
      <c r="W965" s="5"/>
      <c r="X965" s="5"/>
      <c r="Y965" s="9"/>
      <c r="Z965" s="2"/>
    </row>
    <row r="966" spans="1:2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3"/>
      <c r="M966" s="6"/>
      <c r="N966" s="6"/>
      <c r="O966" s="6"/>
      <c r="P966" s="5"/>
      <c r="Q966" s="9"/>
      <c r="R966" s="5"/>
      <c r="S966" s="5"/>
      <c r="T966" s="5"/>
      <c r="U966" s="5"/>
      <c r="V966" s="5"/>
      <c r="W966" s="5"/>
      <c r="X966" s="5"/>
      <c r="Y966" s="9"/>
      <c r="Z966" s="2"/>
    </row>
    <row r="967" spans="1:26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3"/>
      <c r="M967" s="6"/>
      <c r="N967" s="6"/>
      <c r="O967" s="6"/>
      <c r="P967" s="5"/>
      <c r="Q967" s="9"/>
      <c r="R967" s="5"/>
      <c r="S967" s="5"/>
      <c r="T967" s="5"/>
      <c r="U967" s="5"/>
      <c r="V967" s="5"/>
      <c r="W967" s="5"/>
      <c r="X967" s="5"/>
      <c r="Y967" s="9"/>
      <c r="Z967" s="2"/>
    </row>
    <row r="968" spans="1:26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3"/>
      <c r="M968" s="6"/>
      <c r="N968" s="6"/>
      <c r="O968" s="6"/>
      <c r="P968" s="5"/>
      <c r="Q968" s="9"/>
      <c r="R968" s="5"/>
      <c r="S968" s="5"/>
      <c r="T968" s="5"/>
      <c r="U968" s="5"/>
      <c r="V968" s="5"/>
      <c r="W968" s="5"/>
      <c r="X968" s="5"/>
      <c r="Y968" s="9"/>
      <c r="Z968" s="2"/>
    </row>
    <row r="969" spans="1:26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3"/>
      <c r="M969" s="6"/>
      <c r="N969" s="6"/>
      <c r="O969" s="6"/>
      <c r="P969" s="5"/>
      <c r="Q969" s="9"/>
      <c r="R969" s="5"/>
      <c r="S969" s="5"/>
      <c r="T969" s="5"/>
      <c r="U969" s="5"/>
      <c r="V969" s="5"/>
      <c r="W969" s="5"/>
      <c r="X969" s="5"/>
      <c r="Y969" s="9"/>
      <c r="Z969" s="2"/>
    </row>
    <row r="970" spans="1:26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3"/>
      <c r="M970" s="6"/>
      <c r="N970" s="6"/>
      <c r="O970" s="6"/>
      <c r="P970" s="5"/>
      <c r="Q970" s="9"/>
      <c r="R970" s="5"/>
      <c r="S970" s="5"/>
      <c r="T970" s="5"/>
      <c r="U970" s="5"/>
      <c r="V970" s="5"/>
      <c r="W970" s="5"/>
      <c r="X970" s="5"/>
      <c r="Y970" s="9"/>
      <c r="Z970" s="2"/>
    </row>
    <row r="971" spans="1:26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3"/>
      <c r="M971" s="6"/>
      <c r="N971" s="6"/>
      <c r="O971" s="6"/>
      <c r="P971" s="5"/>
      <c r="Q971" s="9"/>
      <c r="R971" s="5"/>
      <c r="S971" s="5"/>
      <c r="T971" s="5"/>
      <c r="U971" s="5"/>
      <c r="V971" s="5"/>
      <c r="W971" s="5"/>
      <c r="X971" s="5"/>
      <c r="Y971" s="9"/>
      <c r="Z971" s="2"/>
    </row>
    <row r="972" spans="1:26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3"/>
      <c r="M972" s="6"/>
      <c r="N972" s="6"/>
      <c r="O972" s="6"/>
      <c r="P972" s="5"/>
      <c r="Q972" s="9"/>
      <c r="R972" s="5"/>
      <c r="S972" s="5"/>
      <c r="T972" s="5"/>
      <c r="U972" s="5"/>
      <c r="V972" s="5"/>
      <c r="W972" s="5"/>
      <c r="X972" s="5"/>
      <c r="Y972" s="9"/>
      <c r="Z972" s="2"/>
    </row>
    <row r="973" spans="1:26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3"/>
      <c r="M973" s="6"/>
      <c r="N973" s="6"/>
      <c r="O973" s="6"/>
      <c r="P973" s="5"/>
      <c r="Q973" s="9"/>
      <c r="R973" s="5"/>
      <c r="S973" s="5"/>
      <c r="T973" s="5"/>
      <c r="U973" s="5"/>
      <c r="V973" s="5"/>
      <c r="W973" s="5"/>
      <c r="X973" s="5"/>
      <c r="Y973" s="9"/>
      <c r="Z973" s="2"/>
    </row>
    <row r="974" spans="1:26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3"/>
      <c r="M974" s="6"/>
      <c r="N974" s="6"/>
      <c r="O974" s="6"/>
      <c r="P974" s="5"/>
      <c r="Q974" s="9"/>
      <c r="R974" s="5"/>
      <c r="S974" s="5"/>
      <c r="T974" s="5"/>
      <c r="U974" s="5"/>
      <c r="V974" s="5"/>
      <c r="W974" s="5"/>
      <c r="X974" s="5"/>
      <c r="Y974" s="9"/>
      <c r="Z974" s="2"/>
    </row>
    <row r="975" spans="1:26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3"/>
      <c r="M975" s="6"/>
      <c r="N975" s="6"/>
      <c r="O975" s="6"/>
      <c r="P975" s="5"/>
      <c r="Q975" s="9"/>
      <c r="R975" s="5"/>
      <c r="S975" s="5"/>
      <c r="T975" s="5"/>
      <c r="U975" s="5"/>
      <c r="V975" s="5"/>
      <c r="W975" s="5"/>
      <c r="X975" s="5"/>
      <c r="Y975" s="9"/>
      <c r="Z975" s="2"/>
    </row>
    <row r="976" spans="1:2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3"/>
      <c r="M976" s="6"/>
      <c r="N976" s="6"/>
      <c r="O976" s="6"/>
      <c r="P976" s="5"/>
      <c r="Q976" s="9"/>
      <c r="R976" s="5"/>
      <c r="S976" s="5"/>
      <c r="T976" s="5"/>
      <c r="U976" s="5"/>
      <c r="V976" s="5"/>
      <c r="W976" s="5"/>
      <c r="X976" s="5"/>
      <c r="Y976" s="9"/>
      <c r="Z976" s="2"/>
    </row>
    <row r="977" spans="1:26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3"/>
      <c r="M977" s="6"/>
      <c r="N977" s="6"/>
      <c r="O977" s="6"/>
      <c r="P977" s="5"/>
      <c r="Q977" s="9"/>
      <c r="R977" s="5"/>
      <c r="S977" s="5"/>
      <c r="T977" s="5"/>
      <c r="U977" s="5"/>
      <c r="V977" s="5"/>
      <c r="W977" s="5"/>
      <c r="X977" s="5"/>
      <c r="Y977" s="9"/>
      <c r="Z977" s="2"/>
    </row>
    <row r="978" spans="1:26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3"/>
      <c r="M978" s="6"/>
      <c r="N978" s="6"/>
      <c r="O978" s="6"/>
      <c r="P978" s="5"/>
      <c r="Q978" s="9"/>
      <c r="R978" s="5"/>
      <c r="S978" s="5"/>
      <c r="T978" s="5"/>
      <c r="U978" s="5"/>
      <c r="V978" s="5"/>
      <c r="W978" s="5"/>
      <c r="X978" s="5"/>
      <c r="Y978" s="9"/>
      <c r="Z978" s="2"/>
    </row>
    <row r="979" spans="1:26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3"/>
      <c r="M979" s="6"/>
      <c r="N979" s="6"/>
      <c r="O979" s="6"/>
      <c r="P979" s="5"/>
      <c r="Q979" s="9"/>
      <c r="R979" s="5"/>
      <c r="S979" s="5"/>
      <c r="T979" s="5"/>
      <c r="U979" s="5"/>
      <c r="V979" s="5"/>
      <c r="W979" s="5"/>
      <c r="X979" s="5"/>
      <c r="Y979" s="9"/>
      <c r="Z979" s="2"/>
    </row>
    <row r="980" spans="1:26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3"/>
      <c r="M980" s="6"/>
      <c r="N980" s="6"/>
      <c r="O980" s="6"/>
      <c r="P980" s="5"/>
      <c r="Q980" s="9"/>
      <c r="R980" s="5"/>
      <c r="S980" s="5"/>
      <c r="T980" s="5"/>
      <c r="U980" s="5"/>
      <c r="V980" s="5"/>
      <c r="W980" s="5"/>
      <c r="X980" s="5"/>
      <c r="Y980" s="9"/>
      <c r="Z980" s="2"/>
    </row>
    <row r="981" spans="1:26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3"/>
      <c r="M981" s="6"/>
      <c r="N981" s="6"/>
      <c r="O981" s="6"/>
      <c r="P981" s="5"/>
      <c r="Q981" s="9"/>
      <c r="R981" s="5"/>
      <c r="S981" s="5"/>
      <c r="T981" s="5"/>
      <c r="U981" s="5"/>
      <c r="V981" s="5"/>
      <c r="W981" s="5"/>
      <c r="X981" s="5"/>
      <c r="Y981" s="9"/>
      <c r="Z981" s="2"/>
    </row>
    <row r="982" spans="1:26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3"/>
      <c r="M982" s="6"/>
      <c r="N982" s="6"/>
      <c r="O982" s="6"/>
      <c r="P982" s="5"/>
      <c r="Q982" s="9"/>
      <c r="R982" s="5"/>
      <c r="S982" s="5"/>
      <c r="T982" s="5"/>
      <c r="U982" s="5"/>
      <c r="V982" s="5"/>
      <c r="W982" s="5"/>
      <c r="X982" s="5"/>
      <c r="Y982" s="9"/>
      <c r="Z982" s="2"/>
    </row>
    <row r="983" spans="1:26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3"/>
      <c r="M983" s="6"/>
      <c r="N983" s="6"/>
      <c r="O983" s="6"/>
      <c r="P983" s="5"/>
      <c r="Q983" s="9"/>
      <c r="R983" s="5"/>
      <c r="S983" s="5"/>
      <c r="T983" s="5"/>
      <c r="U983" s="5"/>
      <c r="V983" s="5"/>
      <c r="W983" s="5"/>
      <c r="X983" s="5"/>
      <c r="Y983" s="9"/>
      <c r="Z983" s="2"/>
    </row>
    <row r="984" spans="1:26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3"/>
      <c r="M984" s="6"/>
      <c r="N984" s="6"/>
      <c r="O984" s="6"/>
      <c r="P984" s="5"/>
      <c r="Q984" s="9"/>
      <c r="R984" s="5"/>
      <c r="S984" s="5"/>
      <c r="T984" s="5"/>
      <c r="U984" s="5"/>
      <c r="V984" s="5"/>
      <c r="W984" s="5"/>
      <c r="X984" s="5"/>
      <c r="Y984" s="9"/>
      <c r="Z984" s="2"/>
    </row>
    <row r="985" spans="1:26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3"/>
      <c r="M985" s="6"/>
      <c r="N985" s="6"/>
      <c r="O985" s="6"/>
      <c r="P985" s="5"/>
      <c r="Q985" s="9"/>
      <c r="R985" s="5"/>
      <c r="S985" s="5"/>
      <c r="T985" s="5"/>
      <c r="U985" s="5"/>
      <c r="V985" s="5"/>
      <c r="W985" s="5"/>
      <c r="X985" s="5"/>
      <c r="Y985" s="9"/>
      <c r="Z985" s="2"/>
    </row>
    <row r="986" spans="1:2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3"/>
      <c r="M986" s="6"/>
      <c r="N986" s="6"/>
      <c r="O986" s="6"/>
      <c r="P986" s="5"/>
      <c r="Q986" s="9"/>
      <c r="R986" s="5"/>
      <c r="S986" s="5"/>
      <c r="T986" s="5"/>
      <c r="U986" s="5"/>
      <c r="V986" s="5"/>
      <c r="W986" s="5"/>
      <c r="X986" s="5"/>
      <c r="Y986" s="9"/>
      <c r="Z986" s="2"/>
    </row>
    <row r="987" spans="1:26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3"/>
      <c r="M987" s="6"/>
      <c r="N987" s="6"/>
      <c r="O987" s="6"/>
      <c r="P987" s="5"/>
      <c r="Q987" s="9"/>
      <c r="R987" s="5"/>
      <c r="S987" s="5"/>
      <c r="T987" s="5"/>
      <c r="U987" s="5"/>
      <c r="V987" s="5"/>
      <c r="W987" s="5"/>
      <c r="X987" s="5"/>
      <c r="Y987" s="9"/>
      <c r="Z987" s="2"/>
    </row>
    <row r="988" spans="1:26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3"/>
      <c r="M988" s="6"/>
      <c r="N988" s="6"/>
      <c r="O988" s="6"/>
      <c r="P988" s="5"/>
      <c r="Q988" s="9"/>
      <c r="R988" s="5"/>
      <c r="S988" s="5"/>
      <c r="T988" s="5"/>
      <c r="U988" s="5"/>
      <c r="V988" s="5"/>
      <c r="W988" s="5"/>
      <c r="X988" s="5"/>
      <c r="Y988" s="9"/>
      <c r="Z988" s="2"/>
    </row>
    <row r="989" spans="1:26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3"/>
      <c r="M989" s="6"/>
      <c r="N989" s="6"/>
      <c r="O989" s="6"/>
      <c r="P989" s="5"/>
      <c r="Q989" s="9"/>
      <c r="R989" s="5"/>
      <c r="S989" s="5"/>
      <c r="T989" s="5"/>
      <c r="U989" s="5"/>
      <c r="V989" s="5"/>
      <c r="W989" s="5"/>
      <c r="X989" s="5"/>
      <c r="Y989" s="9"/>
      <c r="Z989" s="2"/>
    </row>
    <row r="990" spans="1:26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3"/>
      <c r="M990" s="6"/>
      <c r="N990" s="6"/>
      <c r="O990" s="6"/>
      <c r="P990" s="5"/>
      <c r="Q990" s="9"/>
      <c r="R990" s="5"/>
      <c r="S990" s="5"/>
      <c r="T990" s="5"/>
      <c r="U990" s="5"/>
      <c r="V990" s="5"/>
      <c r="W990" s="5"/>
      <c r="X990" s="5"/>
      <c r="Y990" s="9"/>
      <c r="Z990" s="2"/>
    </row>
    <row r="991" spans="1:26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3"/>
      <c r="M991" s="6"/>
      <c r="N991" s="6"/>
      <c r="O991" s="6"/>
      <c r="P991" s="5"/>
      <c r="Q991" s="9"/>
      <c r="R991" s="5"/>
      <c r="S991" s="5"/>
      <c r="T991" s="5"/>
      <c r="U991" s="5"/>
      <c r="V991" s="5"/>
      <c r="W991" s="5"/>
      <c r="X991" s="5"/>
      <c r="Y991" s="9"/>
      <c r="Z991" s="2"/>
    </row>
    <row r="992" spans="1:26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3"/>
      <c r="M992" s="6"/>
      <c r="N992" s="6"/>
      <c r="O992" s="6"/>
      <c r="P992" s="5"/>
      <c r="Q992" s="9"/>
      <c r="R992" s="5"/>
      <c r="S992" s="5"/>
      <c r="T992" s="5"/>
      <c r="U992" s="5"/>
      <c r="V992" s="5"/>
      <c r="W992" s="5"/>
      <c r="X992" s="5"/>
      <c r="Y992" s="9"/>
      <c r="Z992" s="2"/>
    </row>
    <row r="993" spans="1:26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3"/>
      <c r="M993" s="6"/>
      <c r="N993" s="6"/>
      <c r="O993" s="6"/>
      <c r="P993" s="5"/>
      <c r="Q993" s="9"/>
      <c r="R993" s="5"/>
      <c r="S993" s="5"/>
      <c r="T993" s="5"/>
      <c r="U993" s="5"/>
      <c r="V993" s="5"/>
      <c r="W993" s="5"/>
      <c r="X993" s="5"/>
      <c r="Y993" s="9"/>
      <c r="Z993" s="2"/>
    </row>
    <row r="994" spans="1:26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3"/>
      <c r="M994" s="6"/>
      <c r="N994" s="6"/>
      <c r="O994" s="6"/>
      <c r="P994" s="5"/>
      <c r="Q994" s="9"/>
      <c r="R994" s="5"/>
      <c r="S994" s="5"/>
      <c r="T994" s="5"/>
      <c r="U994" s="5"/>
      <c r="V994" s="5"/>
      <c r="W994" s="5"/>
      <c r="X994" s="5"/>
      <c r="Y994" s="9"/>
      <c r="Z994" s="2"/>
    </row>
    <row r="995" spans="1:26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3"/>
      <c r="M995" s="6"/>
      <c r="N995" s="6"/>
      <c r="O995" s="6"/>
      <c r="P995" s="5"/>
      <c r="Q995" s="9"/>
      <c r="R995" s="5"/>
      <c r="S995" s="5"/>
      <c r="T995" s="5"/>
      <c r="U995" s="5"/>
      <c r="V995" s="5"/>
      <c r="W995" s="5"/>
      <c r="X995" s="5"/>
      <c r="Y995" s="9"/>
      <c r="Z995" s="2"/>
    </row>
    <row r="996" spans="1:2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3"/>
      <c r="M996" s="6"/>
      <c r="N996" s="6"/>
      <c r="O996" s="6"/>
      <c r="P996" s="5"/>
      <c r="Q996" s="9"/>
      <c r="R996" s="5"/>
      <c r="S996" s="5"/>
      <c r="T996" s="5"/>
      <c r="U996" s="5"/>
      <c r="V996" s="5"/>
      <c r="W996" s="5"/>
      <c r="X996" s="5"/>
      <c r="Y996" s="9"/>
      <c r="Z996" s="2"/>
    </row>
    <row r="997" spans="1:26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3"/>
      <c r="M997" s="6"/>
      <c r="N997" s="6"/>
      <c r="O997" s="6"/>
      <c r="P997" s="5"/>
      <c r="Q997" s="9"/>
      <c r="R997" s="5"/>
      <c r="S997" s="5"/>
      <c r="T997" s="5"/>
      <c r="U997" s="5"/>
      <c r="V997" s="5"/>
      <c r="W997" s="5"/>
      <c r="X997" s="5"/>
      <c r="Y997" s="9"/>
      <c r="Z997" s="2"/>
    </row>
    <row r="998" spans="1:26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3"/>
      <c r="M998" s="6"/>
      <c r="N998" s="6"/>
      <c r="O998" s="6"/>
      <c r="P998" s="5"/>
      <c r="Q998" s="9"/>
      <c r="R998" s="5"/>
      <c r="S998" s="5"/>
      <c r="T998" s="5"/>
      <c r="U998" s="5"/>
      <c r="V998" s="5"/>
      <c r="W998" s="5"/>
      <c r="X998" s="5"/>
      <c r="Y998" s="9"/>
      <c r="Z998" s="2"/>
    </row>
    <row r="999" spans="1:26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3"/>
      <c r="M999" s="6"/>
      <c r="N999" s="6"/>
      <c r="O999" s="6"/>
      <c r="P999" s="5"/>
      <c r="Q999" s="9"/>
      <c r="R999" s="5"/>
      <c r="S999" s="5"/>
      <c r="T999" s="5"/>
      <c r="U999" s="5"/>
      <c r="V999" s="5"/>
      <c r="W999" s="5"/>
      <c r="X999" s="5"/>
      <c r="Y999" s="9"/>
      <c r="Z999" s="2"/>
    </row>
    <row r="1000" spans="1:26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3"/>
      <c r="M1000" s="6"/>
      <c r="N1000" s="6"/>
      <c r="O1000" s="6"/>
      <c r="P1000" s="5"/>
      <c r="Q1000" s="9"/>
      <c r="R1000" s="5"/>
      <c r="S1000" s="5"/>
      <c r="T1000" s="5"/>
      <c r="U1000" s="5"/>
      <c r="V1000" s="5"/>
      <c r="W1000" s="5"/>
      <c r="X1000" s="5"/>
      <c r="Y1000" s="9"/>
      <c r="Z1000" s="2"/>
    </row>
    <row r="1001" spans="1:26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3"/>
      <c r="M1001" s="6"/>
      <c r="N1001" s="6"/>
      <c r="O1001" s="6"/>
      <c r="P1001" s="5"/>
      <c r="Q1001" s="9"/>
      <c r="R1001" s="5"/>
      <c r="S1001" s="5"/>
      <c r="T1001" s="5"/>
      <c r="U1001" s="5"/>
      <c r="V1001" s="5"/>
      <c r="W1001" s="5"/>
      <c r="X1001" s="5"/>
      <c r="Y1001" s="9"/>
      <c r="Z1001" s="2"/>
    </row>
    <row r="1002" spans="1:26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3"/>
      <c r="M1002" s="6"/>
      <c r="N1002" s="6"/>
      <c r="O1002" s="6"/>
      <c r="P1002" s="5"/>
      <c r="Q1002" s="9"/>
      <c r="R1002" s="5"/>
      <c r="S1002" s="5"/>
      <c r="T1002" s="5"/>
      <c r="U1002" s="5"/>
      <c r="V1002" s="5"/>
      <c r="W1002" s="5"/>
      <c r="X1002" s="5"/>
      <c r="Y1002" s="9"/>
      <c r="Z1002" s="2"/>
    </row>
    <row r="1003" spans="1:26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3"/>
      <c r="M1003" s="6"/>
      <c r="N1003" s="6"/>
      <c r="O1003" s="6"/>
      <c r="P1003" s="5"/>
      <c r="Q1003" s="9"/>
      <c r="R1003" s="5"/>
      <c r="S1003" s="5"/>
      <c r="T1003" s="5"/>
      <c r="U1003" s="5"/>
      <c r="V1003" s="5"/>
      <c r="W1003" s="5"/>
      <c r="X1003" s="5"/>
      <c r="Y1003" s="9"/>
      <c r="Z1003" s="2"/>
    </row>
    <row r="1004" spans="1:26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3"/>
      <c r="M1004" s="6"/>
      <c r="N1004" s="6"/>
      <c r="O1004" s="6"/>
      <c r="P1004" s="5"/>
      <c r="Q1004" s="9"/>
      <c r="R1004" s="5"/>
      <c r="S1004" s="5"/>
      <c r="T1004" s="5"/>
      <c r="U1004" s="5"/>
      <c r="V1004" s="5"/>
      <c r="W1004" s="5"/>
      <c r="X1004" s="5"/>
      <c r="Y1004" s="9"/>
      <c r="Z1004" s="2"/>
    </row>
    <row r="1005" spans="1:26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3"/>
      <c r="M1005" s="6"/>
      <c r="N1005" s="6"/>
      <c r="O1005" s="6"/>
      <c r="P1005" s="5"/>
      <c r="Q1005" s="9"/>
      <c r="R1005" s="5"/>
      <c r="S1005" s="5"/>
      <c r="T1005" s="5"/>
      <c r="U1005" s="5"/>
      <c r="V1005" s="5"/>
      <c r="W1005" s="5"/>
      <c r="X1005" s="5"/>
      <c r="Y1005" s="9"/>
      <c r="Z1005" s="2"/>
    </row>
    <row r="1006" spans="1:2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3"/>
      <c r="M1006" s="6"/>
      <c r="N1006" s="6"/>
      <c r="O1006" s="6"/>
      <c r="P1006" s="5"/>
      <c r="Q1006" s="9"/>
      <c r="R1006" s="5"/>
      <c r="S1006" s="5"/>
      <c r="T1006" s="5"/>
      <c r="U1006" s="5"/>
      <c r="V1006" s="5"/>
      <c r="W1006" s="5"/>
      <c r="X1006" s="5"/>
      <c r="Y1006" s="9"/>
      <c r="Z1006" s="2"/>
    </row>
    <row r="1007" spans="1:26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3"/>
      <c r="M1007" s="6"/>
      <c r="N1007" s="6"/>
      <c r="O1007" s="6"/>
      <c r="P1007" s="5"/>
      <c r="Q1007" s="9"/>
      <c r="R1007" s="5"/>
      <c r="S1007" s="5"/>
      <c r="T1007" s="5"/>
      <c r="U1007" s="5"/>
      <c r="V1007" s="5"/>
      <c r="W1007" s="5"/>
      <c r="X1007" s="5"/>
      <c r="Y1007" s="9"/>
      <c r="Z1007" s="2"/>
    </row>
    <row r="1008" spans="1:26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3"/>
      <c r="M1008" s="6"/>
      <c r="N1008" s="6"/>
      <c r="O1008" s="6"/>
      <c r="P1008" s="5"/>
      <c r="Q1008" s="9"/>
      <c r="R1008" s="5"/>
      <c r="S1008" s="5"/>
      <c r="T1008" s="5"/>
      <c r="U1008" s="5"/>
      <c r="V1008" s="5"/>
      <c r="W1008" s="5"/>
      <c r="X1008" s="5"/>
      <c r="Y1008" s="9"/>
      <c r="Z1008" s="2"/>
    </row>
    <row r="1009" spans="1:26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3"/>
      <c r="M1009" s="6"/>
      <c r="N1009" s="6"/>
      <c r="O1009" s="6"/>
      <c r="P1009" s="5"/>
      <c r="Q1009" s="9"/>
      <c r="R1009" s="5"/>
      <c r="S1009" s="5"/>
      <c r="T1009" s="5"/>
      <c r="U1009" s="5"/>
      <c r="V1009" s="5"/>
      <c r="W1009" s="5"/>
      <c r="X1009" s="5"/>
      <c r="Y1009" s="9"/>
      <c r="Z1009" s="2"/>
    </row>
    <row r="1010" spans="1:26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3"/>
      <c r="M1010" s="6"/>
      <c r="N1010" s="6"/>
      <c r="O1010" s="6"/>
      <c r="P1010" s="5"/>
      <c r="Q1010" s="9"/>
      <c r="R1010" s="5"/>
      <c r="S1010" s="5"/>
      <c r="T1010" s="5"/>
      <c r="U1010" s="5"/>
      <c r="V1010" s="5"/>
      <c r="W1010" s="5"/>
      <c r="X1010" s="5"/>
      <c r="Y1010" s="9"/>
      <c r="Z1010" s="2"/>
    </row>
    <row r="1011" spans="1:26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3"/>
      <c r="M1011" s="6"/>
      <c r="N1011" s="6"/>
      <c r="O1011" s="6"/>
      <c r="P1011" s="5"/>
      <c r="Q1011" s="9"/>
      <c r="R1011" s="5"/>
      <c r="S1011" s="5"/>
      <c r="T1011" s="5"/>
      <c r="U1011" s="5"/>
      <c r="V1011" s="5"/>
      <c r="W1011" s="5"/>
      <c r="X1011" s="5"/>
      <c r="Y1011" s="9"/>
      <c r="Z1011" s="2"/>
    </row>
    <row r="1012" spans="1:26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3"/>
      <c r="M1012" s="6"/>
      <c r="N1012" s="6"/>
      <c r="O1012" s="6"/>
      <c r="P1012" s="5"/>
      <c r="Q1012" s="9"/>
      <c r="R1012" s="5"/>
      <c r="S1012" s="5"/>
      <c r="T1012" s="5"/>
      <c r="U1012" s="5"/>
      <c r="V1012" s="5"/>
      <c r="W1012" s="5"/>
      <c r="X1012" s="5"/>
      <c r="Y1012" s="9"/>
      <c r="Z1012" s="2"/>
    </row>
    <row r="1013" spans="1:26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3"/>
      <c r="M1013" s="6"/>
      <c r="N1013" s="6"/>
      <c r="O1013" s="6"/>
      <c r="P1013" s="5"/>
      <c r="Q1013" s="9"/>
      <c r="R1013" s="5"/>
      <c r="S1013" s="5"/>
      <c r="T1013" s="5"/>
      <c r="U1013" s="5"/>
      <c r="V1013" s="5"/>
      <c r="W1013" s="5"/>
      <c r="X1013" s="5"/>
      <c r="Y1013" s="9"/>
      <c r="Z1013" s="2"/>
    </row>
    <row r="1014" spans="1:26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3"/>
      <c r="M1014" s="6"/>
      <c r="N1014" s="6"/>
      <c r="O1014" s="6"/>
      <c r="P1014" s="5"/>
      <c r="Q1014" s="9"/>
      <c r="R1014" s="5"/>
      <c r="S1014" s="5"/>
      <c r="T1014" s="5"/>
      <c r="U1014" s="5"/>
      <c r="V1014" s="5"/>
      <c r="W1014" s="5"/>
      <c r="X1014" s="5"/>
      <c r="Y1014" s="9"/>
      <c r="Z1014" s="2"/>
    </row>
    <row r="1015" spans="1:26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3"/>
      <c r="M1015" s="6"/>
      <c r="N1015" s="6"/>
      <c r="O1015" s="6"/>
      <c r="P1015" s="5"/>
      <c r="Q1015" s="9"/>
      <c r="R1015" s="5"/>
      <c r="S1015" s="5"/>
      <c r="T1015" s="5"/>
      <c r="U1015" s="5"/>
      <c r="V1015" s="5"/>
      <c r="W1015" s="5"/>
      <c r="X1015" s="5"/>
      <c r="Y1015" s="9"/>
      <c r="Z1015" s="2"/>
    </row>
    <row r="1016" spans="1:2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3"/>
      <c r="M1016" s="6"/>
      <c r="N1016" s="6"/>
      <c r="O1016" s="6"/>
      <c r="P1016" s="5"/>
      <c r="Q1016" s="9"/>
      <c r="R1016" s="5"/>
      <c r="S1016" s="5"/>
      <c r="T1016" s="5"/>
      <c r="U1016" s="5"/>
      <c r="V1016" s="5"/>
      <c r="W1016" s="5"/>
      <c r="X1016" s="5"/>
      <c r="Y1016" s="9"/>
      <c r="Z1016" s="2"/>
    </row>
    <row r="1017" spans="1:26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3"/>
      <c r="M1017" s="6"/>
      <c r="N1017" s="6"/>
      <c r="O1017" s="6"/>
      <c r="P1017" s="5"/>
      <c r="Q1017" s="9"/>
      <c r="R1017" s="5"/>
      <c r="S1017" s="5"/>
      <c r="T1017" s="5"/>
      <c r="U1017" s="5"/>
      <c r="V1017" s="5"/>
      <c r="W1017" s="5"/>
      <c r="X1017" s="5"/>
      <c r="Y1017" s="9"/>
      <c r="Z1017" s="2"/>
    </row>
    <row r="1018" spans="1:26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3"/>
      <c r="M1018" s="6"/>
      <c r="N1018" s="6"/>
      <c r="O1018" s="6"/>
      <c r="P1018" s="5"/>
      <c r="Q1018" s="9"/>
      <c r="R1018" s="5"/>
      <c r="S1018" s="5"/>
      <c r="T1018" s="5"/>
      <c r="U1018" s="5"/>
      <c r="V1018" s="5"/>
      <c r="W1018" s="5"/>
      <c r="X1018" s="5"/>
      <c r="Y1018" s="9"/>
      <c r="Z1018" s="2"/>
    </row>
    <row r="1019" spans="1:26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3"/>
      <c r="M1019" s="6"/>
      <c r="N1019" s="6"/>
      <c r="O1019" s="6"/>
      <c r="P1019" s="5"/>
      <c r="Q1019" s="9"/>
      <c r="R1019" s="5"/>
      <c r="S1019" s="5"/>
      <c r="T1019" s="5"/>
      <c r="U1019" s="5"/>
      <c r="V1019" s="5"/>
      <c r="W1019" s="5"/>
      <c r="X1019" s="5"/>
      <c r="Y1019" s="9"/>
      <c r="Z1019" s="2"/>
    </row>
    <row r="1020" spans="1:26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3"/>
      <c r="M1020" s="6"/>
      <c r="N1020" s="6"/>
      <c r="O1020" s="6"/>
      <c r="P1020" s="5"/>
      <c r="Q1020" s="9"/>
      <c r="R1020" s="5"/>
      <c r="S1020" s="5"/>
      <c r="T1020" s="5"/>
      <c r="U1020" s="5"/>
      <c r="V1020" s="5"/>
      <c r="W1020" s="5"/>
      <c r="X1020" s="5"/>
      <c r="Y1020" s="9"/>
      <c r="Z1020" s="2"/>
    </row>
    <row r="1021" spans="1:26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3"/>
      <c r="M1021" s="6"/>
      <c r="N1021" s="6"/>
      <c r="O1021" s="6"/>
      <c r="P1021" s="5"/>
      <c r="Q1021" s="9"/>
      <c r="R1021" s="5"/>
      <c r="S1021" s="5"/>
      <c r="T1021" s="5"/>
      <c r="U1021" s="5"/>
      <c r="V1021" s="5"/>
      <c r="W1021" s="5"/>
      <c r="X1021" s="5"/>
      <c r="Y1021" s="9"/>
      <c r="Z1021" s="2"/>
    </row>
    <row r="1022" spans="1:26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3"/>
      <c r="M1022" s="6"/>
      <c r="N1022" s="6"/>
      <c r="O1022" s="6"/>
      <c r="P1022" s="5"/>
      <c r="Q1022" s="9"/>
      <c r="R1022" s="5"/>
      <c r="S1022" s="5"/>
      <c r="T1022" s="5"/>
      <c r="U1022" s="5"/>
      <c r="V1022" s="5"/>
      <c r="W1022" s="5"/>
      <c r="X1022" s="5"/>
      <c r="Y1022" s="9"/>
      <c r="Z1022" s="2"/>
    </row>
    <row r="1023" spans="1:26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3"/>
      <c r="M1023" s="6"/>
      <c r="N1023" s="6"/>
      <c r="O1023" s="6"/>
      <c r="P1023" s="5"/>
      <c r="Q1023" s="9"/>
      <c r="R1023" s="5"/>
      <c r="S1023" s="5"/>
      <c r="T1023" s="5"/>
      <c r="U1023" s="5"/>
      <c r="V1023" s="5"/>
      <c r="W1023" s="5"/>
      <c r="X1023" s="5"/>
      <c r="Y1023" s="9"/>
      <c r="Z1023" s="2"/>
    </row>
    <row r="1024" spans="1:26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3"/>
      <c r="M1024" s="6"/>
      <c r="N1024" s="6"/>
      <c r="O1024" s="6"/>
      <c r="P1024" s="5"/>
      <c r="Q1024" s="9"/>
      <c r="R1024" s="5"/>
      <c r="S1024" s="5"/>
      <c r="T1024" s="5"/>
      <c r="U1024" s="5"/>
      <c r="V1024" s="5"/>
      <c r="W1024" s="5"/>
      <c r="X1024" s="5"/>
      <c r="Y1024" s="9"/>
      <c r="Z1024" s="2"/>
    </row>
    <row r="1025" spans="1:26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3"/>
      <c r="M1025" s="6"/>
      <c r="N1025" s="6"/>
      <c r="O1025" s="6"/>
      <c r="P1025" s="5"/>
      <c r="Q1025" s="9"/>
      <c r="R1025" s="5"/>
      <c r="S1025" s="5"/>
      <c r="T1025" s="5"/>
      <c r="U1025" s="5"/>
      <c r="V1025" s="5"/>
      <c r="W1025" s="5"/>
      <c r="X1025" s="5"/>
      <c r="Y1025" s="9"/>
      <c r="Z1025" s="2"/>
    </row>
    <row r="1026" spans="1: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3"/>
      <c r="M1026" s="6"/>
      <c r="N1026" s="6"/>
      <c r="O1026" s="6"/>
      <c r="P1026" s="5"/>
      <c r="Q1026" s="9"/>
      <c r="R1026" s="5"/>
      <c r="S1026" s="5"/>
      <c r="T1026" s="5"/>
      <c r="U1026" s="5"/>
      <c r="V1026" s="5"/>
      <c r="W1026" s="5"/>
      <c r="X1026" s="5"/>
      <c r="Y1026" s="9"/>
      <c r="Z1026" s="2"/>
    </row>
    <row r="1027" spans="1:26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3"/>
      <c r="M1027" s="6"/>
      <c r="N1027" s="6"/>
      <c r="O1027" s="6"/>
      <c r="P1027" s="5"/>
      <c r="Q1027" s="9"/>
      <c r="R1027" s="5"/>
      <c r="S1027" s="5"/>
      <c r="T1027" s="5"/>
      <c r="U1027" s="5"/>
      <c r="V1027" s="5"/>
      <c r="W1027" s="5"/>
      <c r="X1027" s="5"/>
      <c r="Y1027" s="9"/>
      <c r="Z1027" s="2"/>
    </row>
    <row r="1028" spans="1:26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3"/>
      <c r="M1028" s="6"/>
      <c r="N1028" s="6"/>
      <c r="O1028" s="6"/>
      <c r="P1028" s="5"/>
      <c r="Q1028" s="9"/>
      <c r="R1028" s="5"/>
      <c r="S1028" s="5"/>
      <c r="T1028" s="5"/>
      <c r="U1028" s="5"/>
      <c r="V1028" s="5"/>
      <c r="W1028" s="5"/>
      <c r="X1028" s="5"/>
      <c r="Y1028" s="9"/>
      <c r="Z1028" s="2"/>
    </row>
    <row r="1029" spans="1:26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3"/>
      <c r="M1029" s="6"/>
      <c r="N1029" s="6"/>
      <c r="O1029" s="6"/>
      <c r="P1029" s="5"/>
      <c r="Q1029" s="9"/>
      <c r="R1029" s="5"/>
      <c r="S1029" s="5"/>
      <c r="T1029" s="5"/>
      <c r="U1029" s="5"/>
      <c r="V1029" s="5"/>
      <c r="W1029" s="5"/>
      <c r="X1029" s="5"/>
      <c r="Y1029" s="9"/>
      <c r="Z1029" s="2"/>
    </row>
    <row r="1030" spans="1:26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3"/>
      <c r="M1030" s="6"/>
      <c r="N1030" s="6"/>
      <c r="O1030" s="6"/>
      <c r="P1030" s="5"/>
      <c r="Q1030" s="9"/>
      <c r="R1030" s="5"/>
      <c r="S1030" s="5"/>
      <c r="T1030" s="5"/>
      <c r="U1030" s="5"/>
      <c r="V1030" s="5"/>
      <c r="W1030" s="5"/>
      <c r="X1030" s="5"/>
      <c r="Y1030" s="9"/>
      <c r="Z1030" s="2"/>
    </row>
    <row r="1031" spans="1:26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3"/>
      <c r="M1031" s="6"/>
      <c r="N1031" s="6"/>
      <c r="O1031" s="6"/>
      <c r="P1031" s="5"/>
      <c r="Q1031" s="9"/>
      <c r="R1031" s="5"/>
      <c r="S1031" s="5"/>
      <c r="T1031" s="5"/>
      <c r="U1031" s="5"/>
      <c r="V1031" s="5"/>
      <c r="W1031" s="5"/>
      <c r="X1031" s="5"/>
      <c r="Y1031" s="9"/>
      <c r="Z1031" s="2"/>
    </row>
    <row r="1032" spans="1:26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3"/>
      <c r="M1032" s="6"/>
      <c r="N1032" s="6"/>
      <c r="O1032" s="6"/>
      <c r="P1032" s="5"/>
      <c r="Q1032" s="9"/>
      <c r="R1032" s="5"/>
      <c r="S1032" s="5"/>
      <c r="T1032" s="5"/>
      <c r="U1032" s="5"/>
      <c r="V1032" s="5"/>
      <c r="W1032" s="5"/>
      <c r="X1032" s="5"/>
      <c r="Y1032" s="9"/>
      <c r="Z1032" s="2"/>
    </row>
    <row r="1033" spans="1:26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3"/>
      <c r="M1033" s="6"/>
      <c r="N1033" s="6"/>
      <c r="O1033" s="6"/>
      <c r="P1033" s="5"/>
      <c r="Q1033" s="9"/>
      <c r="R1033" s="5"/>
      <c r="S1033" s="5"/>
      <c r="T1033" s="5"/>
      <c r="U1033" s="5"/>
      <c r="V1033" s="5"/>
      <c r="W1033" s="5"/>
      <c r="X1033" s="5"/>
      <c r="Y1033" s="9"/>
      <c r="Z1033" s="2"/>
    </row>
    <row r="1034" spans="1:26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3"/>
      <c r="M1034" s="6"/>
      <c r="N1034" s="6"/>
      <c r="O1034" s="6"/>
      <c r="P1034" s="5"/>
      <c r="Q1034" s="9"/>
      <c r="R1034" s="5"/>
      <c r="S1034" s="5"/>
      <c r="T1034" s="5"/>
      <c r="U1034" s="5"/>
      <c r="V1034" s="5"/>
      <c r="W1034" s="5"/>
      <c r="X1034" s="5"/>
      <c r="Y1034" s="9"/>
      <c r="Z1034" s="2"/>
    </row>
    <row r="1035" spans="1:26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3"/>
      <c r="M1035" s="6"/>
      <c r="N1035" s="6"/>
      <c r="O1035" s="6"/>
      <c r="P1035" s="5"/>
      <c r="Q1035" s="9"/>
      <c r="R1035" s="5"/>
      <c r="S1035" s="5"/>
      <c r="T1035" s="5"/>
      <c r="U1035" s="5"/>
      <c r="V1035" s="5"/>
      <c r="W1035" s="5"/>
      <c r="X1035" s="5"/>
      <c r="Y1035" s="9"/>
      <c r="Z1035" s="2"/>
    </row>
    <row r="1036" spans="1:2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3"/>
      <c r="M1036" s="6"/>
      <c r="N1036" s="6"/>
      <c r="O1036" s="6"/>
      <c r="P1036" s="5"/>
      <c r="Q1036" s="9"/>
      <c r="R1036" s="5"/>
      <c r="S1036" s="5"/>
      <c r="T1036" s="5"/>
      <c r="U1036" s="5"/>
      <c r="V1036" s="5"/>
      <c r="W1036" s="5"/>
      <c r="X1036" s="5"/>
      <c r="Y1036" s="9"/>
      <c r="Z1036" s="2"/>
    </row>
    <row r="1037" spans="1:26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3"/>
      <c r="M1037" s="6"/>
      <c r="N1037" s="6"/>
      <c r="O1037" s="6"/>
      <c r="P1037" s="5"/>
      <c r="Q1037" s="9"/>
      <c r="R1037" s="5"/>
      <c r="S1037" s="5"/>
      <c r="T1037" s="5"/>
      <c r="U1037" s="5"/>
      <c r="V1037" s="5"/>
      <c r="W1037" s="5"/>
      <c r="X1037" s="5"/>
      <c r="Y1037" s="9"/>
      <c r="Z1037" s="2"/>
    </row>
    <row r="1038" spans="1:26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3"/>
      <c r="M1038" s="6"/>
      <c r="N1038" s="6"/>
      <c r="O1038" s="6"/>
      <c r="P1038" s="5"/>
      <c r="Q1038" s="9"/>
      <c r="R1038" s="5"/>
      <c r="S1038" s="5"/>
      <c r="T1038" s="5"/>
      <c r="U1038" s="5"/>
      <c r="V1038" s="5"/>
      <c r="W1038" s="5"/>
      <c r="X1038" s="5"/>
      <c r="Y1038" s="9"/>
      <c r="Z1038" s="2"/>
    </row>
    <row r="1039" spans="1:26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3"/>
      <c r="M1039" s="6"/>
      <c r="N1039" s="6"/>
      <c r="O1039" s="6"/>
      <c r="P1039" s="5"/>
      <c r="Q1039" s="9"/>
      <c r="R1039" s="5"/>
      <c r="S1039" s="5"/>
      <c r="T1039" s="5"/>
      <c r="U1039" s="5"/>
      <c r="V1039" s="5"/>
      <c r="W1039" s="5"/>
      <c r="X1039" s="5"/>
      <c r="Y1039" s="9"/>
      <c r="Z1039" s="2"/>
    </row>
    <row r="1040" spans="1:26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3"/>
      <c r="M1040" s="6"/>
      <c r="N1040" s="6"/>
      <c r="O1040" s="6"/>
      <c r="P1040" s="5"/>
      <c r="Q1040" s="9"/>
      <c r="R1040" s="5"/>
      <c r="S1040" s="5"/>
      <c r="T1040" s="5"/>
      <c r="U1040" s="5"/>
      <c r="V1040" s="5"/>
      <c r="W1040" s="5"/>
      <c r="X1040" s="5"/>
      <c r="Y1040" s="9"/>
      <c r="Z1040" s="2"/>
    </row>
    <row r="1041" spans="1:26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3"/>
      <c r="M1041" s="6"/>
      <c r="N1041" s="6"/>
      <c r="O1041" s="6"/>
      <c r="P1041" s="5"/>
      <c r="Q1041" s="9"/>
      <c r="R1041" s="5"/>
      <c r="S1041" s="5"/>
      <c r="T1041" s="5"/>
      <c r="U1041" s="5"/>
      <c r="V1041" s="5"/>
      <c r="W1041" s="5"/>
      <c r="X1041" s="5"/>
      <c r="Y1041" s="9"/>
      <c r="Z1041" s="2"/>
    </row>
    <row r="1042" spans="1:26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3"/>
      <c r="M1042" s="6"/>
      <c r="N1042" s="6"/>
      <c r="O1042" s="6"/>
      <c r="P1042" s="5"/>
      <c r="Q1042" s="9"/>
      <c r="R1042" s="5"/>
      <c r="S1042" s="5"/>
      <c r="T1042" s="5"/>
      <c r="U1042" s="5"/>
      <c r="V1042" s="5"/>
      <c r="W1042" s="5"/>
      <c r="X1042" s="5"/>
      <c r="Y1042" s="9"/>
      <c r="Z1042" s="2"/>
    </row>
    <row r="1043" spans="1:26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3"/>
      <c r="M1043" s="6"/>
      <c r="N1043" s="6"/>
      <c r="O1043" s="6"/>
      <c r="P1043" s="5"/>
      <c r="Q1043" s="9"/>
      <c r="R1043" s="5"/>
      <c r="S1043" s="5"/>
      <c r="T1043" s="5"/>
      <c r="U1043" s="5"/>
      <c r="V1043" s="5"/>
      <c r="W1043" s="5"/>
      <c r="X1043" s="5"/>
      <c r="Y1043" s="9"/>
      <c r="Z1043" s="2"/>
    </row>
    <row r="1044" spans="1:26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3"/>
      <c r="M1044" s="6"/>
      <c r="N1044" s="6"/>
      <c r="O1044" s="6"/>
      <c r="P1044" s="5"/>
      <c r="Q1044" s="9"/>
      <c r="R1044" s="5"/>
      <c r="S1044" s="5"/>
      <c r="T1044" s="5"/>
      <c r="U1044" s="5"/>
      <c r="V1044" s="5"/>
      <c r="W1044" s="5"/>
      <c r="X1044" s="5"/>
      <c r="Y1044" s="9"/>
      <c r="Z1044" s="2"/>
    </row>
    <row r="1045" spans="1:26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3"/>
      <c r="M1045" s="6"/>
      <c r="N1045" s="6"/>
      <c r="O1045" s="6"/>
      <c r="P1045" s="5"/>
      <c r="Q1045" s="9"/>
      <c r="R1045" s="5"/>
      <c r="S1045" s="5"/>
      <c r="T1045" s="5"/>
      <c r="U1045" s="5"/>
      <c r="V1045" s="5"/>
      <c r="W1045" s="5"/>
      <c r="X1045" s="5"/>
      <c r="Y1045" s="9"/>
      <c r="Z1045" s="2"/>
    </row>
    <row r="1046" spans="1:2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3"/>
      <c r="M1046" s="6"/>
      <c r="N1046" s="6"/>
      <c r="O1046" s="6"/>
      <c r="P1046" s="5"/>
      <c r="Q1046" s="9"/>
      <c r="R1046" s="5"/>
      <c r="S1046" s="5"/>
      <c r="T1046" s="5"/>
      <c r="U1046" s="5"/>
      <c r="V1046" s="5"/>
      <c r="W1046" s="5"/>
      <c r="X1046" s="5"/>
      <c r="Y1046" s="9"/>
      <c r="Z1046" s="2"/>
    </row>
    <row r="1047" spans="1:26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3"/>
      <c r="M1047" s="6"/>
      <c r="N1047" s="6"/>
      <c r="O1047" s="6"/>
      <c r="P1047" s="5"/>
      <c r="Q1047" s="9"/>
      <c r="R1047" s="5"/>
      <c r="S1047" s="5"/>
      <c r="T1047" s="5"/>
      <c r="U1047" s="5"/>
      <c r="V1047" s="5"/>
      <c r="W1047" s="5"/>
      <c r="X1047" s="5"/>
      <c r="Y1047" s="9"/>
      <c r="Z1047" s="2"/>
    </row>
    <row r="1048" spans="1:26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3"/>
      <c r="M1048" s="6"/>
      <c r="N1048" s="6"/>
      <c r="O1048" s="6"/>
      <c r="P1048" s="5"/>
      <c r="Q1048" s="9"/>
      <c r="R1048" s="5"/>
      <c r="S1048" s="5"/>
      <c r="T1048" s="5"/>
      <c r="U1048" s="5"/>
      <c r="V1048" s="5"/>
      <c r="W1048" s="5"/>
      <c r="X1048" s="5"/>
      <c r="Y1048" s="9"/>
      <c r="Z1048" s="2"/>
    </row>
    <row r="1049" spans="1:26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3"/>
      <c r="M1049" s="6"/>
      <c r="N1049" s="6"/>
      <c r="O1049" s="6"/>
      <c r="P1049" s="5"/>
      <c r="Q1049" s="9"/>
      <c r="R1049" s="5"/>
      <c r="S1049" s="5"/>
      <c r="T1049" s="5"/>
      <c r="U1049" s="5"/>
      <c r="V1049" s="5"/>
      <c r="W1049" s="5"/>
      <c r="X1049" s="5"/>
      <c r="Y1049" s="9"/>
      <c r="Z1049" s="2"/>
    </row>
    <row r="1050" spans="1:26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3"/>
      <c r="M1050" s="6"/>
      <c r="N1050" s="6"/>
      <c r="O1050" s="6"/>
      <c r="P1050" s="5"/>
      <c r="Q1050" s="9"/>
      <c r="R1050" s="5"/>
      <c r="S1050" s="5"/>
      <c r="T1050" s="5"/>
      <c r="U1050" s="5"/>
      <c r="V1050" s="5"/>
      <c r="W1050" s="5"/>
      <c r="X1050" s="5"/>
      <c r="Y1050" s="9"/>
      <c r="Z1050" s="2"/>
    </row>
    <row r="1051" spans="1:26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3"/>
      <c r="M1051" s="6"/>
      <c r="N1051" s="6"/>
      <c r="O1051" s="6"/>
      <c r="P1051" s="5"/>
      <c r="Q1051" s="9"/>
      <c r="R1051" s="5"/>
      <c r="S1051" s="5"/>
      <c r="T1051" s="5"/>
      <c r="U1051" s="5"/>
      <c r="V1051" s="5"/>
      <c r="W1051" s="5"/>
      <c r="X1051" s="5"/>
      <c r="Y1051" s="9"/>
      <c r="Z1051" s="2"/>
    </row>
    <row r="1052" spans="1:26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3"/>
      <c r="M1052" s="6"/>
      <c r="N1052" s="6"/>
      <c r="O1052" s="6"/>
      <c r="P1052" s="5"/>
      <c r="Q1052" s="9"/>
      <c r="R1052" s="5"/>
      <c r="S1052" s="5"/>
      <c r="T1052" s="5"/>
      <c r="U1052" s="5"/>
      <c r="V1052" s="5"/>
      <c r="W1052" s="5"/>
      <c r="X1052" s="5"/>
      <c r="Y1052" s="9"/>
      <c r="Z1052" s="2"/>
    </row>
    <row r="1053" spans="1:26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3"/>
      <c r="M1053" s="6"/>
      <c r="N1053" s="6"/>
      <c r="O1053" s="6"/>
      <c r="P1053" s="5"/>
      <c r="Q1053" s="9"/>
      <c r="R1053" s="5"/>
      <c r="S1053" s="5"/>
      <c r="T1053" s="5"/>
      <c r="U1053" s="5"/>
      <c r="V1053" s="5"/>
      <c r="W1053" s="5"/>
      <c r="X1053" s="5"/>
      <c r="Y1053" s="9"/>
      <c r="Z1053" s="2"/>
    </row>
    <row r="1054" spans="1:26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3"/>
      <c r="M1054" s="6"/>
      <c r="N1054" s="6"/>
      <c r="O1054" s="6"/>
      <c r="P1054" s="5"/>
      <c r="Q1054" s="9"/>
      <c r="R1054" s="5"/>
      <c r="S1054" s="5"/>
      <c r="T1054" s="5"/>
      <c r="U1054" s="5"/>
      <c r="V1054" s="5"/>
      <c r="W1054" s="5"/>
      <c r="X1054" s="5"/>
      <c r="Y1054" s="9"/>
      <c r="Z1054" s="2"/>
    </row>
    <row r="1055" spans="1:26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3"/>
      <c r="M1055" s="6"/>
      <c r="N1055" s="6"/>
      <c r="O1055" s="6"/>
      <c r="P1055" s="5"/>
      <c r="Q1055" s="9"/>
      <c r="R1055" s="5"/>
      <c r="S1055" s="5"/>
      <c r="T1055" s="5"/>
      <c r="U1055" s="5"/>
      <c r="V1055" s="5"/>
      <c r="W1055" s="5"/>
      <c r="X1055" s="5"/>
      <c r="Y1055" s="9"/>
      <c r="Z1055" s="2"/>
    </row>
    <row r="1056" spans="1:2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3"/>
      <c r="M1056" s="6"/>
      <c r="N1056" s="6"/>
      <c r="O1056" s="6"/>
      <c r="P1056" s="5"/>
      <c r="Q1056" s="9"/>
      <c r="R1056" s="5"/>
      <c r="S1056" s="5"/>
      <c r="T1056" s="5"/>
      <c r="U1056" s="5"/>
      <c r="V1056" s="5"/>
      <c r="W1056" s="5"/>
      <c r="X1056" s="5"/>
      <c r="Y1056" s="9"/>
      <c r="Z1056" s="2"/>
    </row>
    <row r="1057" spans="1:26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3"/>
      <c r="M1057" s="6"/>
      <c r="N1057" s="6"/>
      <c r="O1057" s="6"/>
      <c r="P1057" s="5"/>
      <c r="Q1057" s="9"/>
      <c r="R1057" s="5"/>
      <c r="S1057" s="5"/>
      <c r="T1057" s="5"/>
      <c r="U1057" s="5"/>
      <c r="V1057" s="5"/>
      <c r="W1057" s="5"/>
      <c r="X1057" s="5"/>
      <c r="Y1057" s="9"/>
      <c r="Z1057" s="2"/>
    </row>
    <row r="1058" spans="1:26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3"/>
      <c r="M1058" s="6"/>
      <c r="N1058" s="6"/>
      <c r="O1058" s="6"/>
      <c r="P1058" s="5"/>
      <c r="Q1058" s="9"/>
      <c r="R1058" s="5"/>
      <c r="S1058" s="5"/>
      <c r="T1058" s="5"/>
      <c r="U1058" s="5"/>
      <c r="V1058" s="5"/>
      <c r="W1058" s="5"/>
      <c r="X1058" s="5"/>
      <c r="Y1058" s="9"/>
      <c r="Z1058" s="2"/>
    </row>
    <row r="1059" spans="1:26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3"/>
      <c r="M1059" s="6"/>
      <c r="N1059" s="6"/>
      <c r="O1059" s="6"/>
      <c r="P1059" s="5"/>
      <c r="Q1059" s="9"/>
      <c r="R1059" s="5"/>
      <c r="S1059" s="5"/>
      <c r="T1059" s="5"/>
      <c r="U1059" s="5"/>
      <c r="V1059" s="5"/>
      <c r="W1059" s="5"/>
      <c r="X1059" s="5"/>
      <c r="Y1059" s="9"/>
      <c r="Z1059" s="2"/>
    </row>
    <row r="1060" spans="1:26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3"/>
      <c r="M1060" s="6"/>
      <c r="N1060" s="6"/>
      <c r="O1060" s="6"/>
      <c r="P1060" s="5"/>
      <c r="Q1060" s="9"/>
      <c r="R1060" s="5"/>
      <c r="S1060" s="5"/>
      <c r="T1060" s="5"/>
      <c r="U1060" s="5"/>
      <c r="V1060" s="5"/>
      <c r="W1060" s="5"/>
      <c r="X1060" s="5"/>
      <c r="Y1060" s="9"/>
      <c r="Z1060" s="2"/>
    </row>
    <row r="1061" spans="1:26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3"/>
      <c r="M1061" s="6"/>
      <c r="N1061" s="6"/>
      <c r="O1061" s="6"/>
      <c r="P1061" s="5"/>
      <c r="Q1061" s="9"/>
      <c r="R1061" s="5"/>
      <c r="S1061" s="5"/>
      <c r="T1061" s="5"/>
      <c r="U1061" s="5"/>
      <c r="V1061" s="5"/>
      <c r="W1061" s="5"/>
      <c r="X1061" s="5"/>
      <c r="Y1061" s="9"/>
      <c r="Z1061" s="2"/>
    </row>
    <row r="1062" spans="1:26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3"/>
      <c r="M1062" s="6"/>
      <c r="N1062" s="6"/>
      <c r="O1062" s="6"/>
      <c r="P1062" s="5"/>
      <c r="Q1062" s="9"/>
      <c r="R1062" s="5"/>
      <c r="S1062" s="5"/>
      <c r="T1062" s="5"/>
      <c r="U1062" s="5"/>
      <c r="V1062" s="5"/>
      <c r="W1062" s="5"/>
      <c r="X1062" s="5"/>
      <c r="Y1062" s="9"/>
      <c r="Z1062" s="2"/>
    </row>
    <row r="1063" spans="1:26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3"/>
      <c r="M1063" s="6"/>
      <c r="N1063" s="6"/>
      <c r="O1063" s="6"/>
      <c r="P1063" s="5"/>
      <c r="Q1063" s="9"/>
      <c r="R1063" s="5"/>
      <c r="S1063" s="5"/>
      <c r="T1063" s="5"/>
      <c r="U1063" s="5"/>
      <c r="V1063" s="5"/>
      <c r="W1063" s="5"/>
      <c r="X1063" s="5"/>
      <c r="Y1063" s="9"/>
      <c r="Z1063" s="2"/>
    </row>
    <row r="1064" spans="1:26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3"/>
      <c r="M1064" s="6"/>
      <c r="N1064" s="6"/>
      <c r="O1064" s="6"/>
      <c r="P1064" s="5"/>
      <c r="Q1064" s="9"/>
      <c r="R1064" s="5"/>
      <c r="S1064" s="5"/>
      <c r="T1064" s="5"/>
      <c r="U1064" s="5"/>
      <c r="V1064" s="5"/>
      <c r="W1064" s="5"/>
      <c r="X1064" s="5"/>
      <c r="Y1064" s="9"/>
      <c r="Z1064" s="2"/>
    </row>
    <row r="1065" spans="1:26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3"/>
      <c r="M1065" s="6"/>
      <c r="N1065" s="6"/>
      <c r="O1065" s="6"/>
      <c r="P1065" s="5"/>
      <c r="Q1065" s="9"/>
      <c r="R1065" s="5"/>
      <c r="S1065" s="5"/>
      <c r="T1065" s="5"/>
      <c r="U1065" s="5"/>
      <c r="V1065" s="5"/>
      <c r="W1065" s="5"/>
      <c r="X1065" s="5"/>
      <c r="Y1065" s="9"/>
      <c r="Z1065" s="2"/>
    </row>
    <row r="1066" spans="1:26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3"/>
      <c r="M1066" s="6"/>
      <c r="N1066" s="6"/>
      <c r="O1066" s="6"/>
      <c r="P1066" s="5"/>
      <c r="Q1066" s="9"/>
      <c r="R1066" s="5"/>
      <c r="S1066" s="5"/>
      <c r="T1066" s="5"/>
      <c r="U1066" s="5"/>
      <c r="V1066" s="5"/>
      <c r="W1066" s="5"/>
      <c r="X1066" s="5"/>
      <c r="Y1066" s="9"/>
      <c r="Z1066" s="2"/>
    </row>
    <row r="1067" spans="1:26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3"/>
      <c r="M1067" s="6"/>
      <c r="N1067" s="6"/>
      <c r="O1067" s="6"/>
      <c r="P1067" s="5"/>
      <c r="Q1067" s="9"/>
      <c r="R1067" s="5"/>
      <c r="S1067" s="5"/>
      <c r="T1067" s="5"/>
      <c r="U1067" s="5"/>
      <c r="V1067" s="5"/>
      <c r="W1067" s="5"/>
      <c r="X1067" s="5"/>
      <c r="Y1067" s="9"/>
      <c r="Z1067" s="2"/>
    </row>
    <row r="1068" spans="1:26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3"/>
      <c r="M1068" s="6"/>
      <c r="N1068" s="6"/>
      <c r="O1068" s="6"/>
      <c r="P1068" s="5"/>
      <c r="Q1068" s="9"/>
      <c r="R1068" s="5"/>
      <c r="S1068" s="5"/>
      <c r="T1068" s="5"/>
      <c r="U1068" s="5"/>
      <c r="V1068" s="5"/>
      <c r="W1068" s="5"/>
      <c r="X1068" s="5"/>
      <c r="Y1068" s="9"/>
      <c r="Z1068" s="2"/>
    </row>
    <row r="1069" spans="1:26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3"/>
      <c r="M1069" s="6"/>
      <c r="N1069" s="6"/>
      <c r="O1069" s="6"/>
      <c r="P1069" s="5"/>
      <c r="Q1069" s="9"/>
      <c r="R1069" s="5"/>
      <c r="S1069" s="5"/>
      <c r="T1069" s="5"/>
      <c r="U1069" s="5"/>
      <c r="V1069" s="5"/>
      <c r="W1069" s="5"/>
      <c r="X1069" s="5"/>
      <c r="Y1069" s="9"/>
      <c r="Z1069" s="2"/>
    </row>
    <row r="1070" spans="1:26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3"/>
      <c r="M1070" s="6"/>
      <c r="N1070" s="6"/>
      <c r="O1070" s="6"/>
      <c r="P1070" s="5"/>
      <c r="Q1070" s="9"/>
      <c r="R1070" s="5"/>
      <c r="S1070" s="5"/>
      <c r="T1070" s="5"/>
      <c r="U1070" s="5"/>
      <c r="V1070" s="5"/>
      <c r="W1070" s="5"/>
      <c r="X1070" s="5"/>
      <c r="Y1070" s="9"/>
      <c r="Z1070" s="2"/>
    </row>
    <row r="1071" spans="1:26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3"/>
      <c r="M1071" s="6"/>
      <c r="N1071" s="6"/>
      <c r="O1071" s="6"/>
      <c r="P1071" s="5"/>
      <c r="Q1071" s="9"/>
      <c r="R1071" s="5"/>
      <c r="S1071" s="5"/>
      <c r="T1071" s="5"/>
      <c r="U1071" s="5"/>
      <c r="V1071" s="5"/>
      <c r="W1071" s="5"/>
      <c r="X1071" s="5"/>
      <c r="Y1071" s="9"/>
      <c r="Z1071" s="2"/>
    </row>
    <row r="1072" spans="1:26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3"/>
      <c r="M1072" s="6"/>
      <c r="N1072" s="6"/>
      <c r="O1072" s="6"/>
      <c r="P1072" s="5"/>
      <c r="Q1072" s="9"/>
      <c r="R1072" s="5"/>
      <c r="S1072" s="5"/>
      <c r="T1072" s="5"/>
      <c r="U1072" s="5"/>
      <c r="V1072" s="5"/>
      <c r="W1072" s="5"/>
      <c r="X1072" s="5"/>
      <c r="Y1072" s="9"/>
      <c r="Z1072" s="2"/>
    </row>
    <row r="1073" spans="1:26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3"/>
      <c r="M1073" s="6"/>
      <c r="N1073" s="6"/>
      <c r="O1073" s="6"/>
      <c r="P1073" s="5"/>
      <c r="Q1073" s="9"/>
      <c r="R1073" s="5"/>
      <c r="S1073" s="5"/>
      <c r="T1073" s="5"/>
      <c r="U1073" s="5"/>
      <c r="V1073" s="5"/>
      <c r="W1073" s="5"/>
      <c r="X1073" s="5"/>
      <c r="Y1073" s="9"/>
      <c r="Z1073" s="2"/>
    </row>
    <row r="1074" spans="1:26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3"/>
      <c r="M1074" s="6"/>
      <c r="N1074" s="6"/>
      <c r="O1074" s="6"/>
      <c r="P1074" s="5"/>
      <c r="Q1074" s="9"/>
      <c r="R1074" s="5"/>
      <c r="S1074" s="5"/>
      <c r="T1074" s="5"/>
      <c r="U1074" s="5"/>
      <c r="V1074" s="5"/>
      <c r="W1074" s="5"/>
      <c r="X1074" s="5"/>
      <c r="Y1074" s="9"/>
      <c r="Z1074" s="2"/>
    </row>
    <row r="1075" spans="1:26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3"/>
      <c r="M1075" s="6"/>
      <c r="N1075" s="6"/>
      <c r="O1075" s="6"/>
      <c r="P1075" s="5"/>
      <c r="Q1075" s="9"/>
      <c r="R1075" s="5"/>
      <c r="S1075" s="5"/>
      <c r="T1075" s="5"/>
      <c r="U1075" s="5"/>
      <c r="V1075" s="5"/>
      <c r="W1075" s="5"/>
      <c r="X1075" s="5"/>
      <c r="Y1075" s="9"/>
      <c r="Z1075" s="2"/>
    </row>
    <row r="1076" spans="1:26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3"/>
      <c r="M1076" s="6"/>
      <c r="N1076" s="6"/>
      <c r="O1076" s="6"/>
      <c r="P1076" s="5"/>
      <c r="Q1076" s="9"/>
      <c r="R1076" s="5"/>
      <c r="S1076" s="5"/>
      <c r="T1076" s="5"/>
      <c r="U1076" s="5"/>
      <c r="V1076" s="5"/>
      <c r="W1076" s="5"/>
      <c r="X1076" s="5"/>
      <c r="Y1076" s="9"/>
      <c r="Z1076" s="2"/>
    </row>
    <row r="1077" spans="1:26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3"/>
      <c r="M1077" s="6"/>
      <c r="N1077" s="6"/>
      <c r="O1077" s="6"/>
      <c r="P1077" s="5"/>
      <c r="Q1077" s="9"/>
      <c r="R1077" s="5"/>
      <c r="S1077" s="5"/>
      <c r="T1077" s="5"/>
      <c r="U1077" s="5"/>
      <c r="V1077" s="5"/>
      <c r="W1077" s="5"/>
      <c r="X1077" s="5"/>
      <c r="Y1077" s="9"/>
      <c r="Z1077" s="2"/>
    </row>
    <row r="1078" spans="1:26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3"/>
      <c r="M1078" s="6"/>
      <c r="N1078" s="6"/>
      <c r="O1078" s="6"/>
      <c r="P1078" s="5"/>
      <c r="Q1078" s="9"/>
      <c r="R1078" s="5"/>
      <c r="S1078" s="5"/>
      <c r="T1078" s="5"/>
      <c r="U1078" s="5"/>
      <c r="V1078" s="5"/>
      <c r="W1078" s="5"/>
      <c r="X1078" s="5"/>
      <c r="Y1078" s="9"/>
      <c r="Z1078" s="2"/>
    </row>
    <row r="1079" spans="1:26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3"/>
      <c r="M1079" s="6"/>
      <c r="N1079" s="6"/>
      <c r="O1079" s="6"/>
      <c r="P1079" s="5"/>
      <c r="Q1079" s="9"/>
      <c r="R1079" s="5"/>
      <c r="S1079" s="5"/>
      <c r="T1079" s="5"/>
      <c r="U1079" s="5"/>
      <c r="V1079" s="5"/>
      <c r="W1079" s="5"/>
      <c r="X1079" s="5"/>
      <c r="Y1079" s="9"/>
      <c r="Z1079" s="2"/>
    </row>
    <row r="1080" spans="1:26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3"/>
      <c r="M1080" s="6"/>
      <c r="N1080" s="6"/>
      <c r="O1080" s="6"/>
      <c r="P1080" s="5"/>
      <c r="Q1080" s="9"/>
      <c r="R1080" s="5"/>
      <c r="S1080" s="5"/>
      <c r="T1080" s="5"/>
      <c r="U1080" s="5"/>
      <c r="V1080" s="5"/>
      <c r="W1080" s="5"/>
      <c r="X1080" s="5"/>
      <c r="Y1080" s="9"/>
      <c r="Z1080" s="2"/>
    </row>
    <row r="1081" spans="1:26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3"/>
      <c r="M1081" s="6"/>
      <c r="N1081" s="6"/>
      <c r="O1081" s="6"/>
      <c r="P1081" s="5"/>
      <c r="Q1081" s="9"/>
      <c r="R1081" s="5"/>
      <c r="S1081" s="5"/>
      <c r="T1081" s="5"/>
      <c r="U1081" s="5"/>
      <c r="V1081" s="5"/>
      <c r="W1081" s="5"/>
      <c r="X1081" s="5"/>
      <c r="Y1081" s="9"/>
      <c r="Z1081" s="2"/>
    </row>
    <row r="1082" spans="1:26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3"/>
      <c r="M1082" s="6"/>
      <c r="N1082" s="6"/>
      <c r="O1082" s="6"/>
      <c r="P1082" s="5"/>
      <c r="Q1082" s="9"/>
      <c r="R1082" s="5"/>
      <c r="S1082" s="5"/>
      <c r="T1082" s="5"/>
      <c r="U1082" s="5"/>
      <c r="V1082" s="5"/>
      <c r="W1082" s="5"/>
      <c r="X1082" s="5"/>
      <c r="Y1082" s="9"/>
      <c r="Z1082" s="2"/>
    </row>
    <row r="1083" spans="1:26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3"/>
      <c r="M1083" s="6"/>
      <c r="N1083" s="6"/>
      <c r="O1083" s="6"/>
      <c r="P1083" s="5"/>
      <c r="Q1083" s="9"/>
      <c r="R1083" s="5"/>
      <c r="S1083" s="5"/>
      <c r="T1083" s="5"/>
      <c r="U1083" s="5"/>
      <c r="V1083" s="5"/>
      <c r="W1083" s="5"/>
      <c r="X1083" s="5"/>
      <c r="Y1083" s="9"/>
      <c r="Z1083" s="2"/>
    </row>
    <row r="1084" spans="1:26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3"/>
      <c r="M1084" s="6"/>
      <c r="N1084" s="6"/>
      <c r="O1084" s="6"/>
      <c r="P1084" s="5"/>
      <c r="Q1084" s="9"/>
      <c r="R1084" s="5"/>
      <c r="S1084" s="5"/>
      <c r="T1084" s="5"/>
      <c r="U1084" s="5"/>
      <c r="V1084" s="5"/>
      <c r="W1084" s="5"/>
      <c r="X1084" s="5"/>
      <c r="Y1084" s="9"/>
      <c r="Z1084" s="2"/>
    </row>
    <row r="1085" spans="1:26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3"/>
      <c r="M1085" s="6"/>
      <c r="N1085" s="6"/>
      <c r="O1085" s="6"/>
      <c r="P1085" s="5"/>
      <c r="Q1085" s="9"/>
      <c r="R1085" s="5"/>
      <c r="S1085" s="5"/>
      <c r="T1085" s="5"/>
      <c r="U1085" s="5"/>
      <c r="V1085" s="5"/>
      <c r="W1085" s="5"/>
      <c r="X1085" s="5"/>
      <c r="Y1085" s="9"/>
      <c r="Z1085" s="2"/>
    </row>
    <row r="1086" spans="1:26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3"/>
      <c r="M1086" s="6"/>
      <c r="N1086" s="6"/>
      <c r="O1086" s="6"/>
      <c r="P1086" s="5"/>
      <c r="Q1086" s="9"/>
      <c r="R1086" s="5"/>
      <c r="S1086" s="5"/>
      <c r="T1086" s="5"/>
      <c r="U1086" s="5"/>
      <c r="V1086" s="5"/>
      <c r="W1086" s="5"/>
      <c r="X1086" s="5"/>
      <c r="Y1086" s="9"/>
      <c r="Z1086" s="2"/>
    </row>
    <row r="1087" spans="1:26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3"/>
      <c r="M1087" s="6"/>
      <c r="N1087" s="6"/>
      <c r="O1087" s="6"/>
      <c r="P1087" s="5"/>
      <c r="Q1087" s="9"/>
      <c r="R1087" s="5"/>
      <c r="S1087" s="5"/>
      <c r="T1087" s="5"/>
      <c r="U1087" s="5"/>
      <c r="V1087" s="5"/>
      <c r="W1087" s="5"/>
      <c r="X1087" s="5"/>
      <c r="Y1087" s="9"/>
      <c r="Z1087" s="2"/>
    </row>
    <row r="1088" spans="1:26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3"/>
      <c r="M1088" s="6"/>
      <c r="N1088" s="6"/>
      <c r="O1088" s="6"/>
      <c r="P1088" s="5"/>
      <c r="Q1088" s="9"/>
      <c r="R1088" s="5"/>
      <c r="S1088" s="5"/>
      <c r="T1088" s="5"/>
      <c r="U1088" s="5"/>
      <c r="V1088" s="5"/>
      <c r="W1088" s="5"/>
      <c r="X1088" s="5"/>
      <c r="Y1088" s="9"/>
      <c r="Z1088" s="2"/>
    </row>
    <row r="1089" spans="1:26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3"/>
      <c r="M1089" s="6"/>
      <c r="N1089" s="6"/>
      <c r="O1089" s="6"/>
      <c r="P1089" s="5"/>
      <c r="Q1089" s="9"/>
      <c r="R1089" s="5"/>
      <c r="S1089" s="5"/>
      <c r="T1089" s="5"/>
      <c r="U1089" s="5"/>
      <c r="V1089" s="5"/>
      <c r="W1089" s="5"/>
      <c r="X1089" s="5"/>
      <c r="Y1089" s="9"/>
      <c r="Z1089" s="2"/>
    </row>
    <row r="1090" spans="1:26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3"/>
      <c r="M1090" s="6"/>
      <c r="N1090" s="6"/>
      <c r="O1090" s="6"/>
      <c r="P1090" s="5"/>
      <c r="Q1090" s="9"/>
      <c r="R1090" s="5"/>
      <c r="S1090" s="5"/>
      <c r="T1090" s="5"/>
      <c r="U1090" s="5"/>
      <c r="V1090" s="5"/>
      <c r="W1090" s="5"/>
      <c r="X1090" s="5"/>
      <c r="Y1090" s="9"/>
      <c r="Z1090" s="2"/>
    </row>
    <row r="1091" spans="1:26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3"/>
      <c r="M1091" s="6"/>
      <c r="N1091" s="6"/>
      <c r="O1091" s="6"/>
      <c r="P1091" s="5"/>
      <c r="Q1091" s="9"/>
      <c r="R1091" s="5"/>
      <c r="S1091" s="5"/>
      <c r="T1091" s="5"/>
      <c r="U1091" s="5"/>
      <c r="V1091" s="5"/>
      <c r="W1091" s="5"/>
      <c r="X1091" s="5"/>
      <c r="Y1091" s="9"/>
      <c r="Z1091" s="2"/>
    </row>
    <row r="1092" spans="1:26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3"/>
      <c r="M1092" s="6"/>
      <c r="N1092" s="6"/>
      <c r="O1092" s="6"/>
      <c r="P1092" s="5"/>
      <c r="Q1092" s="9"/>
      <c r="R1092" s="5"/>
      <c r="S1092" s="5"/>
      <c r="T1092" s="5"/>
      <c r="U1092" s="5"/>
      <c r="V1092" s="5"/>
      <c r="W1092" s="5"/>
      <c r="X1092" s="5"/>
      <c r="Y1092" s="9"/>
      <c r="Z1092" s="2"/>
    </row>
    <row r="1093" spans="1:26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3"/>
      <c r="M1093" s="6"/>
      <c r="N1093" s="6"/>
      <c r="O1093" s="6"/>
      <c r="P1093" s="5"/>
      <c r="Q1093" s="9"/>
      <c r="R1093" s="5"/>
      <c r="S1093" s="5"/>
      <c r="T1093" s="5"/>
      <c r="U1093" s="5"/>
      <c r="V1093" s="5"/>
      <c r="W1093" s="5"/>
      <c r="X1093" s="5"/>
      <c r="Y1093" s="9"/>
      <c r="Z1093" s="2"/>
    </row>
    <row r="1094" spans="1:26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3"/>
      <c r="M1094" s="6"/>
      <c r="N1094" s="6"/>
      <c r="O1094" s="6"/>
      <c r="P1094" s="5"/>
      <c r="Q1094" s="9"/>
      <c r="R1094" s="5"/>
      <c r="S1094" s="5"/>
      <c r="T1094" s="5"/>
      <c r="U1094" s="5"/>
      <c r="V1094" s="5"/>
      <c r="W1094" s="5"/>
      <c r="X1094" s="5"/>
      <c r="Y1094" s="9"/>
      <c r="Z1094" s="2"/>
    </row>
    <row r="1095" spans="1:26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3"/>
      <c r="M1095" s="6"/>
      <c r="N1095" s="6"/>
      <c r="O1095" s="6"/>
      <c r="P1095" s="5"/>
      <c r="Q1095" s="9"/>
      <c r="R1095" s="5"/>
      <c r="S1095" s="5"/>
      <c r="T1095" s="5"/>
      <c r="U1095" s="5"/>
      <c r="V1095" s="5"/>
      <c r="W1095" s="5"/>
      <c r="X1095" s="5"/>
      <c r="Y1095" s="9"/>
      <c r="Z1095" s="2"/>
    </row>
    <row r="1096" spans="1:26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3"/>
      <c r="M1096" s="6"/>
      <c r="N1096" s="6"/>
      <c r="O1096" s="6"/>
      <c r="P1096" s="5"/>
      <c r="Q1096" s="9"/>
      <c r="R1096" s="5"/>
      <c r="S1096" s="5"/>
      <c r="T1096" s="5"/>
      <c r="U1096" s="5"/>
      <c r="V1096" s="5"/>
      <c r="W1096" s="5"/>
      <c r="X1096" s="5"/>
      <c r="Y1096" s="9"/>
      <c r="Z1096" s="2"/>
    </row>
    <row r="1097" spans="1:26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3"/>
      <c r="M1097" s="6"/>
      <c r="N1097" s="6"/>
      <c r="O1097" s="6"/>
      <c r="P1097" s="5"/>
      <c r="Q1097" s="9"/>
      <c r="R1097" s="5"/>
      <c r="S1097" s="5"/>
      <c r="T1097" s="5"/>
      <c r="U1097" s="5"/>
      <c r="V1097" s="5"/>
      <c r="W1097" s="5"/>
      <c r="X1097" s="5"/>
      <c r="Y1097" s="9"/>
      <c r="Z1097" s="2"/>
    </row>
    <row r="1098" spans="1:26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3"/>
      <c r="M1098" s="6"/>
      <c r="N1098" s="6"/>
      <c r="O1098" s="6"/>
      <c r="P1098" s="5"/>
      <c r="Q1098" s="9"/>
      <c r="R1098" s="5"/>
      <c r="S1098" s="5"/>
      <c r="T1098" s="5"/>
      <c r="U1098" s="5"/>
      <c r="V1098" s="5"/>
      <c r="W1098" s="5"/>
      <c r="X1098" s="5"/>
      <c r="Y1098" s="9"/>
      <c r="Z1098" s="2"/>
    </row>
    <row r="1099" spans="1:26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3"/>
      <c r="M1099" s="6"/>
      <c r="N1099" s="6"/>
      <c r="O1099" s="6"/>
      <c r="P1099" s="5"/>
      <c r="Q1099" s="9"/>
      <c r="R1099" s="5"/>
      <c r="S1099" s="5"/>
      <c r="T1099" s="5"/>
      <c r="U1099" s="5"/>
      <c r="V1099" s="5"/>
      <c r="W1099" s="5"/>
      <c r="X1099" s="5"/>
      <c r="Y1099" s="9"/>
      <c r="Z1099" s="2"/>
    </row>
    <row r="1100" spans="1:26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3"/>
      <c r="M1100" s="6"/>
      <c r="N1100" s="6"/>
      <c r="O1100" s="6"/>
      <c r="P1100" s="5"/>
      <c r="Q1100" s="9"/>
      <c r="R1100" s="5"/>
      <c r="S1100" s="5"/>
      <c r="T1100" s="5"/>
      <c r="U1100" s="5"/>
      <c r="V1100" s="5"/>
      <c r="W1100" s="5"/>
      <c r="X1100" s="5"/>
      <c r="Y1100" s="9"/>
      <c r="Z1100" s="2"/>
    </row>
    <row r="1101" spans="1:26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3"/>
      <c r="M1101" s="6"/>
      <c r="N1101" s="6"/>
      <c r="O1101" s="6"/>
      <c r="P1101" s="5"/>
      <c r="Q1101" s="9"/>
      <c r="R1101" s="5"/>
      <c r="S1101" s="5"/>
      <c r="T1101" s="5"/>
      <c r="U1101" s="5"/>
      <c r="V1101" s="5"/>
      <c r="W1101" s="5"/>
      <c r="X1101" s="5"/>
      <c r="Y1101" s="9"/>
      <c r="Z1101" s="2"/>
    </row>
    <row r="1102" spans="1:26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3"/>
      <c r="M1102" s="6"/>
      <c r="N1102" s="6"/>
      <c r="O1102" s="6"/>
      <c r="P1102" s="5"/>
      <c r="Q1102" s="9"/>
      <c r="R1102" s="5"/>
      <c r="S1102" s="5"/>
      <c r="T1102" s="5"/>
      <c r="U1102" s="5"/>
      <c r="V1102" s="5"/>
      <c r="W1102" s="5"/>
      <c r="X1102" s="5"/>
      <c r="Y1102" s="9"/>
      <c r="Z1102" s="2"/>
    </row>
    <row r="1103" spans="1:26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3"/>
      <c r="M1103" s="6"/>
      <c r="N1103" s="6"/>
      <c r="O1103" s="6"/>
      <c r="P1103" s="5"/>
      <c r="Q1103" s="9"/>
      <c r="R1103" s="5"/>
      <c r="S1103" s="5"/>
      <c r="T1103" s="5"/>
      <c r="U1103" s="5"/>
      <c r="V1103" s="5"/>
      <c r="W1103" s="5"/>
      <c r="X1103" s="5"/>
      <c r="Y1103" s="9"/>
      <c r="Z1103" s="2"/>
    </row>
    <row r="1104" spans="1:26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3"/>
      <c r="M1104" s="6"/>
      <c r="N1104" s="6"/>
      <c r="O1104" s="6"/>
      <c r="P1104" s="5"/>
      <c r="Q1104" s="9"/>
      <c r="R1104" s="5"/>
      <c r="S1104" s="5"/>
      <c r="T1104" s="5"/>
      <c r="U1104" s="5"/>
      <c r="V1104" s="5"/>
      <c r="W1104" s="5"/>
      <c r="X1104" s="5"/>
      <c r="Y1104" s="9"/>
      <c r="Z1104" s="2"/>
    </row>
    <row r="1105" spans="1:26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3"/>
      <c r="M1105" s="6"/>
      <c r="N1105" s="6"/>
      <c r="O1105" s="6"/>
      <c r="P1105" s="5"/>
      <c r="Q1105" s="9"/>
      <c r="R1105" s="5"/>
      <c r="S1105" s="5"/>
      <c r="T1105" s="5"/>
      <c r="U1105" s="5"/>
      <c r="V1105" s="5"/>
      <c r="W1105" s="5"/>
      <c r="X1105" s="5"/>
      <c r="Y1105" s="9"/>
      <c r="Z1105" s="2"/>
    </row>
    <row r="1106" spans="1:26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3"/>
      <c r="M1106" s="6"/>
      <c r="N1106" s="6"/>
      <c r="O1106" s="6"/>
      <c r="P1106" s="5"/>
      <c r="Q1106" s="9"/>
      <c r="R1106" s="5"/>
      <c r="S1106" s="5"/>
      <c r="T1106" s="5"/>
      <c r="U1106" s="5"/>
      <c r="V1106" s="5"/>
      <c r="W1106" s="5"/>
      <c r="X1106" s="5"/>
      <c r="Y1106" s="9"/>
      <c r="Z1106" s="2"/>
    </row>
    <row r="1107" spans="1:26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3"/>
      <c r="M1107" s="6"/>
      <c r="N1107" s="6"/>
      <c r="O1107" s="6"/>
      <c r="P1107" s="5"/>
      <c r="Q1107" s="9"/>
      <c r="R1107" s="5"/>
      <c r="S1107" s="5"/>
      <c r="T1107" s="5"/>
      <c r="U1107" s="5"/>
      <c r="V1107" s="5"/>
      <c r="W1107" s="5"/>
      <c r="X1107" s="5"/>
      <c r="Y1107" s="9"/>
      <c r="Z1107" s="2"/>
    </row>
    <row r="1108" spans="1:26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3"/>
      <c r="M1108" s="6"/>
      <c r="N1108" s="6"/>
      <c r="O1108" s="6"/>
      <c r="P1108" s="5"/>
      <c r="Q1108" s="9"/>
      <c r="R1108" s="5"/>
      <c r="S1108" s="5"/>
      <c r="T1108" s="5"/>
      <c r="U1108" s="5"/>
      <c r="V1108" s="5"/>
      <c r="W1108" s="5"/>
      <c r="X1108" s="5"/>
      <c r="Y1108" s="9"/>
      <c r="Z1108" s="2"/>
    </row>
    <row r="1109" spans="1:26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3"/>
      <c r="M1109" s="6"/>
      <c r="N1109" s="6"/>
      <c r="O1109" s="6"/>
      <c r="P1109" s="5"/>
      <c r="Q1109" s="9"/>
      <c r="R1109" s="5"/>
      <c r="S1109" s="5"/>
      <c r="T1109" s="5"/>
      <c r="U1109" s="5"/>
      <c r="V1109" s="5"/>
      <c r="W1109" s="5"/>
      <c r="X1109" s="5"/>
      <c r="Y1109" s="9"/>
      <c r="Z1109" s="2"/>
    </row>
    <row r="1110" spans="1:26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3"/>
      <c r="M1110" s="6"/>
      <c r="N1110" s="6"/>
      <c r="O1110" s="6"/>
      <c r="P1110" s="5"/>
      <c r="Q1110" s="9"/>
      <c r="R1110" s="5"/>
      <c r="S1110" s="5"/>
      <c r="T1110" s="5"/>
      <c r="U1110" s="5"/>
      <c r="V1110" s="5"/>
      <c r="W1110" s="5"/>
      <c r="X1110" s="5"/>
      <c r="Y1110" s="9"/>
      <c r="Z1110" s="2"/>
    </row>
    <row r="1111" spans="1:26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3"/>
      <c r="M1111" s="6"/>
      <c r="N1111" s="6"/>
      <c r="O1111" s="6"/>
      <c r="P1111" s="5"/>
      <c r="Q1111" s="9"/>
      <c r="R1111" s="5"/>
      <c r="S1111" s="5"/>
      <c r="T1111" s="5"/>
      <c r="U1111" s="5"/>
      <c r="V1111" s="5"/>
      <c r="W1111" s="5"/>
      <c r="X1111" s="5"/>
      <c r="Y1111" s="9"/>
      <c r="Z1111" s="2"/>
    </row>
    <row r="1112" spans="1:26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3"/>
      <c r="M1112" s="6"/>
      <c r="N1112" s="6"/>
      <c r="O1112" s="6"/>
      <c r="P1112" s="5"/>
      <c r="Q1112" s="9"/>
      <c r="R1112" s="5"/>
      <c r="S1112" s="5"/>
      <c r="T1112" s="5"/>
      <c r="U1112" s="5"/>
      <c r="V1112" s="5"/>
      <c r="W1112" s="5"/>
      <c r="X1112" s="5"/>
      <c r="Y1112" s="9"/>
      <c r="Z1112" s="2"/>
    </row>
    <row r="1113" spans="1:26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3"/>
      <c r="M1113" s="6"/>
      <c r="N1113" s="6"/>
      <c r="O1113" s="6"/>
      <c r="P1113" s="5"/>
      <c r="Q1113" s="9"/>
      <c r="R1113" s="5"/>
      <c r="S1113" s="5"/>
      <c r="T1113" s="5"/>
      <c r="U1113" s="5"/>
      <c r="V1113" s="5"/>
      <c r="W1113" s="5"/>
      <c r="X1113" s="5"/>
      <c r="Y1113" s="9"/>
      <c r="Z1113" s="2"/>
    </row>
    <row r="1114" spans="1:26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3"/>
      <c r="M1114" s="6"/>
      <c r="N1114" s="6"/>
      <c r="O1114" s="6"/>
      <c r="P1114" s="5"/>
      <c r="Q1114" s="9"/>
      <c r="R1114" s="5"/>
      <c r="S1114" s="5"/>
      <c r="T1114" s="5"/>
      <c r="U1114" s="5"/>
      <c r="V1114" s="5"/>
      <c r="W1114" s="5"/>
      <c r="X1114" s="5"/>
      <c r="Y1114" s="9"/>
      <c r="Z1114" s="2"/>
    </row>
    <row r="1115" spans="1:26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3"/>
      <c r="M1115" s="6"/>
      <c r="N1115" s="6"/>
      <c r="O1115" s="6"/>
      <c r="P1115" s="5"/>
      <c r="Q1115" s="9"/>
      <c r="R1115" s="5"/>
      <c r="S1115" s="5"/>
      <c r="T1115" s="5"/>
      <c r="U1115" s="5"/>
      <c r="V1115" s="5"/>
      <c r="W1115" s="5"/>
      <c r="X1115" s="5"/>
      <c r="Y1115" s="9"/>
      <c r="Z1115" s="2"/>
    </row>
    <row r="1116" spans="1:26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3"/>
      <c r="M1116" s="6"/>
      <c r="N1116" s="6"/>
      <c r="O1116" s="6"/>
      <c r="P1116" s="5"/>
      <c r="Q1116" s="9"/>
      <c r="R1116" s="5"/>
      <c r="S1116" s="5"/>
      <c r="T1116" s="5"/>
      <c r="U1116" s="5"/>
      <c r="V1116" s="5"/>
      <c r="W1116" s="5"/>
      <c r="X1116" s="5"/>
      <c r="Y1116" s="9"/>
      <c r="Z1116" s="2"/>
    </row>
    <row r="1117" spans="1:26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3"/>
      <c r="M1117" s="6"/>
      <c r="N1117" s="6"/>
      <c r="O1117" s="6"/>
      <c r="P1117" s="5"/>
      <c r="Q1117" s="9"/>
      <c r="R1117" s="5"/>
      <c r="S1117" s="5"/>
      <c r="T1117" s="5"/>
      <c r="U1117" s="5"/>
      <c r="V1117" s="5"/>
      <c r="W1117" s="5"/>
      <c r="X1117" s="5"/>
      <c r="Y1117" s="9"/>
      <c r="Z1117" s="2"/>
    </row>
    <row r="1118" spans="1:26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3"/>
      <c r="M1118" s="6"/>
      <c r="N1118" s="6"/>
      <c r="O1118" s="6"/>
      <c r="P1118" s="5"/>
      <c r="Q1118" s="9"/>
      <c r="R1118" s="5"/>
      <c r="S1118" s="5"/>
      <c r="T1118" s="5"/>
      <c r="U1118" s="5"/>
      <c r="V1118" s="5"/>
      <c r="W1118" s="5"/>
      <c r="X1118" s="5"/>
      <c r="Y1118" s="9"/>
      <c r="Z1118" s="2"/>
    </row>
    <row r="1119" spans="1:26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3"/>
      <c r="M1119" s="6"/>
      <c r="N1119" s="6"/>
      <c r="O1119" s="6"/>
      <c r="P1119" s="5"/>
      <c r="Q1119" s="9"/>
      <c r="R1119" s="5"/>
      <c r="S1119" s="5"/>
      <c r="T1119" s="5"/>
      <c r="U1119" s="5"/>
      <c r="V1119" s="5"/>
      <c r="W1119" s="5"/>
      <c r="X1119" s="5"/>
      <c r="Y1119" s="9"/>
      <c r="Z1119" s="2"/>
    </row>
    <row r="1120" spans="1:26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3"/>
      <c r="M1120" s="6"/>
      <c r="N1120" s="6"/>
      <c r="O1120" s="6"/>
      <c r="P1120" s="5"/>
      <c r="Q1120" s="9"/>
      <c r="R1120" s="5"/>
      <c r="S1120" s="5"/>
      <c r="T1120" s="5"/>
      <c r="U1120" s="5"/>
      <c r="V1120" s="5"/>
      <c r="W1120" s="5"/>
      <c r="X1120" s="5"/>
      <c r="Y1120" s="9"/>
      <c r="Z1120" s="2"/>
    </row>
    <row r="1121" spans="1:26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3"/>
      <c r="M1121" s="6"/>
      <c r="N1121" s="6"/>
      <c r="O1121" s="6"/>
      <c r="P1121" s="5"/>
      <c r="Q1121" s="9"/>
      <c r="R1121" s="5"/>
      <c r="S1121" s="5"/>
      <c r="T1121" s="5"/>
      <c r="U1121" s="5"/>
      <c r="V1121" s="5"/>
      <c r="W1121" s="5"/>
      <c r="X1121" s="5"/>
      <c r="Y1121" s="9"/>
      <c r="Z1121" s="2"/>
    </row>
    <row r="1122" spans="1:26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3"/>
      <c r="M1122" s="6"/>
      <c r="N1122" s="6"/>
      <c r="O1122" s="6"/>
      <c r="P1122" s="5"/>
      <c r="Q1122" s="9"/>
      <c r="R1122" s="5"/>
      <c r="S1122" s="5"/>
      <c r="T1122" s="5"/>
      <c r="U1122" s="5"/>
      <c r="V1122" s="5"/>
      <c r="W1122" s="5"/>
      <c r="X1122" s="5"/>
      <c r="Y1122" s="9"/>
      <c r="Z1122" s="2"/>
    </row>
    <row r="1123" spans="1:26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3"/>
      <c r="M1123" s="6"/>
      <c r="N1123" s="6"/>
      <c r="O1123" s="6"/>
      <c r="P1123" s="5"/>
      <c r="Q1123" s="9"/>
      <c r="R1123" s="5"/>
      <c r="S1123" s="5"/>
      <c r="T1123" s="5"/>
      <c r="U1123" s="5"/>
      <c r="V1123" s="5"/>
      <c r="W1123" s="5"/>
      <c r="X1123" s="5"/>
      <c r="Y1123" s="9"/>
      <c r="Z1123" s="2"/>
    </row>
    <row r="1124" spans="1:26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3"/>
      <c r="M1124" s="6"/>
      <c r="N1124" s="6"/>
      <c r="O1124" s="6"/>
      <c r="P1124" s="5"/>
      <c r="Q1124" s="9"/>
      <c r="R1124" s="5"/>
      <c r="S1124" s="5"/>
      <c r="T1124" s="5"/>
      <c r="U1124" s="5"/>
      <c r="V1124" s="5"/>
      <c r="W1124" s="5"/>
      <c r="X1124" s="5"/>
      <c r="Y1124" s="9"/>
      <c r="Z1124" s="2"/>
    </row>
    <row r="1125" spans="1:26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3"/>
      <c r="M1125" s="6"/>
      <c r="N1125" s="6"/>
      <c r="O1125" s="6"/>
      <c r="P1125" s="5"/>
      <c r="Q1125" s="9"/>
      <c r="R1125" s="5"/>
      <c r="S1125" s="5"/>
      <c r="T1125" s="5"/>
      <c r="U1125" s="5"/>
      <c r="V1125" s="5"/>
      <c r="W1125" s="5"/>
      <c r="X1125" s="5"/>
      <c r="Y1125" s="9"/>
      <c r="Z1125" s="2"/>
    </row>
    <row r="1126" spans="1:26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3"/>
      <c r="M1126" s="6"/>
      <c r="N1126" s="6"/>
      <c r="O1126" s="6"/>
      <c r="P1126" s="5"/>
      <c r="Q1126" s="9"/>
      <c r="R1126" s="5"/>
      <c r="S1126" s="5"/>
      <c r="T1126" s="5"/>
      <c r="U1126" s="5"/>
      <c r="V1126" s="5"/>
      <c r="W1126" s="5"/>
      <c r="X1126" s="5"/>
      <c r="Y1126" s="9"/>
      <c r="Z1126" s="2"/>
    </row>
    <row r="1127" spans="1:26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3"/>
      <c r="M1127" s="6"/>
      <c r="N1127" s="6"/>
      <c r="O1127" s="6"/>
      <c r="P1127" s="5"/>
      <c r="Q1127" s="9"/>
      <c r="R1127" s="5"/>
      <c r="S1127" s="5"/>
      <c r="T1127" s="5"/>
      <c r="U1127" s="5"/>
      <c r="V1127" s="5"/>
      <c r="W1127" s="5"/>
      <c r="X1127" s="5"/>
      <c r="Y1127" s="9"/>
      <c r="Z1127" s="2"/>
    </row>
    <row r="1128" spans="1:26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3"/>
      <c r="M1128" s="6"/>
      <c r="N1128" s="6"/>
      <c r="O1128" s="6"/>
      <c r="P1128" s="5"/>
      <c r="Q1128" s="9"/>
      <c r="R1128" s="5"/>
      <c r="S1128" s="5"/>
      <c r="T1128" s="5"/>
      <c r="U1128" s="5"/>
      <c r="V1128" s="5"/>
      <c r="W1128" s="5"/>
      <c r="X1128" s="5"/>
      <c r="Y1128" s="9"/>
      <c r="Z1128" s="2"/>
    </row>
    <row r="1129" spans="1:26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3"/>
      <c r="M1129" s="6"/>
      <c r="N1129" s="6"/>
      <c r="O1129" s="6"/>
      <c r="P1129" s="5"/>
      <c r="Q1129" s="9"/>
      <c r="R1129" s="5"/>
      <c r="S1129" s="5"/>
      <c r="T1129" s="5"/>
      <c r="U1129" s="5"/>
      <c r="V1129" s="5"/>
      <c r="W1129" s="5"/>
      <c r="X1129" s="5"/>
      <c r="Y1129" s="9"/>
      <c r="Z1129" s="2"/>
    </row>
    <row r="1130" spans="1:26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3"/>
      <c r="M1130" s="6"/>
      <c r="N1130" s="6"/>
      <c r="O1130" s="6"/>
      <c r="P1130" s="5"/>
      <c r="Q1130" s="9"/>
      <c r="R1130" s="5"/>
      <c r="S1130" s="5"/>
      <c r="T1130" s="5"/>
      <c r="U1130" s="5"/>
      <c r="V1130" s="5"/>
      <c r="W1130" s="5"/>
      <c r="X1130" s="5"/>
      <c r="Y1130" s="9"/>
      <c r="Z1130" s="2"/>
    </row>
    <row r="1131" spans="1:26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3"/>
      <c r="M1131" s="6"/>
      <c r="N1131" s="6"/>
      <c r="O1131" s="6"/>
      <c r="P1131" s="5"/>
      <c r="Q1131" s="9"/>
      <c r="R1131" s="5"/>
      <c r="S1131" s="5"/>
      <c r="T1131" s="5"/>
      <c r="U1131" s="5"/>
      <c r="V1131" s="5"/>
      <c r="W1131" s="5"/>
      <c r="X1131" s="5"/>
      <c r="Y1131" s="9"/>
      <c r="Z1131" s="2"/>
    </row>
    <row r="1132" spans="1:26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3"/>
      <c r="M1132" s="6"/>
      <c r="N1132" s="6"/>
      <c r="O1132" s="6"/>
      <c r="P1132" s="5"/>
      <c r="Q1132" s="9"/>
      <c r="R1132" s="5"/>
      <c r="S1132" s="5"/>
      <c r="T1132" s="5"/>
      <c r="U1132" s="5"/>
      <c r="V1132" s="5"/>
      <c r="W1132" s="5"/>
      <c r="X1132" s="5"/>
      <c r="Y1132" s="9"/>
      <c r="Z1132" s="2"/>
    </row>
    <row r="1133" spans="1:26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3"/>
      <c r="M1133" s="6"/>
      <c r="N1133" s="6"/>
      <c r="O1133" s="6"/>
      <c r="P1133" s="5"/>
      <c r="Q1133" s="9"/>
      <c r="R1133" s="5"/>
      <c r="S1133" s="5"/>
      <c r="T1133" s="5"/>
      <c r="U1133" s="5"/>
      <c r="V1133" s="5"/>
      <c r="W1133" s="5"/>
      <c r="X1133" s="5"/>
      <c r="Y1133" s="9"/>
      <c r="Z1133" s="2"/>
    </row>
    <row r="1134" spans="1:26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3"/>
      <c r="M1134" s="6"/>
      <c r="N1134" s="6"/>
      <c r="O1134" s="6"/>
      <c r="P1134" s="5"/>
      <c r="Q1134" s="9"/>
      <c r="R1134" s="5"/>
      <c r="S1134" s="5"/>
      <c r="T1134" s="5"/>
      <c r="U1134" s="5"/>
      <c r="V1134" s="5"/>
      <c r="W1134" s="5"/>
      <c r="X1134" s="5"/>
      <c r="Y1134" s="9"/>
      <c r="Z1134" s="2"/>
    </row>
    <row r="1135" spans="1:26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3"/>
      <c r="M1135" s="6"/>
      <c r="N1135" s="6"/>
      <c r="O1135" s="6"/>
      <c r="P1135" s="5"/>
      <c r="Q1135" s="9"/>
      <c r="R1135" s="5"/>
      <c r="S1135" s="5"/>
      <c r="T1135" s="5"/>
      <c r="U1135" s="5"/>
      <c r="V1135" s="5"/>
      <c r="W1135" s="5"/>
      <c r="X1135" s="5"/>
      <c r="Y1135" s="9"/>
      <c r="Z1135" s="2"/>
    </row>
    <row r="1136" spans="1:26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3"/>
      <c r="M1136" s="6"/>
      <c r="N1136" s="6"/>
      <c r="O1136" s="6"/>
      <c r="P1136" s="5"/>
      <c r="Q1136" s="9"/>
      <c r="R1136" s="5"/>
      <c r="S1136" s="5"/>
      <c r="T1136" s="5"/>
      <c r="U1136" s="5"/>
      <c r="V1136" s="5"/>
      <c r="W1136" s="5"/>
      <c r="X1136" s="5"/>
      <c r="Y1136" s="9"/>
      <c r="Z1136" s="2"/>
    </row>
    <row r="1137" spans="1:26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3"/>
      <c r="M1137" s="6"/>
      <c r="N1137" s="6"/>
      <c r="O1137" s="6"/>
      <c r="P1137" s="5"/>
      <c r="Q1137" s="9"/>
      <c r="R1137" s="5"/>
      <c r="S1137" s="5"/>
      <c r="T1137" s="5"/>
      <c r="U1137" s="5"/>
      <c r="V1137" s="5"/>
      <c r="W1137" s="5"/>
      <c r="X1137" s="5"/>
      <c r="Y1137" s="9"/>
      <c r="Z1137" s="2"/>
    </row>
    <row r="1138" spans="1:26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3"/>
      <c r="M1138" s="6"/>
      <c r="N1138" s="6"/>
      <c r="O1138" s="6"/>
      <c r="P1138" s="5"/>
      <c r="Q1138" s="9"/>
      <c r="R1138" s="5"/>
      <c r="S1138" s="5"/>
      <c r="T1138" s="5"/>
      <c r="U1138" s="5"/>
      <c r="V1138" s="5"/>
      <c r="W1138" s="5"/>
      <c r="X1138" s="5"/>
      <c r="Y1138" s="9"/>
      <c r="Z1138" s="2"/>
    </row>
    <row r="1139" spans="1:26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3"/>
      <c r="M1139" s="6"/>
      <c r="N1139" s="6"/>
      <c r="O1139" s="6"/>
      <c r="P1139" s="5"/>
      <c r="Q1139" s="9"/>
      <c r="R1139" s="5"/>
      <c r="S1139" s="5"/>
      <c r="T1139" s="5"/>
      <c r="U1139" s="5"/>
      <c r="V1139" s="5"/>
      <c r="W1139" s="5"/>
      <c r="X1139" s="5"/>
      <c r="Y1139" s="9"/>
      <c r="Z1139" s="2"/>
    </row>
    <row r="1140" spans="1:26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3"/>
      <c r="M1140" s="6"/>
      <c r="N1140" s="6"/>
      <c r="O1140" s="6"/>
      <c r="P1140" s="5"/>
      <c r="Q1140" s="9"/>
      <c r="R1140" s="5"/>
      <c r="S1140" s="5"/>
      <c r="T1140" s="5"/>
      <c r="U1140" s="5"/>
      <c r="V1140" s="5"/>
      <c r="W1140" s="5"/>
      <c r="X1140" s="5"/>
      <c r="Y1140" s="9"/>
      <c r="Z1140" s="2"/>
    </row>
    <row r="1141" spans="1:26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3"/>
      <c r="M1141" s="6"/>
      <c r="N1141" s="6"/>
      <c r="O1141" s="6"/>
      <c r="P1141" s="5"/>
      <c r="Q1141" s="9"/>
      <c r="R1141" s="5"/>
      <c r="S1141" s="5"/>
      <c r="T1141" s="5"/>
      <c r="U1141" s="5"/>
      <c r="V1141" s="5"/>
      <c r="W1141" s="5"/>
      <c r="X1141" s="5"/>
      <c r="Y1141" s="9"/>
      <c r="Z1141" s="2"/>
    </row>
    <row r="1142" spans="1:26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3"/>
      <c r="M1142" s="6"/>
      <c r="N1142" s="6"/>
      <c r="O1142" s="6"/>
      <c r="P1142" s="5"/>
      <c r="Q1142" s="9"/>
      <c r="R1142" s="5"/>
      <c r="S1142" s="5"/>
      <c r="T1142" s="5"/>
      <c r="U1142" s="5"/>
      <c r="V1142" s="5"/>
      <c r="W1142" s="5"/>
      <c r="X1142" s="5"/>
      <c r="Y1142" s="9"/>
      <c r="Z1142" s="2"/>
    </row>
    <row r="1143" spans="1:26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3"/>
      <c r="M1143" s="6"/>
      <c r="N1143" s="6"/>
      <c r="O1143" s="6"/>
      <c r="P1143" s="5"/>
      <c r="Q1143" s="9"/>
      <c r="R1143" s="5"/>
      <c r="S1143" s="5"/>
      <c r="T1143" s="5"/>
      <c r="U1143" s="5"/>
      <c r="V1143" s="5"/>
      <c r="W1143" s="5"/>
      <c r="X1143" s="5"/>
      <c r="Y1143" s="9"/>
      <c r="Z1143" s="2"/>
    </row>
    <row r="1144" spans="1:26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3"/>
      <c r="M1144" s="6"/>
      <c r="N1144" s="6"/>
      <c r="O1144" s="6"/>
      <c r="P1144" s="5"/>
      <c r="Q1144" s="9"/>
      <c r="R1144" s="5"/>
      <c r="S1144" s="5"/>
      <c r="T1144" s="5"/>
      <c r="U1144" s="5"/>
      <c r="V1144" s="5"/>
      <c r="W1144" s="5"/>
      <c r="X1144" s="5"/>
      <c r="Y1144" s="9"/>
      <c r="Z1144" s="2"/>
    </row>
    <row r="1145" spans="1:26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3"/>
      <c r="M1145" s="6"/>
      <c r="N1145" s="6"/>
      <c r="O1145" s="6"/>
      <c r="P1145" s="5"/>
      <c r="Q1145" s="9"/>
      <c r="R1145" s="5"/>
      <c r="S1145" s="5"/>
      <c r="T1145" s="5"/>
      <c r="U1145" s="5"/>
      <c r="V1145" s="5"/>
      <c r="W1145" s="5"/>
      <c r="X1145" s="5"/>
      <c r="Y1145" s="9"/>
      <c r="Z1145" s="2"/>
    </row>
    <row r="1146" spans="1:26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3"/>
      <c r="M1146" s="6"/>
      <c r="N1146" s="6"/>
      <c r="O1146" s="6"/>
      <c r="P1146" s="5"/>
      <c r="Q1146" s="9"/>
      <c r="R1146" s="5"/>
      <c r="S1146" s="5"/>
      <c r="T1146" s="5"/>
      <c r="U1146" s="5"/>
      <c r="V1146" s="5"/>
      <c r="W1146" s="5"/>
      <c r="X1146" s="5"/>
      <c r="Y1146" s="9"/>
      <c r="Z1146" s="2"/>
    </row>
    <row r="1147" spans="1:26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3"/>
      <c r="M1147" s="6"/>
      <c r="N1147" s="6"/>
      <c r="O1147" s="6"/>
      <c r="P1147" s="5"/>
      <c r="Q1147" s="9"/>
      <c r="R1147" s="5"/>
      <c r="S1147" s="5"/>
      <c r="T1147" s="5"/>
      <c r="U1147" s="5"/>
      <c r="V1147" s="5"/>
      <c r="W1147" s="5"/>
      <c r="X1147" s="5"/>
      <c r="Y1147" s="9"/>
      <c r="Z1147" s="2"/>
    </row>
    <row r="1148" spans="1:26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3"/>
      <c r="M1148" s="6"/>
      <c r="N1148" s="6"/>
      <c r="O1148" s="6"/>
      <c r="P1148" s="5"/>
      <c r="Q1148" s="9"/>
      <c r="R1148" s="5"/>
      <c r="S1148" s="5"/>
      <c r="T1148" s="5"/>
      <c r="U1148" s="5"/>
      <c r="V1148" s="5"/>
      <c r="W1148" s="5"/>
      <c r="X1148" s="5"/>
      <c r="Y1148" s="9"/>
      <c r="Z1148" s="2"/>
    </row>
    <row r="1149" spans="1:26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3"/>
      <c r="M1149" s="6"/>
      <c r="N1149" s="6"/>
      <c r="O1149" s="6"/>
      <c r="P1149" s="5"/>
      <c r="Q1149" s="9"/>
      <c r="R1149" s="5"/>
      <c r="S1149" s="5"/>
      <c r="T1149" s="5"/>
      <c r="U1149" s="5"/>
      <c r="V1149" s="5"/>
      <c r="W1149" s="5"/>
      <c r="X1149" s="5"/>
      <c r="Y1149" s="9"/>
      <c r="Z1149" s="2"/>
    </row>
    <row r="1150" spans="1:26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3"/>
      <c r="M1150" s="6"/>
      <c r="N1150" s="6"/>
      <c r="O1150" s="6"/>
      <c r="P1150" s="5"/>
      <c r="Q1150" s="9"/>
      <c r="R1150" s="5"/>
      <c r="S1150" s="5"/>
      <c r="T1150" s="5"/>
      <c r="U1150" s="5"/>
      <c r="V1150" s="5"/>
      <c r="W1150" s="5"/>
      <c r="X1150" s="5"/>
      <c r="Y1150" s="9"/>
      <c r="Z1150" s="2"/>
    </row>
    <row r="1151" spans="1:26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3"/>
      <c r="M1151" s="6"/>
      <c r="N1151" s="6"/>
      <c r="O1151" s="6"/>
      <c r="P1151" s="5"/>
      <c r="Q1151" s="9"/>
      <c r="R1151" s="5"/>
      <c r="S1151" s="5"/>
      <c r="T1151" s="5"/>
      <c r="U1151" s="5"/>
      <c r="V1151" s="5"/>
      <c r="W1151" s="5"/>
      <c r="X1151" s="5"/>
      <c r="Y1151" s="9"/>
      <c r="Z1151" s="2"/>
    </row>
    <row r="1152" spans="1:26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3"/>
      <c r="M1152" s="6"/>
      <c r="N1152" s="6"/>
      <c r="O1152" s="6"/>
      <c r="P1152" s="5"/>
      <c r="Q1152" s="9"/>
      <c r="R1152" s="5"/>
      <c r="S1152" s="5"/>
      <c r="T1152" s="5"/>
      <c r="U1152" s="5"/>
      <c r="V1152" s="5"/>
      <c r="W1152" s="5"/>
      <c r="X1152" s="5"/>
      <c r="Y1152" s="9"/>
      <c r="Z1152" s="2"/>
    </row>
    <row r="1153" spans="1:26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3"/>
      <c r="M1153" s="6"/>
      <c r="N1153" s="6"/>
      <c r="O1153" s="6"/>
      <c r="P1153" s="5"/>
      <c r="Q1153" s="9"/>
      <c r="R1153" s="5"/>
      <c r="S1153" s="5"/>
      <c r="T1153" s="5"/>
      <c r="U1153" s="5"/>
      <c r="V1153" s="5"/>
      <c r="W1153" s="5"/>
      <c r="X1153" s="5"/>
      <c r="Y1153" s="9"/>
      <c r="Z1153" s="2"/>
    </row>
    <row r="1154" spans="1:26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3"/>
      <c r="M1154" s="6"/>
      <c r="N1154" s="6"/>
      <c r="O1154" s="6"/>
      <c r="P1154" s="5"/>
      <c r="Q1154" s="9"/>
      <c r="R1154" s="5"/>
      <c r="S1154" s="5"/>
      <c r="T1154" s="5"/>
      <c r="U1154" s="5"/>
      <c r="V1154" s="5"/>
      <c r="W1154" s="5"/>
      <c r="X1154" s="5"/>
      <c r="Y1154" s="9"/>
      <c r="Z1154" s="2"/>
    </row>
    <row r="1155" spans="1:26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3"/>
      <c r="M1155" s="6"/>
      <c r="N1155" s="6"/>
      <c r="O1155" s="6"/>
      <c r="P1155" s="5"/>
      <c r="Q1155" s="9"/>
      <c r="R1155" s="5"/>
      <c r="S1155" s="5"/>
      <c r="T1155" s="5"/>
      <c r="U1155" s="5"/>
      <c r="V1155" s="5"/>
      <c r="W1155" s="5"/>
      <c r="X1155" s="5"/>
      <c r="Y1155" s="9"/>
      <c r="Z1155" s="2"/>
    </row>
    <row r="1156" spans="1:26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3"/>
      <c r="M1156" s="6"/>
      <c r="N1156" s="6"/>
      <c r="O1156" s="6"/>
      <c r="P1156" s="5"/>
      <c r="Q1156" s="9"/>
      <c r="R1156" s="5"/>
      <c r="S1156" s="5"/>
      <c r="T1156" s="5"/>
      <c r="U1156" s="5"/>
      <c r="V1156" s="5"/>
      <c r="W1156" s="5"/>
      <c r="X1156" s="5"/>
      <c r="Y1156" s="9"/>
      <c r="Z1156" s="2"/>
    </row>
    <row r="1157" spans="1:26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3"/>
      <c r="M1157" s="6"/>
      <c r="N1157" s="6"/>
      <c r="O1157" s="6"/>
      <c r="P1157" s="5"/>
      <c r="Q1157" s="9"/>
      <c r="R1157" s="5"/>
      <c r="S1157" s="5"/>
      <c r="T1157" s="5"/>
      <c r="U1157" s="5"/>
      <c r="V1157" s="5"/>
      <c r="W1157" s="5"/>
      <c r="X1157" s="5"/>
      <c r="Y1157" s="9"/>
      <c r="Z1157" s="2"/>
    </row>
    <row r="1158" spans="1:26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3"/>
      <c r="M1158" s="6"/>
      <c r="N1158" s="6"/>
      <c r="O1158" s="6"/>
      <c r="P1158" s="5"/>
      <c r="Q1158" s="9"/>
      <c r="R1158" s="5"/>
      <c r="S1158" s="5"/>
      <c r="T1158" s="5"/>
      <c r="U1158" s="5"/>
      <c r="V1158" s="5"/>
      <c r="W1158" s="5"/>
      <c r="X1158" s="5"/>
      <c r="Y1158" s="9"/>
      <c r="Z1158" s="2"/>
    </row>
    <row r="1159" spans="1:26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3"/>
      <c r="M1159" s="6"/>
      <c r="N1159" s="6"/>
      <c r="O1159" s="6"/>
      <c r="P1159" s="5"/>
      <c r="Q1159" s="9"/>
      <c r="R1159" s="5"/>
      <c r="S1159" s="5"/>
      <c r="T1159" s="5"/>
      <c r="U1159" s="5"/>
      <c r="V1159" s="5"/>
      <c r="W1159" s="5"/>
      <c r="X1159" s="5"/>
      <c r="Y1159" s="9"/>
      <c r="Z1159" s="2"/>
    </row>
    <row r="1160" spans="1:26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3"/>
      <c r="M1160" s="6"/>
      <c r="N1160" s="6"/>
      <c r="O1160" s="6"/>
      <c r="P1160" s="5"/>
      <c r="Q1160" s="9"/>
      <c r="R1160" s="5"/>
      <c r="S1160" s="5"/>
      <c r="T1160" s="5"/>
      <c r="U1160" s="5"/>
      <c r="V1160" s="5"/>
      <c r="W1160" s="5"/>
      <c r="X1160" s="5"/>
      <c r="Y1160" s="9"/>
      <c r="Z1160" s="2"/>
    </row>
    <row r="1161" spans="1:26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3"/>
      <c r="M1161" s="6"/>
      <c r="N1161" s="6"/>
      <c r="O1161" s="6"/>
      <c r="P1161" s="5"/>
      <c r="Q1161" s="9"/>
      <c r="R1161" s="5"/>
      <c r="S1161" s="5"/>
      <c r="T1161" s="5"/>
      <c r="U1161" s="5"/>
      <c r="V1161" s="5"/>
      <c r="W1161" s="5"/>
      <c r="X1161" s="5"/>
      <c r="Y1161" s="9"/>
      <c r="Z1161" s="2"/>
    </row>
    <row r="1162" spans="1:26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3"/>
      <c r="M1162" s="6"/>
      <c r="N1162" s="6"/>
      <c r="O1162" s="6"/>
      <c r="P1162" s="5"/>
      <c r="Q1162" s="9"/>
      <c r="R1162" s="5"/>
      <c r="S1162" s="5"/>
      <c r="T1162" s="5"/>
      <c r="U1162" s="5"/>
      <c r="V1162" s="5"/>
      <c r="W1162" s="5"/>
      <c r="X1162" s="5"/>
      <c r="Y1162" s="9"/>
      <c r="Z1162" s="2"/>
    </row>
    <row r="1163" spans="1:26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3"/>
      <c r="M1163" s="6"/>
      <c r="N1163" s="6"/>
      <c r="O1163" s="6"/>
      <c r="P1163" s="5"/>
      <c r="Q1163" s="9"/>
      <c r="R1163" s="5"/>
      <c r="S1163" s="5"/>
      <c r="T1163" s="5"/>
      <c r="U1163" s="5"/>
      <c r="V1163" s="5"/>
      <c r="W1163" s="5"/>
      <c r="X1163" s="5"/>
      <c r="Y1163" s="9"/>
      <c r="Z1163" s="2"/>
    </row>
    <row r="1164" spans="1:26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3"/>
      <c r="M1164" s="6"/>
      <c r="N1164" s="6"/>
      <c r="O1164" s="6"/>
      <c r="P1164" s="5"/>
      <c r="Q1164" s="9"/>
      <c r="R1164" s="5"/>
      <c r="S1164" s="5"/>
      <c r="T1164" s="5"/>
      <c r="U1164" s="5"/>
      <c r="V1164" s="5"/>
      <c r="W1164" s="5"/>
      <c r="X1164" s="5"/>
      <c r="Y1164" s="9"/>
      <c r="Z1164" s="2"/>
    </row>
    <row r="1165" spans="1:26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3"/>
      <c r="M1165" s="6"/>
      <c r="N1165" s="6"/>
      <c r="O1165" s="6"/>
      <c r="P1165" s="5"/>
      <c r="Q1165" s="9"/>
      <c r="R1165" s="5"/>
      <c r="S1165" s="5"/>
      <c r="T1165" s="5"/>
      <c r="U1165" s="5"/>
      <c r="V1165" s="5"/>
      <c r="W1165" s="5"/>
      <c r="X1165" s="5"/>
      <c r="Y1165" s="9"/>
      <c r="Z1165" s="2"/>
    </row>
    <row r="1166" spans="1:26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3"/>
      <c r="M1166" s="6"/>
      <c r="N1166" s="6"/>
      <c r="O1166" s="6"/>
      <c r="P1166" s="5"/>
      <c r="Q1166" s="9"/>
      <c r="R1166" s="5"/>
      <c r="S1166" s="5"/>
      <c r="T1166" s="5"/>
      <c r="U1166" s="5"/>
      <c r="V1166" s="5"/>
      <c r="W1166" s="5"/>
      <c r="X1166" s="5"/>
      <c r="Y1166" s="9"/>
      <c r="Z1166" s="2"/>
    </row>
    <row r="1167" spans="1:26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3"/>
      <c r="M1167" s="6"/>
      <c r="N1167" s="6"/>
      <c r="O1167" s="6"/>
      <c r="P1167" s="5"/>
      <c r="Q1167" s="9"/>
      <c r="R1167" s="5"/>
      <c r="S1167" s="5"/>
      <c r="T1167" s="5"/>
      <c r="U1167" s="5"/>
      <c r="V1167" s="5"/>
      <c r="W1167" s="5"/>
      <c r="X1167" s="5"/>
      <c r="Y1167" s="9"/>
      <c r="Z1167" s="2"/>
    </row>
    <row r="1168" spans="1:26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3"/>
      <c r="M1168" s="6"/>
      <c r="N1168" s="6"/>
      <c r="O1168" s="6"/>
      <c r="P1168" s="5"/>
      <c r="Q1168" s="9"/>
      <c r="R1168" s="5"/>
      <c r="S1168" s="5"/>
      <c r="T1168" s="5"/>
      <c r="U1168" s="5"/>
      <c r="V1168" s="5"/>
      <c r="W1168" s="5"/>
      <c r="X1168" s="5"/>
      <c r="Y1168" s="9"/>
      <c r="Z1168" s="2"/>
    </row>
    <row r="1169" spans="1:26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3"/>
      <c r="M1169" s="6"/>
      <c r="N1169" s="6"/>
      <c r="O1169" s="6"/>
      <c r="P1169" s="5"/>
      <c r="Q1169" s="9"/>
      <c r="R1169" s="5"/>
      <c r="S1169" s="5"/>
      <c r="T1169" s="5"/>
      <c r="U1169" s="5"/>
      <c r="V1169" s="5"/>
      <c r="W1169" s="5"/>
      <c r="X1169" s="5"/>
      <c r="Y1169" s="9"/>
      <c r="Z1169" s="2"/>
    </row>
    <row r="1170" spans="1:26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3"/>
      <c r="M1170" s="6"/>
      <c r="N1170" s="6"/>
      <c r="O1170" s="6"/>
      <c r="P1170" s="5"/>
      <c r="Q1170" s="9"/>
      <c r="R1170" s="5"/>
      <c r="S1170" s="5"/>
      <c r="T1170" s="5"/>
      <c r="U1170" s="5"/>
      <c r="V1170" s="5"/>
      <c r="W1170" s="5"/>
      <c r="X1170" s="5"/>
      <c r="Y1170" s="9"/>
      <c r="Z1170" s="2"/>
    </row>
    <row r="1171" spans="1:26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3"/>
      <c r="M1171" s="6"/>
      <c r="N1171" s="6"/>
      <c r="O1171" s="6"/>
      <c r="P1171" s="5"/>
      <c r="Q1171" s="9"/>
      <c r="R1171" s="5"/>
      <c r="S1171" s="5"/>
      <c r="T1171" s="5"/>
      <c r="U1171" s="5"/>
      <c r="V1171" s="5"/>
      <c r="W1171" s="5"/>
      <c r="X1171" s="5"/>
      <c r="Y1171" s="9"/>
      <c r="Z1171" s="2"/>
    </row>
    <row r="1172" spans="1:26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3"/>
      <c r="M1172" s="6"/>
      <c r="N1172" s="6"/>
      <c r="O1172" s="6"/>
      <c r="P1172" s="5"/>
      <c r="Q1172" s="9"/>
      <c r="R1172" s="5"/>
      <c r="S1172" s="5"/>
      <c r="T1172" s="5"/>
      <c r="U1172" s="5"/>
      <c r="V1172" s="5"/>
      <c r="W1172" s="5"/>
      <c r="X1172" s="5"/>
      <c r="Y1172" s="9"/>
      <c r="Z1172" s="2"/>
    </row>
    <row r="1173" spans="1:26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3"/>
      <c r="M1173" s="6"/>
      <c r="N1173" s="6"/>
      <c r="O1173" s="6"/>
      <c r="P1173" s="5"/>
      <c r="Q1173" s="9"/>
      <c r="R1173" s="5"/>
      <c r="S1173" s="5"/>
      <c r="T1173" s="5"/>
      <c r="U1173" s="5"/>
      <c r="V1173" s="5"/>
      <c r="W1173" s="5"/>
      <c r="X1173" s="5"/>
      <c r="Y1173" s="9"/>
      <c r="Z1173" s="2"/>
    </row>
    <row r="1174" spans="1:26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3"/>
      <c r="M1174" s="6"/>
      <c r="N1174" s="6"/>
      <c r="O1174" s="6"/>
      <c r="P1174" s="5"/>
      <c r="Q1174" s="9"/>
      <c r="R1174" s="5"/>
      <c r="S1174" s="5"/>
      <c r="T1174" s="5"/>
      <c r="U1174" s="5"/>
      <c r="V1174" s="5"/>
      <c r="W1174" s="5"/>
      <c r="X1174" s="5"/>
      <c r="Y1174" s="9"/>
      <c r="Z1174" s="2"/>
    </row>
    <row r="1175" spans="1:26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3"/>
      <c r="M1175" s="6"/>
      <c r="N1175" s="6"/>
      <c r="O1175" s="6"/>
      <c r="P1175" s="5"/>
      <c r="Q1175" s="9"/>
      <c r="R1175" s="5"/>
      <c r="S1175" s="5"/>
      <c r="T1175" s="5"/>
      <c r="U1175" s="5"/>
      <c r="V1175" s="5"/>
      <c r="W1175" s="5"/>
      <c r="X1175" s="5"/>
      <c r="Y1175" s="9"/>
      <c r="Z1175" s="2"/>
    </row>
    <row r="1176" spans="1:26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3"/>
      <c r="M1176" s="6"/>
      <c r="N1176" s="6"/>
      <c r="O1176" s="6"/>
      <c r="P1176" s="5"/>
      <c r="Q1176" s="9"/>
      <c r="R1176" s="5"/>
      <c r="S1176" s="5"/>
      <c r="T1176" s="5"/>
      <c r="U1176" s="5"/>
      <c r="V1176" s="5"/>
      <c r="W1176" s="5"/>
      <c r="X1176" s="5"/>
      <c r="Y1176" s="9"/>
      <c r="Z1176" s="2"/>
    </row>
    <row r="1177" spans="1:26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3"/>
      <c r="M1177" s="6"/>
      <c r="N1177" s="6"/>
      <c r="O1177" s="6"/>
      <c r="P1177" s="5"/>
      <c r="Q1177" s="9"/>
      <c r="R1177" s="5"/>
      <c r="S1177" s="5"/>
      <c r="T1177" s="5"/>
      <c r="U1177" s="5"/>
      <c r="V1177" s="5"/>
      <c r="W1177" s="5"/>
      <c r="X1177" s="5"/>
      <c r="Y1177" s="9"/>
      <c r="Z1177" s="2"/>
    </row>
    <row r="1178" spans="1:26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3"/>
      <c r="M1178" s="6"/>
      <c r="N1178" s="6"/>
      <c r="O1178" s="6"/>
      <c r="P1178" s="5"/>
      <c r="Q1178" s="9"/>
      <c r="R1178" s="5"/>
      <c r="S1178" s="5"/>
      <c r="T1178" s="5"/>
      <c r="U1178" s="5"/>
      <c r="V1178" s="5"/>
      <c r="W1178" s="5"/>
      <c r="X1178" s="5"/>
      <c r="Y1178" s="9"/>
      <c r="Z1178" s="2"/>
    </row>
    <row r="1179" spans="1:26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3"/>
      <c r="M1179" s="6"/>
      <c r="N1179" s="6"/>
      <c r="O1179" s="6"/>
      <c r="P1179" s="5"/>
      <c r="Q1179" s="9"/>
      <c r="R1179" s="5"/>
      <c r="S1179" s="5"/>
      <c r="T1179" s="5"/>
      <c r="U1179" s="5"/>
      <c r="V1179" s="5"/>
      <c r="W1179" s="5"/>
      <c r="X1179" s="5"/>
      <c r="Y1179" s="9"/>
      <c r="Z1179" s="2"/>
    </row>
    <row r="1180" spans="1:26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3"/>
      <c r="M1180" s="6"/>
      <c r="N1180" s="6"/>
      <c r="O1180" s="6"/>
      <c r="P1180" s="5"/>
      <c r="Q1180" s="9"/>
      <c r="R1180" s="5"/>
      <c r="S1180" s="5"/>
      <c r="T1180" s="5"/>
      <c r="U1180" s="5"/>
      <c r="V1180" s="5"/>
      <c r="W1180" s="5"/>
      <c r="X1180" s="5"/>
      <c r="Y1180" s="9"/>
      <c r="Z1180" s="2"/>
    </row>
    <row r="1181" spans="1:26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3"/>
      <c r="M1181" s="6"/>
      <c r="N1181" s="6"/>
      <c r="O1181" s="6"/>
      <c r="P1181" s="5"/>
      <c r="Q1181" s="9"/>
      <c r="R1181" s="5"/>
      <c r="S1181" s="5"/>
      <c r="T1181" s="5"/>
      <c r="U1181" s="5"/>
      <c r="V1181" s="5"/>
      <c r="W1181" s="5"/>
      <c r="X1181" s="5"/>
      <c r="Y1181" s="9"/>
      <c r="Z1181" s="2"/>
    </row>
    <row r="1182" spans="1:26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3"/>
      <c r="M1182" s="6"/>
      <c r="N1182" s="6"/>
      <c r="O1182" s="6"/>
      <c r="P1182" s="5"/>
      <c r="Q1182" s="9"/>
      <c r="R1182" s="5"/>
      <c r="S1182" s="5"/>
      <c r="T1182" s="5"/>
      <c r="U1182" s="5"/>
      <c r="V1182" s="5"/>
      <c r="W1182" s="5"/>
      <c r="X1182" s="5"/>
      <c r="Y1182" s="9"/>
      <c r="Z1182" s="2"/>
    </row>
    <row r="1183" spans="1:26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3"/>
      <c r="M1183" s="6"/>
      <c r="N1183" s="6"/>
      <c r="O1183" s="6"/>
      <c r="P1183" s="5"/>
      <c r="Q1183" s="9"/>
      <c r="R1183" s="5"/>
      <c r="S1183" s="5"/>
      <c r="T1183" s="5"/>
      <c r="U1183" s="5"/>
      <c r="V1183" s="5"/>
      <c r="W1183" s="5"/>
      <c r="X1183" s="5"/>
      <c r="Y1183" s="9"/>
      <c r="Z1183" s="2"/>
    </row>
    <row r="1184" spans="1:26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3"/>
      <c r="M1184" s="6"/>
      <c r="N1184" s="6"/>
      <c r="O1184" s="6"/>
      <c r="P1184" s="5"/>
      <c r="Q1184" s="9"/>
      <c r="R1184" s="5"/>
      <c r="S1184" s="5"/>
      <c r="T1184" s="5"/>
      <c r="U1184" s="5"/>
      <c r="V1184" s="5"/>
      <c r="W1184" s="5"/>
      <c r="X1184" s="5"/>
      <c r="Y1184" s="9"/>
      <c r="Z1184" s="2"/>
    </row>
    <row r="1185" spans="1:26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3"/>
      <c r="M1185" s="6"/>
      <c r="N1185" s="6"/>
      <c r="O1185" s="6"/>
      <c r="P1185" s="5"/>
      <c r="Q1185" s="9"/>
      <c r="R1185" s="5"/>
      <c r="S1185" s="5"/>
      <c r="T1185" s="5"/>
      <c r="U1185" s="5"/>
      <c r="V1185" s="5"/>
      <c r="W1185" s="5"/>
      <c r="X1185" s="5"/>
      <c r="Y1185" s="9"/>
      <c r="Z1185" s="2"/>
    </row>
    <row r="1186" spans="1:26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3"/>
      <c r="M1186" s="6"/>
      <c r="N1186" s="6"/>
      <c r="O1186" s="6"/>
      <c r="P1186" s="5"/>
      <c r="Q1186" s="9"/>
      <c r="R1186" s="5"/>
      <c r="S1186" s="5"/>
      <c r="T1186" s="5"/>
      <c r="U1186" s="5"/>
      <c r="V1186" s="5"/>
      <c r="W1186" s="5"/>
      <c r="X1186" s="5"/>
      <c r="Y1186" s="9"/>
      <c r="Z1186" s="2"/>
    </row>
    <row r="1187" spans="1:26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3"/>
      <c r="M1187" s="6"/>
      <c r="N1187" s="6"/>
      <c r="O1187" s="6"/>
      <c r="P1187" s="5"/>
      <c r="Q1187" s="9"/>
      <c r="R1187" s="5"/>
      <c r="S1187" s="5"/>
      <c r="T1187" s="5"/>
      <c r="U1187" s="5"/>
      <c r="V1187" s="5"/>
      <c r="W1187" s="5"/>
      <c r="X1187" s="5"/>
      <c r="Y1187" s="9"/>
      <c r="Z1187" s="2"/>
    </row>
    <row r="1188" spans="1:26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3"/>
      <c r="M1188" s="6"/>
      <c r="N1188" s="6"/>
      <c r="O1188" s="6"/>
      <c r="P1188" s="5"/>
      <c r="Q1188" s="9"/>
      <c r="R1188" s="5"/>
      <c r="S1188" s="5"/>
      <c r="T1188" s="5"/>
      <c r="U1188" s="5"/>
      <c r="V1188" s="5"/>
      <c r="W1188" s="5"/>
      <c r="X1188" s="5"/>
      <c r="Y1188" s="9"/>
      <c r="Z1188" s="2"/>
    </row>
    <row r="1189" spans="1:26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3"/>
      <c r="M1189" s="6"/>
      <c r="N1189" s="6"/>
      <c r="O1189" s="6"/>
      <c r="P1189" s="5"/>
      <c r="Q1189" s="9"/>
      <c r="R1189" s="5"/>
      <c r="S1189" s="5"/>
      <c r="T1189" s="5"/>
      <c r="U1189" s="5"/>
      <c r="V1189" s="5"/>
      <c r="W1189" s="5"/>
      <c r="X1189" s="5"/>
      <c r="Y1189" s="9"/>
      <c r="Z1189" s="2"/>
    </row>
    <row r="1190" spans="1:26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3"/>
      <c r="M1190" s="6"/>
      <c r="N1190" s="6"/>
      <c r="O1190" s="6"/>
      <c r="P1190" s="5"/>
      <c r="Q1190" s="9"/>
      <c r="R1190" s="5"/>
      <c r="S1190" s="5"/>
      <c r="T1190" s="5"/>
      <c r="U1190" s="5"/>
      <c r="V1190" s="5"/>
      <c r="W1190" s="5"/>
      <c r="X1190" s="5"/>
      <c r="Y1190" s="9"/>
      <c r="Z1190" s="2"/>
    </row>
    <row r="1191" spans="1:26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3"/>
      <c r="M1191" s="6"/>
      <c r="N1191" s="6"/>
      <c r="O1191" s="6"/>
      <c r="P1191" s="5"/>
      <c r="Q1191" s="9"/>
      <c r="R1191" s="5"/>
      <c r="S1191" s="5"/>
      <c r="T1191" s="5"/>
      <c r="U1191" s="5"/>
      <c r="V1191" s="5"/>
      <c r="W1191" s="5"/>
      <c r="X1191" s="5"/>
      <c r="Y1191" s="9"/>
      <c r="Z1191" s="2"/>
    </row>
    <row r="1192" spans="1:26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3"/>
      <c r="M1192" s="6"/>
      <c r="N1192" s="6"/>
      <c r="O1192" s="6"/>
      <c r="P1192" s="5"/>
      <c r="Q1192" s="9"/>
      <c r="R1192" s="5"/>
      <c r="S1192" s="5"/>
      <c r="T1192" s="5"/>
      <c r="U1192" s="5"/>
      <c r="V1192" s="5"/>
      <c r="W1192" s="5"/>
      <c r="X1192" s="5"/>
      <c r="Y1192" s="9"/>
      <c r="Z1192" s="2"/>
    </row>
    <row r="1193" spans="1:26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3"/>
      <c r="M1193" s="6"/>
      <c r="N1193" s="6"/>
      <c r="O1193" s="6"/>
      <c r="P1193" s="5"/>
      <c r="Q1193" s="9"/>
      <c r="R1193" s="5"/>
      <c r="S1193" s="5"/>
      <c r="T1193" s="5"/>
      <c r="U1193" s="5"/>
      <c r="V1193" s="5"/>
      <c r="W1193" s="5"/>
      <c r="X1193" s="5"/>
      <c r="Y1193" s="9"/>
      <c r="Z1193" s="2"/>
    </row>
    <row r="1194" spans="1:26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3"/>
      <c r="M1194" s="6"/>
      <c r="N1194" s="6"/>
      <c r="O1194" s="6"/>
      <c r="P1194" s="5"/>
      <c r="Q1194" s="9"/>
      <c r="R1194" s="5"/>
      <c r="S1194" s="5"/>
      <c r="T1194" s="5"/>
      <c r="U1194" s="5"/>
      <c r="V1194" s="5"/>
      <c r="W1194" s="5"/>
      <c r="X1194" s="5"/>
      <c r="Y1194" s="9"/>
      <c r="Z1194" s="2"/>
    </row>
    <row r="1195" spans="1:26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3"/>
      <c r="M1195" s="6"/>
      <c r="N1195" s="6"/>
      <c r="O1195" s="6"/>
      <c r="P1195" s="5"/>
      <c r="Q1195" s="9"/>
      <c r="R1195" s="5"/>
      <c r="S1195" s="5"/>
      <c r="T1195" s="5"/>
      <c r="U1195" s="5"/>
      <c r="V1195" s="5"/>
      <c r="W1195" s="5"/>
      <c r="X1195" s="5"/>
      <c r="Y1195" s="9"/>
      <c r="Z1195" s="2"/>
    </row>
    <row r="1196" spans="1:26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3"/>
      <c r="M1196" s="6"/>
      <c r="N1196" s="6"/>
      <c r="O1196" s="6"/>
      <c r="P1196" s="5"/>
      <c r="Q1196" s="9"/>
      <c r="R1196" s="5"/>
      <c r="S1196" s="5"/>
      <c r="T1196" s="5"/>
      <c r="U1196" s="5"/>
      <c r="V1196" s="5"/>
      <c r="W1196" s="5"/>
      <c r="X1196" s="5"/>
      <c r="Y1196" s="9"/>
      <c r="Z1196" s="2"/>
    </row>
    <row r="1197" spans="1:26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3"/>
      <c r="M1197" s="6"/>
      <c r="N1197" s="6"/>
      <c r="O1197" s="6"/>
      <c r="P1197" s="5"/>
      <c r="Q1197" s="9"/>
      <c r="R1197" s="5"/>
      <c r="S1197" s="5"/>
      <c r="T1197" s="5"/>
      <c r="U1197" s="5"/>
      <c r="V1197" s="5"/>
      <c r="W1197" s="5"/>
      <c r="X1197" s="5"/>
      <c r="Y1197" s="9"/>
      <c r="Z1197" s="2"/>
    </row>
    <row r="1198" spans="1:26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3"/>
      <c r="M1198" s="6"/>
      <c r="N1198" s="6"/>
      <c r="O1198" s="6"/>
      <c r="P1198" s="5"/>
      <c r="Q1198" s="9"/>
      <c r="R1198" s="5"/>
      <c r="S1198" s="5"/>
      <c r="T1198" s="5"/>
      <c r="U1198" s="5"/>
      <c r="V1198" s="5"/>
      <c r="W1198" s="5"/>
      <c r="X1198" s="5"/>
      <c r="Y1198" s="9"/>
      <c r="Z1198" s="2"/>
    </row>
    <row r="1199" spans="1:26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3"/>
      <c r="M1199" s="6"/>
      <c r="N1199" s="6"/>
      <c r="O1199" s="6"/>
      <c r="P1199" s="5"/>
      <c r="Q1199" s="9"/>
      <c r="R1199" s="5"/>
      <c r="S1199" s="5"/>
      <c r="T1199" s="5"/>
      <c r="U1199" s="5"/>
      <c r="V1199" s="5"/>
      <c r="W1199" s="5"/>
      <c r="X1199" s="5"/>
      <c r="Y1199" s="9"/>
      <c r="Z1199" s="2"/>
    </row>
    <row r="1200" spans="1:26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3"/>
      <c r="M1200" s="6"/>
      <c r="N1200" s="6"/>
      <c r="O1200" s="6"/>
      <c r="P1200" s="5"/>
      <c r="Q1200" s="9"/>
      <c r="R1200" s="5"/>
      <c r="S1200" s="5"/>
      <c r="T1200" s="5"/>
      <c r="U1200" s="5"/>
      <c r="V1200" s="5"/>
      <c r="W1200" s="5"/>
      <c r="X1200" s="5"/>
      <c r="Y1200" s="9"/>
      <c r="Z1200" s="2"/>
    </row>
    <row r="1201" spans="1:26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3"/>
      <c r="M1201" s="6"/>
      <c r="N1201" s="6"/>
      <c r="O1201" s="6"/>
      <c r="P1201" s="5"/>
      <c r="Q1201" s="9"/>
      <c r="R1201" s="5"/>
      <c r="S1201" s="5"/>
      <c r="T1201" s="5"/>
      <c r="U1201" s="5"/>
      <c r="V1201" s="5"/>
      <c r="W1201" s="5"/>
      <c r="X1201" s="5"/>
      <c r="Y1201" s="9"/>
      <c r="Z1201" s="2"/>
    </row>
    <row r="1202" spans="1:26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3"/>
      <c r="M1202" s="6"/>
      <c r="N1202" s="6"/>
      <c r="O1202" s="6"/>
      <c r="P1202" s="5"/>
      <c r="Q1202" s="9"/>
      <c r="R1202" s="5"/>
      <c r="S1202" s="5"/>
      <c r="T1202" s="5"/>
      <c r="U1202" s="5"/>
      <c r="V1202" s="5"/>
      <c r="W1202" s="5"/>
      <c r="X1202" s="5"/>
      <c r="Y1202" s="9"/>
      <c r="Z1202" s="2"/>
    </row>
    <row r="1203" spans="1:26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3"/>
      <c r="M1203" s="6"/>
      <c r="N1203" s="6"/>
      <c r="O1203" s="6"/>
      <c r="P1203" s="5"/>
      <c r="Q1203" s="9"/>
      <c r="R1203" s="5"/>
      <c r="S1203" s="5"/>
      <c r="T1203" s="5"/>
      <c r="U1203" s="5"/>
      <c r="V1203" s="5"/>
      <c r="W1203" s="5"/>
      <c r="X1203" s="5"/>
      <c r="Y1203" s="9"/>
      <c r="Z1203" s="2"/>
    </row>
    <row r="1204" spans="1:26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3"/>
      <c r="M1204" s="6"/>
      <c r="N1204" s="6"/>
      <c r="O1204" s="6"/>
      <c r="P1204" s="5"/>
      <c r="Q1204" s="9"/>
      <c r="R1204" s="5"/>
      <c r="S1204" s="5"/>
      <c r="T1204" s="5"/>
      <c r="U1204" s="5"/>
      <c r="V1204" s="5"/>
      <c r="W1204" s="5"/>
      <c r="X1204" s="5"/>
      <c r="Y1204" s="9"/>
      <c r="Z1204" s="2"/>
    </row>
    <row r="1205" spans="1:26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3"/>
      <c r="M1205" s="6"/>
      <c r="N1205" s="6"/>
      <c r="O1205" s="6"/>
      <c r="P1205" s="5"/>
      <c r="Q1205" s="9"/>
      <c r="R1205" s="5"/>
      <c r="S1205" s="5"/>
      <c r="T1205" s="5"/>
      <c r="U1205" s="5"/>
      <c r="V1205" s="5"/>
      <c r="W1205" s="5"/>
      <c r="X1205" s="5"/>
      <c r="Y1205" s="9"/>
      <c r="Z1205" s="2"/>
    </row>
    <row r="1206" spans="1:26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3"/>
      <c r="M1206" s="6"/>
      <c r="N1206" s="6"/>
      <c r="O1206" s="6"/>
      <c r="P1206" s="5"/>
      <c r="Q1206" s="9"/>
      <c r="R1206" s="5"/>
      <c r="S1206" s="5"/>
      <c r="T1206" s="5"/>
      <c r="U1206" s="5"/>
      <c r="V1206" s="5"/>
      <c r="W1206" s="5"/>
      <c r="X1206" s="5"/>
      <c r="Y1206" s="9"/>
      <c r="Z1206" s="2"/>
    </row>
    <row r="1207" spans="1:26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3"/>
      <c r="M1207" s="6"/>
      <c r="N1207" s="6"/>
      <c r="O1207" s="6"/>
      <c r="P1207" s="5"/>
      <c r="Q1207" s="9"/>
      <c r="R1207" s="5"/>
      <c r="S1207" s="5"/>
      <c r="T1207" s="5"/>
      <c r="U1207" s="5"/>
      <c r="V1207" s="5"/>
      <c r="W1207" s="5"/>
      <c r="X1207" s="5"/>
      <c r="Y1207" s="9"/>
      <c r="Z1207" s="2"/>
    </row>
    <row r="1208" spans="1:26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3"/>
      <c r="M1208" s="6"/>
      <c r="N1208" s="6"/>
      <c r="O1208" s="6"/>
      <c r="P1208" s="5"/>
      <c r="Q1208" s="9"/>
      <c r="R1208" s="5"/>
      <c r="S1208" s="5"/>
      <c r="T1208" s="5"/>
      <c r="U1208" s="5"/>
      <c r="V1208" s="5"/>
      <c r="W1208" s="5"/>
      <c r="X1208" s="5"/>
      <c r="Y1208" s="9"/>
      <c r="Z1208" s="2"/>
    </row>
    <row r="1209" spans="1:26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3"/>
      <c r="M1209" s="6"/>
      <c r="N1209" s="6"/>
      <c r="O1209" s="6"/>
      <c r="P1209" s="5"/>
      <c r="Q1209" s="9"/>
      <c r="R1209" s="5"/>
      <c r="S1209" s="5"/>
      <c r="T1209" s="5"/>
      <c r="U1209" s="5"/>
      <c r="V1209" s="5"/>
      <c r="W1209" s="5"/>
      <c r="X1209" s="5"/>
      <c r="Y1209" s="9"/>
      <c r="Z1209" s="2"/>
    </row>
    <row r="1210" spans="1:26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3"/>
      <c r="M1210" s="6"/>
      <c r="N1210" s="6"/>
      <c r="O1210" s="6"/>
      <c r="P1210" s="5"/>
      <c r="Q1210" s="9"/>
      <c r="R1210" s="5"/>
      <c r="S1210" s="5"/>
      <c r="T1210" s="5"/>
      <c r="U1210" s="5"/>
      <c r="V1210" s="5"/>
      <c r="W1210" s="5"/>
      <c r="X1210" s="5"/>
      <c r="Y1210" s="9"/>
      <c r="Z1210" s="2"/>
    </row>
    <row r="1211" spans="1:26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3"/>
      <c r="M1211" s="6"/>
      <c r="N1211" s="6"/>
      <c r="O1211" s="6"/>
      <c r="P1211" s="5"/>
      <c r="Q1211" s="9"/>
      <c r="R1211" s="5"/>
      <c r="S1211" s="5"/>
      <c r="T1211" s="5"/>
      <c r="U1211" s="5"/>
      <c r="V1211" s="5"/>
      <c r="W1211" s="5"/>
      <c r="X1211" s="5"/>
      <c r="Y1211" s="9"/>
      <c r="Z1211" s="2"/>
    </row>
    <row r="1212" spans="1:26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3"/>
      <c r="M1212" s="6"/>
      <c r="N1212" s="6"/>
      <c r="O1212" s="6"/>
      <c r="P1212" s="5"/>
      <c r="Q1212" s="9"/>
      <c r="R1212" s="5"/>
      <c r="S1212" s="5"/>
      <c r="T1212" s="5"/>
      <c r="U1212" s="5"/>
      <c r="V1212" s="5"/>
      <c r="W1212" s="5"/>
      <c r="X1212" s="5"/>
      <c r="Y1212" s="9"/>
      <c r="Z1212" s="2"/>
    </row>
    <row r="1213" spans="1:26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3"/>
      <c r="M1213" s="6"/>
      <c r="N1213" s="6"/>
      <c r="O1213" s="6"/>
      <c r="P1213" s="5"/>
      <c r="Q1213" s="9"/>
      <c r="R1213" s="5"/>
      <c r="S1213" s="5"/>
      <c r="T1213" s="5"/>
      <c r="U1213" s="5"/>
      <c r="V1213" s="5"/>
      <c r="W1213" s="5"/>
      <c r="X1213" s="5"/>
      <c r="Y1213" s="9"/>
      <c r="Z1213" s="2"/>
    </row>
    <row r="1214" spans="1:26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3"/>
      <c r="M1214" s="6"/>
      <c r="N1214" s="6"/>
      <c r="O1214" s="6"/>
      <c r="P1214" s="5"/>
      <c r="Q1214" s="9"/>
      <c r="R1214" s="5"/>
      <c r="S1214" s="5"/>
      <c r="T1214" s="5"/>
      <c r="U1214" s="5"/>
      <c r="V1214" s="5"/>
      <c r="W1214" s="5"/>
      <c r="X1214" s="5"/>
      <c r="Y1214" s="9"/>
      <c r="Z1214" s="2"/>
    </row>
    <row r="1215" spans="1:26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3"/>
      <c r="M1215" s="6"/>
      <c r="N1215" s="6"/>
      <c r="O1215" s="6"/>
      <c r="P1215" s="5"/>
      <c r="Q1215" s="9"/>
      <c r="R1215" s="5"/>
      <c r="S1215" s="5"/>
      <c r="T1215" s="5"/>
      <c r="U1215" s="5"/>
      <c r="V1215" s="5"/>
      <c r="W1215" s="5"/>
      <c r="X1215" s="5"/>
      <c r="Y1215" s="9"/>
      <c r="Z1215" s="2"/>
    </row>
    <row r="1216" spans="1:26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3"/>
      <c r="M1216" s="6"/>
      <c r="N1216" s="6"/>
      <c r="O1216" s="6"/>
      <c r="P1216" s="5"/>
      <c r="Q1216" s="9"/>
      <c r="R1216" s="5"/>
      <c r="S1216" s="5"/>
      <c r="T1216" s="5"/>
      <c r="U1216" s="5"/>
      <c r="V1216" s="5"/>
      <c r="W1216" s="5"/>
      <c r="X1216" s="5"/>
      <c r="Y1216" s="9"/>
      <c r="Z1216" s="2"/>
    </row>
    <row r="1217" spans="1:26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3"/>
      <c r="M1217" s="6"/>
      <c r="N1217" s="6"/>
      <c r="O1217" s="6"/>
      <c r="P1217" s="5"/>
      <c r="Q1217" s="9"/>
      <c r="R1217" s="5"/>
      <c r="S1217" s="5"/>
      <c r="T1217" s="5"/>
      <c r="U1217" s="5"/>
      <c r="V1217" s="5"/>
      <c r="W1217" s="5"/>
      <c r="X1217" s="5"/>
      <c r="Y1217" s="9"/>
      <c r="Z1217" s="2"/>
    </row>
    <row r="1218" spans="1:26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3"/>
      <c r="M1218" s="6"/>
      <c r="N1218" s="6"/>
      <c r="O1218" s="6"/>
      <c r="P1218" s="5"/>
      <c r="Q1218" s="9"/>
      <c r="R1218" s="5"/>
      <c r="S1218" s="5"/>
      <c r="T1218" s="5"/>
      <c r="U1218" s="5"/>
      <c r="V1218" s="5"/>
      <c r="W1218" s="5"/>
      <c r="X1218" s="5"/>
      <c r="Y1218" s="9"/>
      <c r="Z1218" s="2"/>
    </row>
    <row r="1219" spans="1:26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3"/>
      <c r="M1219" s="6"/>
      <c r="N1219" s="6"/>
      <c r="O1219" s="6"/>
      <c r="P1219" s="5"/>
      <c r="Q1219" s="9"/>
      <c r="R1219" s="5"/>
      <c r="S1219" s="5"/>
      <c r="T1219" s="5"/>
      <c r="U1219" s="5"/>
      <c r="V1219" s="5"/>
      <c r="W1219" s="5"/>
      <c r="X1219" s="5"/>
      <c r="Y1219" s="9"/>
      <c r="Z1219" s="2"/>
    </row>
    <row r="1220" spans="1:26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3"/>
      <c r="M1220" s="6"/>
      <c r="N1220" s="6"/>
      <c r="O1220" s="6"/>
      <c r="P1220" s="5"/>
      <c r="Q1220" s="9"/>
      <c r="R1220" s="5"/>
      <c r="S1220" s="5"/>
      <c r="T1220" s="5"/>
      <c r="U1220" s="5"/>
      <c r="V1220" s="5"/>
      <c r="W1220" s="5"/>
      <c r="X1220" s="5"/>
      <c r="Y1220" s="9"/>
      <c r="Z1220" s="2"/>
    </row>
    <row r="1221" spans="1:26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3"/>
      <c r="M1221" s="6"/>
      <c r="N1221" s="6"/>
      <c r="O1221" s="6"/>
      <c r="P1221" s="5"/>
      <c r="Q1221" s="9"/>
      <c r="R1221" s="5"/>
      <c r="S1221" s="5"/>
      <c r="T1221" s="5"/>
      <c r="U1221" s="5"/>
      <c r="V1221" s="5"/>
      <c r="W1221" s="5"/>
      <c r="X1221" s="5"/>
      <c r="Y1221" s="9"/>
      <c r="Z1221" s="2"/>
    </row>
    <row r="1222" spans="1:26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3"/>
      <c r="M1222" s="6"/>
      <c r="N1222" s="6"/>
      <c r="O1222" s="6"/>
      <c r="P1222" s="5"/>
      <c r="Q1222" s="9"/>
      <c r="R1222" s="5"/>
      <c r="S1222" s="5"/>
      <c r="T1222" s="5"/>
      <c r="U1222" s="5"/>
      <c r="V1222" s="5"/>
      <c r="W1222" s="5"/>
      <c r="X1222" s="5"/>
      <c r="Y1222" s="9"/>
      <c r="Z1222" s="2"/>
    </row>
    <row r="1223" spans="1:26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3"/>
      <c r="M1223" s="6"/>
      <c r="N1223" s="6"/>
      <c r="O1223" s="6"/>
      <c r="P1223" s="5"/>
      <c r="Q1223" s="9"/>
      <c r="R1223" s="5"/>
      <c r="S1223" s="5"/>
      <c r="T1223" s="5"/>
      <c r="U1223" s="5"/>
      <c r="V1223" s="5"/>
      <c r="W1223" s="5"/>
      <c r="X1223" s="5"/>
      <c r="Y1223" s="9"/>
      <c r="Z1223" s="2"/>
    </row>
    <row r="1224" spans="1:26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3"/>
      <c r="M1224" s="6"/>
      <c r="N1224" s="6"/>
      <c r="O1224" s="6"/>
      <c r="P1224" s="5"/>
      <c r="Q1224" s="9"/>
      <c r="R1224" s="5"/>
      <c r="S1224" s="5"/>
      <c r="T1224" s="5"/>
      <c r="U1224" s="5"/>
      <c r="V1224" s="5"/>
      <c r="W1224" s="5"/>
      <c r="X1224" s="5"/>
      <c r="Y1224" s="9"/>
      <c r="Z1224" s="2"/>
    </row>
    <row r="1225" spans="1:26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3"/>
      <c r="M1225" s="6"/>
      <c r="N1225" s="6"/>
      <c r="O1225" s="6"/>
      <c r="P1225" s="5"/>
      <c r="Q1225" s="9"/>
      <c r="R1225" s="5"/>
      <c r="S1225" s="5"/>
      <c r="T1225" s="5"/>
      <c r="U1225" s="5"/>
      <c r="V1225" s="5"/>
      <c r="W1225" s="5"/>
      <c r="X1225" s="5"/>
      <c r="Y1225" s="9"/>
      <c r="Z1225" s="2"/>
    </row>
    <row r="1226" spans="1:26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3"/>
      <c r="M1226" s="6"/>
      <c r="N1226" s="6"/>
      <c r="O1226" s="6"/>
      <c r="P1226" s="5"/>
      <c r="Q1226" s="9"/>
      <c r="R1226" s="5"/>
      <c r="S1226" s="5"/>
      <c r="T1226" s="5"/>
      <c r="U1226" s="5"/>
      <c r="V1226" s="5"/>
      <c r="W1226" s="5"/>
      <c r="X1226" s="5"/>
      <c r="Y1226" s="9"/>
      <c r="Z1226" s="2"/>
    </row>
    <row r="1227" spans="1:26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3"/>
      <c r="M1227" s="6"/>
      <c r="N1227" s="6"/>
      <c r="O1227" s="6"/>
      <c r="P1227" s="5"/>
      <c r="Q1227" s="9"/>
      <c r="R1227" s="5"/>
      <c r="S1227" s="5"/>
      <c r="T1227" s="5"/>
      <c r="U1227" s="5"/>
      <c r="V1227" s="5"/>
      <c r="W1227" s="5"/>
      <c r="X1227" s="5"/>
      <c r="Y1227" s="9"/>
      <c r="Z1227" s="2"/>
    </row>
    <row r="1228" spans="1:26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3"/>
      <c r="M1228" s="6"/>
      <c r="N1228" s="6"/>
      <c r="O1228" s="6"/>
      <c r="P1228" s="5"/>
      <c r="Q1228" s="9"/>
      <c r="R1228" s="5"/>
      <c r="S1228" s="5"/>
      <c r="T1228" s="5"/>
      <c r="U1228" s="5"/>
      <c r="V1228" s="5"/>
      <c r="W1228" s="5"/>
      <c r="X1228" s="5"/>
      <c r="Y1228" s="9"/>
      <c r="Z1228" s="2"/>
    </row>
    <row r="1229" spans="1:26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3"/>
      <c r="M1229" s="6"/>
      <c r="N1229" s="6"/>
      <c r="O1229" s="6"/>
      <c r="P1229" s="5"/>
      <c r="Q1229" s="9"/>
      <c r="R1229" s="5"/>
      <c r="S1229" s="5"/>
      <c r="T1229" s="5"/>
      <c r="U1229" s="5"/>
      <c r="V1229" s="5"/>
      <c r="W1229" s="5"/>
      <c r="X1229" s="5"/>
      <c r="Y1229" s="9"/>
      <c r="Z1229" s="2"/>
    </row>
    <row r="1230" spans="1:26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3"/>
      <c r="M1230" s="6"/>
      <c r="N1230" s="6"/>
      <c r="O1230" s="6"/>
      <c r="P1230" s="5"/>
      <c r="Q1230" s="9"/>
      <c r="R1230" s="5"/>
      <c r="S1230" s="5"/>
      <c r="T1230" s="5"/>
      <c r="U1230" s="5"/>
      <c r="V1230" s="5"/>
      <c r="W1230" s="5"/>
      <c r="X1230" s="5"/>
      <c r="Y1230" s="9"/>
      <c r="Z1230" s="2"/>
    </row>
    <row r="1231" spans="1:26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3"/>
      <c r="M1231" s="6"/>
      <c r="N1231" s="6"/>
      <c r="O1231" s="6"/>
      <c r="P1231" s="5"/>
      <c r="Q1231" s="9"/>
      <c r="R1231" s="5"/>
      <c r="S1231" s="5"/>
      <c r="T1231" s="5"/>
      <c r="U1231" s="5"/>
      <c r="V1231" s="5"/>
      <c r="W1231" s="5"/>
      <c r="X1231" s="5"/>
      <c r="Y1231" s="9"/>
      <c r="Z1231" s="2"/>
    </row>
    <row r="1232" spans="1:26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3"/>
      <c r="M1232" s="6"/>
      <c r="N1232" s="6"/>
      <c r="O1232" s="6"/>
      <c r="P1232" s="5"/>
      <c r="Q1232" s="9"/>
      <c r="R1232" s="5"/>
      <c r="S1232" s="5"/>
      <c r="T1232" s="5"/>
      <c r="U1232" s="5"/>
      <c r="V1232" s="5"/>
      <c r="W1232" s="5"/>
      <c r="X1232" s="5"/>
      <c r="Y1232" s="9"/>
      <c r="Z1232" s="2"/>
    </row>
    <row r="1233" spans="1:26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3"/>
      <c r="M1233" s="6"/>
      <c r="N1233" s="6"/>
      <c r="O1233" s="6"/>
      <c r="P1233" s="5"/>
      <c r="Q1233" s="9"/>
      <c r="R1233" s="5"/>
      <c r="S1233" s="5"/>
      <c r="T1233" s="5"/>
      <c r="U1233" s="5"/>
      <c r="V1233" s="5"/>
      <c r="W1233" s="5"/>
      <c r="X1233" s="5"/>
      <c r="Y1233" s="9"/>
      <c r="Z1233" s="2"/>
    </row>
    <row r="1234" spans="1:26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3"/>
      <c r="M1234" s="6"/>
      <c r="N1234" s="6"/>
      <c r="O1234" s="6"/>
      <c r="P1234" s="5"/>
      <c r="Q1234" s="9"/>
      <c r="R1234" s="5"/>
      <c r="S1234" s="5"/>
      <c r="T1234" s="5"/>
      <c r="U1234" s="5"/>
      <c r="V1234" s="5"/>
      <c r="W1234" s="5"/>
      <c r="X1234" s="5"/>
      <c r="Y1234" s="9"/>
      <c r="Z1234" s="2"/>
    </row>
    <row r="1235" spans="1:26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3"/>
      <c r="M1235" s="6"/>
      <c r="N1235" s="6"/>
      <c r="O1235" s="6"/>
      <c r="P1235" s="5"/>
      <c r="Q1235" s="9"/>
      <c r="R1235" s="5"/>
      <c r="S1235" s="5"/>
      <c r="T1235" s="5"/>
      <c r="U1235" s="5"/>
      <c r="V1235" s="5"/>
      <c r="W1235" s="5"/>
      <c r="X1235" s="5"/>
      <c r="Y1235" s="9"/>
      <c r="Z1235" s="2"/>
    </row>
    <row r="1236" spans="1:26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3"/>
      <c r="M1236" s="6"/>
      <c r="N1236" s="6"/>
      <c r="O1236" s="6"/>
      <c r="P1236" s="5"/>
      <c r="Q1236" s="9"/>
      <c r="R1236" s="5"/>
      <c r="S1236" s="5"/>
      <c r="T1236" s="5"/>
      <c r="U1236" s="5"/>
      <c r="V1236" s="5"/>
      <c r="W1236" s="5"/>
      <c r="X1236" s="5"/>
      <c r="Y1236" s="9"/>
      <c r="Z1236" s="2"/>
    </row>
    <row r="1237" spans="1:26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3"/>
      <c r="M1237" s="6"/>
      <c r="N1237" s="6"/>
      <c r="O1237" s="6"/>
      <c r="P1237" s="5"/>
      <c r="Q1237" s="9"/>
      <c r="R1237" s="5"/>
      <c r="S1237" s="5"/>
      <c r="T1237" s="5"/>
      <c r="U1237" s="5"/>
      <c r="V1237" s="5"/>
      <c r="W1237" s="5"/>
      <c r="X1237" s="5"/>
      <c r="Y1237" s="9"/>
      <c r="Z1237" s="2"/>
    </row>
    <row r="1238" spans="1:26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3"/>
      <c r="M1238" s="6"/>
      <c r="N1238" s="6"/>
      <c r="O1238" s="6"/>
      <c r="P1238" s="5"/>
      <c r="Q1238" s="9"/>
      <c r="R1238" s="5"/>
      <c r="S1238" s="5"/>
      <c r="T1238" s="5"/>
      <c r="U1238" s="5"/>
      <c r="V1238" s="5"/>
      <c r="W1238" s="5"/>
      <c r="X1238" s="5"/>
      <c r="Y1238" s="9"/>
      <c r="Z1238" s="2"/>
    </row>
    <row r="1239" spans="1:26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3"/>
      <c r="M1239" s="6"/>
      <c r="N1239" s="6"/>
      <c r="O1239" s="6"/>
      <c r="P1239" s="5"/>
      <c r="Q1239" s="9"/>
      <c r="R1239" s="5"/>
      <c r="S1239" s="5"/>
      <c r="T1239" s="5"/>
      <c r="U1239" s="5"/>
      <c r="V1239" s="5"/>
      <c r="W1239" s="5"/>
      <c r="X1239" s="5"/>
      <c r="Y1239" s="9"/>
      <c r="Z1239" s="2"/>
    </row>
    <row r="1240" spans="1:26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3"/>
      <c r="M1240" s="6"/>
      <c r="N1240" s="6"/>
      <c r="O1240" s="6"/>
      <c r="P1240" s="5"/>
      <c r="Q1240" s="9"/>
      <c r="R1240" s="5"/>
      <c r="S1240" s="5"/>
      <c r="T1240" s="5"/>
      <c r="U1240" s="5"/>
      <c r="V1240" s="5"/>
      <c r="W1240" s="5"/>
      <c r="X1240" s="5"/>
      <c r="Y1240" s="9"/>
      <c r="Z1240" s="2"/>
    </row>
    <row r="1241" spans="1:26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3"/>
      <c r="M1241" s="6"/>
      <c r="N1241" s="6"/>
      <c r="O1241" s="6"/>
      <c r="P1241" s="5"/>
      <c r="Q1241" s="9"/>
      <c r="R1241" s="5"/>
      <c r="S1241" s="5"/>
      <c r="T1241" s="5"/>
      <c r="U1241" s="5"/>
      <c r="V1241" s="5"/>
      <c r="W1241" s="5"/>
      <c r="X1241" s="5"/>
      <c r="Y1241" s="9"/>
      <c r="Z1241" s="2"/>
    </row>
    <row r="1242" spans="1:26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3"/>
      <c r="M1242" s="6"/>
      <c r="N1242" s="6"/>
      <c r="O1242" s="6"/>
      <c r="P1242" s="5"/>
      <c r="Q1242" s="9"/>
      <c r="R1242" s="5"/>
      <c r="S1242" s="5"/>
      <c r="T1242" s="5"/>
      <c r="U1242" s="5"/>
      <c r="V1242" s="5"/>
      <c r="W1242" s="5"/>
      <c r="X1242" s="5"/>
      <c r="Y1242" s="9"/>
      <c r="Z1242" s="2"/>
    </row>
    <row r="1243" spans="1:26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3"/>
      <c r="M1243" s="6"/>
      <c r="N1243" s="6"/>
      <c r="O1243" s="6"/>
      <c r="P1243" s="5"/>
      <c r="Q1243" s="9"/>
      <c r="R1243" s="5"/>
      <c r="S1243" s="5"/>
      <c r="T1243" s="5"/>
      <c r="U1243" s="5"/>
      <c r="V1243" s="5"/>
      <c r="W1243" s="5"/>
      <c r="X1243" s="5"/>
      <c r="Y1243" s="9"/>
      <c r="Z1243" s="2"/>
    </row>
    <row r="1244" spans="1:26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3"/>
      <c r="M1244" s="6"/>
      <c r="N1244" s="6"/>
      <c r="O1244" s="6"/>
      <c r="P1244" s="5"/>
      <c r="Q1244" s="9"/>
      <c r="R1244" s="5"/>
      <c r="S1244" s="5"/>
      <c r="T1244" s="5"/>
      <c r="U1244" s="5"/>
      <c r="V1244" s="5"/>
      <c r="W1244" s="5"/>
      <c r="X1244" s="5"/>
      <c r="Y1244" s="9"/>
      <c r="Z1244" s="2"/>
    </row>
    <row r="1245" spans="1:26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3"/>
      <c r="M1245" s="6"/>
      <c r="N1245" s="6"/>
      <c r="O1245" s="6"/>
      <c r="P1245" s="5"/>
      <c r="Q1245" s="9"/>
      <c r="R1245" s="5"/>
      <c r="S1245" s="5"/>
      <c r="T1245" s="5"/>
      <c r="U1245" s="5"/>
      <c r="V1245" s="5"/>
      <c r="W1245" s="5"/>
      <c r="X1245" s="5"/>
      <c r="Y1245" s="9"/>
      <c r="Z1245" s="2"/>
    </row>
    <row r="1246" spans="1:26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3"/>
      <c r="M1246" s="6"/>
      <c r="N1246" s="6"/>
      <c r="O1246" s="6"/>
      <c r="P1246" s="5"/>
      <c r="Q1246" s="9"/>
      <c r="R1246" s="5"/>
      <c r="S1246" s="5"/>
      <c r="T1246" s="5"/>
      <c r="U1246" s="5"/>
      <c r="V1246" s="5"/>
      <c r="W1246" s="5"/>
      <c r="X1246" s="5"/>
      <c r="Y1246" s="9"/>
      <c r="Z1246" s="2"/>
    </row>
    <row r="1247" spans="1:26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3"/>
      <c r="M1247" s="6"/>
      <c r="N1247" s="6"/>
      <c r="O1247" s="6"/>
      <c r="P1247" s="5"/>
      <c r="Q1247" s="9"/>
      <c r="R1247" s="5"/>
      <c r="S1247" s="5"/>
      <c r="T1247" s="5"/>
      <c r="U1247" s="5"/>
      <c r="V1247" s="5"/>
      <c r="W1247" s="5"/>
      <c r="X1247" s="5"/>
      <c r="Y1247" s="9"/>
      <c r="Z1247" s="2"/>
    </row>
    <row r="1248" spans="1:26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3"/>
      <c r="M1248" s="6"/>
      <c r="N1248" s="6"/>
      <c r="O1248" s="6"/>
      <c r="P1248" s="5"/>
      <c r="Q1248" s="9"/>
      <c r="R1248" s="5"/>
      <c r="S1248" s="5"/>
      <c r="T1248" s="5"/>
      <c r="U1248" s="5"/>
      <c r="V1248" s="5"/>
      <c r="W1248" s="5"/>
      <c r="X1248" s="5"/>
      <c r="Y1248" s="9"/>
      <c r="Z1248" s="2"/>
    </row>
    <row r="1249" spans="1:26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3"/>
      <c r="M1249" s="6"/>
      <c r="N1249" s="6"/>
      <c r="O1249" s="6"/>
      <c r="P1249" s="5"/>
      <c r="Q1249" s="9"/>
      <c r="R1249" s="5"/>
      <c r="S1249" s="5"/>
      <c r="T1249" s="5"/>
      <c r="U1249" s="5"/>
      <c r="V1249" s="5"/>
      <c r="W1249" s="5"/>
      <c r="X1249" s="5"/>
      <c r="Y1249" s="9"/>
      <c r="Z1249" s="2"/>
    </row>
    <row r="1250" spans="1:26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3"/>
      <c r="M1250" s="6"/>
      <c r="N1250" s="6"/>
      <c r="O1250" s="6"/>
      <c r="P1250" s="5"/>
      <c r="Q1250" s="9"/>
      <c r="R1250" s="5"/>
      <c r="S1250" s="5"/>
      <c r="T1250" s="5"/>
      <c r="U1250" s="5"/>
      <c r="V1250" s="5"/>
      <c r="W1250" s="5"/>
      <c r="X1250" s="5"/>
      <c r="Y1250" s="9"/>
      <c r="Z1250" s="2"/>
    </row>
    <row r="1251" spans="1:26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3"/>
      <c r="M1251" s="6"/>
      <c r="N1251" s="6"/>
      <c r="O1251" s="6"/>
      <c r="P1251" s="5"/>
      <c r="Q1251" s="9"/>
      <c r="R1251" s="5"/>
      <c r="S1251" s="5"/>
      <c r="T1251" s="5"/>
      <c r="U1251" s="5"/>
      <c r="V1251" s="5"/>
      <c r="W1251" s="5"/>
      <c r="X1251" s="5"/>
      <c r="Y1251" s="9"/>
      <c r="Z1251" s="2"/>
    </row>
    <row r="1252" spans="1:26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3"/>
      <c r="M1252" s="6"/>
      <c r="N1252" s="6"/>
      <c r="O1252" s="6"/>
      <c r="P1252" s="5"/>
      <c r="Q1252" s="9"/>
      <c r="R1252" s="5"/>
      <c r="S1252" s="5"/>
      <c r="T1252" s="5"/>
      <c r="U1252" s="5"/>
      <c r="V1252" s="5"/>
      <c r="W1252" s="5"/>
      <c r="X1252" s="5"/>
      <c r="Y1252" s="9"/>
      <c r="Z1252" s="2"/>
    </row>
    <row r="1253" spans="1:26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3"/>
      <c r="M1253" s="6"/>
      <c r="N1253" s="6"/>
      <c r="O1253" s="6"/>
      <c r="P1253" s="5"/>
      <c r="Q1253" s="9"/>
      <c r="R1253" s="5"/>
      <c r="S1253" s="5"/>
      <c r="T1253" s="5"/>
      <c r="U1253" s="5"/>
      <c r="V1253" s="5"/>
      <c r="W1253" s="5"/>
      <c r="X1253" s="5"/>
      <c r="Y1253" s="9"/>
      <c r="Z1253" s="2"/>
    </row>
    <row r="1254" spans="1:26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3"/>
      <c r="M1254" s="6"/>
      <c r="N1254" s="6"/>
      <c r="O1254" s="6"/>
      <c r="P1254" s="5"/>
      <c r="Q1254" s="9"/>
      <c r="R1254" s="5"/>
      <c r="S1254" s="5"/>
      <c r="T1254" s="5"/>
      <c r="U1254" s="5"/>
      <c r="V1254" s="5"/>
      <c r="W1254" s="5"/>
      <c r="X1254" s="5"/>
      <c r="Y1254" s="9"/>
      <c r="Z1254" s="2"/>
    </row>
    <row r="1255" spans="1:26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3"/>
      <c r="M1255" s="6"/>
      <c r="N1255" s="6"/>
      <c r="O1255" s="6"/>
      <c r="P1255" s="5"/>
      <c r="Q1255" s="9"/>
      <c r="R1255" s="5"/>
      <c r="S1255" s="5"/>
      <c r="T1255" s="5"/>
      <c r="U1255" s="5"/>
      <c r="V1255" s="5"/>
      <c r="W1255" s="5"/>
      <c r="X1255" s="5"/>
      <c r="Y1255" s="9"/>
      <c r="Z1255" s="2"/>
    </row>
    <row r="1256" spans="1:26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3"/>
      <c r="M1256" s="6"/>
      <c r="N1256" s="6"/>
      <c r="O1256" s="6"/>
      <c r="P1256" s="5"/>
      <c r="Q1256" s="9"/>
      <c r="R1256" s="5"/>
      <c r="S1256" s="5"/>
      <c r="T1256" s="5"/>
      <c r="U1256" s="5"/>
      <c r="V1256" s="5"/>
      <c r="W1256" s="5"/>
      <c r="X1256" s="5"/>
      <c r="Y1256" s="9"/>
      <c r="Z1256" s="2"/>
    </row>
    <row r="1257" spans="1:26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3"/>
      <c r="M1257" s="6"/>
      <c r="N1257" s="6"/>
      <c r="O1257" s="6"/>
      <c r="P1257" s="5"/>
      <c r="Q1257" s="9"/>
      <c r="R1257" s="5"/>
      <c r="S1257" s="5"/>
      <c r="T1257" s="5"/>
      <c r="U1257" s="5"/>
      <c r="V1257" s="5"/>
      <c r="W1257" s="5"/>
      <c r="X1257" s="5"/>
      <c r="Y1257" s="9"/>
      <c r="Z1257" s="2"/>
    </row>
    <row r="1258" spans="1:26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3"/>
      <c r="M1258" s="6"/>
      <c r="N1258" s="6"/>
      <c r="O1258" s="6"/>
      <c r="P1258" s="5"/>
      <c r="Q1258" s="9"/>
      <c r="R1258" s="5"/>
      <c r="S1258" s="5"/>
      <c r="T1258" s="5"/>
      <c r="U1258" s="5"/>
      <c r="V1258" s="5"/>
      <c r="W1258" s="5"/>
      <c r="X1258" s="5"/>
      <c r="Y1258" s="9"/>
      <c r="Z1258" s="2"/>
    </row>
    <row r="1259" spans="1:26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3"/>
      <c r="M1259" s="6"/>
      <c r="N1259" s="6"/>
      <c r="O1259" s="6"/>
      <c r="P1259" s="5"/>
      <c r="Q1259" s="9"/>
      <c r="R1259" s="5"/>
      <c r="S1259" s="5"/>
      <c r="T1259" s="5"/>
      <c r="U1259" s="5"/>
      <c r="V1259" s="5"/>
      <c r="W1259" s="5"/>
      <c r="X1259" s="5"/>
      <c r="Y1259" s="9"/>
      <c r="Z1259" s="2"/>
    </row>
    <row r="1260" spans="1:26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3"/>
      <c r="M1260" s="6"/>
      <c r="N1260" s="6"/>
      <c r="O1260" s="6"/>
      <c r="P1260" s="5"/>
      <c r="Q1260" s="9"/>
      <c r="R1260" s="5"/>
      <c r="S1260" s="5"/>
      <c r="T1260" s="5"/>
      <c r="U1260" s="5"/>
      <c r="V1260" s="5"/>
      <c r="W1260" s="5"/>
      <c r="X1260" s="5"/>
      <c r="Y1260" s="9"/>
      <c r="Z1260" s="2"/>
    </row>
    <row r="1261" spans="1:26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3"/>
      <c r="M1261" s="6"/>
      <c r="N1261" s="6"/>
      <c r="O1261" s="6"/>
      <c r="P1261" s="5"/>
      <c r="Q1261" s="9"/>
      <c r="R1261" s="5"/>
      <c r="S1261" s="5"/>
      <c r="T1261" s="5"/>
      <c r="U1261" s="5"/>
      <c r="V1261" s="5"/>
      <c r="W1261" s="5"/>
      <c r="X1261" s="5"/>
      <c r="Y1261" s="9"/>
      <c r="Z1261" s="2"/>
    </row>
    <row r="1262" spans="1:26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3"/>
      <c r="M1262" s="6"/>
      <c r="N1262" s="6"/>
      <c r="O1262" s="6"/>
      <c r="P1262" s="5"/>
      <c r="Q1262" s="9"/>
      <c r="R1262" s="5"/>
      <c r="S1262" s="5"/>
      <c r="T1262" s="5"/>
      <c r="U1262" s="5"/>
      <c r="V1262" s="5"/>
      <c r="W1262" s="5"/>
      <c r="X1262" s="5"/>
      <c r="Y1262" s="9"/>
      <c r="Z1262" s="2"/>
    </row>
    <row r="1263" spans="1:26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3"/>
      <c r="M1263" s="6"/>
      <c r="N1263" s="6"/>
      <c r="O1263" s="6"/>
      <c r="P1263" s="5"/>
      <c r="Q1263" s="9"/>
      <c r="R1263" s="5"/>
      <c r="S1263" s="5"/>
      <c r="T1263" s="5"/>
      <c r="U1263" s="5"/>
      <c r="V1263" s="5"/>
      <c r="W1263" s="5"/>
      <c r="X1263" s="5"/>
      <c r="Y1263" s="9"/>
      <c r="Z1263" s="2"/>
    </row>
    <row r="1264" spans="1:26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3"/>
      <c r="M1264" s="6"/>
      <c r="N1264" s="6"/>
      <c r="O1264" s="6"/>
      <c r="P1264" s="5"/>
      <c r="Q1264" s="9"/>
      <c r="R1264" s="5"/>
      <c r="S1264" s="5"/>
      <c r="T1264" s="5"/>
      <c r="U1264" s="5"/>
      <c r="V1264" s="5"/>
      <c r="W1264" s="5"/>
      <c r="X1264" s="5"/>
      <c r="Y1264" s="9"/>
      <c r="Z1264" s="2"/>
    </row>
    <row r="1265" spans="1:26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3"/>
      <c r="M1265" s="6"/>
      <c r="N1265" s="6"/>
      <c r="O1265" s="6"/>
      <c r="P1265" s="5"/>
      <c r="Q1265" s="9"/>
      <c r="R1265" s="5"/>
      <c r="S1265" s="5"/>
      <c r="T1265" s="5"/>
      <c r="U1265" s="5"/>
      <c r="V1265" s="5"/>
      <c r="W1265" s="5"/>
      <c r="X1265" s="5"/>
      <c r="Y1265" s="9"/>
      <c r="Z1265" s="2"/>
    </row>
    <row r="1266" spans="1:26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3"/>
      <c r="M1266" s="6"/>
      <c r="N1266" s="6"/>
      <c r="O1266" s="6"/>
      <c r="P1266" s="5"/>
      <c r="Q1266" s="9"/>
      <c r="R1266" s="5"/>
      <c r="S1266" s="5"/>
      <c r="T1266" s="5"/>
      <c r="U1266" s="5"/>
      <c r="V1266" s="5"/>
      <c r="W1266" s="5"/>
      <c r="X1266" s="5"/>
      <c r="Y1266" s="9"/>
      <c r="Z1266" s="2"/>
    </row>
    <row r="1267" spans="1:26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3"/>
      <c r="M1267" s="6"/>
      <c r="N1267" s="6"/>
      <c r="O1267" s="6"/>
      <c r="P1267" s="5"/>
      <c r="Q1267" s="9"/>
      <c r="R1267" s="5"/>
      <c r="S1267" s="5"/>
      <c r="T1267" s="5"/>
      <c r="U1267" s="5"/>
      <c r="V1267" s="5"/>
      <c r="W1267" s="5"/>
      <c r="X1267" s="5"/>
      <c r="Y1267" s="9"/>
      <c r="Z1267" s="2"/>
    </row>
    <row r="1268" spans="1:26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3"/>
      <c r="M1268" s="6"/>
      <c r="N1268" s="6"/>
      <c r="O1268" s="6"/>
      <c r="P1268" s="5"/>
      <c r="Q1268" s="9"/>
      <c r="R1268" s="5"/>
      <c r="S1268" s="5"/>
      <c r="T1268" s="5"/>
      <c r="U1268" s="5"/>
      <c r="V1268" s="5"/>
      <c r="W1268" s="5"/>
      <c r="X1268" s="5"/>
      <c r="Y1268" s="9"/>
      <c r="Z1268" s="2"/>
    </row>
    <row r="1269" spans="1:26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3"/>
      <c r="M1269" s="6"/>
      <c r="N1269" s="6"/>
      <c r="O1269" s="6"/>
      <c r="P1269" s="5"/>
      <c r="Q1269" s="9"/>
      <c r="R1269" s="5"/>
      <c r="S1269" s="5"/>
      <c r="T1269" s="5"/>
      <c r="U1269" s="5"/>
      <c r="V1269" s="5"/>
      <c r="W1269" s="5"/>
      <c r="X1269" s="5"/>
      <c r="Y1269" s="9"/>
      <c r="Z1269" s="2"/>
    </row>
    <row r="1270" spans="1:26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3"/>
      <c r="M1270" s="6"/>
      <c r="N1270" s="6"/>
      <c r="O1270" s="6"/>
      <c r="P1270" s="5"/>
      <c r="Q1270" s="9"/>
      <c r="R1270" s="5"/>
      <c r="S1270" s="5"/>
      <c r="T1270" s="5"/>
      <c r="U1270" s="5"/>
      <c r="V1270" s="5"/>
      <c r="W1270" s="5"/>
      <c r="X1270" s="5"/>
      <c r="Y1270" s="9"/>
      <c r="Z1270" s="2"/>
    </row>
    <row r="1271" spans="1:26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3"/>
      <c r="M1271" s="6"/>
      <c r="N1271" s="6"/>
      <c r="O1271" s="6"/>
      <c r="P1271" s="5"/>
      <c r="Q1271" s="9"/>
      <c r="R1271" s="5"/>
      <c r="S1271" s="5"/>
      <c r="T1271" s="5"/>
      <c r="U1271" s="5"/>
      <c r="V1271" s="5"/>
      <c r="W1271" s="5"/>
      <c r="X1271" s="5"/>
      <c r="Y1271" s="9"/>
      <c r="Z1271" s="2"/>
    </row>
    <row r="1272" spans="1:26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3"/>
      <c r="M1272" s="6"/>
      <c r="N1272" s="6"/>
      <c r="O1272" s="6"/>
      <c r="P1272" s="5"/>
      <c r="Q1272" s="9"/>
      <c r="R1272" s="5"/>
      <c r="S1272" s="5"/>
      <c r="T1272" s="5"/>
      <c r="U1272" s="5"/>
      <c r="V1272" s="5"/>
      <c r="W1272" s="5"/>
      <c r="X1272" s="5"/>
      <c r="Y1272" s="9"/>
      <c r="Z1272" s="2"/>
    </row>
    <row r="1273" spans="1:26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3"/>
      <c r="M1273" s="6"/>
      <c r="N1273" s="6"/>
      <c r="O1273" s="6"/>
      <c r="P1273" s="5"/>
      <c r="Q1273" s="9"/>
      <c r="R1273" s="5"/>
      <c r="S1273" s="5"/>
      <c r="T1273" s="5"/>
      <c r="U1273" s="5"/>
      <c r="V1273" s="5"/>
      <c r="W1273" s="5"/>
      <c r="X1273" s="5"/>
      <c r="Y1273" s="9"/>
      <c r="Z1273" s="2"/>
    </row>
    <row r="1274" spans="1:26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3"/>
      <c r="M1274" s="6"/>
      <c r="N1274" s="6"/>
      <c r="O1274" s="6"/>
      <c r="P1274" s="5"/>
      <c r="Q1274" s="9"/>
      <c r="R1274" s="5"/>
      <c r="S1274" s="5"/>
      <c r="T1274" s="5"/>
      <c r="U1274" s="5"/>
      <c r="V1274" s="5"/>
      <c r="W1274" s="5"/>
      <c r="X1274" s="5"/>
      <c r="Y1274" s="9"/>
      <c r="Z1274" s="2"/>
    </row>
    <row r="1275" spans="1:26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3"/>
      <c r="M1275" s="6"/>
      <c r="N1275" s="6"/>
      <c r="O1275" s="6"/>
      <c r="P1275" s="5"/>
      <c r="Q1275" s="9"/>
      <c r="R1275" s="5"/>
      <c r="S1275" s="5"/>
      <c r="T1275" s="5"/>
      <c r="U1275" s="5"/>
      <c r="V1275" s="5"/>
      <c r="W1275" s="5"/>
      <c r="X1275" s="5"/>
      <c r="Y1275" s="9"/>
      <c r="Z1275" s="2"/>
    </row>
    <row r="1276" spans="1:26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3"/>
      <c r="M1276" s="6"/>
      <c r="N1276" s="6"/>
      <c r="O1276" s="6"/>
      <c r="P1276" s="5"/>
      <c r="Q1276" s="9"/>
      <c r="R1276" s="5"/>
      <c r="S1276" s="5"/>
      <c r="T1276" s="5"/>
      <c r="U1276" s="5"/>
      <c r="V1276" s="5"/>
      <c r="W1276" s="5"/>
      <c r="X1276" s="5"/>
      <c r="Y1276" s="9"/>
      <c r="Z1276" s="2"/>
    </row>
    <row r="1277" spans="1:26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3"/>
      <c r="M1277" s="6"/>
      <c r="N1277" s="6"/>
      <c r="O1277" s="6"/>
      <c r="P1277" s="5"/>
      <c r="Q1277" s="9"/>
      <c r="R1277" s="5"/>
      <c r="S1277" s="5"/>
      <c r="T1277" s="5"/>
      <c r="U1277" s="5"/>
      <c r="V1277" s="5"/>
      <c r="W1277" s="5"/>
      <c r="X1277" s="5"/>
      <c r="Y1277" s="9"/>
      <c r="Z1277" s="2"/>
    </row>
    <row r="1278" spans="1:26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3"/>
      <c r="M1278" s="6"/>
      <c r="N1278" s="6"/>
      <c r="O1278" s="6"/>
      <c r="P1278" s="5"/>
      <c r="Q1278" s="9"/>
      <c r="R1278" s="5"/>
      <c r="S1278" s="5"/>
      <c r="T1278" s="5"/>
      <c r="U1278" s="5"/>
      <c r="V1278" s="5"/>
      <c r="W1278" s="5"/>
      <c r="X1278" s="5"/>
      <c r="Y1278" s="9"/>
      <c r="Z1278" s="2"/>
    </row>
    <row r="1279" spans="1:26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3"/>
      <c r="M1279" s="6"/>
      <c r="N1279" s="6"/>
      <c r="O1279" s="6"/>
      <c r="P1279" s="5"/>
      <c r="Q1279" s="9"/>
      <c r="R1279" s="5"/>
      <c r="S1279" s="5"/>
      <c r="T1279" s="5"/>
      <c r="U1279" s="5"/>
      <c r="V1279" s="5"/>
      <c r="W1279" s="5"/>
      <c r="X1279" s="5"/>
      <c r="Y1279" s="9"/>
      <c r="Z1279" s="2"/>
    </row>
    <row r="1280" spans="1:26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3"/>
      <c r="M1280" s="6"/>
      <c r="N1280" s="6"/>
      <c r="O1280" s="6"/>
      <c r="P1280" s="5"/>
      <c r="Q1280" s="9"/>
      <c r="R1280" s="5"/>
      <c r="S1280" s="5"/>
      <c r="T1280" s="5"/>
      <c r="U1280" s="5"/>
      <c r="V1280" s="5"/>
      <c r="W1280" s="5"/>
      <c r="X1280" s="5"/>
      <c r="Y1280" s="9"/>
      <c r="Z1280" s="2"/>
    </row>
    <row r="1281" spans="1:26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3"/>
      <c r="M1281" s="6"/>
      <c r="N1281" s="6"/>
      <c r="O1281" s="6"/>
      <c r="P1281" s="5"/>
      <c r="Q1281" s="9"/>
      <c r="R1281" s="5"/>
      <c r="S1281" s="5"/>
      <c r="T1281" s="5"/>
      <c r="U1281" s="5"/>
      <c r="V1281" s="5"/>
      <c r="W1281" s="5"/>
      <c r="X1281" s="5"/>
      <c r="Y1281" s="9"/>
      <c r="Z1281" s="2"/>
    </row>
    <row r="1282" spans="1:26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3"/>
      <c r="M1282" s="6"/>
      <c r="N1282" s="6"/>
      <c r="O1282" s="6"/>
      <c r="P1282" s="5"/>
      <c r="Q1282" s="9"/>
      <c r="R1282" s="5"/>
      <c r="S1282" s="5"/>
      <c r="T1282" s="5"/>
      <c r="U1282" s="5"/>
      <c r="V1282" s="5"/>
      <c r="W1282" s="5"/>
      <c r="X1282" s="5"/>
      <c r="Y1282" s="9"/>
      <c r="Z1282" s="2"/>
    </row>
    <row r="1283" spans="1:26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3"/>
      <c r="M1283" s="6"/>
      <c r="N1283" s="6"/>
      <c r="O1283" s="6"/>
      <c r="P1283" s="5"/>
      <c r="Q1283" s="9"/>
      <c r="R1283" s="5"/>
      <c r="S1283" s="5"/>
      <c r="T1283" s="5"/>
      <c r="U1283" s="5"/>
      <c r="V1283" s="5"/>
      <c r="W1283" s="5"/>
      <c r="X1283" s="5"/>
      <c r="Y1283" s="9"/>
      <c r="Z1283" s="2"/>
    </row>
    <row r="1284" spans="1:26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3"/>
      <c r="M1284" s="6"/>
      <c r="N1284" s="6"/>
      <c r="O1284" s="6"/>
      <c r="P1284" s="5"/>
      <c r="Q1284" s="9"/>
      <c r="R1284" s="5"/>
      <c r="S1284" s="5"/>
      <c r="T1284" s="5"/>
      <c r="U1284" s="5"/>
      <c r="V1284" s="5"/>
      <c r="W1284" s="5"/>
      <c r="X1284" s="5"/>
      <c r="Y1284" s="9"/>
      <c r="Z1284" s="2"/>
    </row>
    <row r="1285" spans="1:26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3"/>
      <c r="M1285" s="6"/>
      <c r="N1285" s="6"/>
      <c r="O1285" s="6"/>
      <c r="P1285" s="5"/>
      <c r="Q1285" s="9"/>
      <c r="R1285" s="5"/>
      <c r="S1285" s="5"/>
      <c r="T1285" s="5"/>
      <c r="U1285" s="5"/>
      <c r="V1285" s="5"/>
      <c r="W1285" s="5"/>
      <c r="X1285" s="5"/>
      <c r="Y1285" s="9"/>
      <c r="Z1285" s="2"/>
    </row>
    <row r="1286" spans="1:26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3"/>
      <c r="M1286" s="6"/>
      <c r="N1286" s="6"/>
      <c r="O1286" s="6"/>
      <c r="P1286" s="5"/>
      <c r="Q1286" s="9"/>
      <c r="R1286" s="5"/>
      <c r="S1286" s="5"/>
      <c r="T1286" s="5"/>
      <c r="U1286" s="5"/>
      <c r="V1286" s="5"/>
      <c r="W1286" s="5"/>
      <c r="X1286" s="5"/>
      <c r="Y1286" s="9"/>
      <c r="Z1286" s="2"/>
    </row>
    <row r="1287" spans="1:26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3"/>
      <c r="M1287" s="6"/>
      <c r="N1287" s="6"/>
      <c r="O1287" s="6"/>
      <c r="P1287" s="5"/>
      <c r="Q1287" s="9"/>
      <c r="R1287" s="5"/>
      <c r="S1287" s="5"/>
      <c r="T1287" s="5"/>
      <c r="U1287" s="5"/>
      <c r="V1287" s="5"/>
      <c r="W1287" s="5"/>
      <c r="X1287" s="5"/>
      <c r="Y1287" s="9"/>
      <c r="Z1287" s="2"/>
    </row>
    <row r="1288" spans="1:26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3"/>
      <c r="M1288" s="6"/>
      <c r="N1288" s="6"/>
      <c r="O1288" s="6"/>
      <c r="P1288" s="5"/>
      <c r="Q1288" s="9"/>
      <c r="R1288" s="5"/>
      <c r="S1288" s="5"/>
      <c r="T1288" s="5"/>
      <c r="U1288" s="5"/>
      <c r="V1288" s="5"/>
      <c r="W1288" s="5"/>
      <c r="X1288" s="5"/>
      <c r="Y1288" s="9"/>
      <c r="Z1288" s="2"/>
    </row>
    <row r="1289" spans="1:26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3"/>
      <c r="M1289" s="6"/>
      <c r="N1289" s="6"/>
      <c r="O1289" s="6"/>
      <c r="P1289" s="5"/>
      <c r="Q1289" s="9"/>
      <c r="R1289" s="5"/>
      <c r="S1289" s="5"/>
      <c r="T1289" s="5"/>
      <c r="U1289" s="5"/>
      <c r="V1289" s="5"/>
      <c r="W1289" s="5"/>
      <c r="X1289" s="5"/>
      <c r="Y1289" s="9"/>
      <c r="Z1289" s="2"/>
    </row>
    <row r="1290" spans="1:26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3"/>
      <c r="M1290" s="6"/>
      <c r="N1290" s="6"/>
      <c r="O1290" s="6"/>
      <c r="P1290" s="5"/>
      <c r="Q1290" s="9"/>
      <c r="R1290" s="5"/>
      <c r="S1290" s="5"/>
      <c r="T1290" s="5"/>
      <c r="U1290" s="5"/>
      <c r="V1290" s="5"/>
      <c r="W1290" s="5"/>
      <c r="X1290" s="5"/>
      <c r="Y1290" s="9"/>
      <c r="Z1290" s="2"/>
    </row>
    <row r="1291" spans="1:26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3"/>
      <c r="M1291" s="6"/>
      <c r="N1291" s="6"/>
      <c r="O1291" s="6"/>
      <c r="P1291" s="5"/>
      <c r="Q1291" s="9"/>
      <c r="R1291" s="5"/>
      <c r="S1291" s="5"/>
      <c r="T1291" s="5"/>
      <c r="U1291" s="5"/>
      <c r="V1291" s="5"/>
      <c r="W1291" s="5"/>
      <c r="X1291" s="5"/>
      <c r="Y1291" s="9"/>
      <c r="Z1291" s="2"/>
    </row>
    <row r="1292" spans="1:26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3"/>
      <c r="M1292" s="6"/>
      <c r="N1292" s="6"/>
      <c r="O1292" s="6"/>
      <c r="P1292" s="5"/>
      <c r="Q1292" s="9"/>
      <c r="R1292" s="5"/>
      <c r="S1292" s="5"/>
      <c r="T1292" s="5"/>
      <c r="U1292" s="5"/>
      <c r="V1292" s="5"/>
      <c r="W1292" s="5"/>
      <c r="X1292" s="5"/>
      <c r="Y1292" s="9"/>
      <c r="Z1292" s="2"/>
    </row>
    <row r="1293" spans="1:26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3"/>
      <c r="M1293" s="6"/>
      <c r="N1293" s="6"/>
      <c r="O1293" s="6"/>
      <c r="P1293" s="5"/>
      <c r="Q1293" s="9"/>
      <c r="R1293" s="5"/>
      <c r="S1293" s="5"/>
      <c r="T1293" s="5"/>
      <c r="U1293" s="5"/>
      <c r="V1293" s="5"/>
      <c r="W1293" s="5"/>
      <c r="X1293" s="5"/>
      <c r="Y1293" s="9"/>
      <c r="Z1293" s="2"/>
    </row>
    <row r="1294" spans="1:26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3"/>
      <c r="M1294" s="6"/>
      <c r="N1294" s="6"/>
      <c r="O1294" s="6"/>
      <c r="P1294" s="5"/>
      <c r="Q1294" s="9"/>
      <c r="R1294" s="5"/>
      <c r="S1294" s="5"/>
      <c r="T1294" s="5"/>
      <c r="U1294" s="5"/>
      <c r="V1294" s="5"/>
      <c r="W1294" s="5"/>
      <c r="X1294" s="5"/>
      <c r="Y1294" s="9"/>
      <c r="Z1294" s="2"/>
    </row>
    <row r="1295" spans="1:26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3"/>
      <c r="M1295" s="6"/>
      <c r="N1295" s="6"/>
      <c r="O1295" s="6"/>
      <c r="P1295" s="5"/>
      <c r="Q1295" s="9"/>
      <c r="R1295" s="5"/>
      <c r="S1295" s="5"/>
      <c r="T1295" s="5"/>
      <c r="U1295" s="5"/>
      <c r="V1295" s="5"/>
      <c r="W1295" s="5"/>
      <c r="X1295" s="5"/>
      <c r="Y1295" s="9"/>
      <c r="Z1295" s="2"/>
    </row>
    <row r="1296" spans="1:26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3"/>
      <c r="M1296" s="6"/>
      <c r="N1296" s="6"/>
      <c r="O1296" s="6"/>
      <c r="P1296" s="5"/>
      <c r="Q1296" s="9"/>
      <c r="R1296" s="5"/>
      <c r="S1296" s="5"/>
      <c r="T1296" s="5"/>
      <c r="U1296" s="5"/>
      <c r="V1296" s="5"/>
      <c r="W1296" s="5"/>
      <c r="X1296" s="5"/>
      <c r="Y1296" s="9"/>
      <c r="Z1296" s="2"/>
    </row>
    <row r="1297" spans="1:26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3"/>
      <c r="M1297" s="6"/>
      <c r="N1297" s="6"/>
      <c r="O1297" s="6"/>
      <c r="P1297" s="5"/>
      <c r="Q1297" s="9"/>
      <c r="R1297" s="5"/>
      <c r="S1297" s="5"/>
      <c r="T1297" s="5"/>
      <c r="U1297" s="5"/>
      <c r="V1297" s="5"/>
      <c r="W1297" s="5"/>
      <c r="X1297" s="5"/>
      <c r="Y1297" s="9"/>
      <c r="Z1297" s="2"/>
    </row>
    <row r="1298" spans="1:26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3"/>
      <c r="M1298" s="6"/>
      <c r="N1298" s="6"/>
      <c r="O1298" s="6"/>
      <c r="P1298" s="5"/>
      <c r="Q1298" s="9"/>
      <c r="R1298" s="5"/>
      <c r="S1298" s="5"/>
      <c r="T1298" s="5"/>
      <c r="U1298" s="5"/>
      <c r="V1298" s="5"/>
      <c r="W1298" s="5"/>
      <c r="X1298" s="5"/>
      <c r="Y1298" s="9"/>
      <c r="Z1298" s="2"/>
    </row>
    <row r="1299" spans="1:26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3"/>
      <c r="M1299" s="6"/>
      <c r="N1299" s="6"/>
      <c r="O1299" s="6"/>
      <c r="P1299" s="5"/>
      <c r="Q1299" s="9"/>
      <c r="R1299" s="5"/>
      <c r="S1299" s="5"/>
      <c r="T1299" s="5"/>
      <c r="U1299" s="5"/>
      <c r="V1299" s="5"/>
      <c r="W1299" s="5"/>
      <c r="X1299" s="5"/>
      <c r="Y1299" s="9"/>
      <c r="Z1299" s="2"/>
    </row>
    <row r="1300" spans="1:26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3"/>
      <c r="M1300" s="6"/>
      <c r="N1300" s="6"/>
      <c r="O1300" s="6"/>
      <c r="P1300" s="5"/>
      <c r="Q1300" s="9"/>
      <c r="R1300" s="5"/>
      <c r="S1300" s="5"/>
      <c r="T1300" s="5"/>
      <c r="U1300" s="5"/>
      <c r="V1300" s="5"/>
      <c r="W1300" s="5"/>
      <c r="X1300" s="5"/>
      <c r="Y1300" s="9"/>
      <c r="Z1300" s="2"/>
    </row>
    <row r="1301" spans="1:26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3"/>
      <c r="M1301" s="6"/>
      <c r="N1301" s="6"/>
      <c r="O1301" s="6"/>
      <c r="P1301" s="5"/>
      <c r="Q1301" s="9"/>
      <c r="R1301" s="5"/>
      <c r="S1301" s="5"/>
      <c r="T1301" s="5"/>
      <c r="U1301" s="5"/>
      <c r="V1301" s="5"/>
      <c r="W1301" s="5"/>
      <c r="X1301" s="5"/>
      <c r="Y1301" s="9"/>
      <c r="Z1301" s="2"/>
    </row>
    <row r="1302" spans="1:26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3"/>
      <c r="M1302" s="6"/>
      <c r="N1302" s="6"/>
      <c r="O1302" s="6"/>
      <c r="P1302" s="5"/>
      <c r="Q1302" s="9"/>
      <c r="R1302" s="5"/>
      <c r="S1302" s="5"/>
      <c r="T1302" s="5"/>
      <c r="U1302" s="5"/>
      <c r="V1302" s="5"/>
      <c r="W1302" s="5"/>
      <c r="X1302" s="5"/>
      <c r="Y1302" s="9"/>
      <c r="Z1302" s="2"/>
    </row>
    <row r="1303" spans="1:26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3"/>
      <c r="M1303" s="6"/>
      <c r="N1303" s="6"/>
      <c r="O1303" s="6"/>
      <c r="P1303" s="5"/>
      <c r="Q1303" s="9"/>
      <c r="R1303" s="5"/>
      <c r="S1303" s="5"/>
      <c r="T1303" s="5"/>
      <c r="U1303" s="5"/>
      <c r="V1303" s="5"/>
      <c r="W1303" s="5"/>
      <c r="X1303" s="5"/>
      <c r="Y1303" s="9"/>
      <c r="Z1303" s="2"/>
    </row>
    <row r="1304" spans="1:26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3"/>
      <c r="M1304" s="6"/>
      <c r="N1304" s="6"/>
      <c r="O1304" s="6"/>
      <c r="P1304" s="5"/>
      <c r="Q1304" s="9"/>
      <c r="R1304" s="5"/>
      <c r="S1304" s="5"/>
      <c r="T1304" s="5"/>
      <c r="U1304" s="5"/>
      <c r="V1304" s="5"/>
      <c r="W1304" s="5"/>
      <c r="X1304" s="5"/>
      <c r="Y1304" s="9"/>
      <c r="Z1304" s="2"/>
    </row>
    <row r="1305" spans="1:26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3"/>
      <c r="M1305" s="6"/>
      <c r="N1305" s="6"/>
      <c r="O1305" s="6"/>
      <c r="P1305" s="5"/>
      <c r="Q1305" s="9"/>
      <c r="R1305" s="5"/>
      <c r="S1305" s="5"/>
      <c r="T1305" s="5"/>
      <c r="U1305" s="5"/>
      <c r="V1305" s="5"/>
      <c r="W1305" s="5"/>
      <c r="X1305" s="5"/>
      <c r="Y1305" s="9"/>
      <c r="Z1305" s="2"/>
    </row>
    <row r="1306" spans="1:26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3"/>
      <c r="M1306" s="6"/>
      <c r="N1306" s="6"/>
      <c r="O1306" s="6"/>
      <c r="P1306" s="5"/>
      <c r="Q1306" s="9"/>
      <c r="R1306" s="5"/>
      <c r="S1306" s="5"/>
      <c r="T1306" s="5"/>
      <c r="U1306" s="5"/>
      <c r="V1306" s="5"/>
      <c r="W1306" s="5"/>
      <c r="X1306" s="5"/>
      <c r="Y1306" s="9"/>
      <c r="Z1306" s="2"/>
    </row>
    <row r="1307" spans="1:26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3"/>
      <c r="M1307" s="6"/>
      <c r="N1307" s="6"/>
      <c r="O1307" s="6"/>
      <c r="P1307" s="5"/>
      <c r="Q1307" s="9"/>
      <c r="R1307" s="5"/>
      <c r="S1307" s="5"/>
      <c r="T1307" s="5"/>
      <c r="U1307" s="5"/>
      <c r="V1307" s="5"/>
      <c r="W1307" s="5"/>
      <c r="X1307" s="5"/>
      <c r="Y1307" s="9"/>
      <c r="Z1307" s="2"/>
    </row>
    <row r="1308" spans="1:26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3"/>
      <c r="M1308" s="6"/>
      <c r="N1308" s="6"/>
      <c r="O1308" s="6"/>
      <c r="P1308" s="5"/>
      <c r="Q1308" s="9"/>
      <c r="R1308" s="5"/>
      <c r="S1308" s="5"/>
      <c r="T1308" s="5"/>
      <c r="U1308" s="5"/>
      <c r="V1308" s="5"/>
      <c r="W1308" s="5"/>
      <c r="X1308" s="5"/>
      <c r="Y1308" s="9"/>
      <c r="Z1308" s="2"/>
    </row>
    <row r="1309" spans="1:26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3"/>
      <c r="M1309" s="6"/>
      <c r="N1309" s="6"/>
      <c r="O1309" s="6"/>
      <c r="P1309" s="5"/>
      <c r="Q1309" s="9"/>
      <c r="R1309" s="5"/>
      <c r="S1309" s="5"/>
      <c r="T1309" s="5"/>
      <c r="U1309" s="5"/>
      <c r="V1309" s="5"/>
      <c r="W1309" s="5"/>
      <c r="X1309" s="5"/>
      <c r="Y1309" s="9"/>
      <c r="Z1309" s="2"/>
    </row>
    <row r="1310" spans="1:26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3"/>
      <c r="M1310" s="6"/>
      <c r="N1310" s="6"/>
      <c r="O1310" s="6"/>
      <c r="P1310" s="5"/>
      <c r="Q1310" s="9"/>
      <c r="R1310" s="5"/>
      <c r="S1310" s="5"/>
      <c r="T1310" s="5"/>
      <c r="U1310" s="5"/>
      <c r="V1310" s="5"/>
      <c r="W1310" s="5"/>
      <c r="X1310" s="5"/>
      <c r="Y1310" s="9"/>
      <c r="Z1310" s="2"/>
    </row>
    <row r="1311" spans="1:26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3"/>
      <c r="M1311" s="6"/>
      <c r="N1311" s="6"/>
      <c r="O1311" s="6"/>
      <c r="P1311" s="5"/>
      <c r="Q1311" s="9"/>
      <c r="R1311" s="5"/>
      <c r="S1311" s="5"/>
      <c r="T1311" s="5"/>
      <c r="U1311" s="5"/>
      <c r="V1311" s="5"/>
      <c r="W1311" s="5"/>
      <c r="X1311" s="5"/>
      <c r="Y1311" s="9"/>
      <c r="Z1311" s="2"/>
    </row>
    <row r="1312" spans="1:26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3"/>
      <c r="M1312" s="6"/>
      <c r="N1312" s="6"/>
      <c r="O1312" s="6"/>
      <c r="P1312" s="5"/>
      <c r="Q1312" s="9"/>
      <c r="R1312" s="5"/>
      <c r="S1312" s="5"/>
      <c r="T1312" s="5"/>
      <c r="U1312" s="5"/>
      <c r="V1312" s="5"/>
      <c r="W1312" s="5"/>
      <c r="X1312" s="5"/>
      <c r="Y1312" s="9"/>
      <c r="Z1312" s="2"/>
    </row>
    <row r="1313" spans="1:26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3"/>
      <c r="M1313" s="6"/>
      <c r="N1313" s="6"/>
      <c r="O1313" s="6"/>
      <c r="P1313" s="5"/>
      <c r="Q1313" s="9"/>
      <c r="R1313" s="5"/>
      <c r="S1313" s="5"/>
      <c r="T1313" s="5"/>
      <c r="U1313" s="5"/>
      <c r="V1313" s="5"/>
      <c r="W1313" s="5"/>
      <c r="X1313" s="5"/>
      <c r="Y1313" s="9"/>
      <c r="Z1313" s="2"/>
    </row>
    <row r="1314" spans="1:26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3"/>
      <c r="M1314" s="6"/>
      <c r="N1314" s="6"/>
      <c r="O1314" s="6"/>
      <c r="P1314" s="5"/>
      <c r="Q1314" s="9"/>
      <c r="R1314" s="5"/>
      <c r="S1314" s="5"/>
      <c r="T1314" s="5"/>
      <c r="U1314" s="5"/>
      <c r="V1314" s="5"/>
      <c r="W1314" s="5"/>
      <c r="X1314" s="5"/>
      <c r="Y1314" s="9"/>
      <c r="Z1314" s="2"/>
    </row>
    <row r="1315" spans="1:26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3"/>
      <c r="M1315" s="6"/>
      <c r="N1315" s="6"/>
      <c r="O1315" s="6"/>
      <c r="P1315" s="5"/>
      <c r="Q1315" s="9"/>
      <c r="R1315" s="5"/>
      <c r="S1315" s="5"/>
      <c r="T1315" s="5"/>
      <c r="U1315" s="5"/>
      <c r="V1315" s="5"/>
      <c r="W1315" s="5"/>
      <c r="X1315" s="5"/>
      <c r="Y1315" s="9"/>
      <c r="Z1315" s="2"/>
    </row>
    <row r="1316" spans="1:26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3"/>
      <c r="M1316" s="6"/>
      <c r="N1316" s="6"/>
      <c r="O1316" s="6"/>
      <c r="P1316" s="5"/>
      <c r="Q1316" s="9"/>
      <c r="R1316" s="5"/>
      <c r="S1316" s="5"/>
      <c r="T1316" s="5"/>
      <c r="U1316" s="5"/>
      <c r="V1316" s="5"/>
      <c r="W1316" s="5"/>
      <c r="X1316" s="5"/>
      <c r="Y1316" s="9"/>
      <c r="Z1316" s="2"/>
    </row>
    <row r="1317" spans="1:26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3"/>
      <c r="M1317" s="6"/>
      <c r="N1317" s="6"/>
      <c r="O1317" s="6"/>
      <c r="P1317" s="5"/>
      <c r="Q1317" s="9"/>
      <c r="R1317" s="5"/>
      <c r="S1317" s="5"/>
      <c r="T1317" s="5"/>
      <c r="U1317" s="5"/>
      <c r="V1317" s="5"/>
      <c r="W1317" s="5"/>
      <c r="X1317" s="5"/>
      <c r="Y1317" s="9"/>
      <c r="Z1317" s="2"/>
    </row>
    <row r="1318" spans="1:26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3"/>
      <c r="M1318" s="6"/>
      <c r="N1318" s="6"/>
      <c r="O1318" s="6"/>
      <c r="P1318" s="5"/>
      <c r="Q1318" s="9"/>
      <c r="R1318" s="5"/>
      <c r="S1318" s="5"/>
      <c r="T1318" s="5"/>
      <c r="U1318" s="5"/>
      <c r="V1318" s="5"/>
      <c r="W1318" s="5"/>
      <c r="X1318" s="5"/>
      <c r="Y1318" s="9"/>
      <c r="Z1318" s="2"/>
    </row>
    <row r="1319" spans="1:26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3"/>
      <c r="M1319" s="6"/>
      <c r="N1319" s="6"/>
      <c r="O1319" s="6"/>
      <c r="P1319" s="5"/>
      <c r="Q1319" s="9"/>
      <c r="R1319" s="5"/>
      <c r="S1319" s="5"/>
      <c r="T1319" s="5"/>
      <c r="U1319" s="5"/>
      <c r="V1319" s="5"/>
      <c r="W1319" s="5"/>
      <c r="X1319" s="5"/>
      <c r="Y1319" s="9"/>
      <c r="Z1319" s="2"/>
    </row>
    <row r="1320" spans="1:26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3"/>
      <c r="M1320" s="6"/>
      <c r="N1320" s="6"/>
      <c r="O1320" s="6"/>
      <c r="P1320" s="5"/>
      <c r="Q1320" s="9"/>
      <c r="R1320" s="5"/>
      <c r="S1320" s="5"/>
      <c r="T1320" s="5"/>
      <c r="U1320" s="5"/>
      <c r="V1320" s="5"/>
      <c r="W1320" s="5"/>
      <c r="X1320" s="5"/>
      <c r="Y1320" s="9"/>
      <c r="Z1320" s="2"/>
    </row>
    <row r="1321" spans="1:26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3"/>
      <c r="M1321" s="6"/>
      <c r="N1321" s="6"/>
      <c r="O1321" s="6"/>
      <c r="P1321" s="5"/>
      <c r="Q1321" s="9"/>
      <c r="R1321" s="5"/>
      <c r="S1321" s="5"/>
      <c r="T1321" s="5"/>
      <c r="U1321" s="5"/>
      <c r="V1321" s="5"/>
      <c r="W1321" s="5"/>
      <c r="X1321" s="5"/>
      <c r="Y1321" s="9"/>
      <c r="Z1321" s="2"/>
    </row>
    <row r="1322" spans="1:26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3"/>
      <c r="M1322" s="6"/>
      <c r="N1322" s="6"/>
      <c r="O1322" s="6"/>
      <c r="P1322" s="5"/>
      <c r="Q1322" s="9"/>
      <c r="R1322" s="5"/>
      <c r="S1322" s="5"/>
      <c r="T1322" s="5"/>
      <c r="U1322" s="5"/>
      <c r="V1322" s="5"/>
      <c r="W1322" s="5"/>
      <c r="X1322" s="5"/>
      <c r="Y1322" s="9"/>
      <c r="Z1322" s="2"/>
    </row>
    <row r="1323" spans="1:26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3"/>
      <c r="M1323" s="6"/>
      <c r="N1323" s="6"/>
      <c r="O1323" s="6"/>
      <c r="P1323" s="5"/>
      <c r="Q1323" s="9"/>
      <c r="R1323" s="5"/>
      <c r="S1323" s="5"/>
      <c r="T1323" s="5"/>
      <c r="U1323" s="5"/>
      <c r="V1323" s="5"/>
      <c r="W1323" s="5"/>
      <c r="X1323" s="5"/>
      <c r="Y1323" s="9"/>
      <c r="Z1323" s="2"/>
    </row>
    <row r="1324" spans="1:26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3"/>
      <c r="M1324" s="6"/>
      <c r="N1324" s="6"/>
      <c r="O1324" s="6"/>
      <c r="P1324" s="5"/>
      <c r="Q1324" s="9"/>
      <c r="R1324" s="5"/>
      <c r="S1324" s="5"/>
      <c r="T1324" s="5"/>
      <c r="U1324" s="5"/>
      <c r="V1324" s="5"/>
      <c r="W1324" s="5"/>
      <c r="X1324" s="5"/>
      <c r="Y1324" s="9"/>
      <c r="Z1324" s="2"/>
    </row>
    <row r="1325" spans="1:26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3"/>
      <c r="M1325" s="6"/>
      <c r="N1325" s="6"/>
      <c r="O1325" s="6"/>
      <c r="P1325" s="5"/>
      <c r="Q1325" s="9"/>
      <c r="R1325" s="5"/>
      <c r="S1325" s="5"/>
      <c r="T1325" s="5"/>
      <c r="U1325" s="5"/>
      <c r="V1325" s="5"/>
      <c r="W1325" s="5"/>
      <c r="X1325" s="5"/>
      <c r="Y1325" s="9"/>
      <c r="Z1325" s="2"/>
    </row>
    <row r="1326" spans="1:26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3"/>
      <c r="M1326" s="6"/>
      <c r="N1326" s="6"/>
      <c r="O1326" s="6"/>
      <c r="P1326" s="5"/>
      <c r="Q1326" s="9"/>
      <c r="R1326" s="5"/>
      <c r="S1326" s="5"/>
      <c r="T1326" s="5"/>
      <c r="U1326" s="5"/>
      <c r="V1326" s="5"/>
      <c r="W1326" s="5"/>
      <c r="X1326" s="5"/>
      <c r="Y1326" s="9"/>
      <c r="Z1326" s="2"/>
    </row>
    <row r="1327" spans="1:26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3"/>
      <c r="M1327" s="6"/>
      <c r="N1327" s="6"/>
      <c r="O1327" s="6"/>
      <c r="P1327" s="5"/>
      <c r="Q1327" s="9"/>
      <c r="R1327" s="5"/>
      <c r="S1327" s="5"/>
      <c r="T1327" s="5"/>
      <c r="U1327" s="5"/>
      <c r="V1327" s="5"/>
      <c r="W1327" s="5"/>
      <c r="X1327" s="5"/>
      <c r="Y1327" s="9"/>
      <c r="Z1327" s="2"/>
    </row>
    <row r="1328" spans="1:26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3"/>
      <c r="M1328" s="6"/>
      <c r="N1328" s="6"/>
      <c r="O1328" s="6"/>
      <c r="P1328" s="5"/>
      <c r="Q1328" s="9"/>
      <c r="R1328" s="5"/>
      <c r="S1328" s="5"/>
      <c r="T1328" s="5"/>
      <c r="U1328" s="5"/>
      <c r="V1328" s="5"/>
      <c r="W1328" s="5"/>
      <c r="X1328" s="5"/>
      <c r="Y1328" s="9"/>
      <c r="Z1328" s="2"/>
    </row>
    <row r="1329" spans="1:26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3"/>
      <c r="M1329" s="6"/>
      <c r="N1329" s="6"/>
      <c r="O1329" s="6"/>
      <c r="P1329" s="5"/>
      <c r="Q1329" s="9"/>
      <c r="R1329" s="5"/>
      <c r="S1329" s="5"/>
      <c r="T1329" s="5"/>
      <c r="U1329" s="5"/>
      <c r="V1329" s="5"/>
      <c r="W1329" s="5"/>
      <c r="X1329" s="5"/>
      <c r="Y1329" s="9"/>
      <c r="Z1329" s="2"/>
    </row>
    <row r="1330" spans="1:26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3"/>
      <c r="M1330" s="6"/>
      <c r="N1330" s="6"/>
      <c r="O1330" s="6"/>
      <c r="P1330" s="5"/>
      <c r="Q1330" s="9"/>
      <c r="R1330" s="5"/>
      <c r="S1330" s="5"/>
      <c r="T1330" s="5"/>
      <c r="U1330" s="5"/>
      <c r="V1330" s="5"/>
      <c r="W1330" s="5"/>
      <c r="X1330" s="5"/>
      <c r="Y1330" s="9"/>
      <c r="Z1330" s="2"/>
    </row>
    <row r="1331" spans="1:26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3"/>
      <c r="M1331" s="6"/>
      <c r="N1331" s="6"/>
      <c r="O1331" s="6"/>
      <c r="P1331" s="5"/>
      <c r="Q1331" s="9"/>
      <c r="R1331" s="5"/>
      <c r="S1331" s="5"/>
      <c r="T1331" s="5"/>
      <c r="U1331" s="5"/>
      <c r="V1331" s="5"/>
      <c r="W1331" s="5"/>
      <c r="X1331" s="5"/>
      <c r="Y1331" s="9"/>
      <c r="Z1331" s="2"/>
    </row>
    <row r="1332" spans="1:26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3"/>
      <c r="M1332" s="6"/>
      <c r="N1332" s="6"/>
      <c r="O1332" s="6"/>
      <c r="P1332" s="5"/>
      <c r="Q1332" s="9"/>
      <c r="R1332" s="5"/>
      <c r="S1332" s="5"/>
      <c r="T1332" s="5"/>
      <c r="U1332" s="5"/>
      <c r="V1332" s="5"/>
      <c r="W1332" s="5"/>
      <c r="X1332" s="5"/>
      <c r="Y1332" s="9"/>
      <c r="Z1332" s="2"/>
    </row>
    <row r="1333" spans="1:26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3"/>
      <c r="M1333" s="6"/>
      <c r="N1333" s="6"/>
      <c r="O1333" s="6"/>
      <c r="P1333" s="5"/>
      <c r="Q1333" s="9"/>
      <c r="R1333" s="5"/>
      <c r="S1333" s="5"/>
      <c r="T1333" s="5"/>
      <c r="U1333" s="5"/>
      <c r="V1333" s="5"/>
      <c r="W1333" s="5"/>
      <c r="X1333" s="5"/>
      <c r="Y1333" s="9"/>
      <c r="Z1333" s="2"/>
    </row>
    <row r="1334" spans="1:26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3"/>
      <c r="M1334" s="6"/>
      <c r="N1334" s="6"/>
      <c r="O1334" s="6"/>
      <c r="P1334" s="5"/>
      <c r="Q1334" s="9"/>
      <c r="R1334" s="5"/>
      <c r="S1334" s="5"/>
      <c r="T1334" s="5"/>
      <c r="U1334" s="5"/>
      <c r="V1334" s="5"/>
      <c r="W1334" s="5"/>
      <c r="X1334" s="5"/>
      <c r="Y1334" s="9"/>
      <c r="Z1334" s="2"/>
    </row>
    <row r="1335" spans="1:26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3"/>
      <c r="M1335" s="6"/>
      <c r="N1335" s="6"/>
      <c r="O1335" s="6"/>
      <c r="P1335" s="5"/>
      <c r="Q1335" s="9"/>
      <c r="R1335" s="5"/>
      <c r="S1335" s="5"/>
      <c r="T1335" s="5"/>
      <c r="U1335" s="5"/>
      <c r="V1335" s="5"/>
      <c r="W1335" s="5"/>
      <c r="X1335" s="5"/>
      <c r="Y1335" s="9"/>
      <c r="Z1335" s="2"/>
    </row>
    <row r="1336" spans="1:26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3"/>
      <c r="M1336" s="6"/>
      <c r="N1336" s="6"/>
      <c r="O1336" s="6"/>
      <c r="P1336" s="5"/>
      <c r="Q1336" s="9"/>
      <c r="R1336" s="5"/>
      <c r="S1336" s="5"/>
      <c r="T1336" s="5"/>
      <c r="U1336" s="5"/>
      <c r="V1336" s="5"/>
      <c r="W1336" s="5"/>
      <c r="X1336" s="5"/>
      <c r="Y1336" s="9"/>
      <c r="Z1336" s="2"/>
    </row>
    <row r="1337" spans="1:26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3"/>
      <c r="M1337" s="6"/>
      <c r="N1337" s="6"/>
      <c r="O1337" s="6"/>
      <c r="P1337" s="5"/>
      <c r="Q1337" s="9"/>
      <c r="R1337" s="5"/>
      <c r="S1337" s="5"/>
      <c r="T1337" s="5"/>
      <c r="U1337" s="5"/>
      <c r="V1337" s="5"/>
      <c r="W1337" s="5"/>
      <c r="X1337" s="5"/>
      <c r="Y1337" s="9"/>
      <c r="Z1337" s="2"/>
    </row>
    <row r="1338" spans="1:26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3"/>
      <c r="M1338" s="6"/>
      <c r="N1338" s="6"/>
      <c r="O1338" s="6"/>
      <c r="P1338" s="5"/>
      <c r="Q1338" s="9"/>
      <c r="R1338" s="5"/>
      <c r="S1338" s="5"/>
      <c r="T1338" s="5"/>
      <c r="U1338" s="5"/>
      <c r="V1338" s="5"/>
      <c r="W1338" s="5"/>
      <c r="X1338" s="5"/>
      <c r="Y1338" s="9"/>
      <c r="Z1338" s="2"/>
    </row>
    <row r="1339" spans="1:26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3"/>
      <c r="M1339" s="6"/>
      <c r="N1339" s="6"/>
      <c r="O1339" s="6"/>
      <c r="P1339" s="5"/>
      <c r="Q1339" s="9"/>
      <c r="R1339" s="5"/>
      <c r="S1339" s="5"/>
      <c r="T1339" s="5"/>
      <c r="U1339" s="5"/>
      <c r="V1339" s="5"/>
      <c r="W1339" s="5"/>
      <c r="X1339" s="5"/>
      <c r="Y1339" s="9"/>
      <c r="Z1339" s="2"/>
    </row>
    <row r="1340" spans="1:26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3"/>
      <c r="M1340" s="6"/>
      <c r="N1340" s="6"/>
      <c r="O1340" s="6"/>
      <c r="P1340" s="5"/>
      <c r="Q1340" s="9"/>
      <c r="R1340" s="5"/>
      <c r="S1340" s="5"/>
      <c r="T1340" s="5"/>
      <c r="U1340" s="5"/>
      <c r="V1340" s="5"/>
      <c r="W1340" s="5"/>
      <c r="X1340" s="5"/>
      <c r="Y1340" s="9"/>
      <c r="Z1340" s="2"/>
    </row>
    <row r="1341" spans="1:26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3"/>
      <c r="M1341" s="6"/>
      <c r="N1341" s="6"/>
      <c r="O1341" s="6"/>
      <c r="P1341" s="5"/>
      <c r="Q1341" s="9"/>
      <c r="R1341" s="5"/>
      <c r="S1341" s="5"/>
      <c r="T1341" s="5"/>
      <c r="U1341" s="5"/>
      <c r="V1341" s="5"/>
      <c r="W1341" s="5"/>
      <c r="X1341" s="5"/>
      <c r="Y1341" s="9"/>
      <c r="Z1341" s="2"/>
    </row>
    <row r="1342" spans="1:26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3"/>
      <c r="M1342" s="6"/>
      <c r="N1342" s="6"/>
      <c r="O1342" s="6"/>
      <c r="P1342" s="5"/>
      <c r="Q1342" s="9"/>
      <c r="R1342" s="5"/>
      <c r="S1342" s="5"/>
      <c r="T1342" s="5"/>
      <c r="U1342" s="5"/>
      <c r="V1342" s="5"/>
      <c r="W1342" s="5"/>
      <c r="X1342" s="5"/>
      <c r="Y1342" s="9"/>
      <c r="Z1342" s="2"/>
    </row>
    <row r="1343" spans="1:26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3"/>
      <c r="M1343" s="6"/>
      <c r="N1343" s="6"/>
      <c r="O1343" s="6"/>
      <c r="P1343" s="5"/>
      <c r="Q1343" s="9"/>
      <c r="R1343" s="5"/>
      <c r="S1343" s="5"/>
      <c r="T1343" s="5"/>
      <c r="U1343" s="5"/>
      <c r="V1343" s="5"/>
      <c r="W1343" s="5"/>
      <c r="X1343" s="5"/>
      <c r="Y1343" s="9"/>
      <c r="Z1343" s="2"/>
    </row>
    <row r="1344" spans="1:26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3"/>
      <c r="M1344" s="6"/>
      <c r="N1344" s="6"/>
      <c r="O1344" s="6"/>
      <c r="P1344" s="5"/>
      <c r="Q1344" s="9"/>
      <c r="R1344" s="5"/>
      <c r="S1344" s="5"/>
      <c r="T1344" s="5"/>
      <c r="U1344" s="5"/>
      <c r="V1344" s="5"/>
      <c r="W1344" s="5"/>
      <c r="X1344" s="5"/>
      <c r="Y1344" s="9"/>
      <c r="Z1344" s="2"/>
    </row>
    <row r="1345" spans="1:26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3"/>
      <c r="M1345" s="6"/>
      <c r="N1345" s="6"/>
      <c r="O1345" s="6"/>
      <c r="P1345" s="5"/>
      <c r="Q1345" s="9"/>
      <c r="R1345" s="5"/>
      <c r="S1345" s="5"/>
      <c r="T1345" s="5"/>
      <c r="U1345" s="5"/>
      <c r="V1345" s="5"/>
      <c r="W1345" s="5"/>
      <c r="X1345" s="5"/>
      <c r="Y1345" s="9"/>
      <c r="Z1345" s="2"/>
    </row>
    <row r="1346" spans="1:26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3"/>
      <c r="M1346" s="6"/>
      <c r="N1346" s="6"/>
      <c r="O1346" s="6"/>
      <c r="P1346" s="5"/>
      <c r="Q1346" s="9"/>
      <c r="R1346" s="5"/>
      <c r="S1346" s="5"/>
      <c r="T1346" s="5"/>
      <c r="U1346" s="5"/>
      <c r="V1346" s="5"/>
      <c r="W1346" s="5"/>
      <c r="X1346" s="5"/>
      <c r="Y1346" s="9"/>
      <c r="Z1346" s="2"/>
    </row>
    <row r="1347" spans="1:26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3"/>
      <c r="M1347" s="6"/>
      <c r="N1347" s="6"/>
      <c r="O1347" s="6"/>
      <c r="P1347" s="5"/>
      <c r="Q1347" s="9"/>
      <c r="R1347" s="5"/>
      <c r="S1347" s="5"/>
      <c r="T1347" s="5"/>
      <c r="U1347" s="5"/>
      <c r="V1347" s="5"/>
      <c r="W1347" s="5"/>
      <c r="X1347" s="5"/>
      <c r="Y1347" s="9"/>
      <c r="Z1347" s="2"/>
    </row>
    <row r="1348" spans="1:26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3"/>
      <c r="M1348" s="6"/>
      <c r="N1348" s="6"/>
      <c r="O1348" s="6"/>
      <c r="P1348" s="5"/>
      <c r="Q1348" s="9"/>
      <c r="R1348" s="5"/>
      <c r="S1348" s="5"/>
      <c r="T1348" s="5"/>
      <c r="U1348" s="5"/>
      <c r="V1348" s="5"/>
      <c r="W1348" s="5"/>
      <c r="X1348" s="5"/>
      <c r="Y1348" s="9"/>
      <c r="Z1348" s="2"/>
    </row>
    <row r="1349" spans="1:26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3"/>
      <c r="M1349" s="6"/>
      <c r="N1349" s="6"/>
      <c r="O1349" s="6"/>
      <c r="P1349" s="5"/>
      <c r="Q1349" s="9"/>
      <c r="R1349" s="5"/>
      <c r="S1349" s="5"/>
      <c r="T1349" s="5"/>
      <c r="U1349" s="5"/>
      <c r="V1349" s="5"/>
      <c r="W1349" s="5"/>
      <c r="X1349" s="5"/>
      <c r="Y1349" s="9"/>
      <c r="Z1349" s="2"/>
    </row>
    <row r="1350" spans="1:26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3"/>
      <c r="M1350" s="6"/>
      <c r="N1350" s="6"/>
      <c r="O1350" s="6"/>
      <c r="P1350" s="5"/>
      <c r="Q1350" s="9"/>
      <c r="R1350" s="5"/>
      <c r="S1350" s="5"/>
      <c r="T1350" s="5"/>
      <c r="U1350" s="5"/>
      <c r="V1350" s="5"/>
      <c r="W1350" s="5"/>
      <c r="X1350" s="5"/>
      <c r="Y1350" s="9"/>
      <c r="Z1350" s="2"/>
    </row>
    <row r="1351" spans="1:26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3"/>
      <c r="M1351" s="6"/>
      <c r="N1351" s="6"/>
      <c r="O1351" s="6"/>
      <c r="P1351" s="5"/>
      <c r="Q1351" s="9"/>
      <c r="R1351" s="5"/>
      <c r="S1351" s="5"/>
      <c r="T1351" s="5"/>
      <c r="U1351" s="5"/>
      <c r="V1351" s="5"/>
      <c r="W1351" s="5"/>
      <c r="X1351" s="5"/>
      <c r="Y1351" s="9"/>
      <c r="Z1351" s="2"/>
    </row>
    <row r="1352" spans="1:26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3"/>
      <c r="M1352" s="6"/>
      <c r="N1352" s="6"/>
      <c r="O1352" s="6"/>
      <c r="P1352" s="5"/>
      <c r="Q1352" s="9"/>
      <c r="R1352" s="5"/>
      <c r="S1352" s="5"/>
      <c r="T1352" s="5"/>
      <c r="U1352" s="5"/>
      <c r="V1352" s="5"/>
      <c r="W1352" s="5"/>
      <c r="X1352" s="5"/>
      <c r="Y1352" s="9"/>
      <c r="Z1352" s="2"/>
    </row>
    <row r="1353" spans="1:26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3"/>
      <c r="M1353" s="6"/>
      <c r="N1353" s="6"/>
      <c r="O1353" s="6"/>
      <c r="P1353" s="5"/>
      <c r="Q1353" s="9"/>
      <c r="R1353" s="5"/>
      <c r="S1353" s="5"/>
      <c r="T1353" s="5"/>
      <c r="U1353" s="5"/>
      <c r="V1353" s="5"/>
      <c r="W1353" s="5"/>
      <c r="X1353" s="5"/>
      <c r="Y1353" s="9"/>
      <c r="Z1353" s="2"/>
    </row>
    <row r="1354" spans="1:26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3"/>
      <c r="M1354" s="6"/>
      <c r="N1354" s="6"/>
      <c r="O1354" s="6"/>
      <c r="P1354" s="5"/>
      <c r="Q1354" s="9"/>
      <c r="R1354" s="5"/>
      <c r="S1354" s="5"/>
      <c r="T1354" s="5"/>
      <c r="U1354" s="5"/>
      <c r="V1354" s="5"/>
      <c r="W1354" s="5"/>
      <c r="X1354" s="5"/>
      <c r="Y1354" s="9"/>
      <c r="Z1354" s="2"/>
    </row>
    <row r="1355" spans="1:26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3"/>
      <c r="M1355" s="6"/>
      <c r="N1355" s="6"/>
      <c r="O1355" s="6"/>
      <c r="P1355" s="5"/>
      <c r="Q1355" s="9"/>
      <c r="R1355" s="5"/>
      <c r="S1355" s="5"/>
      <c r="T1355" s="5"/>
      <c r="U1355" s="5"/>
      <c r="V1355" s="5"/>
      <c r="W1355" s="5"/>
      <c r="X1355" s="5"/>
      <c r="Y1355" s="9"/>
      <c r="Z1355" s="2"/>
    </row>
    <row r="1356" spans="1:26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3"/>
      <c r="M1356" s="6"/>
      <c r="N1356" s="6"/>
      <c r="O1356" s="6"/>
      <c r="P1356" s="5"/>
      <c r="Q1356" s="9"/>
      <c r="R1356" s="5"/>
      <c r="S1356" s="5"/>
      <c r="T1356" s="5"/>
      <c r="U1356" s="5"/>
      <c r="V1356" s="5"/>
      <c r="W1356" s="5"/>
      <c r="X1356" s="5"/>
      <c r="Y1356" s="9"/>
      <c r="Z1356" s="2"/>
    </row>
    <row r="1357" spans="1:26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3"/>
      <c r="M1357" s="6"/>
      <c r="N1357" s="6"/>
      <c r="O1357" s="6"/>
      <c r="P1357" s="5"/>
      <c r="Q1357" s="9"/>
      <c r="R1357" s="5"/>
      <c r="S1357" s="5"/>
      <c r="T1357" s="5"/>
      <c r="U1357" s="5"/>
      <c r="V1357" s="5"/>
      <c r="W1357" s="5"/>
      <c r="X1357" s="5"/>
      <c r="Y1357" s="9"/>
      <c r="Z1357" s="2"/>
    </row>
    <row r="1358" spans="1:26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3"/>
      <c r="M1358" s="6"/>
      <c r="N1358" s="6"/>
      <c r="O1358" s="6"/>
      <c r="P1358" s="5"/>
      <c r="Q1358" s="9"/>
      <c r="R1358" s="5"/>
      <c r="S1358" s="5"/>
      <c r="T1358" s="5"/>
      <c r="U1358" s="5"/>
      <c r="V1358" s="5"/>
      <c r="W1358" s="5"/>
      <c r="X1358" s="5"/>
      <c r="Y1358" s="9"/>
      <c r="Z1358" s="2"/>
    </row>
    <row r="1359" spans="1:26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3"/>
      <c r="M1359" s="6"/>
      <c r="N1359" s="6"/>
      <c r="O1359" s="6"/>
      <c r="P1359" s="5"/>
      <c r="Q1359" s="9"/>
      <c r="R1359" s="5"/>
      <c r="S1359" s="5"/>
      <c r="T1359" s="5"/>
      <c r="U1359" s="5"/>
      <c r="V1359" s="5"/>
      <c r="W1359" s="5"/>
      <c r="X1359" s="5"/>
      <c r="Y1359" s="9"/>
      <c r="Z1359" s="2"/>
    </row>
    <row r="1360" spans="1:26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3"/>
      <c r="M1360" s="6"/>
      <c r="N1360" s="6"/>
      <c r="O1360" s="6"/>
      <c r="P1360" s="5"/>
      <c r="Q1360" s="9"/>
      <c r="R1360" s="5"/>
      <c r="S1360" s="5"/>
      <c r="T1360" s="5"/>
      <c r="U1360" s="5"/>
      <c r="V1360" s="5"/>
      <c r="W1360" s="5"/>
      <c r="X1360" s="5"/>
      <c r="Y1360" s="9"/>
      <c r="Z1360" s="2"/>
    </row>
    <row r="1361" spans="1:26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3"/>
      <c r="M1361" s="6"/>
      <c r="N1361" s="6"/>
      <c r="O1361" s="6"/>
      <c r="P1361" s="5"/>
      <c r="Q1361" s="9"/>
      <c r="R1361" s="5"/>
      <c r="S1361" s="5"/>
      <c r="T1361" s="5"/>
      <c r="U1361" s="5"/>
      <c r="V1361" s="5"/>
      <c r="W1361" s="5"/>
      <c r="X1361" s="5"/>
      <c r="Y1361" s="9"/>
      <c r="Z1361" s="2"/>
    </row>
    <row r="1362" spans="1:26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3"/>
      <c r="M1362" s="6"/>
      <c r="N1362" s="6"/>
      <c r="O1362" s="6"/>
      <c r="P1362" s="5"/>
      <c r="Q1362" s="9"/>
      <c r="R1362" s="5"/>
      <c r="S1362" s="5"/>
      <c r="T1362" s="5"/>
      <c r="U1362" s="5"/>
      <c r="V1362" s="5"/>
      <c r="W1362" s="5"/>
      <c r="X1362" s="5"/>
      <c r="Y1362" s="9"/>
      <c r="Z1362" s="2"/>
    </row>
    <row r="1363" spans="1:26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3"/>
      <c r="M1363" s="6"/>
      <c r="N1363" s="6"/>
      <c r="O1363" s="6"/>
      <c r="P1363" s="5"/>
      <c r="Q1363" s="9"/>
      <c r="R1363" s="5"/>
      <c r="S1363" s="5"/>
      <c r="T1363" s="5"/>
      <c r="U1363" s="5"/>
      <c r="V1363" s="5"/>
      <c r="W1363" s="5"/>
      <c r="X1363" s="5"/>
      <c r="Y1363" s="9"/>
      <c r="Z1363" s="2"/>
    </row>
    <row r="1364" spans="1:26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3"/>
      <c r="M1364" s="6"/>
      <c r="N1364" s="6"/>
      <c r="O1364" s="6"/>
      <c r="P1364" s="5"/>
      <c r="Q1364" s="9"/>
      <c r="R1364" s="5"/>
      <c r="S1364" s="5"/>
      <c r="T1364" s="5"/>
      <c r="U1364" s="5"/>
      <c r="V1364" s="5"/>
      <c r="W1364" s="5"/>
      <c r="X1364" s="5"/>
      <c r="Y1364" s="9"/>
      <c r="Z1364" s="2"/>
    </row>
    <row r="1365" spans="1:26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3"/>
      <c r="M1365" s="6"/>
      <c r="N1365" s="6"/>
      <c r="O1365" s="6"/>
      <c r="P1365" s="5"/>
      <c r="Q1365" s="9"/>
      <c r="R1365" s="5"/>
      <c r="S1365" s="5"/>
      <c r="T1365" s="5"/>
      <c r="U1365" s="5"/>
      <c r="V1365" s="5"/>
      <c r="W1365" s="5"/>
      <c r="X1365" s="5"/>
      <c r="Y1365" s="9"/>
      <c r="Z1365" s="2"/>
    </row>
    <row r="1366" spans="1:26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3"/>
      <c r="M1366" s="6"/>
      <c r="N1366" s="6"/>
      <c r="O1366" s="6"/>
      <c r="P1366" s="5"/>
      <c r="Q1366" s="9"/>
      <c r="R1366" s="5"/>
      <c r="S1366" s="5"/>
      <c r="T1366" s="5"/>
      <c r="U1366" s="5"/>
      <c r="V1366" s="5"/>
      <c r="W1366" s="5"/>
      <c r="X1366" s="5"/>
      <c r="Y1366" s="9"/>
      <c r="Z1366" s="2"/>
    </row>
    <row r="1367" spans="1:26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3"/>
      <c r="M1367" s="6"/>
      <c r="N1367" s="6"/>
      <c r="O1367" s="6"/>
      <c r="P1367" s="5"/>
      <c r="Q1367" s="9"/>
      <c r="R1367" s="5"/>
      <c r="S1367" s="5"/>
      <c r="T1367" s="5"/>
      <c r="U1367" s="5"/>
      <c r="V1367" s="5"/>
      <c r="W1367" s="5"/>
      <c r="X1367" s="5"/>
      <c r="Y1367" s="9"/>
      <c r="Z1367" s="2"/>
    </row>
    <row r="1368" spans="1:26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3"/>
      <c r="M1368" s="6"/>
      <c r="N1368" s="6"/>
      <c r="O1368" s="6"/>
      <c r="P1368" s="5"/>
      <c r="Q1368" s="9"/>
      <c r="R1368" s="5"/>
      <c r="S1368" s="5"/>
      <c r="T1368" s="5"/>
      <c r="U1368" s="5"/>
      <c r="V1368" s="5"/>
      <c r="W1368" s="5"/>
      <c r="X1368" s="5"/>
      <c r="Y1368" s="9"/>
      <c r="Z1368" s="2"/>
    </row>
    <row r="1369" spans="1:26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3"/>
      <c r="M1369" s="6"/>
      <c r="N1369" s="6"/>
      <c r="O1369" s="6"/>
      <c r="P1369" s="5"/>
      <c r="Q1369" s="9"/>
      <c r="R1369" s="5"/>
      <c r="S1369" s="5"/>
      <c r="T1369" s="5"/>
      <c r="U1369" s="5"/>
      <c r="V1369" s="5"/>
      <c r="W1369" s="5"/>
      <c r="X1369" s="5"/>
      <c r="Y1369" s="9"/>
      <c r="Z1369" s="2"/>
    </row>
    <row r="1370" spans="1:26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3"/>
      <c r="M1370" s="6"/>
      <c r="N1370" s="6"/>
      <c r="O1370" s="6"/>
      <c r="P1370" s="5"/>
      <c r="Q1370" s="9"/>
      <c r="R1370" s="5"/>
      <c r="S1370" s="5"/>
      <c r="T1370" s="5"/>
      <c r="U1370" s="5"/>
      <c r="V1370" s="5"/>
      <c r="W1370" s="5"/>
      <c r="X1370" s="5"/>
      <c r="Y1370" s="9"/>
      <c r="Z1370" s="2"/>
    </row>
    <row r="1371" spans="1:26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3"/>
      <c r="M1371" s="6"/>
      <c r="N1371" s="6"/>
      <c r="O1371" s="6"/>
      <c r="P1371" s="5"/>
      <c r="Q1371" s="9"/>
      <c r="R1371" s="5"/>
      <c r="S1371" s="5"/>
      <c r="T1371" s="5"/>
      <c r="U1371" s="5"/>
      <c r="V1371" s="5"/>
      <c r="W1371" s="5"/>
      <c r="X1371" s="5"/>
      <c r="Y1371" s="9"/>
      <c r="Z1371" s="2"/>
    </row>
    <row r="1372" spans="1:26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3"/>
      <c r="M1372" s="6"/>
      <c r="N1372" s="6"/>
      <c r="O1372" s="6"/>
      <c r="P1372" s="5"/>
      <c r="Q1372" s="9"/>
      <c r="R1372" s="5"/>
      <c r="S1372" s="5"/>
      <c r="T1372" s="5"/>
      <c r="U1372" s="5"/>
      <c r="V1372" s="5"/>
      <c r="W1372" s="5"/>
      <c r="X1372" s="5"/>
      <c r="Y1372" s="9"/>
      <c r="Z1372" s="2"/>
    </row>
    <row r="1373" spans="1:26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3"/>
      <c r="M1373" s="6"/>
      <c r="N1373" s="6"/>
      <c r="O1373" s="6"/>
      <c r="P1373" s="5"/>
      <c r="Q1373" s="9"/>
      <c r="R1373" s="5"/>
      <c r="S1373" s="5"/>
      <c r="T1373" s="5"/>
      <c r="U1373" s="5"/>
      <c r="V1373" s="5"/>
      <c r="W1373" s="5"/>
      <c r="X1373" s="5"/>
      <c r="Y1373" s="9"/>
      <c r="Z1373" s="2"/>
    </row>
    <row r="1374" spans="1:26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3"/>
      <c r="M1374" s="6"/>
      <c r="N1374" s="6"/>
      <c r="O1374" s="6"/>
      <c r="P1374" s="5"/>
      <c r="Q1374" s="9"/>
      <c r="R1374" s="5"/>
      <c r="S1374" s="5"/>
      <c r="T1374" s="5"/>
      <c r="U1374" s="5"/>
      <c r="V1374" s="5"/>
      <c r="W1374" s="5"/>
      <c r="X1374" s="5"/>
      <c r="Y1374" s="9"/>
      <c r="Z1374" s="2"/>
    </row>
    <row r="1375" spans="1:26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3"/>
      <c r="M1375" s="6"/>
      <c r="N1375" s="6"/>
      <c r="O1375" s="6"/>
      <c r="P1375" s="5"/>
      <c r="Q1375" s="9"/>
      <c r="R1375" s="5"/>
      <c r="S1375" s="5"/>
      <c r="T1375" s="5"/>
      <c r="U1375" s="5"/>
      <c r="V1375" s="5"/>
      <c r="W1375" s="5"/>
      <c r="X1375" s="5"/>
      <c r="Y1375" s="9"/>
      <c r="Z1375" s="2"/>
    </row>
    <row r="1376" spans="1:26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3"/>
      <c r="M1376" s="6"/>
      <c r="N1376" s="6"/>
      <c r="O1376" s="6"/>
      <c r="P1376" s="5"/>
      <c r="Q1376" s="9"/>
      <c r="R1376" s="5"/>
      <c r="S1376" s="5"/>
      <c r="T1376" s="5"/>
      <c r="U1376" s="5"/>
      <c r="V1376" s="5"/>
      <c r="W1376" s="5"/>
      <c r="X1376" s="5"/>
      <c r="Y1376" s="9"/>
      <c r="Z1376" s="2"/>
    </row>
    <row r="1377" spans="1:26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3"/>
      <c r="M1377" s="6"/>
      <c r="N1377" s="6"/>
      <c r="O1377" s="6"/>
      <c r="P1377" s="5"/>
      <c r="Q1377" s="9"/>
      <c r="R1377" s="5"/>
      <c r="S1377" s="5"/>
      <c r="T1377" s="5"/>
      <c r="U1377" s="5"/>
      <c r="V1377" s="5"/>
      <c r="W1377" s="5"/>
      <c r="X1377" s="5"/>
      <c r="Y1377" s="9"/>
      <c r="Z1377" s="2"/>
    </row>
    <row r="1378" spans="1:26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3"/>
      <c r="M1378" s="6"/>
      <c r="N1378" s="6"/>
      <c r="O1378" s="6"/>
      <c r="P1378" s="5"/>
      <c r="Q1378" s="9"/>
      <c r="R1378" s="5"/>
      <c r="S1378" s="5"/>
      <c r="T1378" s="5"/>
      <c r="U1378" s="5"/>
      <c r="V1378" s="5"/>
      <c r="W1378" s="5"/>
      <c r="X1378" s="5"/>
      <c r="Y1378" s="9"/>
      <c r="Z1378" s="2"/>
    </row>
    <row r="1379" spans="1:26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3"/>
      <c r="M1379" s="6"/>
      <c r="N1379" s="6"/>
      <c r="O1379" s="6"/>
      <c r="P1379" s="5"/>
      <c r="Q1379" s="9"/>
      <c r="R1379" s="5"/>
      <c r="S1379" s="5"/>
      <c r="T1379" s="5"/>
      <c r="U1379" s="5"/>
      <c r="V1379" s="5"/>
      <c r="W1379" s="5"/>
      <c r="X1379" s="5"/>
      <c r="Y1379" s="9"/>
      <c r="Z1379" s="2"/>
    </row>
    <row r="1380" spans="1:26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3"/>
      <c r="M1380" s="6"/>
      <c r="N1380" s="6"/>
      <c r="O1380" s="6"/>
      <c r="P1380" s="5"/>
      <c r="Q1380" s="9"/>
      <c r="R1380" s="5"/>
      <c r="S1380" s="5"/>
      <c r="T1380" s="5"/>
      <c r="U1380" s="5"/>
      <c r="V1380" s="5"/>
      <c r="W1380" s="5"/>
      <c r="X1380" s="5"/>
      <c r="Y1380" s="9"/>
      <c r="Z1380" s="2"/>
    </row>
    <row r="1381" spans="1:26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3"/>
      <c r="M1381" s="6"/>
      <c r="N1381" s="6"/>
      <c r="O1381" s="6"/>
      <c r="P1381" s="5"/>
      <c r="Q1381" s="9"/>
      <c r="R1381" s="5"/>
      <c r="S1381" s="5"/>
      <c r="T1381" s="5"/>
      <c r="U1381" s="5"/>
      <c r="V1381" s="5"/>
      <c r="W1381" s="5"/>
      <c r="X1381" s="5"/>
      <c r="Y1381" s="9"/>
      <c r="Z1381" s="2"/>
    </row>
    <row r="1382" spans="1:26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3"/>
      <c r="M1382" s="6"/>
      <c r="N1382" s="6"/>
      <c r="O1382" s="6"/>
      <c r="P1382" s="5"/>
      <c r="Q1382" s="9"/>
      <c r="R1382" s="5"/>
      <c r="S1382" s="5"/>
      <c r="T1382" s="5"/>
      <c r="U1382" s="5"/>
      <c r="V1382" s="5"/>
      <c r="W1382" s="5"/>
      <c r="X1382" s="5"/>
      <c r="Y1382" s="9"/>
      <c r="Z1382" s="2"/>
    </row>
    <row r="1383" spans="1:26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3"/>
      <c r="M1383" s="6"/>
      <c r="N1383" s="6"/>
      <c r="O1383" s="6"/>
      <c r="P1383" s="5"/>
      <c r="Q1383" s="9"/>
      <c r="R1383" s="5"/>
      <c r="S1383" s="5"/>
      <c r="T1383" s="5"/>
      <c r="U1383" s="5"/>
      <c r="V1383" s="5"/>
      <c r="W1383" s="5"/>
      <c r="X1383" s="5"/>
      <c r="Y1383" s="9"/>
      <c r="Z1383" s="2"/>
    </row>
    <row r="1384" spans="1:26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3"/>
      <c r="M1384" s="6"/>
      <c r="N1384" s="6"/>
      <c r="O1384" s="6"/>
      <c r="P1384" s="5"/>
      <c r="Q1384" s="9"/>
      <c r="R1384" s="5"/>
      <c r="S1384" s="5"/>
      <c r="T1384" s="5"/>
      <c r="U1384" s="5"/>
      <c r="V1384" s="5"/>
      <c r="W1384" s="5"/>
      <c r="X1384" s="5"/>
      <c r="Y1384" s="9"/>
      <c r="Z1384" s="2"/>
    </row>
    <row r="1385" spans="1:26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3"/>
      <c r="M1385" s="6"/>
      <c r="N1385" s="6"/>
      <c r="O1385" s="6"/>
      <c r="P1385" s="5"/>
      <c r="Q1385" s="9"/>
      <c r="R1385" s="5"/>
      <c r="S1385" s="5"/>
      <c r="T1385" s="5"/>
      <c r="U1385" s="5"/>
      <c r="V1385" s="5"/>
      <c r="W1385" s="5"/>
      <c r="X1385" s="5"/>
      <c r="Y1385" s="9"/>
      <c r="Z1385" s="2"/>
    </row>
    <row r="1386" spans="1:26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3"/>
      <c r="M1386" s="6"/>
      <c r="N1386" s="6"/>
      <c r="O1386" s="6"/>
      <c r="P1386" s="5"/>
      <c r="Q1386" s="9"/>
      <c r="R1386" s="5"/>
      <c r="S1386" s="5"/>
      <c r="T1386" s="5"/>
      <c r="U1386" s="5"/>
      <c r="V1386" s="5"/>
      <c r="W1386" s="5"/>
      <c r="X1386" s="5"/>
      <c r="Y1386" s="9"/>
      <c r="Z1386" s="2"/>
    </row>
    <row r="1387" spans="1:26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3"/>
      <c r="M1387" s="6"/>
      <c r="N1387" s="6"/>
      <c r="O1387" s="6"/>
      <c r="P1387" s="5"/>
      <c r="Q1387" s="9"/>
      <c r="R1387" s="5"/>
      <c r="S1387" s="5"/>
      <c r="T1387" s="5"/>
      <c r="U1387" s="5"/>
      <c r="V1387" s="5"/>
      <c r="W1387" s="5"/>
      <c r="X1387" s="5"/>
      <c r="Y1387" s="9"/>
      <c r="Z1387" s="2"/>
    </row>
    <row r="1388" spans="1:26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3"/>
      <c r="M1388" s="6"/>
      <c r="N1388" s="6"/>
      <c r="O1388" s="6"/>
      <c r="P1388" s="5"/>
      <c r="Q1388" s="9"/>
      <c r="R1388" s="5"/>
      <c r="S1388" s="5"/>
      <c r="T1388" s="5"/>
      <c r="U1388" s="5"/>
      <c r="V1388" s="5"/>
      <c r="W1388" s="5"/>
      <c r="X1388" s="5"/>
      <c r="Y1388" s="9"/>
      <c r="Z1388" s="2"/>
    </row>
    <row r="1389" spans="1:26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3"/>
      <c r="M1389" s="6"/>
      <c r="N1389" s="6"/>
      <c r="O1389" s="6"/>
      <c r="P1389" s="5"/>
      <c r="Q1389" s="9"/>
      <c r="R1389" s="5"/>
      <c r="S1389" s="5"/>
      <c r="T1389" s="5"/>
      <c r="U1389" s="5"/>
      <c r="V1389" s="5"/>
      <c r="W1389" s="5"/>
      <c r="X1389" s="5"/>
      <c r="Y1389" s="9"/>
      <c r="Z1389" s="2"/>
    </row>
    <row r="1390" spans="1:26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3"/>
      <c r="M1390" s="6"/>
      <c r="N1390" s="6"/>
      <c r="O1390" s="6"/>
      <c r="P1390" s="5"/>
      <c r="Q1390" s="9"/>
      <c r="R1390" s="5"/>
      <c r="S1390" s="5"/>
      <c r="T1390" s="5"/>
      <c r="U1390" s="5"/>
      <c r="V1390" s="5"/>
      <c r="W1390" s="5"/>
      <c r="X1390" s="5"/>
      <c r="Y1390" s="9"/>
      <c r="Z1390" s="2"/>
    </row>
    <row r="1391" spans="1:26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3"/>
      <c r="M1391" s="6"/>
      <c r="N1391" s="6"/>
      <c r="O1391" s="6"/>
      <c r="P1391" s="5"/>
      <c r="Q1391" s="9"/>
      <c r="R1391" s="5"/>
      <c r="S1391" s="5"/>
      <c r="T1391" s="5"/>
      <c r="U1391" s="5"/>
      <c r="V1391" s="5"/>
      <c r="W1391" s="5"/>
      <c r="X1391" s="5"/>
      <c r="Y1391" s="9"/>
      <c r="Z1391" s="2"/>
    </row>
    <row r="1392" spans="1:26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3"/>
      <c r="M1392" s="6"/>
      <c r="N1392" s="6"/>
      <c r="O1392" s="6"/>
      <c r="P1392" s="5"/>
      <c r="Q1392" s="9"/>
      <c r="R1392" s="5"/>
      <c r="S1392" s="5"/>
      <c r="T1392" s="5"/>
      <c r="U1392" s="5"/>
      <c r="V1392" s="5"/>
      <c r="W1392" s="5"/>
      <c r="X1392" s="5"/>
      <c r="Y1392" s="9"/>
      <c r="Z1392" s="2"/>
    </row>
    <row r="1393" spans="1:26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3"/>
      <c r="M1393" s="6"/>
      <c r="N1393" s="6"/>
      <c r="O1393" s="6"/>
      <c r="P1393" s="5"/>
      <c r="Q1393" s="9"/>
      <c r="R1393" s="5"/>
      <c r="S1393" s="5"/>
      <c r="T1393" s="5"/>
      <c r="U1393" s="5"/>
      <c r="V1393" s="5"/>
      <c r="W1393" s="5"/>
      <c r="X1393" s="5"/>
      <c r="Y1393" s="9"/>
      <c r="Z1393" s="2"/>
    </row>
    <row r="1394" spans="1:26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3"/>
      <c r="M1394" s="6"/>
      <c r="N1394" s="6"/>
      <c r="O1394" s="6"/>
      <c r="P1394" s="5"/>
      <c r="Q1394" s="9"/>
      <c r="R1394" s="5"/>
      <c r="S1394" s="5"/>
      <c r="T1394" s="5"/>
      <c r="U1394" s="5"/>
      <c r="V1394" s="5"/>
      <c r="W1394" s="5"/>
      <c r="X1394" s="5"/>
      <c r="Y1394" s="9"/>
      <c r="Z1394" s="2"/>
    </row>
    <row r="1395" spans="1:26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3"/>
      <c r="M1395" s="6"/>
      <c r="N1395" s="6"/>
      <c r="O1395" s="6"/>
      <c r="P1395" s="5"/>
      <c r="Q1395" s="9"/>
      <c r="R1395" s="5"/>
      <c r="S1395" s="5"/>
      <c r="T1395" s="5"/>
      <c r="U1395" s="5"/>
      <c r="V1395" s="5"/>
      <c r="W1395" s="5"/>
      <c r="X1395" s="5"/>
      <c r="Y1395" s="9"/>
      <c r="Z1395" s="2"/>
    </row>
    <row r="1396" spans="1:26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3"/>
      <c r="M1396" s="6"/>
      <c r="N1396" s="6"/>
      <c r="O1396" s="6"/>
      <c r="P1396" s="5"/>
      <c r="Q1396" s="9"/>
      <c r="R1396" s="5"/>
      <c r="S1396" s="5"/>
      <c r="T1396" s="5"/>
      <c r="U1396" s="5"/>
      <c r="V1396" s="5"/>
      <c r="W1396" s="5"/>
      <c r="X1396" s="5"/>
      <c r="Y1396" s="9"/>
      <c r="Z1396" s="2"/>
    </row>
    <row r="1397" spans="1:26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3"/>
      <c r="M1397" s="6"/>
      <c r="N1397" s="6"/>
      <c r="O1397" s="6"/>
      <c r="P1397" s="5"/>
      <c r="Q1397" s="9"/>
      <c r="R1397" s="5"/>
      <c r="S1397" s="5"/>
      <c r="T1397" s="5"/>
      <c r="U1397" s="5"/>
      <c r="V1397" s="5"/>
      <c r="W1397" s="5"/>
      <c r="X1397" s="5"/>
      <c r="Y1397" s="9"/>
      <c r="Z1397" s="2"/>
    </row>
    <row r="1398" spans="1:26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3"/>
      <c r="M1398" s="6"/>
      <c r="N1398" s="6"/>
      <c r="O1398" s="6"/>
      <c r="P1398" s="5"/>
      <c r="Q1398" s="9"/>
      <c r="R1398" s="5"/>
      <c r="S1398" s="5"/>
      <c r="T1398" s="5"/>
      <c r="U1398" s="5"/>
      <c r="V1398" s="5"/>
      <c r="W1398" s="5"/>
      <c r="X1398" s="5"/>
      <c r="Y1398" s="9"/>
      <c r="Z1398" s="2"/>
    </row>
    <row r="1399" spans="1:26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3"/>
      <c r="M1399" s="6"/>
      <c r="N1399" s="6"/>
      <c r="O1399" s="6"/>
      <c r="P1399" s="5"/>
      <c r="Q1399" s="9"/>
      <c r="R1399" s="5"/>
      <c r="S1399" s="5"/>
      <c r="T1399" s="5"/>
      <c r="U1399" s="5"/>
      <c r="V1399" s="5"/>
      <c r="W1399" s="5"/>
      <c r="X1399" s="5"/>
      <c r="Y1399" s="9"/>
      <c r="Z1399" s="2"/>
    </row>
    <row r="1400" spans="1:26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3"/>
      <c r="M1400" s="6"/>
      <c r="N1400" s="6"/>
      <c r="O1400" s="6"/>
      <c r="P1400" s="5"/>
      <c r="Q1400" s="9"/>
      <c r="R1400" s="5"/>
      <c r="S1400" s="5"/>
      <c r="T1400" s="5"/>
      <c r="U1400" s="5"/>
      <c r="V1400" s="5"/>
      <c r="W1400" s="5"/>
      <c r="X1400" s="5"/>
      <c r="Y1400" s="9"/>
      <c r="Z1400" s="2"/>
    </row>
    <row r="1401" spans="1:26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3"/>
      <c r="M1401" s="6"/>
      <c r="N1401" s="6"/>
      <c r="O1401" s="6"/>
      <c r="P1401" s="5"/>
      <c r="Q1401" s="9"/>
      <c r="R1401" s="5"/>
      <c r="S1401" s="5"/>
      <c r="T1401" s="5"/>
      <c r="U1401" s="5"/>
      <c r="V1401" s="5"/>
      <c r="W1401" s="5"/>
      <c r="X1401" s="5"/>
      <c r="Y1401" s="9"/>
      <c r="Z1401" s="2"/>
    </row>
    <row r="1402" spans="1:26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3"/>
      <c r="M1402" s="6"/>
      <c r="N1402" s="6"/>
      <c r="O1402" s="6"/>
      <c r="P1402" s="5"/>
      <c r="Q1402" s="9"/>
      <c r="R1402" s="5"/>
      <c r="S1402" s="5"/>
      <c r="T1402" s="5"/>
      <c r="U1402" s="5"/>
      <c r="V1402" s="5"/>
      <c r="W1402" s="5"/>
      <c r="X1402" s="5"/>
      <c r="Y1402" s="9"/>
      <c r="Z1402" s="2"/>
    </row>
    <row r="1403" spans="1:26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3"/>
      <c r="M1403" s="6"/>
      <c r="N1403" s="6"/>
      <c r="O1403" s="6"/>
      <c r="P1403" s="5"/>
      <c r="Q1403" s="9"/>
      <c r="R1403" s="5"/>
      <c r="S1403" s="5"/>
      <c r="T1403" s="5"/>
      <c r="U1403" s="5"/>
      <c r="V1403" s="5"/>
      <c r="W1403" s="5"/>
      <c r="X1403" s="5"/>
      <c r="Y1403" s="9"/>
      <c r="Z1403" s="2"/>
    </row>
    <row r="1404" spans="1:26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3"/>
      <c r="M1404" s="6"/>
      <c r="N1404" s="6"/>
      <c r="O1404" s="6"/>
      <c r="P1404" s="5"/>
      <c r="Q1404" s="9"/>
      <c r="R1404" s="5"/>
      <c r="S1404" s="5"/>
      <c r="T1404" s="5"/>
      <c r="U1404" s="5"/>
      <c r="V1404" s="5"/>
      <c r="W1404" s="5"/>
      <c r="X1404" s="5"/>
      <c r="Y1404" s="9"/>
      <c r="Z1404" s="2"/>
    </row>
    <row r="1405" spans="1:26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3"/>
      <c r="M1405" s="6"/>
      <c r="N1405" s="6"/>
      <c r="O1405" s="6"/>
      <c r="P1405" s="5"/>
      <c r="Q1405" s="9"/>
      <c r="R1405" s="5"/>
      <c r="S1405" s="5"/>
      <c r="T1405" s="5"/>
      <c r="U1405" s="5"/>
      <c r="V1405" s="5"/>
      <c r="W1405" s="5"/>
      <c r="X1405" s="5"/>
      <c r="Y1405" s="9"/>
      <c r="Z1405" s="2"/>
    </row>
    <row r="1406" spans="1:26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3"/>
      <c r="M1406" s="6"/>
      <c r="N1406" s="6"/>
      <c r="O1406" s="6"/>
      <c r="P1406" s="5"/>
      <c r="Q1406" s="9"/>
      <c r="R1406" s="5"/>
      <c r="S1406" s="5"/>
      <c r="T1406" s="5"/>
      <c r="U1406" s="5"/>
      <c r="V1406" s="5"/>
      <c r="W1406" s="5"/>
      <c r="X1406" s="5"/>
      <c r="Y1406" s="9"/>
      <c r="Z1406" s="2"/>
    </row>
    <row r="1407" spans="1:26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3"/>
      <c r="M1407" s="6"/>
      <c r="N1407" s="6"/>
      <c r="O1407" s="6"/>
      <c r="P1407" s="5"/>
      <c r="Q1407" s="9"/>
      <c r="R1407" s="5"/>
      <c r="S1407" s="5"/>
      <c r="T1407" s="5"/>
      <c r="U1407" s="5"/>
      <c r="V1407" s="5"/>
      <c r="W1407" s="5"/>
      <c r="X1407" s="5"/>
      <c r="Y1407" s="9"/>
      <c r="Z1407" s="2"/>
    </row>
    <row r="1408" spans="1:26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3"/>
      <c r="M1408" s="6"/>
      <c r="N1408" s="6"/>
      <c r="O1408" s="6"/>
      <c r="P1408" s="5"/>
      <c r="Q1408" s="9"/>
      <c r="R1408" s="5"/>
      <c r="S1408" s="5"/>
      <c r="T1408" s="5"/>
      <c r="U1408" s="5"/>
      <c r="V1408" s="5"/>
      <c r="W1408" s="5"/>
      <c r="X1408" s="5"/>
      <c r="Y1408" s="9"/>
      <c r="Z1408" s="2"/>
    </row>
    <row r="1409" spans="1:26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3"/>
      <c r="M1409" s="6"/>
      <c r="N1409" s="6"/>
      <c r="O1409" s="6"/>
      <c r="P1409" s="5"/>
      <c r="Q1409" s="9"/>
      <c r="R1409" s="5"/>
      <c r="S1409" s="5"/>
      <c r="T1409" s="5"/>
      <c r="U1409" s="5"/>
      <c r="V1409" s="5"/>
      <c r="W1409" s="5"/>
      <c r="X1409" s="5"/>
      <c r="Y1409" s="9"/>
      <c r="Z1409" s="2"/>
    </row>
    <row r="1410" spans="1:26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3"/>
      <c r="M1410" s="6"/>
      <c r="N1410" s="6"/>
      <c r="O1410" s="6"/>
      <c r="P1410" s="5"/>
      <c r="Q1410" s="9"/>
      <c r="R1410" s="5"/>
      <c r="S1410" s="5"/>
      <c r="T1410" s="5"/>
      <c r="U1410" s="5"/>
      <c r="V1410" s="5"/>
      <c r="W1410" s="5"/>
      <c r="X1410" s="5"/>
      <c r="Y1410" s="9"/>
      <c r="Z1410" s="2"/>
    </row>
    <row r="1411" spans="1:26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3"/>
      <c r="M1411" s="6"/>
      <c r="N1411" s="6"/>
      <c r="O1411" s="6"/>
      <c r="P1411" s="5"/>
      <c r="Q1411" s="9"/>
      <c r="R1411" s="5"/>
      <c r="S1411" s="5"/>
      <c r="T1411" s="5"/>
      <c r="U1411" s="5"/>
      <c r="V1411" s="5"/>
      <c r="W1411" s="5"/>
      <c r="X1411" s="5"/>
      <c r="Y1411" s="9"/>
      <c r="Z1411" s="2"/>
    </row>
    <row r="1412" spans="1:26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3"/>
      <c r="M1412" s="6"/>
      <c r="N1412" s="6"/>
      <c r="O1412" s="6"/>
      <c r="P1412" s="5"/>
      <c r="Q1412" s="9"/>
      <c r="R1412" s="5"/>
      <c r="S1412" s="5"/>
      <c r="T1412" s="5"/>
      <c r="U1412" s="5"/>
      <c r="V1412" s="5"/>
      <c r="W1412" s="5"/>
      <c r="X1412" s="5"/>
      <c r="Y1412" s="9"/>
      <c r="Z1412" s="2"/>
    </row>
    <row r="1413" spans="1:26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3"/>
      <c r="M1413" s="6"/>
      <c r="N1413" s="6"/>
      <c r="O1413" s="6"/>
      <c r="P1413" s="5"/>
      <c r="Q1413" s="9"/>
      <c r="R1413" s="5"/>
      <c r="S1413" s="5"/>
      <c r="T1413" s="5"/>
      <c r="U1413" s="5"/>
      <c r="V1413" s="5"/>
      <c r="W1413" s="5"/>
      <c r="X1413" s="5"/>
      <c r="Y1413" s="9"/>
      <c r="Z1413" s="2"/>
    </row>
    <row r="1414" spans="1:26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3"/>
      <c r="M1414" s="6"/>
      <c r="N1414" s="6"/>
      <c r="O1414" s="6"/>
      <c r="P1414" s="5"/>
      <c r="Q1414" s="9"/>
      <c r="R1414" s="5"/>
      <c r="S1414" s="5"/>
      <c r="T1414" s="5"/>
      <c r="U1414" s="5"/>
      <c r="V1414" s="5"/>
      <c r="W1414" s="5"/>
      <c r="X1414" s="5"/>
      <c r="Y1414" s="9"/>
      <c r="Z1414" s="2"/>
    </row>
    <row r="1415" spans="1:26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3"/>
      <c r="M1415" s="6"/>
      <c r="N1415" s="6"/>
      <c r="O1415" s="6"/>
      <c r="P1415" s="5"/>
      <c r="Q1415" s="9"/>
      <c r="R1415" s="5"/>
      <c r="S1415" s="5"/>
      <c r="T1415" s="5"/>
      <c r="U1415" s="5"/>
      <c r="V1415" s="5"/>
      <c r="W1415" s="5"/>
      <c r="X1415" s="5"/>
      <c r="Y1415" s="9"/>
      <c r="Z1415" s="2"/>
    </row>
    <row r="1416" spans="1:26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3"/>
      <c r="M1416" s="6"/>
      <c r="N1416" s="6"/>
      <c r="O1416" s="6"/>
      <c r="P1416" s="5"/>
      <c r="Q1416" s="9"/>
      <c r="R1416" s="5"/>
      <c r="S1416" s="5"/>
      <c r="T1416" s="5"/>
      <c r="U1416" s="5"/>
      <c r="V1416" s="5"/>
      <c r="W1416" s="5"/>
      <c r="X1416" s="5"/>
      <c r="Y1416" s="9"/>
      <c r="Z1416" s="2"/>
    </row>
    <row r="1417" spans="1:26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3"/>
      <c r="M1417" s="6"/>
      <c r="N1417" s="6"/>
      <c r="O1417" s="6"/>
      <c r="P1417" s="5"/>
      <c r="Q1417" s="9"/>
      <c r="R1417" s="5"/>
      <c r="S1417" s="5"/>
      <c r="T1417" s="5"/>
      <c r="U1417" s="5"/>
      <c r="V1417" s="5"/>
      <c r="W1417" s="5"/>
      <c r="X1417" s="5"/>
      <c r="Y1417" s="9"/>
      <c r="Z1417" s="2"/>
    </row>
    <row r="1418" spans="1:26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3"/>
      <c r="M1418" s="6"/>
      <c r="N1418" s="6"/>
      <c r="O1418" s="6"/>
      <c r="P1418" s="5"/>
      <c r="Q1418" s="9"/>
      <c r="R1418" s="5"/>
      <c r="S1418" s="5"/>
      <c r="T1418" s="5"/>
      <c r="U1418" s="5"/>
      <c r="V1418" s="5"/>
      <c r="W1418" s="5"/>
      <c r="X1418" s="5"/>
      <c r="Y1418" s="9"/>
      <c r="Z1418" s="2"/>
    </row>
    <row r="1419" spans="1:26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3"/>
      <c r="M1419" s="6"/>
      <c r="N1419" s="6"/>
      <c r="O1419" s="6"/>
      <c r="P1419" s="5"/>
      <c r="Q1419" s="9"/>
      <c r="R1419" s="5"/>
      <c r="S1419" s="5"/>
      <c r="T1419" s="5"/>
      <c r="U1419" s="5"/>
      <c r="V1419" s="5"/>
      <c r="W1419" s="5"/>
      <c r="X1419" s="5"/>
      <c r="Y1419" s="9"/>
      <c r="Z1419" s="2"/>
    </row>
    <row r="1420" spans="1:26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3"/>
      <c r="M1420" s="6"/>
      <c r="N1420" s="6"/>
      <c r="O1420" s="6"/>
      <c r="P1420" s="5"/>
      <c r="Q1420" s="9"/>
      <c r="R1420" s="5"/>
      <c r="S1420" s="5"/>
      <c r="T1420" s="5"/>
      <c r="U1420" s="5"/>
      <c r="V1420" s="5"/>
      <c r="W1420" s="5"/>
      <c r="X1420" s="5"/>
      <c r="Y1420" s="9"/>
      <c r="Z1420" s="2"/>
    </row>
    <row r="1421" spans="1:26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3"/>
      <c r="M1421" s="6"/>
      <c r="N1421" s="6"/>
      <c r="O1421" s="6"/>
      <c r="P1421" s="5"/>
      <c r="Q1421" s="9"/>
      <c r="R1421" s="5"/>
      <c r="S1421" s="5"/>
      <c r="T1421" s="5"/>
      <c r="U1421" s="5"/>
      <c r="V1421" s="5"/>
      <c r="W1421" s="5"/>
      <c r="X1421" s="5"/>
      <c r="Y1421" s="9"/>
      <c r="Z1421" s="2"/>
    </row>
    <row r="1422" spans="1:26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3"/>
      <c r="M1422" s="6"/>
      <c r="N1422" s="6"/>
      <c r="O1422" s="6"/>
      <c r="P1422" s="5"/>
      <c r="Q1422" s="9"/>
      <c r="R1422" s="5"/>
      <c r="S1422" s="5"/>
      <c r="T1422" s="5"/>
      <c r="U1422" s="5"/>
      <c r="V1422" s="5"/>
      <c r="W1422" s="5"/>
      <c r="X1422" s="5"/>
      <c r="Y1422" s="9"/>
      <c r="Z1422" s="2"/>
    </row>
    <row r="1423" spans="1:26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3"/>
      <c r="M1423" s="6"/>
      <c r="N1423" s="6"/>
      <c r="O1423" s="6"/>
      <c r="P1423" s="5"/>
      <c r="Q1423" s="9"/>
      <c r="R1423" s="5"/>
      <c r="S1423" s="5"/>
      <c r="T1423" s="5"/>
      <c r="U1423" s="5"/>
      <c r="V1423" s="5"/>
      <c r="W1423" s="5"/>
      <c r="X1423" s="5"/>
      <c r="Y1423" s="9"/>
      <c r="Z1423" s="2"/>
    </row>
    <row r="1424" spans="1:26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3"/>
      <c r="M1424" s="6"/>
      <c r="N1424" s="6"/>
      <c r="O1424" s="6"/>
      <c r="P1424" s="5"/>
      <c r="Q1424" s="9"/>
      <c r="R1424" s="5"/>
      <c r="S1424" s="5"/>
      <c r="T1424" s="5"/>
      <c r="U1424" s="5"/>
      <c r="V1424" s="5"/>
      <c r="W1424" s="5"/>
      <c r="X1424" s="5"/>
      <c r="Y1424" s="9"/>
      <c r="Z1424" s="2"/>
    </row>
    <row r="1425" spans="1:26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3"/>
      <c r="M1425" s="6"/>
      <c r="N1425" s="6"/>
      <c r="O1425" s="6"/>
      <c r="P1425" s="5"/>
      <c r="Q1425" s="9"/>
      <c r="R1425" s="5"/>
      <c r="S1425" s="5"/>
      <c r="T1425" s="5"/>
      <c r="U1425" s="5"/>
      <c r="V1425" s="5"/>
      <c r="W1425" s="5"/>
      <c r="X1425" s="5"/>
      <c r="Y1425" s="9"/>
      <c r="Z1425" s="2"/>
    </row>
    <row r="1426" spans="1:26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3"/>
      <c r="M1426" s="6"/>
      <c r="N1426" s="6"/>
      <c r="O1426" s="6"/>
      <c r="P1426" s="5"/>
      <c r="Q1426" s="9"/>
      <c r="R1426" s="5"/>
      <c r="S1426" s="5"/>
      <c r="T1426" s="5"/>
      <c r="U1426" s="5"/>
      <c r="V1426" s="5"/>
      <c r="W1426" s="5"/>
      <c r="X1426" s="5"/>
      <c r="Y1426" s="9"/>
      <c r="Z1426" s="2"/>
    </row>
    <row r="1427" spans="1:26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3"/>
      <c r="M1427" s="6"/>
      <c r="N1427" s="6"/>
      <c r="O1427" s="6"/>
      <c r="P1427" s="5"/>
      <c r="Q1427" s="9"/>
      <c r="R1427" s="5"/>
      <c r="S1427" s="5"/>
      <c r="T1427" s="5"/>
      <c r="U1427" s="5"/>
      <c r="V1427" s="5"/>
      <c r="W1427" s="5"/>
      <c r="X1427" s="5"/>
      <c r="Y1427" s="9"/>
      <c r="Z1427" s="2"/>
    </row>
    <row r="1428" spans="1:26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3"/>
      <c r="M1428" s="6"/>
      <c r="N1428" s="6"/>
      <c r="O1428" s="6"/>
      <c r="P1428" s="5"/>
      <c r="Q1428" s="9"/>
      <c r="R1428" s="5"/>
      <c r="S1428" s="5"/>
      <c r="T1428" s="5"/>
      <c r="U1428" s="5"/>
      <c r="V1428" s="5"/>
      <c r="W1428" s="5"/>
      <c r="X1428" s="5"/>
      <c r="Y1428" s="9"/>
      <c r="Z1428" s="2"/>
    </row>
    <row r="1429" spans="1:26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3"/>
      <c r="M1429" s="6"/>
      <c r="N1429" s="6"/>
      <c r="O1429" s="6"/>
      <c r="P1429" s="5"/>
      <c r="Q1429" s="9"/>
      <c r="R1429" s="5"/>
      <c r="S1429" s="5"/>
      <c r="T1429" s="5"/>
      <c r="U1429" s="5"/>
      <c r="V1429" s="5"/>
      <c r="W1429" s="5"/>
      <c r="X1429" s="5"/>
      <c r="Y1429" s="9"/>
      <c r="Z1429" s="2"/>
    </row>
    <row r="1430" spans="1:26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3"/>
      <c r="M1430" s="6"/>
      <c r="N1430" s="6"/>
      <c r="O1430" s="6"/>
      <c r="P1430" s="5"/>
      <c r="Q1430" s="9"/>
      <c r="R1430" s="5"/>
      <c r="S1430" s="5"/>
      <c r="T1430" s="5"/>
      <c r="U1430" s="5"/>
      <c r="V1430" s="5"/>
      <c r="W1430" s="5"/>
      <c r="X1430" s="5"/>
      <c r="Y1430" s="9"/>
      <c r="Z1430" s="2"/>
    </row>
    <row r="1431" spans="1:26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3"/>
      <c r="M1431" s="6"/>
      <c r="N1431" s="6"/>
      <c r="O1431" s="6"/>
      <c r="P1431" s="5"/>
      <c r="Q1431" s="9"/>
      <c r="R1431" s="5"/>
      <c r="S1431" s="5"/>
      <c r="T1431" s="5"/>
      <c r="U1431" s="5"/>
      <c r="V1431" s="5"/>
      <c r="W1431" s="5"/>
      <c r="X1431" s="5"/>
      <c r="Y1431" s="9"/>
      <c r="Z1431" s="2"/>
    </row>
    <row r="1432" spans="1:26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3"/>
      <c r="M1432" s="6"/>
      <c r="N1432" s="6"/>
      <c r="O1432" s="6"/>
      <c r="P1432" s="5"/>
      <c r="Q1432" s="9"/>
      <c r="R1432" s="5"/>
      <c r="S1432" s="5"/>
      <c r="T1432" s="5"/>
      <c r="U1432" s="5"/>
      <c r="V1432" s="5"/>
      <c r="W1432" s="5"/>
      <c r="X1432" s="5"/>
      <c r="Y1432" s="9"/>
      <c r="Z1432" s="2"/>
    </row>
    <row r="1433" spans="1:26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3"/>
      <c r="M1433" s="6"/>
      <c r="N1433" s="6"/>
      <c r="O1433" s="6"/>
      <c r="P1433" s="5"/>
      <c r="Q1433" s="9"/>
      <c r="R1433" s="5"/>
      <c r="S1433" s="5"/>
      <c r="T1433" s="5"/>
      <c r="U1433" s="5"/>
      <c r="V1433" s="5"/>
      <c r="W1433" s="5"/>
      <c r="X1433" s="5"/>
      <c r="Y1433" s="9"/>
      <c r="Z1433" s="2"/>
    </row>
    <row r="1434" spans="1:26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3"/>
      <c r="M1434" s="6"/>
      <c r="N1434" s="6"/>
      <c r="O1434" s="6"/>
      <c r="P1434" s="5"/>
      <c r="Q1434" s="9"/>
      <c r="R1434" s="5"/>
      <c r="S1434" s="5"/>
      <c r="T1434" s="5"/>
      <c r="U1434" s="5"/>
      <c r="V1434" s="5"/>
      <c r="W1434" s="5"/>
      <c r="X1434" s="5"/>
      <c r="Y1434" s="9"/>
      <c r="Z1434" s="2"/>
    </row>
    <row r="1435" spans="1:26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3"/>
      <c r="M1435" s="6"/>
      <c r="N1435" s="6"/>
      <c r="O1435" s="6"/>
      <c r="P1435" s="5"/>
      <c r="Q1435" s="9"/>
      <c r="R1435" s="5"/>
      <c r="S1435" s="5"/>
      <c r="T1435" s="5"/>
      <c r="U1435" s="5"/>
      <c r="V1435" s="5"/>
      <c r="W1435" s="5"/>
      <c r="X1435" s="5"/>
      <c r="Y1435" s="9"/>
      <c r="Z1435" s="2"/>
    </row>
    <row r="1436" spans="1:26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3"/>
      <c r="M1436" s="6"/>
      <c r="N1436" s="6"/>
      <c r="O1436" s="6"/>
      <c r="P1436" s="5"/>
      <c r="Q1436" s="9"/>
      <c r="R1436" s="5"/>
      <c r="S1436" s="5"/>
      <c r="T1436" s="5"/>
      <c r="U1436" s="5"/>
      <c r="V1436" s="5"/>
      <c r="W1436" s="5"/>
      <c r="X1436" s="5"/>
      <c r="Y1436" s="9"/>
      <c r="Z1436" s="2"/>
    </row>
    <row r="1437" spans="1:26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3"/>
      <c r="M1437" s="6"/>
      <c r="N1437" s="6"/>
      <c r="O1437" s="6"/>
      <c r="P1437" s="5"/>
      <c r="Q1437" s="9"/>
      <c r="R1437" s="5"/>
      <c r="S1437" s="5"/>
      <c r="T1437" s="5"/>
      <c r="U1437" s="5"/>
      <c r="V1437" s="5"/>
      <c r="W1437" s="5"/>
      <c r="X1437" s="5"/>
      <c r="Y1437" s="9"/>
      <c r="Z1437" s="2"/>
    </row>
    <row r="1438" spans="1:26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3"/>
      <c r="M1438" s="6"/>
      <c r="N1438" s="6"/>
      <c r="O1438" s="6"/>
      <c r="P1438" s="5"/>
      <c r="Q1438" s="9"/>
      <c r="R1438" s="5"/>
      <c r="S1438" s="5"/>
      <c r="T1438" s="5"/>
      <c r="U1438" s="5"/>
      <c r="V1438" s="5"/>
      <c r="W1438" s="5"/>
      <c r="X1438" s="5"/>
      <c r="Y1438" s="9"/>
      <c r="Z1438" s="2"/>
    </row>
    <row r="1439" spans="1:26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3"/>
      <c r="M1439" s="6"/>
      <c r="N1439" s="6"/>
      <c r="O1439" s="6"/>
      <c r="P1439" s="5"/>
      <c r="Q1439" s="9"/>
      <c r="R1439" s="5"/>
      <c r="S1439" s="5"/>
      <c r="T1439" s="5"/>
      <c r="U1439" s="5"/>
      <c r="V1439" s="5"/>
      <c r="W1439" s="5"/>
      <c r="X1439" s="5"/>
      <c r="Y1439" s="9"/>
      <c r="Z1439" s="2"/>
    </row>
    <row r="1440" spans="1:26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3"/>
      <c r="M1440" s="6"/>
      <c r="N1440" s="6"/>
      <c r="O1440" s="6"/>
      <c r="P1440" s="5"/>
      <c r="Q1440" s="9"/>
      <c r="R1440" s="5"/>
      <c r="S1440" s="5"/>
      <c r="T1440" s="5"/>
      <c r="U1440" s="5"/>
      <c r="V1440" s="5"/>
      <c r="W1440" s="5"/>
      <c r="X1440" s="5"/>
      <c r="Y1440" s="9"/>
      <c r="Z1440" s="2"/>
    </row>
    <row r="1441" spans="1:26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3"/>
      <c r="M1441" s="6"/>
      <c r="N1441" s="6"/>
      <c r="O1441" s="6"/>
      <c r="P1441" s="5"/>
      <c r="Q1441" s="9"/>
      <c r="R1441" s="5"/>
      <c r="S1441" s="5"/>
      <c r="T1441" s="5"/>
      <c r="U1441" s="5"/>
      <c r="V1441" s="5"/>
      <c r="W1441" s="5"/>
      <c r="X1441" s="5"/>
      <c r="Y1441" s="9"/>
      <c r="Z1441" s="2"/>
    </row>
    <row r="1442" spans="1:26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3"/>
      <c r="M1442" s="6"/>
      <c r="N1442" s="6"/>
      <c r="O1442" s="6"/>
      <c r="P1442" s="5"/>
      <c r="Q1442" s="9"/>
      <c r="R1442" s="5"/>
      <c r="S1442" s="5"/>
      <c r="T1442" s="5"/>
      <c r="U1442" s="5"/>
      <c r="V1442" s="5"/>
      <c r="W1442" s="5"/>
      <c r="X1442" s="5"/>
      <c r="Y1442" s="9"/>
      <c r="Z1442" s="2"/>
    </row>
    <row r="1443" spans="1:26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3"/>
      <c r="M1443" s="6"/>
      <c r="N1443" s="6"/>
      <c r="O1443" s="6"/>
      <c r="P1443" s="5"/>
      <c r="Q1443" s="9"/>
      <c r="R1443" s="5"/>
      <c r="S1443" s="5"/>
      <c r="T1443" s="5"/>
      <c r="U1443" s="5"/>
      <c r="V1443" s="5"/>
      <c r="W1443" s="5"/>
      <c r="X1443" s="5"/>
      <c r="Y1443" s="9"/>
      <c r="Z1443" s="2"/>
    </row>
    <row r="1444" spans="1:26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3"/>
      <c r="M1444" s="6"/>
      <c r="N1444" s="6"/>
      <c r="O1444" s="6"/>
      <c r="P1444" s="5"/>
      <c r="Q1444" s="9"/>
      <c r="R1444" s="5"/>
      <c r="S1444" s="5"/>
      <c r="T1444" s="5"/>
      <c r="U1444" s="5"/>
      <c r="V1444" s="5"/>
      <c r="W1444" s="5"/>
      <c r="X1444" s="5"/>
      <c r="Y1444" s="9"/>
      <c r="Z1444" s="2"/>
    </row>
    <row r="1445" spans="1:26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3"/>
      <c r="M1445" s="6"/>
      <c r="N1445" s="6"/>
      <c r="O1445" s="6"/>
      <c r="P1445" s="5"/>
      <c r="Q1445" s="9"/>
      <c r="R1445" s="5"/>
      <c r="S1445" s="5"/>
      <c r="T1445" s="5"/>
      <c r="U1445" s="5"/>
      <c r="V1445" s="5"/>
      <c r="W1445" s="5"/>
      <c r="X1445" s="5"/>
      <c r="Y1445" s="9"/>
      <c r="Z1445" s="2"/>
    </row>
    <row r="1446" spans="1:26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3"/>
      <c r="M1446" s="6"/>
      <c r="N1446" s="6"/>
      <c r="O1446" s="6"/>
      <c r="P1446" s="5"/>
      <c r="Q1446" s="9"/>
      <c r="R1446" s="5"/>
      <c r="S1446" s="5"/>
      <c r="T1446" s="5"/>
      <c r="U1446" s="5"/>
      <c r="V1446" s="5"/>
      <c r="W1446" s="5"/>
      <c r="X1446" s="5"/>
      <c r="Y1446" s="9"/>
      <c r="Z1446" s="2"/>
    </row>
    <row r="1447" spans="1:26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3"/>
      <c r="M1447" s="6"/>
      <c r="N1447" s="6"/>
      <c r="O1447" s="6"/>
      <c r="P1447" s="5"/>
      <c r="Q1447" s="9"/>
      <c r="R1447" s="5"/>
      <c r="S1447" s="5"/>
      <c r="T1447" s="5"/>
      <c r="U1447" s="5"/>
      <c r="V1447" s="5"/>
      <c r="W1447" s="5"/>
      <c r="X1447" s="5"/>
      <c r="Y1447" s="9"/>
      <c r="Z1447" s="2"/>
    </row>
    <row r="1448" spans="1:26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3"/>
      <c r="M1448" s="6"/>
      <c r="N1448" s="6"/>
      <c r="O1448" s="6"/>
      <c r="P1448" s="5"/>
      <c r="Q1448" s="9"/>
      <c r="R1448" s="5"/>
      <c r="S1448" s="5"/>
      <c r="T1448" s="5"/>
      <c r="U1448" s="5"/>
      <c r="V1448" s="5"/>
      <c r="W1448" s="5"/>
      <c r="X1448" s="5"/>
      <c r="Y1448" s="9"/>
      <c r="Z1448" s="2"/>
    </row>
    <row r="1449" spans="1:26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3"/>
      <c r="M1449" s="6"/>
      <c r="N1449" s="6"/>
      <c r="O1449" s="6"/>
      <c r="P1449" s="5"/>
      <c r="Q1449" s="9"/>
      <c r="R1449" s="5"/>
      <c r="S1449" s="5"/>
      <c r="T1449" s="5"/>
      <c r="U1449" s="5"/>
      <c r="V1449" s="5"/>
      <c r="W1449" s="5"/>
      <c r="X1449" s="5"/>
      <c r="Y1449" s="9"/>
      <c r="Z1449" s="2"/>
    </row>
    <row r="1450" spans="1:26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3"/>
      <c r="M1450" s="6"/>
      <c r="N1450" s="6"/>
      <c r="O1450" s="6"/>
      <c r="P1450" s="5"/>
      <c r="Q1450" s="9"/>
      <c r="R1450" s="5"/>
      <c r="S1450" s="5"/>
      <c r="T1450" s="5"/>
      <c r="U1450" s="5"/>
      <c r="V1450" s="5"/>
      <c r="W1450" s="5"/>
      <c r="X1450" s="5"/>
      <c r="Y1450" s="9"/>
      <c r="Z1450" s="2"/>
    </row>
    <row r="1451" spans="1:26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3"/>
      <c r="M1451" s="6"/>
      <c r="N1451" s="6"/>
      <c r="O1451" s="6"/>
      <c r="P1451" s="5"/>
      <c r="Q1451" s="9"/>
      <c r="R1451" s="5"/>
      <c r="S1451" s="5"/>
      <c r="T1451" s="5"/>
      <c r="U1451" s="5"/>
      <c r="V1451" s="5"/>
      <c r="W1451" s="5"/>
      <c r="X1451" s="5"/>
      <c r="Y1451" s="9"/>
      <c r="Z1451" s="2"/>
    </row>
    <row r="1452" spans="1:26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3"/>
      <c r="M1452" s="6"/>
      <c r="N1452" s="6"/>
      <c r="O1452" s="6"/>
      <c r="P1452" s="5"/>
      <c r="Q1452" s="9"/>
      <c r="R1452" s="5"/>
      <c r="S1452" s="5"/>
      <c r="T1452" s="5"/>
      <c r="U1452" s="5"/>
      <c r="V1452" s="5"/>
      <c r="W1452" s="5"/>
      <c r="X1452" s="5"/>
      <c r="Y1452" s="9"/>
      <c r="Z1452" s="2"/>
    </row>
    <row r="1453" spans="1:26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3"/>
      <c r="M1453" s="6"/>
      <c r="N1453" s="6"/>
      <c r="O1453" s="6"/>
      <c r="P1453" s="5"/>
      <c r="Q1453" s="9"/>
      <c r="R1453" s="5"/>
      <c r="S1453" s="5"/>
      <c r="T1453" s="5"/>
      <c r="U1453" s="5"/>
      <c r="V1453" s="5"/>
      <c r="W1453" s="5"/>
      <c r="X1453" s="5"/>
      <c r="Y1453" s="9"/>
      <c r="Z1453" s="2"/>
    </row>
    <row r="1454" spans="1:26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3"/>
      <c r="M1454" s="6"/>
      <c r="N1454" s="6"/>
      <c r="O1454" s="6"/>
      <c r="P1454" s="5"/>
      <c r="Q1454" s="9"/>
      <c r="R1454" s="5"/>
      <c r="S1454" s="5"/>
      <c r="T1454" s="5"/>
      <c r="U1454" s="5"/>
      <c r="V1454" s="5"/>
      <c r="W1454" s="5"/>
      <c r="X1454" s="5"/>
      <c r="Y1454" s="9"/>
      <c r="Z1454" s="2"/>
    </row>
    <row r="1455" spans="1:26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3"/>
      <c r="M1455" s="6"/>
      <c r="N1455" s="6"/>
      <c r="O1455" s="6"/>
      <c r="P1455" s="5"/>
      <c r="Q1455" s="9"/>
      <c r="R1455" s="5"/>
      <c r="S1455" s="5"/>
      <c r="T1455" s="5"/>
      <c r="U1455" s="5"/>
      <c r="V1455" s="5"/>
      <c r="W1455" s="5"/>
      <c r="X1455" s="5"/>
      <c r="Y1455" s="9"/>
      <c r="Z1455" s="2"/>
    </row>
    <row r="1456" spans="1:26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3"/>
      <c r="M1456" s="6"/>
      <c r="N1456" s="6"/>
      <c r="O1456" s="6"/>
      <c r="P1456" s="5"/>
      <c r="Q1456" s="9"/>
      <c r="R1456" s="5"/>
      <c r="S1456" s="5"/>
      <c r="T1456" s="5"/>
      <c r="U1456" s="5"/>
      <c r="V1456" s="5"/>
      <c r="W1456" s="5"/>
      <c r="X1456" s="5"/>
      <c r="Y1456" s="9"/>
      <c r="Z1456" s="2"/>
    </row>
    <row r="1457" spans="1:26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3"/>
      <c r="M1457" s="6"/>
      <c r="N1457" s="6"/>
      <c r="O1457" s="6"/>
      <c r="P1457" s="5"/>
      <c r="Q1457" s="9"/>
      <c r="R1457" s="5"/>
      <c r="S1457" s="5"/>
      <c r="T1457" s="5"/>
      <c r="U1457" s="5"/>
      <c r="V1457" s="5"/>
      <c r="W1457" s="5"/>
      <c r="X1457" s="5"/>
      <c r="Y1457" s="9"/>
      <c r="Z1457" s="2"/>
    </row>
    <row r="1458" spans="1:26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3"/>
      <c r="M1458" s="6"/>
      <c r="N1458" s="6"/>
      <c r="O1458" s="6"/>
      <c r="P1458" s="5"/>
      <c r="Q1458" s="9"/>
      <c r="R1458" s="5"/>
      <c r="S1458" s="5"/>
      <c r="T1458" s="5"/>
      <c r="U1458" s="5"/>
      <c r="V1458" s="5"/>
      <c r="W1458" s="5"/>
      <c r="X1458" s="5"/>
      <c r="Y1458" s="9"/>
      <c r="Z1458" s="2"/>
    </row>
    <row r="1459" spans="1:26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3"/>
      <c r="M1459" s="6"/>
      <c r="N1459" s="6"/>
      <c r="O1459" s="6"/>
      <c r="P1459" s="5"/>
      <c r="Q1459" s="9"/>
      <c r="R1459" s="5"/>
      <c r="S1459" s="5"/>
      <c r="T1459" s="5"/>
      <c r="U1459" s="5"/>
      <c r="V1459" s="5"/>
      <c r="W1459" s="5"/>
      <c r="X1459" s="5"/>
      <c r="Y1459" s="9"/>
      <c r="Z1459" s="2"/>
    </row>
    <row r="1460" spans="1:26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3"/>
      <c r="M1460" s="6"/>
      <c r="N1460" s="6"/>
      <c r="O1460" s="6"/>
      <c r="P1460" s="5"/>
      <c r="Q1460" s="9"/>
      <c r="R1460" s="5"/>
      <c r="S1460" s="5"/>
      <c r="T1460" s="5"/>
      <c r="U1460" s="5"/>
      <c r="V1460" s="5"/>
      <c r="W1460" s="5"/>
      <c r="X1460" s="5"/>
      <c r="Y1460" s="9"/>
      <c r="Z1460" s="2"/>
    </row>
    <row r="1461" spans="1:26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3"/>
      <c r="M1461" s="6"/>
      <c r="N1461" s="6"/>
      <c r="O1461" s="6"/>
      <c r="P1461" s="5"/>
      <c r="Q1461" s="9"/>
      <c r="R1461" s="5"/>
      <c r="S1461" s="5"/>
      <c r="T1461" s="5"/>
      <c r="U1461" s="5"/>
      <c r="V1461" s="5"/>
      <c r="W1461" s="5"/>
      <c r="X1461" s="5"/>
      <c r="Y1461" s="9"/>
      <c r="Z1461" s="2"/>
    </row>
    <row r="1462" spans="1:26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3"/>
      <c r="M1462" s="6"/>
      <c r="N1462" s="6"/>
      <c r="O1462" s="6"/>
      <c r="P1462" s="5"/>
      <c r="Q1462" s="9"/>
      <c r="R1462" s="5"/>
      <c r="S1462" s="5"/>
      <c r="T1462" s="5"/>
      <c r="U1462" s="5"/>
      <c r="V1462" s="5"/>
      <c r="W1462" s="5"/>
      <c r="X1462" s="5"/>
      <c r="Y1462" s="9"/>
      <c r="Z1462" s="2"/>
    </row>
    <row r="1463" spans="1:26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3"/>
      <c r="M1463" s="6"/>
      <c r="N1463" s="6"/>
      <c r="O1463" s="6"/>
      <c r="P1463" s="5"/>
      <c r="Q1463" s="9"/>
      <c r="R1463" s="5"/>
      <c r="S1463" s="5"/>
      <c r="T1463" s="5"/>
      <c r="U1463" s="5"/>
      <c r="V1463" s="5"/>
      <c r="W1463" s="5"/>
      <c r="X1463" s="5"/>
      <c r="Y1463" s="9"/>
      <c r="Z1463" s="2"/>
    </row>
    <row r="1464" spans="1:26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3"/>
      <c r="M1464" s="6"/>
      <c r="N1464" s="6"/>
      <c r="O1464" s="6"/>
      <c r="P1464" s="5"/>
      <c r="Q1464" s="9"/>
      <c r="R1464" s="5"/>
      <c r="S1464" s="5"/>
      <c r="T1464" s="5"/>
      <c r="U1464" s="5"/>
      <c r="V1464" s="5"/>
      <c r="W1464" s="5"/>
      <c r="X1464" s="5"/>
      <c r="Y1464" s="9"/>
      <c r="Z1464" s="2"/>
    </row>
    <row r="1465" spans="1:26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3"/>
      <c r="M1465" s="6"/>
      <c r="N1465" s="6"/>
      <c r="O1465" s="6"/>
      <c r="P1465" s="5"/>
      <c r="Q1465" s="9"/>
      <c r="R1465" s="5"/>
      <c r="S1465" s="5"/>
      <c r="T1465" s="5"/>
      <c r="U1465" s="5"/>
      <c r="V1465" s="5"/>
      <c r="W1465" s="5"/>
      <c r="X1465" s="5"/>
      <c r="Y1465" s="9"/>
      <c r="Z1465" s="2"/>
    </row>
    <row r="1466" spans="1:26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3"/>
      <c r="M1466" s="6"/>
      <c r="N1466" s="6"/>
      <c r="O1466" s="6"/>
      <c r="P1466" s="5"/>
      <c r="Q1466" s="9"/>
      <c r="R1466" s="5"/>
      <c r="S1466" s="5"/>
      <c r="T1466" s="5"/>
      <c r="U1466" s="5"/>
      <c r="V1466" s="5"/>
      <c r="W1466" s="5"/>
      <c r="X1466" s="5"/>
      <c r="Y1466" s="9"/>
      <c r="Z1466" s="2"/>
    </row>
    <row r="1467" spans="1:26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3"/>
      <c r="M1467" s="6"/>
      <c r="N1467" s="6"/>
      <c r="O1467" s="6"/>
      <c r="P1467" s="5"/>
      <c r="Q1467" s="9"/>
      <c r="R1467" s="5"/>
      <c r="S1467" s="5"/>
      <c r="T1467" s="5"/>
      <c r="U1467" s="5"/>
      <c r="V1467" s="5"/>
      <c r="W1467" s="5"/>
      <c r="X1467" s="5"/>
      <c r="Y1467" s="9"/>
      <c r="Z1467" s="2"/>
    </row>
    <row r="1468" spans="1:26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3"/>
      <c r="M1468" s="6"/>
      <c r="N1468" s="6"/>
      <c r="O1468" s="6"/>
      <c r="P1468" s="5"/>
      <c r="Q1468" s="9"/>
      <c r="R1468" s="5"/>
      <c r="S1468" s="5"/>
      <c r="T1468" s="5"/>
      <c r="U1468" s="5"/>
      <c r="V1468" s="5"/>
      <c r="W1468" s="5"/>
      <c r="X1468" s="5"/>
      <c r="Y1468" s="9"/>
      <c r="Z1468" s="2"/>
    </row>
    <row r="1469" spans="1:26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3"/>
      <c r="M1469" s="6"/>
      <c r="N1469" s="6"/>
      <c r="O1469" s="6"/>
      <c r="P1469" s="5"/>
      <c r="Q1469" s="9"/>
      <c r="R1469" s="5"/>
      <c r="S1469" s="5"/>
      <c r="T1469" s="5"/>
      <c r="U1469" s="5"/>
      <c r="V1469" s="5"/>
      <c r="W1469" s="5"/>
      <c r="X1469" s="5"/>
      <c r="Y1469" s="9"/>
      <c r="Z1469" s="2"/>
    </row>
    <row r="1470" spans="1:26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3"/>
      <c r="M1470" s="6"/>
      <c r="N1470" s="6"/>
      <c r="O1470" s="6"/>
      <c r="P1470" s="5"/>
      <c r="Q1470" s="9"/>
      <c r="R1470" s="5"/>
      <c r="S1470" s="5"/>
      <c r="T1470" s="5"/>
      <c r="U1470" s="5"/>
      <c r="V1470" s="5"/>
      <c r="W1470" s="5"/>
      <c r="X1470" s="5"/>
      <c r="Y1470" s="9"/>
      <c r="Z1470" s="2"/>
    </row>
    <row r="1471" spans="1:26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3"/>
      <c r="M1471" s="6"/>
      <c r="N1471" s="6"/>
      <c r="O1471" s="6"/>
      <c r="P1471" s="5"/>
      <c r="Q1471" s="9"/>
      <c r="R1471" s="5"/>
      <c r="S1471" s="5"/>
      <c r="T1471" s="5"/>
      <c r="U1471" s="5"/>
      <c r="V1471" s="5"/>
      <c r="W1471" s="5"/>
      <c r="X1471" s="5"/>
      <c r="Y1471" s="9"/>
      <c r="Z1471" s="2"/>
    </row>
    <row r="1472" spans="1:26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3"/>
      <c r="M1472" s="6"/>
      <c r="N1472" s="6"/>
      <c r="O1472" s="6"/>
      <c r="P1472" s="5"/>
      <c r="Q1472" s="9"/>
      <c r="R1472" s="5"/>
      <c r="S1472" s="5"/>
      <c r="T1472" s="5"/>
      <c r="U1472" s="5"/>
      <c r="V1472" s="5"/>
      <c r="W1472" s="5"/>
      <c r="X1472" s="5"/>
      <c r="Y1472" s="9"/>
      <c r="Z1472" s="2"/>
    </row>
    <row r="1473" spans="1:26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3"/>
      <c r="M1473" s="6"/>
      <c r="N1473" s="6"/>
      <c r="O1473" s="6"/>
      <c r="P1473" s="5"/>
      <c r="Q1473" s="9"/>
      <c r="R1473" s="5"/>
      <c r="S1473" s="5"/>
      <c r="T1473" s="5"/>
      <c r="U1473" s="5"/>
      <c r="V1473" s="5"/>
      <c r="W1473" s="5"/>
      <c r="X1473" s="5"/>
      <c r="Y1473" s="9"/>
      <c r="Z1473" s="2"/>
    </row>
    <row r="1474" spans="1:26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3"/>
      <c r="M1474" s="6"/>
      <c r="N1474" s="6"/>
      <c r="O1474" s="6"/>
      <c r="P1474" s="5"/>
      <c r="Q1474" s="9"/>
      <c r="R1474" s="5"/>
      <c r="S1474" s="5"/>
      <c r="T1474" s="5"/>
      <c r="U1474" s="5"/>
      <c r="V1474" s="5"/>
      <c r="W1474" s="5"/>
      <c r="X1474" s="5"/>
      <c r="Y1474" s="9"/>
      <c r="Z1474" s="2"/>
    </row>
    <row r="1475" spans="1:26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3"/>
      <c r="M1475" s="6"/>
      <c r="N1475" s="6"/>
      <c r="O1475" s="6"/>
      <c r="P1475" s="5"/>
      <c r="Q1475" s="9"/>
      <c r="R1475" s="5"/>
      <c r="S1475" s="5"/>
      <c r="T1475" s="5"/>
      <c r="U1475" s="5"/>
      <c r="V1475" s="5"/>
      <c r="W1475" s="5"/>
      <c r="X1475" s="5"/>
      <c r="Y1475" s="9"/>
      <c r="Z1475" s="2"/>
    </row>
    <row r="1476" spans="1:26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3"/>
      <c r="M1476" s="6"/>
      <c r="N1476" s="6"/>
      <c r="O1476" s="6"/>
      <c r="P1476" s="5"/>
      <c r="Q1476" s="9"/>
      <c r="R1476" s="5"/>
      <c r="S1476" s="5"/>
      <c r="T1476" s="5"/>
      <c r="U1476" s="5"/>
      <c r="V1476" s="5"/>
      <c r="W1476" s="5"/>
      <c r="X1476" s="5"/>
      <c r="Y1476" s="9"/>
      <c r="Z1476" s="2"/>
    </row>
    <row r="1477" spans="1:26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3"/>
      <c r="M1477" s="6"/>
      <c r="N1477" s="6"/>
      <c r="O1477" s="6"/>
      <c r="P1477" s="5"/>
      <c r="Q1477" s="9"/>
      <c r="R1477" s="5"/>
      <c r="S1477" s="5"/>
      <c r="T1477" s="5"/>
      <c r="U1477" s="5"/>
      <c r="V1477" s="5"/>
      <c r="W1477" s="5"/>
      <c r="X1477" s="5"/>
      <c r="Y1477" s="9"/>
      <c r="Z1477" s="2"/>
    </row>
    <row r="1478" spans="1:26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3"/>
      <c r="M1478" s="6"/>
      <c r="N1478" s="6"/>
      <c r="O1478" s="6"/>
      <c r="P1478" s="5"/>
      <c r="Q1478" s="9"/>
      <c r="R1478" s="5"/>
      <c r="S1478" s="5"/>
      <c r="T1478" s="5"/>
      <c r="U1478" s="5"/>
      <c r="V1478" s="5"/>
      <c r="W1478" s="5"/>
      <c r="X1478" s="5"/>
      <c r="Y1478" s="9"/>
      <c r="Z1478" s="2"/>
    </row>
    <row r="1479" spans="1:26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3"/>
      <c r="M1479" s="6"/>
      <c r="N1479" s="6"/>
      <c r="O1479" s="6"/>
      <c r="P1479" s="5"/>
      <c r="Q1479" s="9"/>
      <c r="R1479" s="5"/>
      <c r="S1479" s="5"/>
      <c r="T1479" s="5"/>
      <c r="U1479" s="5"/>
      <c r="V1479" s="5"/>
      <c r="W1479" s="5"/>
      <c r="X1479" s="5"/>
      <c r="Y1479" s="9"/>
      <c r="Z1479" s="2"/>
    </row>
    <row r="1480" spans="1:26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3"/>
      <c r="M1480" s="6"/>
      <c r="N1480" s="6"/>
      <c r="O1480" s="6"/>
      <c r="P1480" s="5"/>
      <c r="Q1480" s="9"/>
      <c r="R1480" s="5"/>
      <c r="S1480" s="5"/>
      <c r="T1480" s="5"/>
      <c r="U1480" s="5"/>
      <c r="V1480" s="5"/>
      <c r="W1480" s="5"/>
      <c r="X1480" s="5"/>
      <c r="Y1480" s="9"/>
      <c r="Z1480" s="2"/>
    </row>
    <row r="1481" spans="1:26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3"/>
      <c r="M1481" s="6"/>
      <c r="N1481" s="6"/>
      <c r="O1481" s="6"/>
      <c r="P1481" s="5"/>
      <c r="Q1481" s="9"/>
      <c r="R1481" s="5"/>
      <c r="S1481" s="5"/>
      <c r="T1481" s="5"/>
      <c r="U1481" s="5"/>
      <c r="V1481" s="5"/>
      <c r="W1481" s="5"/>
      <c r="X1481" s="5"/>
      <c r="Y1481" s="9"/>
      <c r="Z1481" s="2"/>
    </row>
    <row r="1482" spans="1:26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3"/>
      <c r="M1482" s="6"/>
      <c r="N1482" s="6"/>
      <c r="O1482" s="6"/>
      <c r="P1482" s="5"/>
      <c r="Q1482" s="9"/>
      <c r="R1482" s="5"/>
      <c r="S1482" s="5"/>
      <c r="T1482" s="5"/>
      <c r="U1482" s="5"/>
      <c r="V1482" s="5"/>
      <c r="W1482" s="5"/>
      <c r="X1482" s="5"/>
      <c r="Y1482" s="9"/>
      <c r="Z1482" s="2"/>
    </row>
    <row r="1483" spans="1:26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3"/>
      <c r="M1483" s="6"/>
      <c r="N1483" s="6"/>
      <c r="O1483" s="6"/>
      <c r="P1483" s="5"/>
      <c r="Q1483" s="9"/>
      <c r="R1483" s="5"/>
      <c r="S1483" s="5"/>
      <c r="T1483" s="5"/>
      <c r="U1483" s="5"/>
      <c r="V1483" s="5"/>
      <c r="W1483" s="5"/>
      <c r="X1483" s="5"/>
      <c r="Y1483" s="9"/>
      <c r="Z1483" s="2"/>
    </row>
    <row r="1484" spans="1:26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3"/>
      <c r="M1484" s="6"/>
      <c r="N1484" s="6"/>
      <c r="O1484" s="6"/>
      <c r="P1484" s="5"/>
      <c r="Q1484" s="9"/>
      <c r="R1484" s="5"/>
      <c r="S1484" s="5"/>
      <c r="T1484" s="5"/>
      <c r="U1484" s="5"/>
      <c r="V1484" s="5"/>
      <c r="W1484" s="5"/>
      <c r="X1484" s="5"/>
      <c r="Y1484" s="9"/>
      <c r="Z1484" s="2"/>
    </row>
    <row r="1485" spans="1:26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3"/>
      <c r="M1485" s="6"/>
      <c r="N1485" s="6"/>
      <c r="O1485" s="6"/>
      <c r="P1485" s="5"/>
      <c r="Q1485" s="9"/>
      <c r="R1485" s="5"/>
      <c r="S1485" s="5"/>
      <c r="T1485" s="5"/>
      <c r="U1485" s="5"/>
      <c r="V1485" s="5"/>
      <c r="W1485" s="5"/>
      <c r="X1485" s="5"/>
      <c r="Y1485" s="9"/>
      <c r="Z1485" s="2"/>
    </row>
    <row r="1486" spans="1:26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3"/>
      <c r="M1486" s="6"/>
      <c r="N1486" s="6"/>
      <c r="O1486" s="6"/>
      <c r="P1486" s="5"/>
      <c r="Q1486" s="9"/>
      <c r="R1486" s="5"/>
      <c r="S1486" s="5"/>
      <c r="T1486" s="5"/>
      <c r="U1486" s="5"/>
      <c r="V1486" s="5"/>
      <c r="W1486" s="5"/>
      <c r="X1486" s="5"/>
      <c r="Y1486" s="9"/>
      <c r="Z1486" s="2"/>
    </row>
    <row r="1487" spans="1:26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3"/>
      <c r="M1487" s="6"/>
      <c r="N1487" s="6"/>
      <c r="O1487" s="6"/>
      <c r="P1487" s="5"/>
      <c r="Q1487" s="9"/>
      <c r="R1487" s="5"/>
      <c r="S1487" s="5"/>
      <c r="T1487" s="5"/>
      <c r="U1487" s="5"/>
      <c r="V1487" s="5"/>
      <c r="W1487" s="5"/>
      <c r="X1487" s="5"/>
      <c r="Y1487" s="9"/>
      <c r="Z1487" s="2"/>
    </row>
    <row r="1488" spans="1:26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3"/>
      <c r="M1488" s="6"/>
      <c r="N1488" s="6"/>
      <c r="O1488" s="6"/>
      <c r="P1488" s="5"/>
      <c r="Q1488" s="9"/>
      <c r="R1488" s="5"/>
      <c r="S1488" s="5"/>
      <c r="T1488" s="5"/>
      <c r="U1488" s="5"/>
      <c r="V1488" s="5"/>
      <c r="W1488" s="5"/>
      <c r="X1488" s="5"/>
      <c r="Y1488" s="9"/>
      <c r="Z1488" s="2"/>
    </row>
    <row r="1489" spans="1:26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3"/>
      <c r="M1489" s="6"/>
      <c r="N1489" s="6"/>
      <c r="O1489" s="6"/>
      <c r="P1489" s="5"/>
      <c r="Q1489" s="9"/>
      <c r="R1489" s="5"/>
      <c r="S1489" s="5"/>
      <c r="T1489" s="5"/>
      <c r="U1489" s="5"/>
      <c r="V1489" s="5"/>
      <c r="W1489" s="5"/>
      <c r="X1489" s="5"/>
      <c r="Y1489" s="9"/>
      <c r="Z1489" s="2"/>
    </row>
    <row r="1490" spans="1:26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3"/>
      <c r="M1490" s="6"/>
      <c r="N1490" s="6"/>
      <c r="O1490" s="6"/>
      <c r="P1490" s="5"/>
      <c r="Q1490" s="9"/>
      <c r="R1490" s="5"/>
      <c r="S1490" s="5"/>
      <c r="T1490" s="5"/>
      <c r="U1490" s="5"/>
      <c r="V1490" s="5"/>
      <c r="W1490" s="5"/>
      <c r="X1490" s="5"/>
      <c r="Y1490" s="9"/>
      <c r="Z1490" s="2"/>
    </row>
    <row r="1491" spans="1:26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3"/>
      <c r="M1491" s="6"/>
      <c r="N1491" s="6"/>
      <c r="O1491" s="6"/>
      <c r="P1491" s="5"/>
      <c r="Q1491" s="9"/>
      <c r="R1491" s="5"/>
      <c r="S1491" s="5"/>
      <c r="T1491" s="5"/>
      <c r="U1491" s="5"/>
      <c r="V1491" s="5"/>
      <c r="W1491" s="5"/>
      <c r="X1491" s="5"/>
      <c r="Y1491" s="9"/>
      <c r="Z1491" s="2"/>
    </row>
    <row r="1492" spans="1:26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3"/>
      <c r="M1492" s="6"/>
      <c r="N1492" s="6"/>
      <c r="O1492" s="6"/>
      <c r="P1492" s="5"/>
      <c r="Q1492" s="9"/>
      <c r="R1492" s="5"/>
      <c r="S1492" s="5"/>
      <c r="T1492" s="5"/>
      <c r="U1492" s="5"/>
      <c r="V1492" s="5"/>
      <c r="W1492" s="5"/>
      <c r="X1492" s="5"/>
      <c r="Y1492" s="9"/>
      <c r="Z1492" s="2"/>
    </row>
    <row r="1493" spans="1:26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3"/>
      <c r="M1493" s="6"/>
      <c r="N1493" s="6"/>
      <c r="O1493" s="6"/>
      <c r="P1493" s="5"/>
      <c r="Q1493" s="9"/>
      <c r="R1493" s="5"/>
      <c r="S1493" s="5"/>
      <c r="T1493" s="5"/>
      <c r="U1493" s="5"/>
      <c r="V1493" s="5"/>
      <c r="W1493" s="5"/>
      <c r="X1493" s="5"/>
      <c r="Y1493" s="9"/>
      <c r="Z1493" s="2"/>
    </row>
    <row r="1494" spans="1:26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3"/>
      <c r="M1494" s="6"/>
      <c r="N1494" s="6"/>
      <c r="O1494" s="6"/>
      <c r="P1494" s="5"/>
      <c r="Q1494" s="9"/>
      <c r="R1494" s="5"/>
      <c r="S1494" s="5"/>
      <c r="T1494" s="5"/>
      <c r="U1494" s="5"/>
      <c r="V1494" s="5"/>
      <c r="W1494" s="5"/>
      <c r="X1494" s="5"/>
      <c r="Y1494" s="9"/>
      <c r="Z1494" s="2"/>
    </row>
    <row r="1495" spans="1:26">
      <c r="A1495" s="4"/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3"/>
      <c r="M1495" s="6"/>
      <c r="N1495" s="6"/>
      <c r="O1495" s="6"/>
      <c r="P1495" s="5"/>
      <c r="Q1495" s="9"/>
      <c r="R1495" s="5"/>
      <c r="S1495" s="5"/>
      <c r="T1495" s="5"/>
      <c r="U1495" s="5"/>
      <c r="V1495" s="5"/>
      <c r="W1495" s="5"/>
      <c r="X1495" s="5"/>
      <c r="Y1495" s="9"/>
      <c r="Z1495" s="2"/>
    </row>
    <row r="1496" spans="1:26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3"/>
      <c r="M1496" s="6"/>
      <c r="N1496" s="6"/>
      <c r="O1496" s="6"/>
      <c r="P1496" s="5"/>
      <c r="Q1496" s="9"/>
      <c r="R1496" s="5"/>
      <c r="S1496" s="5"/>
      <c r="T1496" s="5"/>
      <c r="U1496" s="5"/>
      <c r="V1496" s="5"/>
      <c r="W1496" s="5"/>
      <c r="X1496" s="5"/>
      <c r="Y1496" s="9"/>
      <c r="Z1496" s="2"/>
    </row>
    <row r="1497" spans="1:26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3"/>
      <c r="M1497" s="6"/>
      <c r="N1497" s="6"/>
      <c r="O1497" s="6"/>
      <c r="P1497" s="5"/>
      <c r="Q1497" s="9"/>
      <c r="R1497" s="5"/>
      <c r="S1497" s="5"/>
      <c r="T1497" s="5"/>
      <c r="U1497" s="5"/>
      <c r="V1497" s="5"/>
      <c r="W1497" s="5"/>
      <c r="X1497" s="5"/>
      <c r="Y1497" s="9"/>
      <c r="Z1497" s="2"/>
    </row>
    <row r="1498" spans="1:26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3"/>
      <c r="M1498" s="6"/>
      <c r="N1498" s="6"/>
      <c r="O1498" s="6"/>
      <c r="P1498" s="5"/>
      <c r="Q1498" s="9"/>
      <c r="R1498" s="5"/>
      <c r="S1498" s="5"/>
      <c r="T1498" s="5"/>
      <c r="U1498" s="5"/>
      <c r="V1498" s="5"/>
      <c r="W1498" s="5"/>
      <c r="X1498" s="5"/>
      <c r="Y1498" s="9"/>
      <c r="Z1498" s="2"/>
    </row>
    <row r="1499" spans="1:26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3"/>
      <c r="M1499" s="6"/>
      <c r="N1499" s="6"/>
      <c r="O1499" s="6"/>
      <c r="P1499" s="5"/>
      <c r="Q1499" s="9"/>
      <c r="R1499" s="5"/>
      <c r="S1499" s="5"/>
      <c r="T1499" s="5"/>
      <c r="U1499" s="5"/>
      <c r="V1499" s="5"/>
      <c r="W1499" s="5"/>
      <c r="X1499" s="5"/>
      <c r="Y1499" s="9"/>
      <c r="Z1499" s="2"/>
    </row>
    <row r="1500" spans="1:26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3"/>
      <c r="M1500" s="6"/>
      <c r="N1500" s="6"/>
      <c r="O1500" s="6"/>
      <c r="P1500" s="5"/>
      <c r="Q1500" s="9"/>
      <c r="R1500" s="5"/>
      <c r="S1500" s="5"/>
      <c r="T1500" s="5"/>
      <c r="U1500" s="5"/>
      <c r="V1500" s="5"/>
      <c r="W1500" s="5"/>
      <c r="X1500" s="5"/>
      <c r="Y1500" s="9"/>
      <c r="Z1500" s="2"/>
    </row>
    <row r="1501" spans="1:26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3"/>
      <c r="M1501" s="6"/>
      <c r="N1501" s="6"/>
      <c r="O1501" s="6"/>
      <c r="P1501" s="5"/>
      <c r="Q1501" s="9"/>
      <c r="R1501" s="5"/>
      <c r="S1501" s="5"/>
      <c r="T1501" s="5"/>
      <c r="U1501" s="5"/>
      <c r="V1501" s="5"/>
      <c r="W1501" s="5"/>
      <c r="X1501" s="5"/>
      <c r="Y1501" s="9"/>
      <c r="Z1501" s="2"/>
    </row>
    <row r="1502" spans="1:26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3"/>
      <c r="M1502" s="6"/>
      <c r="N1502" s="6"/>
      <c r="O1502" s="6"/>
      <c r="P1502" s="5"/>
      <c r="Q1502" s="9"/>
      <c r="R1502" s="5"/>
      <c r="S1502" s="5"/>
      <c r="T1502" s="5"/>
      <c r="U1502" s="5"/>
      <c r="V1502" s="5"/>
      <c r="W1502" s="5"/>
      <c r="X1502" s="5"/>
      <c r="Y1502" s="9"/>
      <c r="Z1502" s="2"/>
    </row>
    <row r="1503" spans="1:26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3"/>
      <c r="M1503" s="6"/>
      <c r="N1503" s="6"/>
      <c r="O1503" s="6"/>
      <c r="P1503" s="5"/>
      <c r="Q1503" s="9"/>
      <c r="R1503" s="5"/>
      <c r="S1503" s="5"/>
      <c r="T1503" s="5"/>
      <c r="U1503" s="5"/>
      <c r="V1503" s="5"/>
      <c r="W1503" s="5"/>
      <c r="X1503" s="5"/>
      <c r="Y1503" s="9"/>
      <c r="Z1503" s="2"/>
    </row>
    <row r="1504" spans="1:26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3"/>
      <c r="M1504" s="6"/>
      <c r="N1504" s="6"/>
      <c r="O1504" s="6"/>
      <c r="P1504" s="5"/>
      <c r="Q1504" s="9"/>
      <c r="R1504" s="5"/>
      <c r="S1504" s="5"/>
      <c r="T1504" s="5"/>
      <c r="U1504" s="5"/>
      <c r="V1504" s="5"/>
      <c r="W1504" s="5"/>
      <c r="X1504" s="5"/>
      <c r="Y1504" s="9"/>
      <c r="Z1504" s="2"/>
    </row>
    <row r="1505" spans="1:26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3"/>
      <c r="M1505" s="6"/>
      <c r="N1505" s="6"/>
      <c r="O1505" s="6"/>
      <c r="P1505" s="5"/>
      <c r="Q1505" s="9"/>
      <c r="R1505" s="5"/>
      <c r="S1505" s="5"/>
      <c r="T1505" s="5"/>
      <c r="U1505" s="5"/>
      <c r="V1505" s="5"/>
      <c r="W1505" s="5"/>
      <c r="X1505" s="5"/>
      <c r="Y1505" s="9"/>
      <c r="Z1505" s="2"/>
    </row>
    <row r="1506" spans="1:26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3"/>
      <c r="M1506" s="6"/>
      <c r="N1506" s="6"/>
      <c r="O1506" s="6"/>
      <c r="P1506" s="5"/>
      <c r="Q1506" s="9"/>
      <c r="R1506" s="5"/>
      <c r="S1506" s="5"/>
      <c r="T1506" s="5"/>
      <c r="U1506" s="5"/>
      <c r="V1506" s="5"/>
      <c r="W1506" s="5"/>
      <c r="X1506" s="5"/>
      <c r="Y1506" s="9"/>
      <c r="Z1506" s="2"/>
    </row>
    <row r="1507" spans="1:26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3"/>
      <c r="M1507" s="6"/>
      <c r="N1507" s="6"/>
      <c r="O1507" s="6"/>
      <c r="P1507" s="5"/>
      <c r="Q1507" s="9"/>
      <c r="R1507" s="5"/>
      <c r="S1507" s="5"/>
      <c r="T1507" s="5"/>
      <c r="U1507" s="5"/>
      <c r="V1507" s="5"/>
      <c r="W1507" s="5"/>
      <c r="X1507" s="5"/>
      <c r="Y1507" s="9"/>
      <c r="Z1507" s="2"/>
    </row>
    <row r="1508" spans="1:26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3"/>
      <c r="M1508" s="6"/>
      <c r="N1508" s="6"/>
      <c r="O1508" s="6"/>
      <c r="P1508" s="5"/>
      <c r="Q1508" s="9"/>
      <c r="R1508" s="5"/>
      <c r="S1508" s="5"/>
      <c r="T1508" s="5"/>
      <c r="U1508" s="5"/>
      <c r="V1508" s="5"/>
      <c r="W1508" s="5"/>
      <c r="X1508" s="5"/>
      <c r="Y1508" s="9"/>
      <c r="Z1508" s="2"/>
    </row>
    <row r="1509" spans="1:26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3"/>
      <c r="M1509" s="6"/>
      <c r="N1509" s="6"/>
      <c r="O1509" s="6"/>
      <c r="P1509" s="5"/>
      <c r="Q1509" s="9"/>
      <c r="R1509" s="5"/>
      <c r="S1509" s="5"/>
      <c r="T1509" s="5"/>
      <c r="U1509" s="5"/>
      <c r="V1509" s="5"/>
      <c r="W1509" s="5"/>
      <c r="X1509" s="5"/>
      <c r="Y1509" s="9"/>
      <c r="Z1509" s="2"/>
    </row>
    <row r="1510" spans="1:26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3"/>
      <c r="M1510" s="6"/>
      <c r="N1510" s="6"/>
      <c r="O1510" s="6"/>
      <c r="P1510" s="5"/>
      <c r="Q1510" s="9"/>
      <c r="R1510" s="5"/>
      <c r="S1510" s="5"/>
      <c r="T1510" s="5"/>
      <c r="U1510" s="5"/>
      <c r="V1510" s="5"/>
      <c r="W1510" s="5"/>
      <c r="X1510" s="5"/>
      <c r="Y1510" s="9"/>
      <c r="Z1510" s="2"/>
    </row>
    <row r="1511" spans="1:26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3"/>
      <c r="M1511" s="6"/>
      <c r="N1511" s="6"/>
      <c r="O1511" s="6"/>
      <c r="P1511" s="5"/>
      <c r="Q1511" s="9"/>
      <c r="R1511" s="5"/>
      <c r="S1511" s="5"/>
      <c r="T1511" s="5"/>
      <c r="U1511" s="5"/>
      <c r="V1511" s="5"/>
      <c r="W1511" s="5"/>
      <c r="X1511" s="5"/>
      <c r="Y1511" s="9"/>
      <c r="Z1511" s="2"/>
    </row>
    <row r="1512" spans="1:26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3"/>
      <c r="M1512" s="6"/>
      <c r="N1512" s="6"/>
      <c r="O1512" s="6"/>
      <c r="P1512" s="5"/>
      <c r="Q1512" s="9"/>
      <c r="R1512" s="5"/>
      <c r="S1512" s="5"/>
      <c r="T1512" s="5"/>
      <c r="U1512" s="5"/>
      <c r="V1512" s="5"/>
      <c r="W1512" s="5"/>
      <c r="X1512" s="5"/>
      <c r="Y1512" s="9"/>
      <c r="Z1512" s="2"/>
    </row>
    <row r="1513" spans="1:26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3"/>
      <c r="M1513" s="6"/>
      <c r="N1513" s="6"/>
      <c r="O1513" s="6"/>
      <c r="P1513" s="5"/>
      <c r="Q1513" s="9"/>
      <c r="R1513" s="5"/>
      <c r="S1513" s="5"/>
      <c r="T1513" s="5"/>
      <c r="U1513" s="5"/>
      <c r="V1513" s="5"/>
      <c r="W1513" s="5"/>
      <c r="X1513" s="5"/>
      <c r="Y1513" s="9"/>
      <c r="Z1513" s="2"/>
    </row>
    <row r="1514" spans="1:26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3"/>
      <c r="M1514" s="6"/>
      <c r="N1514" s="6"/>
      <c r="O1514" s="6"/>
      <c r="P1514" s="5"/>
      <c r="Q1514" s="9"/>
      <c r="R1514" s="5"/>
      <c r="S1514" s="5"/>
      <c r="T1514" s="5"/>
      <c r="U1514" s="5"/>
      <c r="V1514" s="5"/>
      <c r="W1514" s="5"/>
      <c r="X1514" s="5"/>
      <c r="Y1514" s="9"/>
      <c r="Z1514" s="2"/>
    </row>
    <row r="1515" spans="1:26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3"/>
      <c r="M1515" s="6"/>
      <c r="N1515" s="6"/>
      <c r="O1515" s="6"/>
      <c r="P1515" s="5"/>
      <c r="Q1515" s="9"/>
      <c r="R1515" s="5"/>
      <c r="S1515" s="5"/>
      <c r="T1515" s="5"/>
      <c r="U1515" s="5"/>
      <c r="V1515" s="5"/>
      <c r="W1515" s="5"/>
      <c r="X1515" s="5"/>
      <c r="Y1515" s="9"/>
      <c r="Z1515" s="2"/>
    </row>
    <row r="1516" spans="1:26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3"/>
      <c r="M1516" s="6"/>
      <c r="N1516" s="6"/>
      <c r="O1516" s="6"/>
      <c r="P1516" s="5"/>
      <c r="Q1516" s="9"/>
      <c r="R1516" s="5"/>
      <c r="S1516" s="5"/>
      <c r="T1516" s="5"/>
      <c r="U1516" s="5"/>
      <c r="V1516" s="5"/>
      <c r="W1516" s="5"/>
      <c r="X1516" s="5"/>
      <c r="Y1516" s="9"/>
      <c r="Z1516" s="2"/>
    </row>
    <row r="1517" spans="1:26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3"/>
      <c r="M1517" s="6"/>
      <c r="N1517" s="6"/>
      <c r="O1517" s="6"/>
      <c r="P1517" s="5"/>
      <c r="Q1517" s="9"/>
      <c r="R1517" s="5"/>
      <c r="S1517" s="5"/>
      <c r="T1517" s="5"/>
      <c r="U1517" s="5"/>
      <c r="V1517" s="5"/>
      <c r="W1517" s="5"/>
      <c r="X1517" s="5"/>
      <c r="Y1517" s="9"/>
      <c r="Z1517" s="2"/>
    </row>
    <row r="1518" spans="1:26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3"/>
      <c r="M1518" s="6"/>
      <c r="N1518" s="6"/>
      <c r="O1518" s="6"/>
      <c r="P1518" s="5"/>
      <c r="Q1518" s="9"/>
      <c r="R1518" s="5"/>
      <c r="S1518" s="5"/>
      <c r="T1518" s="5"/>
      <c r="U1518" s="5"/>
      <c r="V1518" s="5"/>
      <c r="W1518" s="5"/>
      <c r="X1518" s="5"/>
      <c r="Y1518" s="9"/>
      <c r="Z1518" s="2"/>
    </row>
    <row r="1519" spans="1:26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3"/>
      <c r="M1519" s="6"/>
      <c r="N1519" s="6"/>
      <c r="O1519" s="6"/>
      <c r="P1519" s="5"/>
      <c r="Q1519" s="9"/>
      <c r="R1519" s="5"/>
      <c r="S1519" s="5"/>
      <c r="T1519" s="5"/>
      <c r="U1519" s="5"/>
      <c r="V1519" s="5"/>
      <c r="W1519" s="5"/>
      <c r="X1519" s="5"/>
      <c r="Y1519" s="9"/>
      <c r="Z1519" s="2"/>
    </row>
    <row r="1520" spans="1:26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3"/>
      <c r="M1520" s="6"/>
      <c r="N1520" s="6"/>
      <c r="O1520" s="6"/>
      <c r="P1520" s="5"/>
      <c r="Q1520" s="9"/>
      <c r="R1520" s="5"/>
      <c r="S1520" s="5"/>
      <c r="T1520" s="5"/>
      <c r="U1520" s="5"/>
      <c r="V1520" s="5"/>
      <c r="W1520" s="5"/>
      <c r="X1520" s="5"/>
      <c r="Y1520" s="9"/>
      <c r="Z1520" s="2"/>
    </row>
    <row r="1521" spans="1:26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3"/>
      <c r="M1521" s="6"/>
      <c r="N1521" s="6"/>
      <c r="O1521" s="6"/>
      <c r="P1521" s="5"/>
      <c r="Q1521" s="9"/>
      <c r="R1521" s="5"/>
      <c r="S1521" s="5"/>
      <c r="T1521" s="5"/>
      <c r="U1521" s="5"/>
      <c r="V1521" s="5"/>
      <c r="W1521" s="5"/>
      <c r="X1521" s="5"/>
      <c r="Y1521" s="9"/>
      <c r="Z1521" s="2"/>
    </row>
    <row r="1522" spans="1:26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3"/>
      <c r="M1522" s="6"/>
      <c r="N1522" s="6"/>
      <c r="O1522" s="6"/>
      <c r="P1522" s="5"/>
      <c r="Q1522" s="9"/>
      <c r="R1522" s="5"/>
      <c r="S1522" s="5"/>
      <c r="T1522" s="5"/>
      <c r="U1522" s="5"/>
      <c r="V1522" s="5"/>
      <c r="W1522" s="5"/>
      <c r="X1522" s="5"/>
      <c r="Y1522" s="9"/>
      <c r="Z1522" s="2"/>
    </row>
    <row r="1523" spans="1:26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3"/>
      <c r="M1523" s="6"/>
      <c r="N1523" s="6"/>
      <c r="O1523" s="6"/>
      <c r="P1523" s="5"/>
      <c r="Q1523" s="9"/>
      <c r="R1523" s="5"/>
      <c r="S1523" s="5"/>
      <c r="T1523" s="5"/>
      <c r="U1523" s="5"/>
      <c r="V1523" s="5"/>
      <c r="W1523" s="5"/>
      <c r="X1523" s="5"/>
      <c r="Y1523" s="9"/>
      <c r="Z1523" s="2"/>
    </row>
    <row r="1524" spans="1:26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3"/>
      <c r="M1524" s="6"/>
      <c r="N1524" s="6"/>
      <c r="O1524" s="6"/>
      <c r="P1524" s="5"/>
      <c r="Q1524" s="9"/>
      <c r="R1524" s="5"/>
      <c r="S1524" s="5"/>
      <c r="T1524" s="5"/>
      <c r="U1524" s="5"/>
      <c r="V1524" s="5"/>
      <c r="W1524" s="5"/>
      <c r="X1524" s="5"/>
      <c r="Y1524" s="9"/>
      <c r="Z1524" s="2"/>
    </row>
    <row r="1525" spans="1:26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3"/>
      <c r="M1525" s="6"/>
      <c r="N1525" s="6"/>
      <c r="O1525" s="6"/>
      <c r="P1525" s="5"/>
      <c r="Q1525" s="9"/>
      <c r="R1525" s="5"/>
      <c r="S1525" s="5"/>
      <c r="T1525" s="5"/>
      <c r="U1525" s="5"/>
      <c r="V1525" s="5"/>
      <c r="W1525" s="5"/>
      <c r="X1525" s="5"/>
      <c r="Y1525" s="9"/>
      <c r="Z1525" s="2"/>
    </row>
    <row r="1526" spans="1:26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3"/>
      <c r="M1526" s="6"/>
      <c r="N1526" s="6"/>
      <c r="O1526" s="6"/>
      <c r="P1526" s="5"/>
      <c r="Q1526" s="9"/>
      <c r="R1526" s="5"/>
      <c r="S1526" s="5"/>
      <c r="T1526" s="5"/>
      <c r="U1526" s="5"/>
      <c r="V1526" s="5"/>
      <c r="W1526" s="5"/>
      <c r="X1526" s="5"/>
      <c r="Y1526" s="9"/>
      <c r="Z1526" s="2"/>
    </row>
    <row r="1527" spans="1:26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3"/>
      <c r="M1527" s="6"/>
      <c r="N1527" s="6"/>
      <c r="O1527" s="6"/>
      <c r="P1527" s="5"/>
      <c r="Q1527" s="9"/>
      <c r="R1527" s="5"/>
      <c r="S1527" s="5"/>
      <c r="T1527" s="5"/>
      <c r="U1527" s="5"/>
      <c r="V1527" s="5"/>
      <c r="W1527" s="5"/>
      <c r="X1527" s="5"/>
      <c r="Y1527" s="9"/>
      <c r="Z1527" s="2"/>
    </row>
    <row r="1528" spans="1:26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3"/>
      <c r="M1528" s="6"/>
      <c r="N1528" s="6"/>
      <c r="O1528" s="6"/>
      <c r="P1528" s="5"/>
      <c r="Q1528" s="9"/>
      <c r="R1528" s="5"/>
      <c r="S1528" s="5"/>
      <c r="T1528" s="5"/>
      <c r="U1528" s="5"/>
      <c r="V1528" s="5"/>
      <c r="W1528" s="5"/>
      <c r="X1528" s="5"/>
      <c r="Y1528" s="9"/>
      <c r="Z1528" s="2"/>
    </row>
    <row r="1529" spans="1:26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3"/>
      <c r="M1529" s="6"/>
      <c r="N1529" s="6"/>
      <c r="O1529" s="6"/>
      <c r="P1529" s="5"/>
      <c r="Q1529" s="9"/>
      <c r="R1529" s="5"/>
      <c r="S1529" s="5"/>
      <c r="T1529" s="5"/>
      <c r="U1529" s="5"/>
      <c r="V1529" s="5"/>
      <c r="W1529" s="5"/>
      <c r="X1529" s="5"/>
      <c r="Y1529" s="9"/>
      <c r="Z1529" s="2"/>
    </row>
    <row r="1530" spans="1:26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3"/>
      <c r="M1530" s="6"/>
      <c r="N1530" s="6"/>
      <c r="O1530" s="6"/>
      <c r="P1530" s="5"/>
      <c r="Q1530" s="9"/>
      <c r="R1530" s="5"/>
      <c r="S1530" s="5"/>
      <c r="T1530" s="5"/>
      <c r="U1530" s="5"/>
      <c r="V1530" s="5"/>
      <c r="W1530" s="5"/>
      <c r="X1530" s="5"/>
      <c r="Y1530" s="9"/>
      <c r="Z1530" s="2"/>
    </row>
    <row r="1531" spans="1:26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3"/>
      <c r="M1531" s="6"/>
      <c r="N1531" s="6"/>
      <c r="O1531" s="6"/>
      <c r="P1531" s="5"/>
      <c r="Q1531" s="9"/>
      <c r="R1531" s="5"/>
      <c r="S1531" s="5"/>
      <c r="T1531" s="5"/>
      <c r="U1531" s="5"/>
      <c r="V1531" s="5"/>
      <c r="W1531" s="5"/>
      <c r="X1531" s="5"/>
      <c r="Y1531" s="9"/>
      <c r="Z1531" s="2"/>
    </row>
    <row r="1532" spans="1:26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3"/>
      <c r="M1532" s="6"/>
      <c r="N1532" s="6"/>
      <c r="O1532" s="6"/>
      <c r="P1532" s="5"/>
      <c r="Q1532" s="9"/>
      <c r="R1532" s="5"/>
      <c r="S1532" s="5"/>
      <c r="T1532" s="5"/>
      <c r="U1532" s="5"/>
      <c r="V1532" s="5"/>
      <c r="W1532" s="5"/>
      <c r="X1532" s="5"/>
      <c r="Y1532" s="9"/>
      <c r="Z1532" s="2"/>
    </row>
    <row r="1533" spans="1:26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3"/>
      <c r="M1533" s="6"/>
      <c r="N1533" s="6"/>
      <c r="O1533" s="6"/>
      <c r="P1533" s="5"/>
      <c r="Q1533" s="9"/>
      <c r="R1533" s="5"/>
      <c r="S1533" s="5"/>
      <c r="T1533" s="5"/>
      <c r="U1533" s="5"/>
      <c r="V1533" s="5"/>
      <c r="W1533" s="5"/>
      <c r="X1533" s="5"/>
      <c r="Y1533" s="9"/>
      <c r="Z1533" s="2"/>
    </row>
    <row r="1534" spans="1:26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3"/>
      <c r="M1534" s="6"/>
      <c r="N1534" s="6"/>
      <c r="O1534" s="6"/>
      <c r="P1534" s="5"/>
      <c r="Q1534" s="9"/>
      <c r="R1534" s="5"/>
      <c r="S1534" s="5"/>
      <c r="T1534" s="5"/>
      <c r="U1534" s="5"/>
      <c r="V1534" s="5"/>
      <c r="W1534" s="5"/>
      <c r="X1534" s="5"/>
      <c r="Y1534" s="9"/>
      <c r="Z1534" s="2"/>
    </row>
    <row r="1535" spans="1:26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3"/>
      <c r="M1535" s="6"/>
      <c r="N1535" s="6"/>
      <c r="O1535" s="6"/>
      <c r="P1535" s="5"/>
      <c r="Q1535" s="9"/>
      <c r="R1535" s="5"/>
      <c r="S1535" s="5"/>
      <c r="T1535" s="5"/>
      <c r="U1535" s="5"/>
      <c r="V1535" s="5"/>
      <c r="W1535" s="5"/>
      <c r="X1535" s="5"/>
      <c r="Y1535" s="9"/>
      <c r="Z1535" s="2"/>
    </row>
    <row r="1536" spans="1:26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3"/>
      <c r="M1536" s="6"/>
      <c r="N1536" s="6"/>
      <c r="O1536" s="6"/>
      <c r="P1536" s="5"/>
      <c r="Q1536" s="9"/>
      <c r="R1536" s="5"/>
      <c r="S1536" s="5"/>
      <c r="T1536" s="5"/>
      <c r="U1536" s="5"/>
      <c r="V1536" s="5"/>
      <c r="W1536" s="5"/>
      <c r="X1536" s="5"/>
      <c r="Y1536" s="9"/>
      <c r="Z1536" s="2"/>
    </row>
    <row r="1537" spans="1:26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3"/>
      <c r="M1537" s="6"/>
      <c r="N1537" s="6"/>
      <c r="O1537" s="6"/>
      <c r="P1537" s="5"/>
      <c r="Q1537" s="9"/>
      <c r="R1537" s="5"/>
      <c r="S1537" s="5"/>
      <c r="T1537" s="5"/>
      <c r="U1537" s="5"/>
      <c r="V1537" s="5"/>
      <c r="W1537" s="5"/>
      <c r="X1537" s="5"/>
      <c r="Y1537" s="9"/>
      <c r="Z1537" s="2"/>
    </row>
    <row r="1538" spans="1:26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3"/>
      <c r="M1538" s="6"/>
      <c r="N1538" s="6"/>
      <c r="O1538" s="6"/>
      <c r="P1538" s="5"/>
      <c r="Q1538" s="9"/>
      <c r="R1538" s="5"/>
      <c r="S1538" s="5"/>
      <c r="T1538" s="5"/>
      <c r="U1538" s="5"/>
      <c r="V1538" s="5"/>
      <c r="W1538" s="5"/>
      <c r="X1538" s="5"/>
      <c r="Y1538" s="9"/>
      <c r="Z1538" s="2"/>
    </row>
    <row r="1539" spans="1:26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3"/>
      <c r="M1539" s="6"/>
      <c r="N1539" s="6"/>
      <c r="O1539" s="6"/>
      <c r="P1539" s="5"/>
      <c r="Q1539" s="9"/>
      <c r="R1539" s="5"/>
      <c r="S1539" s="5"/>
      <c r="T1539" s="5"/>
      <c r="U1539" s="5"/>
      <c r="V1539" s="5"/>
      <c r="W1539" s="5"/>
      <c r="X1539" s="5"/>
      <c r="Y1539" s="9"/>
      <c r="Z1539" s="2"/>
    </row>
    <row r="1540" spans="1:26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3"/>
      <c r="M1540" s="6"/>
      <c r="N1540" s="6"/>
      <c r="O1540" s="6"/>
      <c r="P1540" s="5"/>
      <c r="Q1540" s="9"/>
      <c r="R1540" s="5"/>
      <c r="S1540" s="5"/>
      <c r="T1540" s="5"/>
      <c r="U1540" s="5"/>
      <c r="V1540" s="5"/>
      <c r="W1540" s="5"/>
      <c r="X1540" s="5"/>
      <c r="Y1540" s="9"/>
      <c r="Z1540" s="2"/>
    </row>
    <row r="1541" spans="1:26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3"/>
      <c r="M1541" s="6"/>
      <c r="N1541" s="6"/>
      <c r="O1541" s="6"/>
      <c r="P1541" s="5"/>
      <c r="Q1541" s="9"/>
      <c r="R1541" s="5"/>
      <c r="S1541" s="5"/>
      <c r="T1541" s="5"/>
      <c r="U1541" s="5"/>
      <c r="V1541" s="5"/>
      <c r="W1541" s="5"/>
      <c r="X1541" s="5"/>
      <c r="Y1541" s="9"/>
      <c r="Z1541" s="2"/>
    </row>
    <row r="1542" spans="1:26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3"/>
      <c r="M1542" s="6"/>
      <c r="N1542" s="6"/>
      <c r="O1542" s="6"/>
      <c r="P1542" s="5"/>
      <c r="Q1542" s="9"/>
      <c r="R1542" s="5"/>
      <c r="S1542" s="5"/>
      <c r="T1542" s="5"/>
      <c r="U1542" s="5"/>
      <c r="V1542" s="5"/>
      <c r="W1542" s="5"/>
      <c r="X1542" s="5"/>
      <c r="Y1542" s="9"/>
      <c r="Z1542" s="2"/>
    </row>
    <row r="1543" spans="1:26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3"/>
      <c r="M1543" s="6"/>
      <c r="N1543" s="6"/>
      <c r="O1543" s="6"/>
      <c r="P1543" s="5"/>
      <c r="Q1543" s="9"/>
      <c r="R1543" s="5"/>
      <c r="S1543" s="5"/>
      <c r="T1543" s="5"/>
      <c r="U1543" s="5"/>
      <c r="V1543" s="5"/>
      <c r="W1543" s="5"/>
      <c r="X1543" s="5"/>
      <c r="Y1543" s="9"/>
      <c r="Z1543" s="2"/>
    </row>
    <row r="1544" spans="1:26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3"/>
      <c r="M1544" s="6"/>
      <c r="N1544" s="6"/>
      <c r="O1544" s="6"/>
      <c r="P1544" s="5"/>
      <c r="Q1544" s="9"/>
      <c r="R1544" s="5"/>
      <c r="S1544" s="5"/>
      <c r="T1544" s="5"/>
      <c r="U1544" s="5"/>
      <c r="V1544" s="5"/>
      <c r="W1544" s="5"/>
      <c r="X1544" s="5"/>
      <c r="Y1544" s="9"/>
      <c r="Z1544" s="2"/>
    </row>
    <row r="1545" spans="1:26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3"/>
      <c r="M1545" s="6"/>
      <c r="N1545" s="6"/>
      <c r="O1545" s="6"/>
      <c r="P1545" s="5"/>
      <c r="Q1545" s="9"/>
      <c r="R1545" s="5"/>
      <c r="S1545" s="5"/>
      <c r="T1545" s="5"/>
      <c r="U1545" s="5"/>
      <c r="V1545" s="5"/>
      <c r="W1545" s="5"/>
      <c r="X1545" s="5"/>
      <c r="Y1545" s="9"/>
      <c r="Z1545" s="2"/>
    </row>
    <row r="1546" spans="1:26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3"/>
      <c r="M1546" s="6"/>
      <c r="N1546" s="6"/>
      <c r="O1546" s="6"/>
      <c r="P1546" s="5"/>
      <c r="Q1546" s="9"/>
      <c r="R1546" s="5"/>
      <c r="S1546" s="5"/>
      <c r="T1546" s="5"/>
      <c r="U1546" s="5"/>
      <c r="V1546" s="5"/>
      <c r="W1546" s="5"/>
      <c r="X1546" s="5"/>
      <c r="Y1546" s="9"/>
      <c r="Z1546" s="2"/>
    </row>
    <row r="1547" spans="1:26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3"/>
      <c r="M1547" s="6"/>
      <c r="N1547" s="6"/>
      <c r="O1547" s="6"/>
      <c r="P1547" s="5"/>
      <c r="Q1547" s="9"/>
      <c r="R1547" s="5"/>
      <c r="S1547" s="5"/>
      <c r="T1547" s="5"/>
      <c r="U1547" s="5"/>
      <c r="V1547" s="5"/>
      <c r="W1547" s="5"/>
      <c r="X1547" s="5"/>
      <c r="Y1547" s="9"/>
      <c r="Z1547" s="2"/>
    </row>
    <row r="1548" spans="1:26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3"/>
      <c r="M1548" s="6"/>
      <c r="N1548" s="6"/>
      <c r="O1548" s="6"/>
      <c r="P1548" s="5"/>
      <c r="Q1548" s="9"/>
      <c r="R1548" s="5"/>
      <c r="S1548" s="5"/>
      <c r="T1548" s="5"/>
      <c r="U1548" s="5"/>
      <c r="V1548" s="5"/>
      <c r="W1548" s="5"/>
      <c r="X1548" s="5"/>
      <c r="Y1548" s="9"/>
      <c r="Z1548" s="2"/>
    </row>
    <row r="1549" spans="1:26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3"/>
      <c r="M1549" s="6"/>
      <c r="N1549" s="6"/>
      <c r="O1549" s="6"/>
      <c r="P1549" s="5"/>
      <c r="Q1549" s="9"/>
      <c r="R1549" s="5"/>
      <c r="S1549" s="5"/>
      <c r="T1549" s="5"/>
      <c r="U1549" s="5"/>
      <c r="V1549" s="5"/>
      <c r="W1549" s="5"/>
      <c r="X1549" s="5"/>
      <c r="Y1549" s="9"/>
      <c r="Z1549" s="2"/>
    </row>
    <row r="1550" spans="1:26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3"/>
      <c r="M1550" s="6"/>
      <c r="N1550" s="6"/>
      <c r="O1550" s="6"/>
      <c r="P1550" s="5"/>
      <c r="Q1550" s="9"/>
      <c r="R1550" s="5"/>
      <c r="S1550" s="5"/>
      <c r="T1550" s="5"/>
      <c r="U1550" s="5"/>
      <c r="V1550" s="5"/>
      <c r="W1550" s="5"/>
      <c r="X1550" s="5"/>
      <c r="Y1550" s="9"/>
      <c r="Z1550" s="2"/>
    </row>
    <row r="1551" spans="1:26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3"/>
      <c r="M1551" s="6"/>
      <c r="N1551" s="6"/>
      <c r="O1551" s="6"/>
      <c r="P1551" s="5"/>
      <c r="Q1551" s="9"/>
      <c r="R1551" s="5"/>
      <c r="S1551" s="5"/>
      <c r="T1551" s="5"/>
      <c r="U1551" s="5"/>
      <c r="V1551" s="5"/>
      <c r="W1551" s="5"/>
      <c r="X1551" s="5"/>
      <c r="Y1551" s="9"/>
      <c r="Z1551" s="2"/>
    </row>
    <row r="1552" spans="1:26">
      <c r="A1552" s="4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3"/>
      <c r="M1552" s="6"/>
      <c r="N1552" s="6"/>
      <c r="O1552" s="6"/>
      <c r="P1552" s="5"/>
      <c r="Q1552" s="9"/>
      <c r="R1552" s="5"/>
      <c r="S1552" s="5"/>
      <c r="T1552" s="5"/>
      <c r="U1552" s="5"/>
      <c r="V1552" s="5"/>
      <c r="W1552" s="5"/>
      <c r="X1552" s="5"/>
      <c r="Y1552" s="9"/>
      <c r="Z1552" s="2"/>
    </row>
    <row r="1553" spans="1:26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3"/>
      <c r="M1553" s="6"/>
      <c r="N1553" s="6"/>
      <c r="O1553" s="6"/>
      <c r="P1553" s="5"/>
      <c r="Q1553" s="9"/>
      <c r="R1553" s="5"/>
      <c r="S1553" s="5"/>
      <c r="T1553" s="5"/>
      <c r="U1553" s="5"/>
      <c r="V1553" s="5"/>
      <c r="W1553" s="5"/>
      <c r="X1553" s="5"/>
      <c r="Y1553" s="9"/>
      <c r="Z1553" s="2"/>
    </row>
    <row r="1554" spans="1:26">
      <c r="A1554" s="4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3"/>
      <c r="M1554" s="6"/>
      <c r="N1554" s="6"/>
      <c r="O1554" s="6"/>
      <c r="P1554" s="5"/>
      <c r="Q1554" s="9"/>
      <c r="R1554" s="5"/>
      <c r="S1554" s="5"/>
      <c r="T1554" s="5"/>
      <c r="U1554" s="5"/>
      <c r="V1554" s="5"/>
      <c r="W1554" s="5"/>
      <c r="X1554" s="5"/>
      <c r="Y1554" s="9"/>
      <c r="Z1554" s="2"/>
    </row>
    <row r="1555" spans="1:26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3"/>
      <c r="M1555" s="6"/>
      <c r="N1555" s="6"/>
      <c r="O1555" s="6"/>
      <c r="P1555" s="5"/>
      <c r="Q1555" s="9"/>
      <c r="R1555" s="5"/>
      <c r="S1555" s="5"/>
      <c r="T1555" s="5"/>
      <c r="U1555" s="5"/>
      <c r="V1555" s="5"/>
      <c r="W1555" s="5"/>
      <c r="X1555" s="5"/>
      <c r="Y1555" s="9"/>
      <c r="Z1555" s="2"/>
    </row>
    <row r="1556" spans="1:26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3"/>
      <c r="M1556" s="6"/>
      <c r="N1556" s="6"/>
      <c r="O1556" s="6"/>
      <c r="P1556" s="5"/>
      <c r="Q1556" s="9"/>
      <c r="R1556" s="5"/>
      <c r="S1556" s="5"/>
      <c r="T1556" s="5"/>
      <c r="U1556" s="5"/>
      <c r="V1556" s="5"/>
      <c r="W1556" s="5"/>
      <c r="X1556" s="5"/>
      <c r="Y1556" s="9"/>
      <c r="Z1556" s="2"/>
    </row>
    <row r="1557" spans="1:26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3"/>
      <c r="M1557" s="6"/>
      <c r="N1557" s="6"/>
      <c r="O1557" s="6"/>
      <c r="P1557" s="5"/>
      <c r="Q1557" s="9"/>
      <c r="R1557" s="5"/>
      <c r="S1557" s="5"/>
      <c r="T1557" s="5"/>
      <c r="U1557" s="5"/>
      <c r="V1557" s="5"/>
      <c r="W1557" s="5"/>
      <c r="X1557" s="5"/>
      <c r="Y1557" s="9"/>
      <c r="Z1557" s="2"/>
    </row>
    <row r="1558" spans="1:26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3"/>
      <c r="M1558" s="6"/>
      <c r="N1558" s="6"/>
      <c r="O1558" s="6"/>
      <c r="P1558" s="5"/>
      <c r="Q1558" s="9"/>
      <c r="R1558" s="5"/>
      <c r="S1558" s="5"/>
      <c r="T1558" s="5"/>
      <c r="U1558" s="5"/>
      <c r="V1558" s="5"/>
      <c r="W1558" s="5"/>
      <c r="X1558" s="5"/>
      <c r="Y1558" s="9"/>
      <c r="Z1558" s="2"/>
    </row>
    <row r="1559" spans="1:26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3"/>
      <c r="M1559" s="6"/>
      <c r="N1559" s="6"/>
      <c r="O1559" s="6"/>
      <c r="P1559" s="5"/>
      <c r="Q1559" s="9"/>
      <c r="R1559" s="5"/>
      <c r="S1559" s="5"/>
      <c r="T1559" s="5"/>
      <c r="U1559" s="5"/>
      <c r="V1559" s="5"/>
      <c r="W1559" s="5"/>
      <c r="X1559" s="5"/>
      <c r="Y1559" s="9"/>
      <c r="Z1559" s="2"/>
    </row>
    <row r="1560" spans="1:26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3"/>
      <c r="M1560" s="6"/>
      <c r="N1560" s="6"/>
      <c r="O1560" s="6"/>
      <c r="P1560" s="5"/>
      <c r="Q1560" s="9"/>
      <c r="R1560" s="5"/>
      <c r="S1560" s="5"/>
      <c r="T1560" s="5"/>
      <c r="U1560" s="5"/>
      <c r="V1560" s="5"/>
      <c r="W1560" s="5"/>
      <c r="X1560" s="5"/>
      <c r="Y1560" s="9"/>
      <c r="Z1560" s="2"/>
    </row>
    <row r="1561" spans="1:26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3"/>
      <c r="M1561" s="6"/>
      <c r="N1561" s="6"/>
      <c r="O1561" s="6"/>
      <c r="P1561" s="5"/>
      <c r="Q1561" s="9"/>
      <c r="R1561" s="5"/>
      <c r="S1561" s="5"/>
      <c r="T1561" s="5"/>
      <c r="U1561" s="5"/>
      <c r="V1561" s="5"/>
      <c r="W1561" s="5"/>
      <c r="X1561" s="5"/>
      <c r="Y1561" s="9"/>
      <c r="Z1561" s="2"/>
    </row>
    <row r="1562" spans="1:26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3"/>
      <c r="M1562" s="6"/>
      <c r="N1562" s="6"/>
      <c r="O1562" s="6"/>
      <c r="P1562" s="5"/>
      <c r="Q1562" s="9"/>
      <c r="R1562" s="5"/>
      <c r="S1562" s="5"/>
      <c r="T1562" s="5"/>
      <c r="U1562" s="5"/>
      <c r="V1562" s="5"/>
      <c r="W1562" s="5"/>
      <c r="X1562" s="5"/>
      <c r="Y1562" s="9"/>
      <c r="Z1562" s="2"/>
    </row>
    <row r="1563" spans="1:26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3"/>
      <c r="M1563" s="6"/>
      <c r="N1563" s="6"/>
      <c r="O1563" s="6"/>
      <c r="P1563" s="5"/>
      <c r="Q1563" s="9"/>
      <c r="R1563" s="5"/>
      <c r="S1563" s="5"/>
      <c r="T1563" s="5"/>
      <c r="U1563" s="5"/>
      <c r="V1563" s="5"/>
      <c r="W1563" s="5"/>
      <c r="X1563" s="5"/>
      <c r="Y1563" s="9"/>
      <c r="Z1563" s="2"/>
    </row>
    <row r="1564" spans="1:26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3"/>
      <c r="M1564" s="6"/>
      <c r="N1564" s="6"/>
      <c r="O1564" s="6"/>
      <c r="P1564" s="5"/>
      <c r="Q1564" s="9"/>
      <c r="R1564" s="5"/>
      <c r="S1564" s="5"/>
      <c r="T1564" s="5"/>
      <c r="U1564" s="5"/>
      <c r="V1564" s="5"/>
      <c r="W1564" s="5"/>
      <c r="X1564" s="5"/>
      <c r="Y1564" s="9"/>
      <c r="Z1564" s="2"/>
    </row>
    <row r="1565" spans="1:26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3"/>
      <c r="M1565" s="6"/>
      <c r="N1565" s="6"/>
      <c r="O1565" s="6"/>
      <c r="P1565" s="5"/>
      <c r="Q1565" s="9"/>
      <c r="R1565" s="5"/>
      <c r="S1565" s="5"/>
      <c r="T1565" s="5"/>
      <c r="U1565" s="5"/>
      <c r="V1565" s="5"/>
      <c r="W1565" s="5"/>
      <c r="X1565" s="5"/>
      <c r="Y1565" s="9"/>
      <c r="Z1565" s="2"/>
    </row>
    <row r="1566" spans="1:26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3"/>
      <c r="M1566" s="6"/>
      <c r="N1566" s="6"/>
      <c r="O1566" s="6"/>
      <c r="P1566" s="5"/>
      <c r="Q1566" s="9"/>
      <c r="R1566" s="5"/>
      <c r="S1566" s="5"/>
      <c r="T1566" s="5"/>
      <c r="U1566" s="5"/>
      <c r="V1566" s="5"/>
      <c r="W1566" s="5"/>
      <c r="X1566" s="5"/>
      <c r="Y1566" s="9"/>
      <c r="Z1566" s="2"/>
    </row>
    <row r="1567" spans="1:26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3"/>
      <c r="M1567" s="6"/>
      <c r="N1567" s="6"/>
      <c r="O1567" s="6"/>
      <c r="P1567" s="5"/>
      <c r="Q1567" s="9"/>
      <c r="R1567" s="5"/>
      <c r="S1567" s="5"/>
      <c r="T1567" s="5"/>
      <c r="U1567" s="5"/>
      <c r="V1567" s="5"/>
      <c r="W1567" s="5"/>
      <c r="X1567" s="5"/>
      <c r="Y1567" s="9"/>
      <c r="Z1567" s="2"/>
    </row>
    <row r="1568" spans="1:26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3"/>
      <c r="M1568" s="6"/>
      <c r="N1568" s="6"/>
      <c r="O1568" s="6"/>
      <c r="P1568" s="5"/>
      <c r="Q1568" s="9"/>
      <c r="R1568" s="5"/>
      <c r="S1568" s="5"/>
      <c r="T1568" s="5"/>
      <c r="U1568" s="5"/>
      <c r="V1568" s="5"/>
      <c r="W1568" s="5"/>
      <c r="X1568" s="5"/>
      <c r="Y1568" s="9"/>
      <c r="Z1568" s="2"/>
    </row>
    <row r="1569" spans="1:26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3"/>
      <c r="M1569" s="6"/>
      <c r="N1569" s="6"/>
      <c r="O1569" s="6"/>
      <c r="P1569" s="5"/>
      <c r="Q1569" s="9"/>
      <c r="R1569" s="5"/>
      <c r="S1569" s="5"/>
      <c r="T1569" s="5"/>
      <c r="U1569" s="5"/>
      <c r="V1569" s="5"/>
      <c r="W1569" s="5"/>
      <c r="X1569" s="5"/>
      <c r="Y1569" s="9"/>
      <c r="Z1569" s="2"/>
    </row>
    <row r="1570" spans="1:26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3"/>
      <c r="M1570" s="6"/>
      <c r="N1570" s="6"/>
      <c r="O1570" s="6"/>
      <c r="P1570" s="5"/>
      <c r="Q1570" s="9"/>
      <c r="R1570" s="5"/>
      <c r="S1570" s="5"/>
      <c r="T1570" s="5"/>
      <c r="U1570" s="5"/>
      <c r="V1570" s="5"/>
      <c r="W1570" s="5"/>
      <c r="X1570" s="5"/>
      <c r="Y1570" s="9"/>
      <c r="Z1570" s="2"/>
    </row>
    <row r="1571" spans="1:26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3"/>
      <c r="M1571" s="6"/>
      <c r="N1571" s="6"/>
      <c r="O1571" s="6"/>
      <c r="P1571" s="5"/>
      <c r="Q1571" s="9"/>
      <c r="R1571" s="5"/>
      <c r="S1571" s="5"/>
      <c r="T1571" s="5"/>
      <c r="U1571" s="5"/>
      <c r="V1571" s="5"/>
      <c r="W1571" s="5"/>
      <c r="X1571" s="5"/>
      <c r="Y1571" s="9"/>
      <c r="Z1571" s="2"/>
    </row>
    <row r="1572" spans="1:26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3"/>
      <c r="M1572" s="6"/>
      <c r="N1572" s="6"/>
      <c r="O1572" s="6"/>
      <c r="P1572" s="5"/>
      <c r="Q1572" s="9"/>
      <c r="R1572" s="5"/>
      <c r="S1572" s="5"/>
      <c r="T1572" s="5"/>
      <c r="U1572" s="5"/>
      <c r="V1572" s="5"/>
      <c r="W1572" s="5"/>
      <c r="X1572" s="5"/>
      <c r="Y1572" s="9"/>
      <c r="Z1572" s="2"/>
    </row>
    <row r="1573" spans="1:26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3"/>
      <c r="M1573" s="6"/>
      <c r="N1573" s="6"/>
      <c r="O1573" s="6"/>
      <c r="P1573" s="5"/>
      <c r="Q1573" s="9"/>
      <c r="R1573" s="5"/>
      <c r="S1573" s="5"/>
      <c r="T1573" s="5"/>
      <c r="U1573" s="5"/>
      <c r="V1573" s="5"/>
      <c r="W1573" s="5"/>
      <c r="X1573" s="5"/>
      <c r="Y1573" s="9"/>
      <c r="Z1573" s="2"/>
    </row>
    <row r="1574" spans="1:26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3"/>
      <c r="M1574" s="6"/>
      <c r="N1574" s="6"/>
      <c r="O1574" s="6"/>
      <c r="P1574" s="5"/>
      <c r="Q1574" s="9"/>
      <c r="R1574" s="5"/>
      <c r="S1574" s="5"/>
      <c r="T1574" s="5"/>
      <c r="U1574" s="5"/>
      <c r="V1574" s="5"/>
      <c r="W1574" s="5"/>
      <c r="X1574" s="5"/>
      <c r="Y1574" s="9"/>
      <c r="Z1574" s="2"/>
    </row>
    <row r="1575" spans="1:26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3"/>
      <c r="M1575" s="6"/>
      <c r="N1575" s="6"/>
      <c r="O1575" s="6"/>
      <c r="P1575" s="5"/>
      <c r="Q1575" s="9"/>
      <c r="R1575" s="5"/>
      <c r="S1575" s="5"/>
      <c r="T1575" s="5"/>
      <c r="U1575" s="5"/>
      <c r="V1575" s="5"/>
      <c r="W1575" s="5"/>
      <c r="X1575" s="5"/>
      <c r="Y1575" s="9"/>
      <c r="Z1575" s="2"/>
    </row>
    <row r="1576" spans="1:26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3"/>
      <c r="M1576" s="6"/>
      <c r="N1576" s="6"/>
      <c r="O1576" s="6"/>
      <c r="P1576" s="5"/>
      <c r="Q1576" s="9"/>
      <c r="R1576" s="5"/>
      <c r="S1576" s="5"/>
      <c r="T1576" s="5"/>
      <c r="U1576" s="5"/>
      <c r="V1576" s="5"/>
      <c r="W1576" s="5"/>
      <c r="X1576" s="5"/>
      <c r="Y1576" s="9"/>
      <c r="Z1576" s="2"/>
    </row>
    <row r="1577" spans="1:26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3"/>
      <c r="M1577" s="6"/>
      <c r="N1577" s="6"/>
      <c r="O1577" s="6"/>
      <c r="P1577" s="5"/>
      <c r="Q1577" s="9"/>
      <c r="R1577" s="5"/>
      <c r="S1577" s="5"/>
      <c r="T1577" s="5"/>
      <c r="U1577" s="5"/>
      <c r="V1577" s="5"/>
      <c r="W1577" s="5"/>
      <c r="X1577" s="5"/>
      <c r="Y1577" s="9"/>
      <c r="Z1577" s="2"/>
    </row>
    <row r="1578" spans="1:26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3"/>
      <c r="M1578" s="6"/>
      <c r="N1578" s="6"/>
      <c r="O1578" s="6"/>
      <c r="P1578" s="5"/>
      <c r="Q1578" s="9"/>
      <c r="R1578" s="5"/>
      <c r="S1578" s="5"/>
      <c r="T1578" s="5"/>
      <c r="U1578" s="5"/>
      <c r="V1578" s="5"/>
      <c r="W1578" s="5"/>
      <c r="X1578" s="5"/>
      <c r="Y1578" s="9"/>
      <c r="Z1578" s="2"/>
    </row>
    <row r="1579" spans="1:26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3"/>
      <c r="M1579" s="6"/>
      <c r="N1579" s="6"/>
      <c r="O1579" s="6"/>
      <c r="P1579" s="5"/>
      <c r="Q1579" s="9"/>
      <c r="R1579" s="5"/>
      <c r="S1579" s="5"/>
      <c r="T1579" s="5"/>
      <c r="U1579" s="5"/>
      <c r="V1579" s="5"/>
      <c r="W1579" s="5"/>
      <c r="X1579" s="5"/>
      <c r="Y1579" s="9"/>
      <c r="Z1579" s="2"/>
    </row>
    <row r="1580" spans="1:26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3"/>
      <c r="M1580" s="6"/>
      <c r="N1580" s="6"/>
      <c r="O1580" s="6"/>
      <c r="P1580" s="5"/>
      <c r="Q1580" s="9"/>
      <c r="R1580" s="5"/>
      <c r="S1580" s="5"/>
      <c r="T1580" s="5"/>
      <c r="U1580" s="5"/>
      <c r="V1580" s="5"/>
      <c r="W1580" s="5"/>
      <c r="X1580" s="5"/>
      <c r="Y1580" s="9"/>
      <c r="Z1580" s="2"/>
    </row>
    <row r="1581" spans="1:26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3"/>
      <c r="M1581" s="6"/>
      <c r="N1581" s="6"/>
      <c r="O1581" s="6"/>
      <c r="P1581" s="5"/>
      <c r="Q1581" s="9"/>
      <c r="R1581" s="5"/>
      <c r="S1581" s="5"/>
      <c r="T1581" s="5"/>
      <c r="U1581" s="5"/>
      <c r="V1581" s="5"/>
      <c r="W1581" s="5"/>
      <c r="X1581" s="5"/>
      <c r="Y1581" s="9"/>
      <c r="Z1581" s="2"/>
    </row>
    <row r="1582" spans="1:26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3"/>
      <c r="M1582" s="6"/>
      <c r="N1582" s="6"/>
      <c r="O1582" s="6"/>
      <c r="P1582" s="5"/>
      <c r="Q1582" s="9"/>
      <c r="R1582" s="5"/>
      <c r="S1582" s="5"/>
      <c r="T1582" s="5"/>
      <c r="U1582" s="5"/>
      <c r="V1582" s="5"/>
      <c r="W1582" s="5"/>
      <c r="X1582" s="5"/>
      <c r="Y1582" s="9"/>
      <c r="Z1582" s="2"/>
    </row>
    <row r="1583" spans="1:26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3"/>
      <c r="M1583" s="6"/>
      <c r="N1583" s="6"/>
      <c r="O1583" s="6"/>
      <c r="P1583" s="5"/>
      <c r="Q1583" s="9"/>
      <c r="R1583" s="5"/>
      <c r="S1583" s="5"/>
      <c r="T1583" s="5"/>
      <c r="U1583" s="5"/>
      <c r="V1583" s="5"/>
      <c r="W1583" s="5"/>
      <c r="X1583" s="5"/>
      <c r="Y1583" s="9"/>
      <c r="Z1583" s="2"/>
    </row>
    <row r="1584" spans="1:26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3"/>
      <c r="M1584" s="6"/>
      <c r="N1584" s="6"/>
      <c r="O1584" s="6"/>
      <c r="P1584" s="5"/>
      <c r="Q1584" s="9"/>
      <c r="R1584" s="5"/>
      <c r="S1584" s="5"/>
      <c r="T1584" s="5"/>
      <c r="U1584" s="5"/>
      <c r="V1584" s="5"/>
      <c r="W1584" s="5"/>
      <c r="X1584" s="5"/>
      <c r="Y1584" s="9"/>
      <c r="Z1584" s="2"/>
    </row>
    <row r="1585" spans="1:26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3"/>
      <c r="M1585" s="6"/>
      <c r="N1585" s="6"/>
      <c r="O1585" s="6"/>
      <c r="P1585" s="5"/>
      <c r="Q1585" s="9"/>
      <c r="R1585" s="5"/>
      <c r="S1585" s="5"/>
      <c r="T1585" s="5"/>
      <c r="U1585" s="5"/>
      <c r="V1585" s="5"/>
      <c r="W1585" s="5"/>
      <c r="X1585" s="5"/>
      <c r="Y1585" s="9"/>
      <c r="Z1585" s="2"/>
    </row>
    <row r="1586" spans="1:26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3"/>
      <c r="M1586" s="6"/>
      <c r="N1586" s="6"/>
      <c r="O1586" s="6"/>
      <c r="P1586" s="5"/>
      <c r="Q1586" s="9"/>
      <c r="R1586" s="5"/>
      <c r="S1586" s="5"/>
      <c r="T1586" s="5"/>
      <c r="U1586" s="5"/>
      <c r="V1586" s="5"/>
      <c r="W1586" s="5"/>
      <c r="X1586" s="5"/>
      <c r="Y1586" s="9"/>
      <c r="Z1586" s="2"/>
    </row>
    <row r="1587" spans="1:26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3"/>
      <c r="M1587" s="6"/>
      <c r="N1587" s="6"/>
      <c r="O1587" s="6"/>
      <c r="P1587" s="5"/>
      <c r="Q1587" s="9"/>
      <c r="R1587" s="5"/>
      <c r="S1587" s="5"/>
      <c r="T1587" s="5"/>
      <c r="U1587" s="5"/>
      <c r="V1587" s="5"/>
      <c r="W1587" s="5"/>
      <c r="X1587" s="5"/>
      <c r="Y1587" s="9"/>
      <c r="Z1587" s="2"/>
    </row>
    <row r="1588" spans="1:26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3"/>
      <c r="M1588" s="6"/>
      <c r="N1588" s="6"/>
      <c r="O1588" s="6"/>
      <c r="P1588" s="5"/>
      <c r="Q1588" s="9"/>
      <c r="R1588" s="5"/>
      <c r="S1588" s="5"/>
      <c r="T1588" s="5"/>
      <c r="U1588" s="5"/>
      <c r="V1588" s="5"/>
      <c r="W1588" s="5"/>
      <c r="X1588" s="5"/>
      <c r="Y1588" s="9"/>
      <c r="Z1588" s="2"/>
    </row>
    <row r="1589" spans="1:26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3"/>
      <c r="M1589" s="6"/>
      <c r="N1589" s="6"/>
      <c r="O1589" s="6"/>
      <c r="P1589" s="5"/>
      <c r="Q1589" s="9"/>
      <c r="R1589" s="5"/>
      <c r="S1589" s="5"/>
      <c r="T1589" s="5"/>
      <c r="U1589" s="5"/>
      <c r="V1589" s="5"/>
      <c r="W1589" s="5"/>
      <c r="X1589" s="5"/>
      <c r="Y1589" s="9"/>
      <c r="Z1589" s="2"/>
    </row>
    <row r="1590" spans="1:26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3"/>
      <c r="M1590" s="6"/>
      <c r="N1590" s="6"/>
      <c r="O1590" s="6"/>
      <c r="P1590" s="5"/>
      <c r="Q1590" s="9"/>
      <c r="R1590" s="5"/>
      <c r="S1590" s="5"/>
      <c r="T1590" s="5"/>
      <c r="U1590" s="5"/>
      <c r="V1590" s="5"/>
      <c r="W1590" s="5"/>
      <c r="X1590" s="5"/>
      <c r="Y1590" s="9"/>
      <c r="Z1590" s="2"/>
    </row>
    <row r="1591" spans="1:26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3"/>
      <c r="M1591" s="6"/>
      <c r="N1591" s="6"/>
      <c r="O1591" s="6"/>
      <c r="P1591" s="5"/>
      <c r="Q1591" s="9"/>
      <c r="R1591" s="5"/>
      <c r="S1591" s="5"/>
      <c r="T1591" s="5"/>
      <c r="U1591" s="5"/>
      <c r="V1591" s="5"/>
      <c r="W1591" s="5"/>
      <c r="X1591" s="5"/>
      <c r="Y1591" s="9"/>
      <c r="Z1591" s="2"/>
    </row>
    <row r="1592" spans="1:26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3"/>
      <c r="M1592" s="6"/>
      <c r="N1592" s="6"/>
      <c r="O1592" s="6"/>
      <c r="P1592" s="5"/>
      <c r="Q1592" s="9"/>
      <c r="R1592" s="5"/>
      <c r="S1592" s="5"/>
      <c r="T1592" s="5"/>
      <c r="U1592" s="5"/>
      <c r="V1592" s="5"/>
      <c r="W1592" s="5"/>
      <c r="X1592" s="5"/>
      <c r="Y1592" s="9"/>
      <c r="Z1592" s="2"/>
    </row>
    <row r="1593" spans="1:26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3"/>
      <c r="M1593" s="6"/>
      <c r="N1593" s="6"/>
      <c r="O1593" s="6"/>
      <c r="P1593" s="5"/>
      <c r="Q1593" s="9"/>
      <c r="R1593" s="5"/>
      <c r="S1593" s="5"/>
      <c r="T1593" s="5"/>
      <c r="U1593" s="5"/>
      <c r="V1593" s="5"/>
      <c r="W1593" s="5"/>
      <c r="X1593" s="5"/>
      <c r="Y1593" s="9"/>
      <c r="Z1593" s="2"/>
    </row>
    <row r="1594" spans="1:26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3"/>
      <c r="M1594" s="6"/>
      <c r="N1594" s="6"/>
      <c r="O1594" s="6"/>
      <c r="P1594" s="5"/>
      <c r="Q1594" s="9"/>
      <c r="R1594" s="5"/>
      <c r="S1594" s="5"/>
      <c r="T1594" s="5"/>
      <c r="U1594" s="5"/>
      <c r="V1594" s="5"/>
      <c r="W1594" s="5"/>
      <c r="X1594" s="5"/>
      <c r="Y1594" s="9"/>
      <c r="Z1594" s="2"/>
    </row>
    <row r="1595" spans="1:26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3"/>
      <c r="M1595" s="6"/>
      <c r="N1595" s="6"/>
      <c r="O1595" s="6"/>
      <c r="P1595" s="5"/>
      <c r="Q1595" s="9"/>
      <c r="R1595" s="5"/>
      <c r="S1595" s="5"/>
      <c r="T1595" s="5"/>
      <c r="U1595" s="5"/>
      <c r="V1595" s="5"/>
      <c r="W1595" s="5"/>
      <c r="X1595" s="5"/>
      <c r="Y1595" s="9"/>
      <c r="Z1595" s="2"/>
    </row>
    <row r="1596" spans="1:26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3"/>
      <c r="M1596" s="6"/>
      <c r="N1596" s="6"/>
      <c r="O1596" s="6"/>
      <c r="P1596" s="5"/>
      <c r="Q1596" s="9"/>
      <c r="R1596" s="5"/>
      <c r="S1596" s="5"/>
      <c r="T1596" s="5"/>
      <c r="U1596" s="5"/>
      <c r="V1596" s="5"/>
      <c r="W1596" s="5"/>
      <c r="X1596" s="5"/>
      <c r="Y1596" s="9"/>
      <c r="Z1596" s="2"/>
    </row>
    <row r="1597" spans="1:26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3"/>
      <c r="M1597" s="6"/>
      <c r="N1597" s="6"/>
      <c r="O1597" s="6"/>
      <c r="P1597" s="5"/>
      <c r="Q1597" s="9"/>
      <c r="R1597" s="5"/>
      <c r="S1597" s="5"/>
      <c r="T1597" s="5"/>
      <c r="U1597" s="5"/>
      <c r="V1597" s="5"/>
      <c r="W1597" s="5"/>
      <c r="X1597" s="5"/>
      <c r="Y1597" s="9"/>
      <c r="Z1597" s="2"/>
    </row>
    <row r="1598" spans="1:26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3"/>
      <c r="M1598" s="6"/>
      <c r="N1598" s="6"/>
      <c r="O1598" s="6"/>
      <c r="P1598" s="5"/>
      <c r="Q1598" s="9"/>
      <c r="R1598" s="5"/>
      <c r="S1598" s="5"/>
      <c r="T1598" s="5"/>
      <c r="U1598" s="5"/>
      <c r="V1598" s="5"/>
      <c r="W1598" s="5"/>
      <c r="X1598" s="5"/>
      <c r="Y1598" s="9"/>
      <c r="Z1598" s="2"/>
    </row>
    <row r="1599" spans="1:26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3"/>
      <c r="M1599" s="6"/>
      <c r="N1599" s="6"/>
      <c r="O1599" s="6"/>
      <c r="P1599" s="5"/>
      <c r="Q1599" s="9"/>
      <c r="R1599" s="5"/>
      <c r="S1599" s="5"/>
      <c r="T1599" s="5"/>
      <c r="U1599" s="5"/>
      <c r="V1599" s="5"/>
      <c r="W1599" s="5"/>
      <c r="X1599" s="5"/>
      <c r="Y1599" s="9"/>
      <c r="Z1599" s="2"/>
    </row>
    <row r="1600" spans="1:26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3"/>
      <c r="M1600" s="6"/>
      <c r="N1600" s="6"/>
      <c r="O1600" s="6"/>
      <c r="P1600" s="5"/>
      <c r="Q1600" s="9"/>
      <c r="R1600" s="5"/>
      <c r="S1600" s="5"/>
      <c r="T1600" s="5"/>
      <c r="U1600" s="5"/>
      <c r="V1600" s="5"/>
      <c r="W1600" s="5"/>
      <c r="X1600" s="5"/>
      <c r="Y1600" s="9"/>
      <c r="Z1600" s="2"/>
    </row>
    <row r="1601" spans="1:26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3"/>
      <c r="M1601" s="6"/>
      <c r="N1601" s="6"/>
      <c r="O1601" s="6"/>
      <c r="P1601" s="5"/>
      <c r="Q1601" s="9"/>
      <c r="R1601" s="5"/>
      <c r="S1601" s="5"/>
      <c r="T1601" s="5"/>
      <c r="U1601" s="5"/>
      <c r="V1601" s="5"/>
      <c r="W1601" s="5"/>
      <c r="X1601" s="5"/>
      <c r="Y1601" s="9"/>
      <c r="Z1601" s="2"/>
    </row>
    <row r="1602" spans="1:26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3"/>
      <c r="M1602" s="6"/>
      <c r="N1602" s="6"/>
      <c r="O1602" s="6"/>
      <c r="P1602" s="5"/>
      <c r="Q1602" s="9"/>
      <c r="R1602" s="5"/>
      <c r="S1602" s="5"/>
      <c r="T1602" s="5"/>
      <c r="U1602" s="5"/>
      <c r="V1602" s="5"/>
      <c r="W1602" s="5"/>
      <c r="X1602" s="5"/>
      <c r="Y1602" s="9"/>
      <c r="Z1602" s="2"/>
    </row>
    <row r="1603" spans="1:26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3"/>
      <c r="M1603" s="6"/>
      <c r="N1603" s="6"/>
      <c r="O1603" s="6"/>
      <c r="P1603" s="5"/>
      <c r="Q1603" s="9"/>
      <c r="R1603" s="5"/>
      <c r="S1603" s="5"/>
      <c r="T1603" s="5"/>
      <c r="U1603" s="5"/>
      <c r="V1603" s="5"/>
      <c r="W1603" s="5"/>
      <c r="X1603" s="5"/>
      <c r="Y1603" s="9"/>
      <c r="Z1603" s="2"/>
    </row>
    <row r="1604" spans="1:26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3"/>
      <c r="M1604" s="6"/>
      <c r="N1604" s="6"/>
      <c r="O1604" s="6"/>
      <c r="P1604" s="5"/>
      <c r="Q1604" s="9"/>
      <c r="R1604" s="5"/>
      <c r="S1604" s="5"/>
      <c r="T1604" s="5"/>
      <c r="U1604" s="5"/>
      <c r="V1604" s="5"/>
      <c r="W1604" s="5"/>
      <c r="X1604" s="5"/>
      <c r="Y1604" s="9"/>
      <c r="Z1604" s="2"/>
    </row>
    <row r="1605" spans="1:26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3"/>
      <c r="M1605" s="6"/>
      <c r="N1605" s="6"/>
      <c r="O1605" s="6"/>
      <c r="P1605" s="5"/>
      <c r="Q1605" s="9"/>
      <c r="R1605" s="5"/>
      <c r="S1605" s="5"/>
      <c r="T1605" s="5"/>
      <c r="U1605" s="5"/>
      <c r="V1605" s="5"/>
      <c r="W1605" s="5"/>
      <c r="X1605" s="5"/>
      <c r="Y1605" s="9"/>
      <c r="Z1605" s="2"/>
    </row>
    <row r="1606" spans="1:26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3"/>
      <c r="M1606" s="6"/>
      <c r="N1606" s="6"/>
      <c r="O1606" s="6"/>
      <c r="P1606" s="5"/>
      <c r="Q1606" s="9"/>
      <c r="R1606" s="5"/>
      <c r="S1606" s="5"/>
      <c r="T1606" s="5"/>
      <c r="U1606" s="5"/>
      <c r="V1606" s="5"/>
      <c r="W1606" s="5"/>
      <c r="X1606" s="5"/>
      <c r="Y1606" s="9"/>
      <c r="Z1606" s="2"/>
    </row>
    <row r="1607" spans="1:26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3"/>
      <c r="M1607" s="6"/>
      <c r="N1607" s="6"/>
      <c r="O1607" s="6"/>
      <c r="P1607" s="5"/>
      <c r="Q1607" s="9"/>
      <c r="R1607" s="5"/>
      <c r="S1607" s="5"/>
      <c r="T1607" s="5"/>
      <c r="U1607" s="5"/>
      <c r="V1607" s="5"/>
      <c r="W1607" s="5"/>
      <c r="X1607" s="5"/>
      <c r="Y1607" s="9"/>
      <c r="Z1607" s="2"/>
    </row>
    <row r="1608" spans="1:26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3"/>
      <c r="M1608" s="6"/>
      <c r="N1608" s="6"/>
      <c r="O1608" s="6"/>
      <c r="P1608" s="5"/>
      <c r="Q1608" s="9"/>
      <c r="R1608" s="5"/>
      <c r="S1608" s="5"/>
      <c r="T1608" s="5"/>
      <c r="U1608" s="5"/>
      <c r="V1608" s="5"/>
      <c r="W1608" s="5"/>
      <c r="X1608" s="5"/>
      <c r="Y1608" s="9"/>
      <c r="Z1608" s="2"/>
    </row>
    <row r="1609" spans="1:26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3"/>
      <c r="M1609" s="6"/>
      <c r="N1609" s="6"/>
      <c r="O1609" s="6"/>
      <c r="P1609" s="5"/>
      <c r="Q1609" s="9"/>
      <c r="R1609" s="5"/>
      <c r="S1609" s="5"/>
      <c r="T1609" s="5"/>
      <c r="U1609" s="5"/>
      <c r="V1609" s="5"/>
      <c r="W1609" s="5"/>
      <c r="X1609" s="5"/>
      <c r="Y1609" s="9"/>
      <c r="Z1609" s="2"/>
    </row>
    <row r="1610" spans="1:26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3"/>
      <c r="M1610" s="6"/>
      <c r="N1610" s="6"/>
      <c r="O1610" s="6"/>
      <c r="P1610" s="5"/>
      <c r="Q1610" s="9"/>
      <c r="R1610" s="5"/>
      <c r="S1610" s="5"/>
      <c r="T1610" s="5"/>
      <c r="U1610" s="5"/>
      <c r="V1610" s="5"/>
      <c r="W1610" s="5"/>
      <c r="X1610" s="5"/>
      <c r="Y1610" s="9"/>
      <c r="Z1610" s="2"/>
    </row>
    <row r="1611" spans="1:26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3"/>
      <c r="M1611" s="6"/>
      <c r="N1611" s="6"/>
      <c r="O1611" s="6"/>
      <c r="P1611" s="5"/>
      <c r="Q1611" s="9"/>
      <c r="R1611" s="5"/>
      <c r="S1611" s="5"/>
      <c r="T1611" s="5"/>
      <c r="U1611" s="5"/>
      <c r="V1611" s="5"/>
      <c r="W1611" s="5"/>
      <c r="X1611" s="5"/>
      <c r="Y1611" s="9"/>
      <c r="Z1611" s="2"/>
    </row>
    <row r="1612" spans="1:26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3"/>
      <c r="M1612" s="6"/>
      <c r="N1612" s="6"/>
      <c r="O1612" s="6"/>
      <c r="P1612" s="5"/>
      <c r="Q1612" s="9"/>
      <c r="R1612" s="5"/>
      <c r="S1612" s="5"/>
      <c r="T1612" s="5"/>
      <c r="U1612" s="5"/>
      <c r="V1612" s="5"/>
      <c r="W1612" s="5"/>
      <c r="X1612" s="5"/>
      <c r="Y1612" s="9"/>
      <c r="Z1612" s="2"/>
    </row>
    <row r="1613" spans="1:26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3"/>
      <c r="M1613" s="6"/>
      <c r="N1613" s="6"/>
      <c r="O1613" s="6"/>
      <c r="P1613" s="5"/>
      <c r="Q1613" s="9"/>
      <c r="R1613" s="5"/>
      <c r="S1613" s="5"/>
      <c r="T1613" s="5"/>
      <c r="U1613" s="5"/>
      <c r="V1613" s="5"/>
      <c r="W1613" s="5"/>
      <c r="X1613" s="5"/>
      <c r="Y1613" s="9"/>
      <c r="Z1613" s="2"/>
    </row>
    <row r="1614" spans="1:26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3"/>
      <c r="M1614" s="6"/>
      <c r="N1614" s="6"/>
      <c r="O1614" s="6"/>
      <c r="P1614" s="5"/>
      <c r="Q1614" s="9"/>
      <c r="R1614" s="5"/>
      <c r="S1614" s="5"/>
      <c r="T1614" s="5"/>
      <c r="U1614" s="5"/>
      <c r="V1614" s="5"/>
      <c r="W1614" s="5"/>
      <c r="X1614" s="5"/>
      <c r="Y1614" s="9"/>
      <c r="Z1614" s="2"/>
    </row>
    <row r="1615" spans="1:26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3"/>
      <c r="M1615" s="6"/>
      <c r="N1615" s="6"/>
      <c r="O1615" s="6"/>
      <c r="P1615" s="5"/>
      <c r="Q1615" s="9"/>
      <c r="R1615" s="5"/>
      <c r="S1615" s="5"/>
      <c r="T1615" s="5"/>
      <c r="U1615" s="5"/>
      <c r="V1615" s="5"/>
      <c r="W1615" s="5"/>
      <c r="X1615" s="5"/>
      <c r="Y1615" s="9"/>
      <c r="Z1615" s="2"/>
    </row>
    <row r="1616" spans="1:26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3"/>
      <c r="M1616" s="6"/>
      <c r="N1616" s="6"/>
      <c r="O1616" s="6"/>
      <c r="P1616" s="5"/>
      <c r="Q1616" s="9"/>
      <c r="R1616" s="5"/>
      <c r="S1616" s="5"/>
      <c r="T1616" s="5"/>
      <c r="U1616" s="5"/>
      <c r="V1616" s="5"/>
      <c r="W1616" s="5"/>
      <c r="X1616" s="5"/>
      <c r="Y1616" s="9"/>
      <c r="Z1616" s="2"/>
    </row>
    <row r="1617" spans="1:26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3"/>
      <c r="M1617" s="6"/>
      <c r="N1617" s="6"/>
      <c r="O1617" s="6"/>
      <c r="P1617" s="5"/>
      <c r="Q1617" s="9"/>
      <c r="R1617" s="5"/>
      <c r="S1617" s="5"/>
      <c r="T1617" s="5"/>
      <c r="U1617" s="5"/>
      <c r="V1617" s="5"/>
      <c r="W1617" s="5"/>
      <c r="X1617" s="5"/>
      <c r="Y1617" s="9"/>
      <c r="Z1617" s="2"/>
    </row>
    <row r="1618" spans="1:26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3"/>
      <c r="M1618" s="6"/>
      <c r="N1618" s="6"/>
      <c r="O1618" s="6"/>
      <c r="P1618" s="5"/>
      <c r="Q1618" s="9"/>
      <c r="R1618" s="5"/>
      <c r="S1618" s="5"/>
      <c r="T1618" s="5"/>
      <c r="U1618" s="5"/>
      <c r="V1618" s="5"/>
      <c r="W1618" s="5"/>
      <c r="X1618" s="5"/>
      <c r="Y1618" s="9"/>
      <c r="Z1618" s="2"/>
    </row>
    <row r="1619" spans="1:26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3"/>
      <c r="M1619" s="6"/>
      <c r="N1619" s="6"/>
      <c r="O1619" s="6"/>
      <c r="P1619" s="5"/>
      <c r="Q1619" s="9"/>
      <c r="R1619" s="5"/>
      <c r="S1619" s="5"/>
      <c r="T1619" s="5"/>
      <c r="U1619" s="5"/>
      <c r="V1619" s="5"/>
      <c r="W1619" s="5"/>
      <c r="X1619" s="5"/>
      <c r="Y1619" s="9"/>
      <c r="Z1619" s="2"/>
    </row>
    <row r="1620" spans="1:26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3"/>
      <c r="M1620" s="6"/>
      <c r="N1620" s="6"/>
      <c r="O1620" s="6"/>
      <c r="P1620" s="5"/>
      <c r="Q1620" s="9"/>
      <c r="R1620" s="5"/>
      <c r="S1620" s="5"/>
      <c r="T1620" s="5"/>
      <c r="U1620" s="5"/>
      <c r="V1620" s="5"/>
      <c r="W1620" s="5"/>
      <c r="X1620" s="5"/>
      <c r="Y1620" s="9"/>
      <c r="Z1620" s="2"/>
    </row>
    <row r="1621" spans="1:26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3"/>
      <c r="M1621" s="6"/>
      <c r="N1621" s="6"/>
      <c r="O1621" s="6"/>
      <c r="P1621" s="5"/>
      <c r="Q1621" s="9"/>
      <c r="R1621" s="5"/>
      <c r="S1621" s="5"/>
      <c r="T1621" s="5"/>
      <c r="U1621" s="5"/>
      <c r="V1621" s="5"/>
      <c r="W1621" s="5"/>
      <c r="X1621" s="5"/>
      <c r="Y1621" s="9"/>
      <c r="Z1621" s="2"/>
    </row>
    <row r="1622" spans="1:26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3"/>
      <c r="M1622" s="6"/>
      <c r="N1622" s="6"/>
      <c r="O1622" s="6"/>
      <c r="P1622" s="5"/>
      <c r="Q1622" s="9"/>
      <c r="R1622" s="5"/>
      <c r="S1622" s="5"/>
      <c r="T1622" s="5"/>
      <c r="U1622" s="5"/>
      <c r="V1622" s="5"/>
      <c r="W1622" s="5"/>
      <c r="X1622" s="5"/>
      <c r="Y1622" s="9"/>
      <c r="Z1622" s="2"/>
    </row>
    <row r="1623" spans="1:26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3"/>
      <c r="M1623" s="6"/>
      <c r="N1623" s="6"/>
      <c r="O1623" s="6"/>
      <c r="P1623" s="5"/>
      <c r="Q1623" s="9"/>
      <c r="R1623" s="5"/>
      <c r="S1623" s="5"/>
      <c r="T1623" s="5"/>
      <c r="U1623" s="5"/>
      <c r="V1623" s="5"/>
      <c r="W1623" s="5"/>
      <c r="X1623" s="5"/>
      <c r="Y1623" s="9"/>
      <c r="Z1623" s="2"/>
    </row>
    <row r="1624" spans="1:26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3"/>
      <c r="M1624" s="6"/>
      <c r="N1624" s="6"/>
      <c r="O1624" s="6"/>
      <c r="P1624" s="5"/>
      <c r="Q1624" s="9"/>
      <c r="R1624" s="5"/>
      <c r="S1624" s="5"/>
      <c r="T1624" s="5"/>
      <c r="U1624" s="5"/>
      <c r="V1624" s="5"/>
      <c r="W1624" s="5"/>
      <c r="X1624" s="5"/>
      <c r="Y1624" s="9"/>
      <c r="Z1624" s="2"/>
    </row>
    <row r="1625" spans="1:26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3"/>
      <c r="M1625" s="6"/>
      <c r="N1625" s="6"/>
      <c r="O1625" s="6"/>
      <c r="P1625" s="5"/>
      <c r="Q1625" s="9"/>
      <c r="R1625" s="5"/>
      <c r="S1625" s="5"/>
      <c r="T1625" s="5"/>
      <c r="U1625" s="5"/>
      <c r="V1625" s="5"/>
      <c r="W1625" s="5"/>
      <c r="X1625" s="5"/>
      <c r="Y1625" s="9"/>
      <c r="Z1625" s="2"/>
    </row>
    <row r="1626" spans="1:26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3"/>
      <c r="M1626" s="6"/>
      <c r="N1626" s="6"/>
      <c r="O1626" s="6"/>
      <c r="P1626" s="5"/>
      <c r="Q1626" s="9"/>
      <c r="R1626" s="5"/>
      <c r="S1626" s="5"/>
      <c r="T1626" s="5"/>
      <c r="U1626" s="5"/>
      <c r="V1626" s="5"/>
      <c r="W1626" s="5"/>
      <c r="X1626" s="5"/>
      <c r="Y1626" s="9"/>
      <c r="Z1626" s="2"/>
    </row>
    <row r="1627" spans="1:26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3"/>
      <c r="M1627" s="6"/>
      <c r="N1627" s="6"/>
      <c r="O1627" s="6"/>
      <c r="P1627" s="5"/>
      <c r="Q1627" s="9"/>
      <c r="R1627" s="5"/>
      <c r="S1627" s="5"/>
      <c r="T1627" s="5"/>
      <c r="U1627" s="5"/>
      <c r="V1627" s="5"/>
      <c r="W1627" s="5"/>
      <c r="X1627" s="5"/>
      <c r="Y1627" s="9"/>
      <c r="Z1627" s="2"/>
    </row>
    <row r="1628" spans="1:26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3"/>
      <c r="M1628" s="6"/>
      <c r="N1628" s="6"/>
      <c r="O1628" s="6"/>
      <c r="P1628" s="5"/>
      <c r="Q1628" s="9"/>
      <c r="R1628" s="5"/>
      <c r="S1628" s="5"/>
      <c r="T1628" s="5"/>
      <c r="U1628" s="5"/>
      <c r="V1628" s="5"/>
      <c r="W1628" s="5"/>
      <c r="X1628" s="5"/>
      <c r="Y1628" s="9"/>
      <c r="Z1628" s="2"/>
    </row>
    <row r="1629" spans="1:26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3"/>
      <c r="M1629" s="6"/>
      <c r="N1629" s="6"/>
      <c r="O1629" s="6"/>
      <c r="P1629" s="5"/>
      <c r="Q1629" s="9"/>
      <c r="R1629" s="5"/>
      <c r="S1629" s="5"/>
      <c r="T1629" s="5"/>
      <c r="U1629" s="5"/>
      <c r="V1629" s="5"/>
      <c r="W1629" s="5"/>
      <c r="X1629" s="5"/>
      <c r="Y1629" s="9"/>
      <c r="Z1629" s="2"/>
    </row>
    <row r="1630" spans="1:26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3"/>
      <c r="M1630" s="6"/>
      <c r="N1630" s="6"/>
      <c r="O1630" s="6"/>
      <c r="P1630" s="5"/>
      <c r="Q1630" s="9"/>
      <c r="R1630" s="5"/>
      <c r="S1630" s="5"/>
      <c r="T1630" s="5"/>
      <c r="U1630" s="5"/>
      <c r="V1630" s="5"/>
      <c r="W1630" s="5"/>
      <c r="X1630" s="5"/>
      <c r="Y1630" s="9"/>
      <c r="Z1630" s="2"/>
    </row>
    <row r="1631" spans="1:26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3"/>
      <c r="M1631" s="6"/>
      <c r="N1631" s="6"/>
      <c r="O1631" s="6"/>
      <c r="P1631" s="5"/>
      <c r="Q1631" s="9"/>
      <c r="R1631" s="5"/>
      <c r="S1631" s="5"/>
      <c r="T1631" s="5"/>
      <c r="U1631" s="5"/>
      <c r="V1631" s="5"/>
      <c r="W1631" s="5"/>
      <c r="X1631" s="5"/>
      <c r="Y1631" s="9"/>
      <c r="Z1631" s="2"/>
    </row>
    <row r="1632" spans="1:26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3"/>
      <c r="M1632" s="6"/>
      <c r="N1632" s="6"/>
      <c r="O1632" s="6"/>
      <c r="P1632" s="5"/>
      <c r="Q1632" s="9"/>
      <c r="R1632" s="5"/>
      <c r="S1632" s="5"/>
      <c r="T1632" s="5"/>
      <c r="U1632" s="5"/>
      <c r="V1632" s="5"/>
      <c r="W1632" s="5"/>
      <c r="X1632" s="5"/>
      <c r="Y1632" s="9"/>
      <c r="Z1632" s="2"/>
    </row>
    <row r="1633" spans="1:26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3"/>
      <c r="M1633" s="6"/>
      <c r="N1633" s="6"/>
      <c r="O1633" s="6"/>
      <c r="P1633" s="5"/>
      <c r="Q1633" s="9"/>
      <c r="R1633" s="5"/>
      <c r="S1633" s="5"/>
      <c r="T1633" s="5"/>
      <c r="U1633" s="5"/>
      <c r="V1633" s="5"/>
      <c r="W1633" s="5"/>
      <c r="X1633" s="5"/>
      <c r="Y1633" s="9"/>
      <c r="Z1633" s="2"/>
    </row>
    <row r="1634" spans="1:26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3"/>
      <c r="M1634" s="6"/>
      <c r="N1634" s="6"/>
      <c r="O1634" s="6"/>
      <c r="P1634" s="5"/>
      <c r="Q1634" s="9"/>
      <c r="R1634" s="5"/>
      <c r="S1634" s="5"/>
      <c r="T1634" s="5"/>
      <c r="U1634" s="5"/>
      <c r="V1634" s="5"/>
      <c r="W1634" s="5"/>
      <c r="X1634" s="5"/>
      <c r="Y1634" s="9"/>
      <c r="Z1634" s="2"/>
    </row>
    <row r="1635" spans="1:26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3"/>
      <c r="M1635" s="6"/>
      <c r="N1635" s="6"/>
      <c r="O1635" s="6"/>
      <c r="P1635" s="5"/>
      <c r="Q1635" s="9"/>
      <c r="R1635" s="5"/>
      <c r="S1635" s="5"/>
      <c r="T1635" s="5"/>
      <c r="U1635" s="5"/>
      <c r="V1635" s="5"/>
      <c r="W1635" s="5"/>
      <c r="X1635" s="5"/>
      <c r="Y1635" s="9"/>
      <c r="Z1635" s="2"/>
    </row>
    <row r="1636" spans="1:26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3"/>
      <c r="M1636" s="6"/>
      <c r="N1636" s="6"/>
      <c r="O1636" s="6"/>
      <c r="P1636" s="5"/>
      <c r="Q1636" s="9"/>
      <c r="R1636" s="5"/>
      <c r="S1636" s="5"/>
      <c r="T1636" s="5"/>
      <c r="U1636" s="5"/>
      <c r="V1636" s="5"/>
      <c r="W1636" s="5"/>
      <c r="X1636" s="5"/>
      <c r="Y1636" s="9"/>
      <c r="Z1636" s="2"/>
    </row>
    <row r="1637" spans="1:26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3"/>
      <c r="M1637" s="6"/>
      <c r="N1637" s="6"/>
      <c r="O1637" s="6"/>
      <c r="P1637" s="5"/>
      <c r="Q1637" s="9"/>
      <c r="R1637" s="5"/>
      <c r="S1637" s="5"/>
      <c r="T1637" s="5"/>
      <c r="U1637" s="5"/>
      <c r="V1637" s="5"/>
      <c r="W1637" s="5"/>
      <c r="X1637" s="5"/>
      <c r="Y1637" s="9"/>
      <c r="Z1637" s="2"/>
    </row>
    <row r="1638" spans="1:26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3"/>
      <c r="M1638" s="6"/>
      <c r="N1638" s="6"/>
      <c r="O1638" s="6"/>
      <c r="P1638" s="5"/>
      <c r="Q1638" s="9"/>
      <c r="R1638" s="5"/>
      <c r="S1638" s="5"/>
      <c r="T1638" s="5"/>
      <c r="U1638" s="5"/>
      <c r="V1638" s="5"/>
      <c r="W1638" s="5"/>
      <c r="X1638" s="5"/>
      <c r="Y1638" s="9"/>
      <c r="Z1638" s="2"/>
    </row>
    <row r="1639" spans="1:26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3"/>
      <c r="M1639" s="6"/>
      <c r="N1639" s="6"/>
      <c r="O1639" s="6"/>
      <c r="P1639" s="5"/>
      <c r="Q1639" s="9"/>
      <c r="R1639" s="5"/>
      <c r="S1639" s="5"/>
      <c r="T1639" s="5"/>
      <c r="U1639" s="5"/>
      <c r="V1639" s="5"/>
      <c r="W1639" s="5"/>
      <c r="X1639" s="5"/>
      <c r="Y1639" s="9"/>
      <c r="Z1639" s="2"/>
    </row>
    <row r="1640" spans="1:26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3"/>
      <c r="M1640" s="6"/>
      <c r="N1640" s="6"/>
      <c r="O1640" s="6"/>
      <c r="P1640" s="5"/>
      <c r="Q1640" s="9"/>
      <c r="R1640" s="5"/>
      <c r="S1640" s="5"/>
      <c r="T1640" s="5"/>
      <c r="U1640" s="5"/>
      <c r="V1640" s="5"/>
      <c r="W1640" s="5"/>
      <c r="X1640" s="5"/>
      <c r="Y1640" s="9"/>
      <c r="Z1640" s="2"/>
    </row>
    <row r="1641" spans="1:26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3"/>
      <c r="M1641" s="6"/>
      <c r="N1641" s="6"/>
      <c r="O1641" s="6"/>
      <c r="P1641" s="5"/>
      <c r="Q1641" s="9"/>
      <c r="R1641" s="5"/>
      <c r="S1641" s="5"/>
      <c r="T1641" s="5"/>
      <c r="U1641" s="5"/>
      <c r="V1641" s="5"/>
      <c r="W1641" s="5"/>
      <c r="X1641" s="5"/>
      <c r="Y1641" s="9"/>
      <c r="Z1641" s="2"/>
    </row>
    <row r="1642" spans="1:26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3"/>
      <c r="M1642" s="6"/>
      <c r="N1642" s="6"/>
      <c r="O1642" s="6"/>
      <c r="P1642" s="5"/>
      <c r="Q1642" s="9"/>
      <c r="R1642" s="5"/>
      <c r="S1642" s="5"/>
      <c r="T1642" s="5"/>
      <c r="U1642" s="5"/>
      <c r="V1642" s="5"/>
      <c r="W1642" s="5"/>
      <c r="X1642" s="5"/>
      <c r="Y1642" s="9"/>
      <c r="Z1642" s="2"/>
    </row>
    <row r="1643" spans="1:26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3"/>
      <c r="M1643" s="6"/>
      <c r="N1643" s="6"/>
      <c r="O1643" s="6"/>
      <c r="P1643" s="5"/>
      <c r="Q1643" s="9"/>
      <c r="R1643" s="5"/>
      <c r="S1643" s="5"/>
      <c r="T1643" s="5"/>
      <c r="U1643" s="5"/>
      <c r="V1643" s="5"/>
      <c r="W1643" s="5"/>
      <c r="X1643" s="5"/>
      <c r="Y1643" s="9"/>
      <c r="Z1643" s="2"/>
    </row>
    <row r="1644" spans="1:26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3"/>
      <c r="M1644" s="6"/>
      <c r="N1644" s="6"/>
      <c r="O1644" s="6"/>
      <c r="P1644" s="5"/>
      <c r="Q1644" s="9"/>
      <c r="R1644" s="5"/>
      <c r="S1644" s="5"/>
      <c r="T1644" s="5"/>
      <c r="U1644" s="5"/>
      <c r="V1644" s="5"/>
      <c r="W1644" s="5"/>
      <c r="X1644" s="5"/>
      <c r="Y1644" s="9"/>
      <c r="Z1644" s="2"/>
    </row>
    <row r="1645" spans="1:26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3"/>
      <c r="M1645" s="6"/>
      <c r="N1645" s="6"/>
      <c r="O1645" s="6"/>
      <c r="P1645" s="5"/>
      <c r="Q1645" s="9"/>
      <c r="R1645" s="5"/>
      <c r="S1645" s="5"/>
      <c r="T1645" s="5"/>
      <c r="U1645" s="5"/>
      <c r="V1645" s="5"/>
      <c r="W1645" s="5"/>
      <c r="X1645" s="5"/>
      <c r="Y1645" s="9"/>
      <c r="Z1645" s="2"/>
    </row>
    <row r="1646" spans="1:26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3"/>
      <c r="M1646" s="6"/>
      <c r="N1646" s="6"/>
      <c r="O1646" s="6"/>
      <c r="P1646" s="5"/>
      <c r="Q1646" s="9"/>
      <c r="R1646" s="5"/>
      <c r="S1646" s="5"/>
      <c r="T1646" s="5"/>
      <c r="U1646" s="5"/>
      <c r="V1646" s="5"/>
      <c r="W1646" s="5"/>
      <c r="X1646" s="5"/>
      <c r="Y1646" s="9"/>
      <c r="Z1646" s="2"/>
    </row>
    <row r="1647" spans="1:26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3"/>
      <c r="M1647" s="6"/>
      <c r="N1647" s="6"/>
      <c r="O1647" s="6"/>
      <c r="P1647" s="5"/>
      <c r="Q1647" s="9"/>
      <c r="R1647" s="5"/>
      <c r="S1647" s="5"/>
      <c r="T1647" s="5"/>
      <c r="U1647" s="5"/>
      <c r="V1647" s="5"/>
      <c r="W1647" s="5"/>
      <c r="X1647" s="5"/>
      <c r="Y1647" s="9"/>
      <c r="Z1647" s="2"/>
    </row>
    <row r="1648" spans="1:26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3"/>
      <c r="M1648" s="6"/>
      <c r="N1648" s="6"/>
      <c r="O1648" s="6"/>
      <c r="P1648" s="5"/>
      <c r="Q1648" s="9"/>
      <c r="R1648" s="5"/>
      <c r="S1648" s="5"/>
      <c r="T1648" s="5"/>
      <c r="U1648" s="5"/>
      <c r="V1648" s="5"/>
      <c r="W1648" s="5"/>
      <c r="X1648" s="5"/>
      <c r="Y1648" s="9"/>
      <c r="Z1648" s="2"/>
    </row>
    <row r="1649" spans="1:26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3"/>
      <c r="M1649" s="6"/>
      <c r="N1649" s="6"/>
      <c r="O1649" s="6"/>
      <c r="P1649" s="5"/>
      <c r="Q1649" s="9"/>
      <c r="R1649" s="5"/>
      <c r="S1649" s="5"/>
      <c r="T1649" s="5"/>
      <c r="U1649" s="5"/>
      <c r="V1649" s="5"/>
      <c r="W1649" s="5"/>
      <c r="X1649" s="5"/>
      <c r="Y1649" s="9"/>
      <c r="Z1649" s="2"/>
    </row>
    <row r="1650" spans="1:26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3"/>
      <c r="M1650" s="6"/>
      <c r="N1650" s="6"/>
      <c r="O1650" s="6"/>
      <c r="P1650" s="5"/>
      <c r="Q1650" s="9"/>
      <c r="R1650" s="5"/>
      <c r="S1650" s="5"/>
      <c r="T1650" s="5"/>
      <c r="U1650" s="5"/>
      <c r="V1650" s="5"/>
      <c r="W1650" s="5"/>
      <c r="X1650" s="5"/>
      <c r="Y1650" s="9"/>
      <c r="Z1650" s="2"/>
    </row>
    <row r="1651" spans="1:26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3"/>
      <c r="M1651" s="6"/>
      <c r="N1651" s="6"/>
      <c r="O1651" s="6"/>
      <c r="P1651" s="5"/>
      <c r="Q1651" s="9"/>
      <c r="R1651" s="5"/>
      <c r="S1651" s="5"/>
      <c r="T1651" s="5"/>
      <c r="U1651" s="5"/>
      <c r="V1651" s="5"/>
      <c r="W1651" s="5"/>
      <c r="X1651" s="5"/>
      <c r="Y1651" s="9"/>
      <c r="Z1651" s="2"/>
    </row>
    <row r="1652" spans="1:26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3"/>
      <c r="M1652" s="6"/>
      <c r="N1652" s="6"/>
      <c r="O1652" s="6"/>
      <c r="P1652" s="5"/>
      <c r="Q1652" s="9"/>
      <c r="R1652" s="5"/>
      <c r="S1652" s="5"/>
      <c r="T1652" s="5"/>
      <c r="U1652" s="5"/>
      <c r="V1652" s="5"/>
      <c r="W1652" s="5"/>
      <c r="X1652" s="5"/>
      <c r="Y1652" s="9"/>
      <c r="Z1652" s="2"/>
    </row>
    <row r="1653" spans="1:26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3"/>
      <c r="M1653" s="6"/>
      <c r="N1653" s="6"/>
      <c r="O1653" s="6"/>
      <c r="P1653" s="5"/>
      <c r="Q1653" s="9"/>
      <c r="R1653" s="5"/>
      <c r="S1653" s="5"/>
      <c r="T1653" s="5"/>
      <c r="U1653" s="5"/>
      <c r="V1653" s="5"/>
      <c r="W1653" s="5"/>
      <c r="X1653" s="5"/>
      <c r="Y1653" s="9"/>
      <c r="Z1653" s="2"/>
    </row>
    <row r="1654" spans="1:26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3"/>
      <c r="M1654" s="6"/>
      <c r="N1654" s="6"/>
      <c r="O1654" s="6"/>
      <c r="P1654" s="5"/>
      <c r="Q1654" s="9"/>
      <c r="R1654" s="5"/>
      <c r="S1654" s="5"/>
      <c r="T1654" s="5"/>
      <c r="U1654" s="5"/>
      <c r="V1654" s="5"/>
      <c r="W1654" s="5"/>
      <c r="X1654" s="5"/>
      <c r="Y1654" s="9"/>
      <c r="Z1654" s="2"/>
    </row>
    <row r="1655" spans="1:26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3"/>
      <c r="M1655" s="6"/>
      <c r="N1655" s="6"/>
      <c r="O1655" s="6"/>
      <c r="P1655" s="5"/>
      <c r="Q1655" s="9"/>
      <c r="R1655" s="5"/>
      <c r="S1655" s="5"/>
      <c r="T1655" s="5"/>
      <c r="U1655" s="5"/>
      <c r="V1655" s="5"/>
      <c r="W1655" s="5"/>
      <c r="X1655" s="5"/>
      <c r="Y1655" s="9"/>
      <c r="Z1655" s="2"/>
    </row>
    <row r="1656" spans="1:26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3"/>
      <c r="M1656" s="6"/>
      <c r="N1656" s="6"/>
      <c r="O1656" s="6"/>
      <c r="P1656" s="5"/>
      <c r="Q1656" s="9"/>
      <c r="R1656" s="5"/>
      <c r="S1656" s="5"/>
      <c r="T1656" s="5"/>
      <c r="U1656" s="5"/>
      <c r="V1656" s="5"/>
      <c r="W1656" s="5"/>
      <c r="X1656" s="5"/>
      <c r="Y1656" s="9"/>
      <c r="Z1656" s="2"/>
    </row>
    <row r="1657" spans="1:26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3"/>
      <c r="M1657" s="6"/>
      <c r="N1657" s="6"/>
      <c r="O1657" s="6"/>
      <c r="P1657" s="5"/>
      <c r="Q1657" s="9"/>
      <c r="R1657" s="5"/>
      <c r="S1657" s="5"/>
      <c r="T1657" s="5"/>
      <c r="U1657" s="5"/>
      <c r="V1657" s="5"/>
      <c r="W1657" s="5"/>
      <c r="X1657" s="5"/>
      <c r="Y1657" s="9"/>
      <c r="Z1657" s="2"/>
    </row>
    <row r="1658" spans="1:26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3"/>
      <c r="M1658" s="6"/>
      <c r="N1658" s="6"/>
      <c r="O1658" s="6"/>
      <c r="P1658" s="5"/>
      <c r="Q1658" s="9"/>
      <c r="R1658" s="5"/>
      <c r="S1658" s="5"/>
      <c r="T1658" s="5"/>
      <c r="U1658" s="5"/>
      <c r="V1658" s="5"/>
      <c r="W1658" s="5"/>
      <c r="X1658" s="5"/>
      <c r="Y1658" s="9"/>
      <c r="Z1658" s="2"/>
    </row>
    <row r="1659" spans="1:26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3"/>
      <c r="M1659" s="6"/>
      <c r="N1659" s="6"/>
      <c r="O1659" s="6"/>
      <c r="P1659" s="5"/>
      <c r="Q1659" s="9"/>
      <c r="R1659" s="5"/>
      <c r="S1659" s="5"/>
      <c r="T1659" s="5"/>
      <c r="U1659" s="5"/>
      <c r="V1659" s="5"/>
      <c r="W1659" s="5"/>
      <c r="X1659" s="5"/>
      <c r="Y1659" s="9"/>
      <c r="Z1659" s="2"/>
    </row>
    <row r="1660" spans="1:26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3"/>
      <c r="M1660" s="6"/>
      <c r="N1660" s="6"/>
      <c r="O1660" s="6"/>
      <c r="P1660" s="5"/>
      <c r="Q1660" s="9"/>
      <c r="R1660" s="5"/>
      <c r="S1660" s="5"/>
      <c r="T1660" s="5"/>
      <c r="U1660" s="5"/>
      <c r="V1660" s="5"/>
      <c r="W1660" s="5"/>
      <c r="X1660" s="5"/>
      <c r="Y1660" s="9"/>
      <c r="Z1660" s="2"/>
    </row>
    <row r="1661" spans="1:26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3"/>
      <c r="M1661" s="6"/>
      <c r="N1661" s="6"/>
      <c r="O1661" s="6"/>
      <c r="P1661" s="5"/>
      <c r="Q1661" s="9"/>
      <c r="R1661" s="5"/>
      <c r="S1661" s="5"/>
      <c r="T1661" s="5"/>
      <c r="U1661" s="5"/>
      <c r="V1661" s="5"/>
      <c r="W1661" s="5"/>
      <c r="X1661" s="5"/>
      <c r="Y1661" s="9"/>
      <c r="Z1661" s="2"/>
    </row>
    <row r="1662" spans="1:26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3"/>
      <c r="M1662" s="6"/>
      <c r="N1662" s="6"/>
      <c r="O1662" s="6"/>
      <c r="P1662" s="5"/>
      <c r="Q1662" s="9"/>
      <c r="R1662" s="5"/>
      <c r="S1662" s="5"/>
      <c r="T1662" s="5"/>
      <c r="U1662" s="5"/>
      <c r="V1662" s="5"/>
      <c r="W1662" s="5"/>
      <c r="X1662" s="5"/>
      <c r="Y1662" s="9"/>
      <c r="Z1662" s="2"/>
    </row>
    <row r="1663" spans="1:26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3"/>
      <c r="M1663" s="6"/>
      <c r="N1663" s="6"/>
      <c r="O1663" s="6"/>
      <c r="P1663" s="5"/>
      <c r="Q1663" s="9"/>
      <c r="R1663" s="5"/>
      <c r="S1663" s="5"/>
      <c r="T1663" s="5"/>
      <c r="U1663" s="5"/>
      <c r="V1663" s="5"/>
      <c r="W1663" s="5"/>
      <c r="X1663" s="5"/>
      <c r="Y1663" s="9"/>
      <c r="Z1663" s="2"/>
    </row>
    <row r="1664" spans="1:26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3"/>
      <c r="M1664" s="6"/>
      <c r="N1664" s="6"/>
      <c r="O1664" s="6"/>
      <c r="P1664" s="5"/>
      <c r="Q1664" s="9"/>
      <c r="R1664" s="5"/>
      <c r="S1664" s="5"/>
      <c r="T1664" s="5"/>
      <c r="U1664" s="5"/>
      <c r="V1664" s="5"/>
      <c r="W1664" s="5"/>
      <c r="X1664" s="5"/>
      <c r="Y1664" s="9"/>
      <c r="Z1664" s="2"/>
    </row>
    <row r="1665" spans="1:26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3"/>
      <c r="M1665" s="6"/>
      <c r="N1665" s="6"/>
      <c r="O1665" s="6"/>
      <c r="P1665" s="5"/>
      <c r="Q1665" s="9"/>
      <c r="R1665" s="5"/>
      <c r="S1665" s="5"/>
      <c r="T1665" s="5"/>
      <c r="U1665" s="5"/>
      <c r="V1665" s="5"/>
      <c r="W1665" s="5"/>
      <c r="X1665" s="5"/>
      <c r="Y1665" s="9"/>
      <c r="Z1665" s="2"/>
    </row>
    <row r="1666" spans="1:26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3"/>
      <c r="M1666" s="6"/>
      <c r="N1666" s="6"/>
      <c r="O1666" s="6"/>
      <c r="P1666" s="5"/>
      <c r="Q1666" s="9"/>
      <c r="R1666" s="5"/>
      <c r="S1666" s="5"/>
      <c r="T1666" s="5"/>
      <c r="U1666" s="5"/>
      <c r="V1666" s="5"/>
      <c r="W1666" s="5"/>
      <c r="X1666" s="5"/>
      <c r="Y1666" s="9"/>
      <c r="Z1666" s="2"/>
    </row>
    <row r="1667" spans="1:26">
      <c r="A1667" s="4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3"/>
      <c r="M1667" s="6"/>
      <c r="N1667" s="6"/>
      <c r="O1667" s="6"/>
      <c r="P1667" s="5"/>
      <c r="Q1667" s="9"/>
      <c r="R1667" s="5"/>
      <c r="S1667" s="5"/>
      <c r="T1667" s="5"/>
      <c r="U1667" s="5"/>
      <c r="V1667" s="5"/>
      <c r="W1667" s="5"/>
      <c r="X1667" s="5"/>
      <c r="Y1667" s="9"/>
      <c r="Z1667" s="2"/>
    </row>
    <row r="1668" spans="1:26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3"/>
      <c r="M1668" s="6"/>
      <c r="N1668" s="6"/>
      <c r="O1668" s="6"/>
      <c r="P1668" s="5"/>
      <c r="Q1668" s="9"/>
      <c r="R1668" s="5"/>
      <c r="S1668" s="5"/>
      <c r="T1668" s="5"/>
      <c r="U1668" s="5"/>
      <c r="V1668" s="5"/>
      <c r="W1668" s="5"/>
      <c r="X1668" s="5"/>
      <c r="Y1668" s="9"/>
      <c r="Z1668" s="2"/>
    </row>
    <row r="1669" spans="1:26">
      <c r="A1669" s="4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3"/>
      <c r="M1669" s="6"/>
      <c r="N1669" s="6"/>
      <c r="O1669" s="6"/>
      <c r="P1669" s="5"/>
      <c r="Q1669" s="9"/>
      <c r="R1669" s="5"/>
      <c r="S1669" s="5"/>
      <c r="T1669" s="5"/>
      <c r="U1669" s="5"/>
      <c r="V1669" s="5"/>
      <c r="W1669" s="5"/>
      <c r="X1669" s="5"/>
      <c r="Y1669" s="9"/>
      <c r="Z1669" s="2"/>
    </row>
    <row r="1670" spans="1:26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3"/>
      <c r="M1670" s="6"/>
      <c r="N1670" s="6"/>
      <c r="O1670" s="6"/>
      <c r="P1670" s="5"/>
      <c r="Q1670" s="9"/>
      <c r="R1670" s="5"/>
      <c r="S1670" s="5"/>
      <c r="T1670" s="5"/>
      <c r="U1670" s="5"/>
      <c r="V1670" s="5"/>
      <c r="W1670" s="5"/>
      <c r="X1670" s="5"/>
      <c r="Y1670" s="9"/>
      <c r="Z1670" s="2"/>
    </row>
    <row r="1671" spans="1:26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3"/>
      <c r="M1671" s="6"/>
      <c r="N1671" s="6"/>
      <c r="O1671" s="6"/>
      <c r="P1671" s="5"/>
      <c r="Q1671" s="9"/>
      <c r="R1671" s="5"/>
      <c r="S1671" s="5"/>
      <c r="T1671" s="5"/>
      <c r="U1671" s="5"/>
      <c r="V1671" s="5"/>
      <c r="W1671" s="5"/>
      <c r="X1671" s="5"/>
      <c r="Y1671" s="9"/>
      <c r="Z1671" s="2"/>
    </row>
    <row r="1672" spans="1:26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3"/>
      <c r="M1672" s="6"/>
      <c r="N1672" s="6"/>
      <c r="O1672" s="6"/>
      <c r="P1672" s="5"/>
      <c r="Q1672" s="9"/>
      <c r="R1672" s="5"/>
      <c r="S1672" s="5"/>
      <c r="T1672" s="5"/>
      <c r="U1672" s="5"/>
      <c r="V1672" s="5"/>
      <c r="W1672" s="5"/>
      <c r="X1672" s="5"/>
      <c r="Y1672" s="9"/>
      <c r="Z1672" s="2"/>
    </row>
    <row r="1673" spans="1:26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3"/>
      <c r="M1673" s="6"/>
      <c r="N1673" s="6"/>
      <c r="O1673" s="6"/>
      <c r="P1673" s="5"/>
      <c r="Q1673" s="9"/>
      <c r="R1673" s="5"/>
      <c r="S1673" s="5"/>
      <c r="T1673" s="5"/>
      <c r="U1673" s="5"/>
      <c r="V1673" s="5"/>
      <c r="W1673" s="5"/>
      <c r="X1673" s="5"/>
      <c r="Y1673" s="9"/>
      <c r="Z1673" s="2"/>
    </row>
    <row r="1674" spans="1:26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3"/>
      <c r="M1674" s="6"/>
      <c r="N1674" s="6"/>
      <c r="O1674" s="6"/>
      <c r="P1674" s="5"/>
      <c r="Q1674" s="9"/>
      <c r="R1674" s="5"/>
      <c r="S1674" s="5"/>
      <c r="T1674" s="5"/>
      <c r="U1674" s="5"/>
      <c r="V1674" s="5"/>
      <c r="W1674" s="5"/>
      <c r="X1674" s="5"/>
      <c r="Y1674" s="9"/>
      <c r="Z1674" s="2"/>
    </row>
    <row r="1675" spans="1:26">
      <c r="A1675" s="4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3"/>
      <c r="M1675" s="6"/>
      <c r="N1675" s="6"/>
      <c r="O1675" s="6"/>
      <c r="P1675" s="5"/>
      <c r="Q1675" s="9"/>
      <c r="R1675" s="5"/>
      <c r="S1675" s="5"/>
      <c r="T1675" s="5"/>
      <c r="U1675" s="5"/>
      <c r="V1675" s="5"/>
      <c r="W1675" s="5"/>
      <c r="X1675" s="5"/>
      <c r="Y1675" s="9"/>
      <c r="Z1675" s="2"/>
    </row>
    <row r="1676" spans="1:26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3"/>
      <c r="M1676" s="6"/>
      <c r="N1676" s="6"/>
      <c r="O1676" s="6"/>
      <c r="P1676" s="5"/>
      <c r="Q1676" s="9"/>
      <c r="R1676" s="5"/>
      <c r="S1676" s="5"/>
      <c r="T1676" s="5"/>
      <c r="U1676" s="5"/>
      <c r="V1676" s="5"/>
      <c r="W1676" s="5"/>
      <c r="X1676" s="5"/>
      <c r="Y1676" s="9"/>
      <c r="Z1676" s="2"/>
    </row>
    <row r="1677" spans="1:26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3"/>
      <c r="M1677" s="6"/>
      <c r="N1677" s="6"/>
      <c r="O1677" s="6"/>
      <c r="P1677" s="5"/>
      <c r="Q1677" s="9"/>
      <c r="R1677" s="5"/>
      <c r="S1677" s="5"/>
      <c r="T1677" s="5"/>
      <c r="U1677" s="5"/>
      <c r="V1677" s="5"/>
      <c r="W1677" s="5"/>
      <c r="X1677" s="5"/>
      <c r="Y1677" s="9"/>
      <c r="Z1677" s="2"/>
    </row>
    <row r="1678" spans="1:26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3"/>
      <c r="M1678" s="6"/>
      <c r="N1678" s="6"/>
      <c r="O1678" s="6"/>
      <c r="P1678" s="5"/>
      <c r="Q1678" s="9"/>
      <c r="R1678" s="5"/>
      <c r="S1678" s="5"/>
      <c r="T1678" s="5"/>
      <c r="U1678" s="5"/>
      <c r="V1678" s="5"/>
      <c r="W1678" s="5"/>
      <c r="X1678" s="5"/>
      <c r="Y1678" s="9"/>
      <c r="Z1678" s="2"/>
    </row>
    <row r="1679" spans="1:26">
      <c r="A1679" s="4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3"/>
      <c r="M1679" s="6"/>
      <c r="N1679" s="6"/>
      <c r="O1679" s="6"/>
      <c r="P1679" s="5"/>
      <c r="Q1679" s="9"/>
      <c r="R1679" s="5"/>
      <c r="S1679" s="5"/>
      <c r="T1679" s="5"/>
      <c r="U1679" s="5"/>
      <c r="V1679" s="5"/>
      <c r="W1679" s="5"/>
      <c r="X1679" s="5"/>
      <c r="Y1679" s="9"/>
      <c r="Z1679" s="2"/>
    </row>
    <row r="1680" spans="1:26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3"/>
      <c r="M1680" s="6"/>
      <c r="N1680" s="6"/>
      <c r="O1680" s="6"/>
      <c r="P1680" s="5"/>
      <c r="Q1680" s="9"/>
      <c r="R1680" s="5"/>
      <c r="S1680" s="5"/>
      <c r="T1680" s="5"/>
      <c r="U1680" s="5"/>
      <c r="V1680" s="5"/>
      <c r="W1680" s="5"/>
      <c r="X1680" s="5"/>
      <c r="Y1680" s="9"/>
      <c r="Z1680" s="2"/>
    </row>
    <row r="1681" spans="1:26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3"/>
      <c r="M1681" s="6"/>
      <c r="N1681" s="6"/>
      <c r="O1681" s="6"/>
      <c r="P1681" s="5"/>
      <c r="Q1681" s="9"/>
      <c r="R1681" s="5"/>
      <c r="S1681" s="5"/>
      <c r="T1681" s="5"/>
      <c r="U1681" s="5"/>
      <c r="V1681" s="5"/>
      <c r="W1681" s="5"/>
      <c r="X1681" s="5"/>
      <c r="Y1681" s="9"/>
      <c r="Z1681" s="2"/>
    </row>
    <row r="1682" spans="1:26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3"/>
      <c r="M1682" s="6"/>
      <c r="N1682" s="6"/>
      <c r="O1682" s="6"/>
      <c r="P1682" s="5"/>
      <c r="Q1682" s="9"/>
      <c r="R1682" s="5"/>
      <c r="S1682" s="5"/>
      <c r="T1682" s="5"/>
      <c r="U1682" s="5"/>
      <c r="V1682" s="5"/>
      <c r="W1682" s="5"/>
      <c r="X1682" s="5"/>
      <c r="Y1682" s="9"/>
      <c r="Z1682" s="2"/>
    </row>
    <row r="1683" spans="1:26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3"/>
      <c r="M1683" s="6"/>
      <c r="N1683" s="6"/>
      <c r="O1683" s="6"/>
      <c r="P1683" s="5"/>
      <c r="Q1683" s="9"/>
      <c r="R1683" s="5"/>
      <c r="S1683" s="5"/>
      <c r="T1683" s="5"/>
      <c r="U1683" s="5"/>
      <c r="V1683" s="5"/>
      <c r="W1683" s="5"/>
      <c r="X1683" s="5"/>
      <c r="Y1683" s="9"/>
      <c r="Z1683" s="2"/>
    </row>
    <row r="1684" spans="1:26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3"/>
      <c r="M1684" s="6"/>
      <c r="N1684" s="6"/>
      <c r="O1684" s="6"/>
      <c r="P1684" s="5"/>
      <c r="Q1684" s="9"/>
      <c r="R1684" s="5"/>
      <c r="S1684" s="5"/>
      <c r="T1684" s="5"/>
      <c r="U1684" s="5"/>
      <c r="V1684" s="5"/>
      <c r="W1684" s="5"/>
      <c r="X1684" s="5"/>
      <c r="Y1684" s="9"/>
      <c r="Z1684" s="2"/>
    </row>
    <row r="1685" spans="1:26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3"/>
      <c r="M1685" s="6"/>
      <c r="N1685" s="6"/>
      <c r="O1685" s="6"/>
      <c r="P1685" s="5"/>
      <c r="Q1685" s="9"/>
      <c r="R1685" s="5"/>
      <c r="S1685" s="5"/>
      <c r="T1685" s="5"/>
      <c r="U1685" s="5"/>
      <c r="V1685" s="5"/>
      <c r="W1685" s="5"/>
      <c r="X1685" s="5"/>
      <c r="Y1685" s="9"/>
      <c r="Z1685" s="2"/>
    </row>
    <row r="1686" spans="1:26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3"/>
      <c r="M1686" s="6"/>
      <c r="N1686" s="6"/>
      <c r="O1686" s="6"/>
      <c r="P1686" s="5"/>
      <c r="Q1686" s="9"/>
      <c r="R1686" s="5"/>
      <c r="S1686" s="5"/>
      <c r="T1686" s="5"/>
      <c r="U1686" s="5"/>
      <c r="V1686" s="5"/>
      <c r="W1686" s="5"/>
      <c r="X1686" s="5"/>
      <c r="Y1686" s="9"/>
      <c r="Z1686" s="2"/>
    </row>
    <row r="1687" spans="1:26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3"/>
      <c r="M1687" s="6"/>
      <c r="N1687" s="6"/>
      <c r="O1687" s="6"/>
      <c r="P1687" s="5"/>
      <c r="Q1687" s="9"/>
      <c r="R1687" s="5"/>
      <c r="S1687" s="5"/>
      <c r="T1687" s="5"/>
      <c r="U1687" s="5"/>
      <c r="V1687" s="5"/>
      <c r="W1687" s="5"/>
      <c r="X1687" s="5"/>
      <c r="Y1687" s="9"/>
      <c r="Z1687" s="2"/>
    </row>
    <row r="1688" spans="1:26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3"/>
      <c r="M1688" s="6"/>
      <c r="N1688" s="6"/>
      <c r="O1688" s="6"/>
      <c r="P1688" s="5"/>
      <c r="Q1688" s="9"/>
      <c r="R1688" s="5"/>
      <c r="S1688" s="5"/>
      <c r="T1688" s="5"/>
      <c r="U1688" s="5"/>
      <c r="V1688" s="5"/>
      <c r="W1688" s="5"/>
      <c r="X1688" s="5"/>
      <c r="Y1688" s="9"/>
      <c r="Z1688" s="2"/>
    </row>
    <row r="1689" spans="1:26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3"/>
      <c r="M1689" s="6"/>
      <c r="N1689" s="6"/>
      <c r="O1689" s="6"/>
      <c r="P1689" s="5"/>
      <c r="Q1689" s="9"/>
      <c r="R1689" s="5"/>
      <c r="S1689" s="5"/>
      <c r="T1689" s="5"/>
      <c r="U1689" s="5"/>
      <c r="V1689" s="5"/>
      <c r="W1689" s="5"/>
      <c r="X1689" s="5"/>
      <c r="Y1689" s="9"/>
      <c r="Z1689" s="2"/>
    </row>
    <row r="1690" spans="1:26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3"/>
      <c r="M1690" s="6"/>
      <c r="N1690" s="6"/>
      <c r="O1690" s="6"/>
      <c r="P1690" s="5"/>
      <c r="Q1690" s="9"/>
      <c r="R1690" s="5"/>
      <c r="S1690" s="5"/>
      <c r="T1690" s="5"/>
      <c r="U1690" s="5"/>
      <c r="V1690" s="5"/>
      <c r="W1690" s="5"/>
      <c r="X1690" s="5"/>
      <c r="Y1690" s="9"/>
      <c r="Z1690" s="2"/>
    </row>
    <row r="1691" spans="1:26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3"/>
      <c r="M1691" s="6"/>
      <c r="N1691" s="6"/>
      <c r="O1691" s="6"/>
      <c r="P1691" s="5"/>
      <c r="Q1691" s="9"/>
      <c r="R1691" s="5"/>
      <c r="S1691" s="5"/>
      <c r="T1691" s="5"/>
      <c r="U1691" s="5"/>
      <c r="V1691" s="5"/>
      <c r="W1691" s="5"/>
      <c r="X1691" s="5"/>
      <c r="Y1691" s="9"/>
      <c r="Z1691" s="2"/>
    </row>
    <row r="1692" spans="1:26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3"/>
      <c r="M1692" s="6"/>
      <c r="N1692" s="6"/>
      <c r="O1692" s="6"/>
      <c r="P1692" s="5"/>
      <c r="Q1692" s="9"/>
      <c r="R1692" s="5"/>
      <c r="S1692" s="5"/>
      <c r="T1692" s="5"/>
      <c r="U1692" s="5"/>
      <c r="V1692" s="5"/>
      <c r="W1692" s="5"/>
      <c r="X1692" s="5"/>
      <c r="Y1692" s="9"/>
      <c r="Z1692" s="2"/>
    </row>
    <row r="1693" spans="1:26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3"/>
      <c r="M1693" s="6"/>
      <c r="N1693" s="6"/>
      <c r="O1693" s="6"/>
      <c r="P1693" s="5"/>
      <c r="Q1693" s="9"/>
      <c r="R1693" s="5"/>
      <c r="S1693" s="5"/>
      <c r="T1693" s="5"/>
      <c r="U1693" s="5"/>
      <c r="V1693" s="5"/>
      <c r="W1693" s="5"/>
      <c r="X1693" s="5"/>
      <c r="Y1693" s="9"/>
      <c r="Z1693" s="2"/>
    </row>
    <row r="1694" spans="1:26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3"/>
      <c r="M1694" s="6"/>
      <c r="N1694" s="6"/>
      <c r="O1694" s="6"/>
      <c r="P1694" s="5"/>
      <c r="Q1694" s="9"/>
      <c r="R1694" s="5"/>
      <c r="S1694" s="5"/>
      <c r="T1694" s="5"/>
      <c r="U1694" s="5"/>
      <c r="V1694" s="5"/>
      <c r="W1694" s="5"/>
      <c r="X1694" s="5"/>
      <c r="Y1694" s="9"/>
      <c r="Z1694" s="2"/>
    </row>
    <row r="1695" spans="1:26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3"/>
      <c r="M1695" s="6"/>
      <c r="N1695" s="6"/>
      <c r="O1695" s="6"/>
      <c r="P1695" s="5"/>
      <c r="Q1695" s="9"/>
      <c r="R1695" s="5"/>
      <c r="S1695" s="5"/>
      <c r="T1695" s="5"/>
      <c r="U1695" s="5"/>
      <c r="V1695" s="5"/>
      <c r="W1695" s="5"/>
      <c r="X1695" s="5"/>
      <c r="Y1695" s="9"/>
      <c r="Z1695" s="2"/>
    </row>
    <row r="1696" spans="1:26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3"/>
      <c r="M1696" s="6"/>
      <c r="N1696" s="6"/>
      <c r="O1696" s="6"/>
      <c r="P1696" s="5"/>
      <c r="Q1696" s="9"/>
      <c r="R1696" s="5"/>
      <c r="S1696" s="5"/>
      <c r="T1696" s="5"/>
      <c r="U1696" s="5"/>
      <c r="V1696" s="5"/>
      <c r="W1696" s="5"/>
      <c r="X1696" s="5"/>
      <c r="Y1696" s="9"/>
      <c r="Z1696" s="2"/>
    </row>
    <row r="1697" spans="1:26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3"/>
      <c r="M1697" s="6"/>
      <c r="N1697" s="6"/>
      <c r="O1697" s="6"/>
      <c r="P1697" s="5"/>
      <c r="Q1697" s="9"/>
      <c r="R1697" s="5"/>
      <c r="S1697" s="5"/>
      <c r="T1697" s="5"/>
      <c r="U1697" s="5"/>
      <c r="V1697" s="5"/>
      <c r="W1697" s="5"/>
      <c r="X1697" s="5"/>
      <c r="Y1697" s="9"/>
      <c r="Z1697" s="2"/>
    </row>
    <row r="1698" spans="1:26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3"/>
      <c r="M1698" s="6"/>
      <c r="N1698" s="6"/>
      <c r="O1698" s="6"/>
      <c r="P1698" s="5"/>
      <c r="Q1698" s="9"/>
      <c r="R1698" s="5"/>
      <c r="S1698" s="5"/>
      <c r="T1698" s="5"/>
      <c r="U1698" s="5"/>
      <c r="V1698" s="5"/>
      <c r="W1698" s="5"/>
      <c r="X1698" s="5"/>
      <c r="Y1698" s="9"/>
      <c r="Z1698" s="2"/>
    </row>
    <row r="1699" spans="1:26">
      <c r="A1699" s="4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3"/>
      <c r="M1699" s="6"/>
      <c r="N1699" s="6"/>
      <c r="O1699" s="6"/>
      <c r="P1699" s="5"/>
      <c r="Q1699" s="9"/>
      <c r="R1699" s="5"/>
      <c r="S1699" s="5"/>
      <c r="T1699" s="5"/>
      <c r="U1699" s="5"/>
      <c r="V1699" s="5"/>
      <c r="W1699" s="5"/>
      <c r="X1699" s="5"/>
      <c r="Y1699" s="9"/>
      <c r="Z1699" s="2"/>
    </row>
    <row r="1700" spans="1:26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3"/>
      <c r="M1700" s="6"/>
      <c r="N1700" s="6"/>
      <c r="O1700" s="6"/>
      <c r="P1700" s="5"/>
      <c r="Q1700" s="9"/>
      <c r="R1700" s="5"/>
      <c r="S1700" s="5"/>
      <c r="T1700" s="5"/>
      <c r="U1700" s="5"/>
      <c r="V1700" s="5"/>
      <c r="W1700" s="5"/>
      <c r="X1700" s="5"/>
      <c r="Y1700" s="9"/>
      <c r="Z1700" s="2"/>
    </row>
    <row r="1701" spans="1:26">
      <c r="A1701" s="4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3"/>
      <c r="M1701" s="6"/>
      <c r="N1701" s="6"/>
      <c r="O1701" s="6"/>
      <c r="P1701" s="5"/>
      <c r="Q1701" s="9"/>
      <c r="R1701" s="5"/>
      <c r="S1701" s="5"/>
      <c r="T1701" s="5"/>
      <c r="U1701" s="5"/>
      <c r="V1701" s="5"/>
      <c r="W1701" s="5"/>
      <c r="X1701" s="5"/>
      <c r="Y1701" s="9"/>
      <c r="Z1701" s="2"/>
    </row>
    <row r="1702" spans="1:26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3"/>
      <c r="M1702" s="6"/>
      <c r="N1702" s="6"/>
      <c r="O1702" s="6"/>
      <c r="P1702" s="5"/>
      <c r="Q1702" s="9"/>
      <c r="R1702" s="5"/>
      <c r="S1702" s="5"/>
      <c r="T1702" s="5"/>
      <c r="U1702" s="5"/>
      <c r="V1702" s="5"/>
      <c r="W1702" s="5"/>
      <c r="X1702" s="5"/>
      <c r="Y1702" s="9"/>
      <c r="Z1702" s="2"/>
    </row>
    <row r="1703" spans="1:26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3"/>
      <c r="M1703" s="6"/>
      <c r="N1703" s="6"/>
      <c r="O1703" s="6"/>
      <c r="P1703" s="5"/>
      <c r="Q1703" s="9"/>
      <c r="R1703" s="5"/>
      <c r="S1703" s="5"/>
      <c r="T1703" s="5"/>
      <c r="U1703" s="5"/>
      <c r="V1703" s="5"/>
      <c r="W1703" s="5"/>
      <c r="X1703" s="5"/>
      <c r="Y1703" s="9"/>
      <c r="Z1703" s="2"/>
    </row>
    <row r="1704" spans="1:26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3"/>
      <c r="M1704" s="6"/>
      <c r="N1704" s="6"/>
      <c r="O1704" s="6"/>
      <c r="P1704" s="5"/>
      <c r="Q1704" s="9"/>
      <c r="R1704" s="5"/>
      <c r="S1704" s="5"/>
      <c r="T1704" s="5"/>
      <c r="U1704" s="5"/>
      <c r="V1704" s="5"/>
      <c r="W1704" s="5"/>
      <c r="X1704" s="5"/>
      <c r="Y1704" s="9"/>
      <c r="Z1704" s="2"/>
    </row>
    <row r="1705" spans="1:26">
      <c r="A1705" s="4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3"/>
      <c r="M1705" s="6"/>
      <c r="N1705" s="6"/>
      <c r="O1705" s="6"/>
      <c r="P1705" s="5"/>
      <c r="Q1705" s="9"/>
      <c r="R1705" s="5"/>
      <c r="S1705" s="5"/>
      <c r="T1705" s="5"/>
      <c r="U1705" s="5"/>
      <c r="V1705" s="5"/>
      <c r="W1705" s="5"/>
      <c r="X1705" s="5"/>
      <c r="Y1705" s="9"/>
      <c r="Z1705" s="2"/>
    </row>
    <row r="1706" spans="1:26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3"/>
      <c r="M1706" s="6"/>
      <c r="N1706" s="6"/>
      <c r="O1706" s="6"/>
      <c r="P1706" s="5"/>
      <c r="Q1706" s="9"/>
      <c r="R1706" s="5"/>
      <c r="S1706" s="5"/>
      <c r="T1706" s="5"/>
      <c r="U1706" s="5"/>
      <c r="V1706" s="5"/>
      <c r="W1706" s="5"/>
      <c r="X1706" s="5"/>
      <c r="Y1706" s="9"/>
      <c r="Z1706" s="2"/>
    </row>
    <row r="1707" spans="1:26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3"/>
      <c r="M1707" s="6"/>
      <c r="N1707" s="6"/>
      <c r="O1707" s="6"/>
      <c r="P1707" s="5"/>
      <c r="Q1707" s="9"/>
      <c r="R1707" s="5"/>
      <c r="S1707" s="5"/>
      <c r="T1707" s="5"/>
      <c r="U1707" s="5"/>
      <c r="V1707" s="5"/>
      <c r="W1707" s="5"/>
      <c r="X1707" s="5"/>
      <c r="Y1707" s="9"/>
      <c r="Z1707" s="2"/>
    </row>
    <row r="1708" spans="1:26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3"/>
      <c r="M1708" s="6"/>
      <c r="N1708" s="6"/>
      <c r="O1708" s="6"/>
      <c r="P1708" s="5"/>
      <c r="Q1708" s="9"/>
      <c r="R1708" s="5"/>
      <c r="S1708" s="5"/>
      <c r="T1708" s="5"/>
      <c r="U1708" s="5"/>
      <c r="V1708" s="5"/>
      <c r="W1708" s="5"/>
      <c r="X1708" s="5"/>
      <c r="Y1708" s="9"/>
      <c r="Z1708" s="2"/>
    </row>
    <row r="1709" spans="1:26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3"/>
      <c r="M1709" s="6"/>
      <c r="N1709" s="6"/>
      <c r="O1709" s="6"/>
      <c r="P1709" s="5"/>
      <c r="Q1709" s="9"/>
      <c r="R1709" s="5"/>
      <c r="S1709" s="5"/>
      <c r="T1709" s="5"/>
      <c r="U1709" s="5"/>
      <c r="V1709" s="5"/>
      <c r="W1709" s="5"/>
      <c r="X1709" s="5"/>
      <c r="Y1709" s="9"/>
      <c r="Z1709" s="2"/>
    </row>
    <row r="1710" spans="1:26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3"/>
      <c r="M1710" s="6"/>
      <c r="N1710" s="6"/>
      <c r="O1710" s="6"/>
      <c r="P1710" s="5"/>
      <c r="Q1710" s="9"/>
      <c r="R1710" s="5"/>
      <c r="S1710" s="5"/>
      <c r="T1710" s="5"/>
      <c r="U1710" s="5"/>
      <c r="V1710" s="5"/>
      <c r="W1710" s="5"/>
      <c r="X1710" s="5"/>
      <c r="Y1710" s="9"/>
      <c r="Z1710" s="2"/>
    </row>
    <row r="1711" spans="1:26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3"/>
      <c r="M1711" s="6"/>
      <c r="N1711" s="6"/>
      <c r="O1711" s="6"/>
      <c r="P1711" s="5"/>
      <c r="Q1711" s="9"/>
      <c r="R1711" s="5"/>
      <c r="S1711" s="5"/>
      <c r="T1711" s="5"/>
      <c r="U1711" s="5"/>
      <c r="V1711" s="5"/>
      <c r="W1711" s="5"/>
      <c r="X1711" s="5"/>
      <c r="Y1711" s="9"/>
      <c r="Z1711" s="2"/>
    </row>
    <row r="1712" spans="1:26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3"/>
      <c r="M1712" s="6"/>
      <c r="N1712" s="6"/>
      <c r="O1712" s="6"/>
      <c r="P1712" s="5"/>
      <c r="Q1712" s="9"/>
      <c r="R1712" s="5"/>
      <c r="S1712" s="5"/>
      <c r="T1712" s="5"/>
      <c r="U1712" s="5"/>
      <c r="V1712" s="5"/>
      <c r="W1712" s="5"/>
      <c r="X1712" s="5"/>
      <c r="Y1712" s="9"/>
      <c r="Z1712" s="2"/>
    </row>
    <row r="1713" spans="1:26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3"/>
      <c r="M1713" s="6"/>
      <c r="N1713" s="6"/>
      <c r="O1713" s="6"/>
      <c r="P1713" s="5"/>
      <c r="Q1713" s="9"/>
      <c r="R1713" s="5"/>
      <c r="S1713" s="5"/>
      <c r="T1713" s="5"/>
      <c r="U1713" s="5"/>
      <c r="V1713" s="5"/>
      <c r="W1713" s="5"/>
      <c r="X1713" s="5"/>
      <c r="Y1713" s="9"/>
      <c r="Z1713" s="2"/>
    </row>
    <row r="1714" spans="1:26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3"/>
      <c r="M1714" s="6"/>
      <c r="N1714" s="6"/>
      <c r="O1714" s="6"/>
      <c r="P1714" s="5"/>
      <c r="Q1714" s="9"/>
      <c r="R1714" s="5"/>
      <c r="S1714" s="5"/>
      <c r="T1714" s="5"/>
      <c r="U1714" s="5"/>
      <c r="V1714" s="5"/>
      <c r="W1714" s="5"/>
      <c r="X1714" s="5"/>
      <c r="Y1714" s="9"/>
      <c r="Z1714" s="2"/>
    </row>
    <row r="1715" spans="1:26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3"/>
      <c r="M1715" s="6"/>
      <c r="N1715" s="6"/>
      <c r="O1715" s="6"/>
      <c r="P1715" s="5"/>
      <c r="Q1715" s="9"/>
      <c r="R1715" s="5"/>
      <c r="S1715" s="5"/>
      <c r="T1715" s="5"/>
      <c r="U1715" s="5"/>
      <c r="V1715" s="5"/>
      <c r="W1715" s="5"/>
      <c r="X1715" s="5"/>
      <c r="Y1715" s="9"/>
      <c r="Z1715" s="2"/>
    </row>
    <row r="1716" spans="1:26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3"/>
      <c r="M1716" s="6"/>
      <c r="N1716" s="6"/>
      <c r="O1716" s="6"/>
      <c r="P1716" s="5"/>
      <c r="Q1716" s="9"/>
      <c r="R1716" s="5"/>
      <c r="S1716" s="5"/>
      <c r="T1716" s="5"/>
      <c r="U1716" s="5"/>
      <c r="V1716" s="5"/>
      <c r="W1716" s="5"/>
      <c r="X1716" s="5"/>
      <c r="Y1716" s="9"/>
      <c r="Z1716" s="2"/>
    </row>
    <row r="1717" spans="1:26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3"/>
      <c r="M1717" s="6"/>
      <c r="N1717" s="6"/>
      <c r="O1717" s="6"/>
      <c r="P1717" s="5"/>
      <c r="Q1717" s="9"/>
      <c r="R1717" s="5"/>
      <c r="S1717" s="5"/>
      <c r="T1717" s="5"/>
      <c r="U1717" s="5"/>
      <c r="V1717" s="5"/>
      <c r="W1717" s="5"/>
      <c r="X1717" s="5"/>
      <c r="Y1717" s="9"/>
      <c r="Z1717" s="2"/>
    </row>
    <row r="1718" spans="1:26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3"/>
      <c r="M1718" s="6"/>
      <c r="N1718" s="6"/>
      <c r="O1718" s="6"/>
      <c r="P1718" s="5"/>
      <c r="Q1718" s="9"/>
      <c r="R1718" s="5"/>
      <c r="S1718" s="5"/>
      <c r="T1718" s="5"/>
      <c r="U1718" s="5"/>
      <c r="V1718" s="5"/>
      <c r="W1718" s="5"/>
      <c r="X1718" s="5"/>
      <c r="Y1718" s="9"/>
      <c r="Z1718" s="2"/>
    </row>
    <row r="1719" spans="1:26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3"/>
      <c r="M1719" s="6"/>
      <c r="N1719" s="6"/>
      <c r="O1719" s="6"/>
      <c r="P1719" s="5"/>
      <c r="Q1719" s="9"/>
      <c r="R1719" s="5"/>
      <c r="S1719" s="5"/>
      <c r="T1719" s="5"/>
      <c r="U1719" s="5"/>
      <c r="V1719" s="5"/>
      <c r="W1719" s="5"/>
      <c r="X1719" s="5"/>
      <c r="Y1719" s="9"/>
      <c r="Z1719" s="2"/>
    </row>
    <row r="1720" spans="1:26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3"/>
      <c r="M1720" s="6"/>
      <c r="N1720" s="6"/>
      <c r="O1720" s="6"/>
      <c r="P1720" s="5"/>
      <c r="Q1720" s="9"/>
      <c r="R1720" s="5"/>
      <c r="S1720" s="5"/>
      <c r="T1720" s="5"/>
      <c r="U1720" s="5"/>
      <c r="V1720" s="5"/>
      <c r="W1720" s="5"/>
      <c r="X1720" s="5"/>
      <c r="Y1720" s="9"/>
      <c r="Z1720" s="2"/>
    </row>
    <row r="1721" spans="1:26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3"/>
      <c r="M1721" s="6"/>
      <c r="N1721" s="6"/>
      <c r="O1721" s="6"/>
      <c r="P1721" s="5"/>
      <c r="Q1721" s="9"/>
      <c r="R1721" s="5"/>
      <c r="S1721" s="5"/>
      <c r="T1721" s="5"/>
      <c r="U1721" s="5"/>
      <c r="V1721" s="5"/>
      <c r="W1721" s="5"/>
      <c r="X1721" s="5"/>
      <c r="Y1721" s="9"/>
      <c r="Z1721" s="2"/>
    </row>
    <row r="1722" spans="1:26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3"/>
      <c r="M1722" s="6"/>
      <c r="N1722" s="6"/>
      <c r="O1722" s="6"/>
      <c r="P1722" s="5"/>
      <c r="Q1722" s="9"/>
      <c r="R1722" s="5"/>
      <c r="S1722" s="5"/>
      <c r="T1722" s="5"/>
      <c r="U1722" s="5"/>
      <c r="V1722" s="5"/>
      <c r="W1722" s="5"/>
      <c r="X1722" s="5"/>
      <c r="Y1722" s="9"/>
      <c r="Z1722" s="2"/>
    </row>
    <row r="1723" spans="1:26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3"/>
      <c r="M1723" s="6"/>
      <c r="N1723" s="6"/>
      <c r="O1723" s="6"/>
      <c r="P1723" s="5"/>
      <c r="Q1723" s="9"/>
      <c r="R1723" s="5"/>
      <c r="S1723" s="5"/>
      <c r="T1723" s="5"/>
      <c r="U1723" s="5"/>
      <c r="V1723" s="5"/>
      <c r="W1723" s="5"/>
      <c r="X1723" s="5"/>
      <c r="Y1723" s="9"/>
      <c r="Z1723" s="2"/>
    </row>
    <row r="1724" spans="1:26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3"/>
      <c r="M1724" s="6"/>
      <c r="N1724" s="6"/>
      <c r="O1724" s="6"/>
      <c r="P1724" s="5"/>
      <c r="Q1724" s="9"/>
      <c r="R1724" s="5"/>
      <c r="S1724" s="5"/>
      <c r="T1724" s="5"/>
      <c r="U1724" s="5"/>
      <c r="V1724" s="5"/>
      <c r="W1724" s="5"/>
      <c r="X1724" s="5"/>
      <c r="Y1724" s="9"/>
      <c r="Z1724" s="2"/>
    </row>
    <row r="1725" spans="1:26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3"/>
      <c r="M1725" s="6"/>
      <c r="N1725" s="6"/>
      <c r="O1725" s="6"/>
      <c r="P1725" s="5"/>
      <c r="Q1725" s="9"/>
      <c r="R1725" s="5"/>
      <c r="S1725" s="5"/>
      <c r="T1725" s="5"/>
      <c r="U1725" s="5"/>
      <c r="V1725" s="5"/>
      <c r="W1725" s="5"/>
      <c r="X1725" s="5"/>
      <c r="Y1725" s="9"/>
      <c r="Z1725" s="2"/>
    </row>
    <row r="1726" spans="1:26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3"/>
      <c r="M1726" s="6"/>
      <c r="N1726" s="6"/>
      <c r="O1726" s="6"/>
      <c r="P1726" s="5"/>
      <c r="Q1726" s="9"/>
      <c r="R1726" s="5"/>
      <c r="S1726" s="5"/>
      <c r="T1726" s="5"/>
      <c r="U1726" s="5"/>
      <c r="V1726" s="5"/>
      <c r="W1726" s="5"/>
      <c r="X1726" s="5"/>
      <c r="Y1726" s="9"/>
      <c r="Z1726" s="2"/>
    </row>
    <row r="1727" spans="1:26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3"/>
      <c r="M1727" s="6"/>
      <c r="N1727" s="6"/>
      <c r="O1727" s="6"/>
      <c r="P1727" s="5"/>
      <c r="Q1727" s="9"/>
      <c r="R1727" s="5"/>
      <c r="S1727" s="5"/>
      <c r="T1727" s="5"/>
      <c r="U1727" s="5"/>
      <c r="V1727" s="5"/>
      <c r="W1727" s="5"/>
      <c r="X1727" s="5"/>
      <c r="Y1727" s="9"/>
      <c r="Z1727" s="2"/>
    </row>
    <row r="1728" spans="1:26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3"/>
      <c r="M1728" s="6"/>
      <c r="N1728" s="6"/>
      <c r="O1728" s="6"/>
      <c r="P1728" s="5"/>
      <c r="Q1728" s="9"/>
      <c r="R1728" s="5"/>
      <c r="S1728" s="5"/>
      <c r="T1728" s="5"/>
      <c r="U1728" s="5"/>
      <c r="V1728" s="5"/>
      <c r="W1728" s="5"/>
      <c r="X1728" s="5"/>
      <c r="Y1728" s="9"/>
      <c r="Z1728" s="2"/>
    </row>
    <row r="1729" spans="1:26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3"/>
      <c r="M1729" s="6"/>
      <c r="N1729" s="6"/>
      <c r="O1729" s="6"/>
      <c r="P1729" s="5"/>
      <c r="Q1729" s="9"/>
      <c r="R1729" s="5"/>
      <c r="S1729" s="5"/>
      <c r="T1729" s="5"/>
      <c r="U1729" s="5"/>
      <c r="V1729" s="5"/>
      <c r="W1729" s="5"/>
      <c r="X1729" s="5"/>
      <c r="Y1729" s="9"/>
      <c r="Z1729" s="2"/>
    </row>
    <row r="1730" spans="1:26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3"/>
      <c r="M1730" s="6"/>
      <c r="N1730" s="6"/>
      <c r="O1730" s="6"/>
      <c r="P1730" s="5"/>
      <c r="Q1730" s="9"/>
      <c r="R1730" s="5"/>
      <c r="S1730" s="5"/>
      <c r="T1730" s="5"/>
      <c r="U1730" s="5"/>
      <c r="V1730" s="5"/>
      <c r="W1730" s="5"/>
      <c r="X1730" s="5"/>
      <c r="Y1730" s="9"/>
      <c r="Z1730" s="2"/>
    </row>
    <row r="1731" spans="1:26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3"/>
      <c r="M1731" s="6"/>
      <c r="N1731" s="6"/>
      <c r="O1731" s="6"/>
      <c r="P1731" s="5"/>
      <c r="Q1731" s="9"/>
      <c r="R1731" s="5"/>
      <c r="S1731" s="5"/>
      <c r="T1731" s="5"/>
      <c r="U1731" s="5"/>
      <c r="V1731" s="5"/>
      <c r="W1731" s="5"/>
      <c r="X1731" s="5"/>
      <c r="Y1731" s="9"/>
      <c r="Z1731" s="2"/>
    </row>
    <row r="1732" spans="1:26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3"/>
      <c r="M1732" s="6"/>
      <c r="N1732" s="6"/>
      <c r="O1732" s="6"/>
      <c r="P1732" s="5"/>
      <c r="Q1732" s="9"/>
      <c r="R1732" s="5"/>
      <c r="S1732" s="5"/>
      <c r="T1732" s="5"/>
      <c r="U1732" s="5"/>
      <c r="V1732" s="5"/>
      <c r="W1732" s="5"/>
      <c r="X1732" s="5"/>
      <c r="Y1732" s="9"/>
      <c r="Z1732" s="2"/>
    </row>
    <row r="1733" spans="1:26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3"/>
      <c r="M1733" s="6"/>
      <c r="N1733" s="6"/>
      <c r="O1733" s="6"/>
      <c r="P1733" s="5"/>
      <c r="Q1733" s="9"/>
      <c r="R1733" s="5"/>
      <c r="S1733" s="5"/>
      <c r="T1733" s="5"/>
      <c r="U1733" s="5"/>
      <c r="V1733" s="5"/>
      <c r="W1733" s="5"/>
      <c r="X1733" s="5"/>
      <c r="Y1733" s="9"/>
      <c r="Z1733" s="2"/>
    </row>
    <row r="1734" spans="1:26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3"/>
      <c r="M1734" s="6"/>
      <c r="N1734" s="6"/>
      <c r="O1734" s="6"/>
      <c r="P1734" s="5"/>
      <c r="Q1734" s="9"/>
      <c r="R1734" s="5"/>
      <c r="S1734" s="5"/>
      <c r="T1734" s="5"/>
      <c r="U1734" s="5"/>
      <c r="V1734" s="5"/>
      <c r="W1734" s="5"/>
      <c r="X1734" s="5"/>
      <c r="Y1734" s="9"/>
      <c r="Z1734" s="2"/>
    </row>
    <row r="1735" spans="1:26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3"/>
      <c r="M1735" s="6"/>
      <c r="N1735" s="6"/>
      <c r="O1735" s="6"/>
      <c r="P1735" s="5"/>
      <c r="Q1735" s="9"/>
      <c r="R1735" s="5"/>
      <c r="S1735" s="5"/>
      <c r="T1735" s="5"/>
      <c r="U1735" s="5"/>
      <c r="V1735" s="5"/>
      <c r="W1735" s="5"/>
      <c r="X1735" s="5"/>
      <c r="Y1735" s="9"/>
      <c r="Z1735" s="2"/>
    </row>
    <row r="1736" spans="1:26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3"/>
      <c r="M1736" s="6"/>
      <c r="N1736" s="6"/>
      <c r="O1736" s="6"/>
      <c r="P1736" s="5"/>
      <c r="Q1736" s="9"/>
      <c r="R1736" s="5"/>
      <c r="S1736" s="5"/>
      <c r="T1736" s="5"/>
      <c r="U1736" s="5"/>
      <c r="V1736" s="5"/>
      <c r="W1736" s="5"/>
      <c r="X1736" s="5"/>
      <c r="Y1736" s="9"/>
      <c r="Z1736" s="2"/>
    </row>
    <row r="1737" spans="1:26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3"/>
      <c r="M1737" s="6"/>
      <c r="N1737" s="6"/>
      <c r="O1737" s="6"/>
      <c r="P1737" s="5"/>
      <c r="Q1737" s="9"/>
      <c r="R1737" s="5"/>
      <c r="S1737" s="5"/>
      <c r="T1737" s="5"/>
      <c r="U1737" s="5"/>
      <c r="V1737" s="5"/>
      <c r="W1737" s="5"/>
      <c r="X1737" s="5"/>
      <c r="Y1737" s="9"/>
      <c r="Z1737" s="2"/>
    </row>
    <row r="1738" spans="1:26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3"/>
      <c r="M1738" s="6"/>
      <c r="N1738" s="6"/>
      <c r="O1738" s="6"/>
      <c r="P1738" s="5"/>
      <c r="Q1738" s="9"/>
      <c r="R1738" s="5"/>
      <c r="S1738" s="5"/>
      <c r="T1738" s="5"/>
      <c r="U1738" s="5"/>
      <c r="V1738" s="5"/>
      <c r="W1738" s="5"/>
      <c r="X1738" s="5"/>
      <c r="Y1738" s="9"/>
      <c r="Z1738" s="2"/>
    </row>
    <row r="1739" spans="1:26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3"/>
      <c r="M1739" s="6"/>
      <c r="N1739" s="6"/>
      <c r="O1739" s="6"/>
      <c r="P1739" s="5"/>
      <c r="Q1739" s="9"/>
      <c r="R1739" s="5"/>
      <c r="S1739" s="5"/>
      <c r="T1739" s="5"/>
      <c r="U1739" s="5"/>
      <c r="V1739" s="5"/>
      <c r="W1739" s="5"/>
      <c r="X1739" s="5"/>
      <c r="Y1739" s="9"/>
      <c r="Z1739" s="2"/>
    </row>
    <row r="1740" spans="1:26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3"/>
      <c r="M1740" s="6"/>
      <c r="N1740" s="6"/>
      <c r="O1740" s="6"/>
      <c r="P1740" s="5"/>
      <c r="Q1740" s="9"/>
      <c r="R1740" s="5"/>
      <c r="S1740" s="5"/>
      <c r="T1740" s="5"/>
      <c r="U1740" s="5"/>
      <c r="V1740" s="5"/>
      <c r="W1740" s="5"/>
      <c r="X1740" s="5"/>
      <c r="Y1740" s="9"/>
      <c r="Z1740" s="2"/>
    </row>
    <row r="1741" spans="1:26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3"/>
      <c r="M1741" s="6"/>
      <c r="N1741" s="6"/>
      <c r="O1741" s="6"/>
      <c r="P1741" s="5"/>
      <c r="Q1741" s="9"/>
      <c r="R1741" s="5"/>
      <c r="S1741" s="5"/>
      <c r="T1741" s="5"/>
      <c r="U1741" s="5"/>
      <c r="V1741" s="5"/>
      <c r="W1741" s="5"/>
      <c r="X1741" s="5"/>
      <c r="Y1741" s="9"/>
      <c r="Z1741" s="2"/>
    </row>
    <row r="1742" spans="1:26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3"/>
      <c r="M1742" s="6"/>
      <c r="N1742" s="6"/>
      <c r="O1742" s="6"/>
      <c r="P1742" s="5"/>
      <c r="Q1742" s="9"/>
      <c r="R1742" s="5"/>
      <c r="S1742" s="5"/>
      <c r="T1742" s="5"/>
      <c r="U1742" s="5"/>
      <c r="V1742" s="5"/>
      <c r="W1742" s="5"/>
      <c r="X1742" s="5"/>
      <c r="Y1742" s="9"/>
      <c r="Z1742" s="2"/>
    </row>
    <row r="1743" spans="1:26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3"/>
      <c r="M1743" s="6"/>
      <c r="N1743" s="6"/>
      <c r="O1743" s="6"/>
      <c r="P1743" s="5"/>
      <c r="Q1743" s="9"/>
      <c r="R1743" s="5"/>
      <c r="S1743" s="5"/>
      <c r="T1743" s="5"/>
      <c r="U1743" s="5"/>
      <c r="V1743" s="5"/>
      <c r="W1743" s="5"/>
      <c r="X1743" s="5"/>
      <c r="Y1743" s="9"/>
      <c r="Z1743" s="2"/>
    </row>
    <row r="1744" spans="1:26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3"/>
      <c r="M1744" s="6"/>
      <c r="N1744" s="6"/>
      <c r="O1744" s="6"/>
      <c r="P1744" s="5"/>
      <c r="Q1744" s="9"/>
      <c r="R1744" s="5"/>
      <c r="S1744" s="5"/>
      <c r="T1744" s="5"/>
      <c r="U1744" s="5"/>
      <c r="V1744" s="5"/>
      <c r="W1744" s="5"/>
      <c r="X1744" s="5"/>
      <c r="Y1744" s="9"/>
      <c r="Z1744" s="2"/>
    </row>
    <row r="1745" spans="1:26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3"/>
      <c r="M1745" s="6"/>
      <c r="N1745" s="6"/>
      <c r="O1745" s="6"/>
      <c r="P1745" s="5"/>
      <c r="Q1745" s="9"/>
      <c r="R1745" s="5"/>
      <c r="S1745" s="5"/>
      <c r="T1745" s="5"/>
      <c r="U1745" s="5"/>
      <c r="V1745" s="5"/>
      <c r="W1745" s="5"/>
      <c r="X1745" s="5"/>
      <c r="Y1745" s="9"/>
      <c r="Z1745" s="2"/>
    </row>
    <row r="1746" spans="1:26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3"/>
      <c r="M1746" s="6"/>
      <c r="N1746" s="6"/>
      <c r="O1746" s="6"/>
      <c r="P1746" s="5"/>
      <c r="Q1746" s="9"/>
      <c r="R1746" s="5"/>
      <c r="S1746" s="5"/>
      <c r="T1746" s="5"/>
      <c r="U1746" s="5"/>
      <c r="V1746" s="5"/>
      <c r="W1746" s="5"/>
      <c r="X1746" s="5"/>
      <c r="Y1746" s="9"/>
      <c r="Z1746" s="2"/>
    </row>
    <row r="1747" spans="1:26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3"/>
      <c r="M1747" s="6"/>
      <c r="N1747" s="6"/>
      <c r="O1747" s="6"/>
      <c r="P1747" s="5"/>
      <c r="Q1747" s="9"/>
      <c r="R1747" s="5"/>
      <c r="S1747" s="5"/>
      <c r="T1747" s="5"/>
      <c r="U1747" s="5"/>
      <c r="V1747" s="5"/>
      <c r="W1747" s="5"/>
      <c r="X1747" s="5"/>
      <c r="Y1747" s="9"/>
      <c r="Z1747" s="2"/>
    </row>
    <row r="1748" spans="1:26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3"/>
      <c r="M1748" s="6"/>
      <c r="N1748" s="6"/>
      <c r="O1748" s="6"/>
      <c r="P1748" s="5"/>
      <c r="Q1748" s="9"/>
      <c r="R1748" s="5"/>
      <c r="S1748" s="5"/>
      <c r="T1748" s="5"/>
      <c r="U1748" s="5"/>
      <c r="V1748" s="5"/>
      <c r="W1748" s="5"/>
      <c r="X1748" s="5"/>
      <c r="Y1748" s="9"/>
      <c r="Z1748" s="2"/>
    </row>
    <row r="1749" spans="1:26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3"/>
      <c r="M1749" s="6"/>
      <c r="N1749" s="6"/>
      <c r="O1749" s="6"/>
      <c r="P1749" s="5"/>
      <c r="Q1749" s="9"/>
      <c r="R1749" s="5"/>
      <c r="S1749" s="5"/>
      <c r="T1749" s="5"/>
      <c r="U1749" s="5"/>
      <c r="V1749" s="5"/>
      <c r="W1749" s="5"/>
      <c r="X1749" s="5"/>
      <c r="Y1749" s="9"/>
      <c r="Z1749" s="2"/>
    </row>
    <row r="1750" spans="1:26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3"/>
      <c r="M1750" s="6"/>
      <c r="N1750" s="6"/>
      <c r="O1750" s="6"/>
      <c r="P1750" s="5"/>
      <c r="Q1750" s="9"/>
      <c r="R1750" s="5"/>
      <c r="S1750" s="5"/>
      <c r="T1750" s="5"/>
      <c r="U1750" s="5"/>
      <c r="V1750" s="5"/>
      <c r="W1750" s="5"/>
      <c r="X1750" s="5"/>
      <c r="Y1750" s="9"/>
      <c r="Z1750" s="2"/>
    </row>
    <row r="1751" spans="1:26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3"/>
      <c r="M1751" s="6"/>
      <c r="N1751" s="6"/>
      <c r="O1751" s="6"/>
      <c r="P1751" s="5"/>
      <c r="Q1751" s="9"/>
      <c r="R1751" s="5"/>
      <c r="S1751" s="5"/>
      <c r="T1751" s="5"/>
      <c r="U1751" s="5"/>
      <c r="V1751" s="5"/>
      <c r="W1751" s="5"/>
      <c r="X1751" s="5"/>
      <c r="Y1751" s="9"/>
      <c r="Z1751" s="2"/>
    </row>
    <row r="1752" spans="1:26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3"/>
      <c r="M1752" s="6"/>
      <c r="N1752" s="6"/>
      <c r="O1752" s="6"/>
      <c r="P1752" s="5"/>
      <c r="Q1752" s="9"/>
      <c r="R1752" s="5"/>
      <c r="S1752" s="5"/>
      <c r="T1752" s="5"/>
      <c r="U1752" s="5"/>
      <c r="V1752" s="5"/>
      <c r="W1752" s="5"/>
      <c r="X1752" s="5"/>
      <c r="Y1752" s="9"/>
      <c r="Z1752" s="2"/>
    </row>
    <row r="1753" spans="1:26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3"/>
      <c r="M1753" s="6"/>
      <c r="N1753" s="6"/>
      <c r="O1753" s="6"/>
      <c r="P1753" s="5"/>
      <c r="Q1753" s="9"/>
      <c r="R1753" s="5"/>
      <c r="S1753" s="5"/>
      <c r="T1753" s="5"/>
      <c r="U1753" s="5"/>
      <c r="V1753" s="5"/>
      <c r="W1753" s="5"/>
      <c r="X1753" s="5"/>
      <c r="Y1753" s="9"/>
      <c r="Z1753" s="2"/>
    </row>
    <row r="1754" spans="1:26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3"/>
      <c r="M1754" s="6"/>
      <c r="N1754" s="6"/>
      <c r="O1754" s="6"/>
      <c r="P1754" s="5"/>
      <c r="Q1754" s="9"/>
      <c r="R1754" s="5"/>
      <c r="S1754" s="5"/>
      <c r="T1754" s="5"/>
      <c r="U1754" s="5"/>
      <c r="V1754" s="5"/>
      <c r="W1754" s="5"/>
      <c r="X1754" s="5"/>
      <c r="Y1754" s="9"/>
      <c r="Z1754" s="2"/>
    </row>
    <row r="1755" spans="1:26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3"/>
      <c r="M1755" s="6"/>
      <c r="N1755" s="6"/>
      <c r="O1755" s="6"/>
      <c r="P1755" s="5"/>
      <c r="Q1755" s="9"/>
      <c r="R1755" s="5"/>
      <c r="S1755" s="5"/>
      <c r="T1755" s="5"/>
      <c r="U1755" s="5"/>
      <c r="V1755" s="5"/>
      <c r="W1755" s="5"/>
      <c r="X1755" s="5"/>
      <c r="Y1755" s="9"/>
      <c r="Z1755" s="2"/>
    </row>
    <row r="1756" spans="1:26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3"/>
      <c r="M1756" s="6"/>
      <c r="N1756" s="6"/>
      <c r="O1756" s="6"/>
      <c r="P1756" s="5"/>
      <c r="Q1756" s="9"/>
      <c r="R1756" s="5"/>
      <c r="S1756" s="5"/>
      <c r="T1756" s="5"/>
      <c r="U1756" s="5"/>
      <c r="V1756" s="5"/>
      <c r="W1756" s="5"/>
      <c r="X1756" s="5"/>
      <c r="Y1756" s="9"/>
      <c r="Z1756" s="2"/>
    </row>
    <row r="1757" spans="1:26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3"/>
      <c r="M1757" s="6"/>
      <c r="N1757" s="6"/>
      <c r="O1757" s="6"/>
      <c r="P1757" s="5"/>
      <c r="Q1757" s="9"/>
      <c r="R1757" s="5"/>
      <c r="S1757" s="5"/>
      <c r="T1757" s="5"/>
      <c r="U1757" s="5"/>
      <c r="V1757" s="5"/>
      <c r="W1757" s="5"/>
      <c r="X1757" s="5"/>
      <c r="Y1757" s="9"/>
      <c r="Z1757" s="2"/>
    </row>
    <row r="1758" spans="1:26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3"/>
      <c r="M1758" s="6"/>
      <c r="N1758" s="6"/>
      <c r="O1758" s="6"/>
      <c r="P1758" s="5"/>
      <c r="Q1758" s="9"/>
      <c r="R1758" s="5"/>
      <c r="S1758" s="5"/>
      <c r="T1758" s="5"/>
      <c r="U1758" s="5"/>
      <c r="V1758" s="5"/>
      <c r="W1758" s="5"/>
      <c r="X1758" s="5"/>
      <c r="Y1758" s="9"/>
      <c r="Z1758" s="2"/>
    </row>
    <row r="1759" spans="1:26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3"/>
      <c r="M1759" s="6"/>
      <c r="N1759" s="6"/>
      <c r="O1759" s="6"/>
      <c r="P1759" s="5"/>
      <c r="Q1759" s="9"/>
      <c r="R1759" s="5"/>
      <c r="S1759" s="5"/>
      <c r="T1759" s="5"/>
      <c r="U1759" s="5"/>
      <c r="V1759" s="5"/>
      <c r="W1759" s="5"/>
      <c r="X1759" s="5"/>
      <c r="Y1759" s="9"/>
      <c r="Z1759" s="2"/>
    </row>
    <row r="1760" spans="1:26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3"/>
      <c r="M1760" s="6"/>
      <c r="N1760" s="6"/>
      <c r="O1760" s="6"/>
      <c r="P1760" s="5"/>
      <c r="Q1760" s="9"/>
      <c r="R1760" s="5"/>
      <c r="S1760" s="5"/>
      <c r="T1760" s="5"/>
      <c r="U1760" s="5"/>
      <c r="V1760" s="5"/>
      <c r="W1760" s="5"/>
      <c r="X1760" s="5"/>
      <c r="Y1760" s="9"/>
      <c r="Z1760" s="2"/>
    </row>
    <row r="1761" spans="1:26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3"/>
      <c r="M1761" s="6"/>
      <c r="N1761" s="6"/>
      <c r="O1761" s="6"/>
      <c r="P1761" s="5"/>
      <c r="Q1761" s="9"/>
      <c r="R1761" s="5"/>
      <c r="S1761" s="5"/>
      <c r="T1761" s="5"/>
      <c r="U1761" s="5"/>
      <c r="V1761" s="5"/>
      <c r="W1761" s="5"/>
      <c r="X1761" s="5"/>
      <c r="Y1761" s="9"/>
      <c r="Z1761" s="2"/>
    </row>
    <row r="1762" spans="1:26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3"/>
      <c r="M1762" s="6"/>
      <c r="N1762" s="6"/>
      <c r="O1762" s="6"/>
      <c r="P1762" s="5"/>
      <c r="Q1762" s="9"/>
      <c r="R1762" s="5"/>
      <c r="S1762" s="5"/>
      <c r="T1762" s="5"/>
      <c r="U1762" s="5"/>
      <c r="V1762" s="5"/>
      <c r="W1762" s="5"/>
      <c r="X1762" s="5"/>
      <c r="Y1762" s="9"/>
      <c r="Z1762" s="2"/>
    </row>
    <row r="1763" spans="1:26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3"/>
      <c r="M1763" s="6"/>
      <c r="N1763" s="6"/>
      <c r="O1763" s="6"/>
      <c r="P1763" s="5"/>
      <c r="Q1763" s="9"/>
      <c r="R1763" s="5"/>
      <c r="S1763" s="5"/>
      <c r="T1763" s="5"/>
      <c r="U1763" s="5"/>
      <c r="V1763" s="5"/>
      <c r="W1763" s="5"/>
      <c r="X1763" s="5"/>
      <c r="Y1763" s="9"/>
      <c r="Z1763" s="2"/>
    </row>
    <row r="1764" spans="1:26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3"/>
      <c r="M1764" s="6"/>
      <c r="N1764" s="6"/>
      <c r="O1764" s="6"/>
      <c r="P1764" s="5"/>
      <c r="Q1764" s="9"/>
      <c r="R1764" s="5"/>
      <c r="S1764" s="5"/>
      <c r="T1764" s="5"/>
      <c r="U1764" s="5"/>
      <c r="V1764" s="5"/>
      <c r="W1764" s="5"/>
      <c r="X1764" s="5"/>
      <c r="Y1764" s="9"/>
      <c r="Z1764" s="2"/>
    </row>
    <row r="1765" spans="1:26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3"/>
      <c r="M1765" s="6"/>
      <c r="N1765" s="6"/>
      <c r="O1765" s="6"/>
      <c r="P1765" s="5"/>
      <c r="Q1765" s="9"/>
      <c r="R1765" s="5"/>
      <c r="S1765" s="5"/>
      <c r="T1765" s="5"/>
      <c r="U1765" s="5"/>
      <c r="V1765" s="5"/>
      <c r="W1765" s="5"/>
      <c r="X1765" s="5"/>
      <c r="Y1765" s="9"/>
      <c r="Z1765" s="2"/>
    </row>
    <row r="1766" spans="1:26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3"/>
      <c r="M1766" s="6"/>
      <c r="N1766" s="6"/>
      <c r="O1766" s="6"/>
      <c r="P1766" s="5"/>
      <c r="Q1766" s="9"/>
      <c r="R1766" s="5"/>
      <c r="S1766" s="5"/>
      <c r="T1766" s="5"/>
      <c r="U1766" s="5"/>
      <c r="V1766" s="5"/>
      <c r="W1766" s="5"/>
      <c r="X1766" s="5"/>
      <c r="Y1766" s="9"/>
      <c r="Z1766" s="2"/>
    </row>
    <row r="1767" spans="1:26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3"/>
      <c r="M1767" s="6"/>
      <c r="N1767" s="6"/>
      <c r="O1767" s="6"/>
      <c r="P1767" s="5"/>
      <c r="Q1767" s="9"/>
      <c r="R1767" s="5"/>
      <c r="S1767" s="5"/>
      <c r="T1767" s="5"/>
      <c r="U1767" s="5"/>
      <c r="V1767" s="5"/>
      <c r="W1767" s="5"/>
      <c r="X1767" s="5"/>
      <c r="Y1767" s="9"/>
      <c r="Z1767" s="2"/>
    </row>
    <row r="1768" spans="1:26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3"/>
      <c r="M1768" s="6"/>
      <c r="N1768" s="6"/>
      <c r="O1768" s="6"/>
      <c r="P1768" s="5"/>
      <c r="Q1768" s="9"/>
      <c r="R1768" s="5"/>
      <c r="S1768" s="5"/>
      <c r="T1768" s="5"/>
      <c r="U1768" s="5"/>
      <c r="V1768" s="5"/>
      <c r="W1768" s="5"/>
      <c r="X1768" s="5"/>
      <c r="Y1768" s="9"/>
      <c r="Z1768" s="2"/>
    </row>
    <row r="1769" spans="1:26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3"/>
      <c r="M1769" s="6"/>
      <c r="N1769" s="6"/>
      <c r="O1769" s="6"/>
      <c r="P1769" s="5"/>
      <c r="Q1769" s="9"/>
      <c r="R1769" s="5"/>
      <c r="S1769" s="5"/>
      <c r="T1769" s="5"/>
      <c r="U1769" s="5"/>
      <c r="V1769" s="5"/>
      <c r="W1769" s="5"/>
      <c r="X1769" s="5"/>
      <c r="Y1769" s="9"/>
      <c r="Z1769" s="2"/>
    </row>
    <row r="1770" spans="1:26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3"/>
      <c r="M1770" s="6"/>
      <c r="N1770" s="6"/>
      <c r="O1770" s="6"/>
      <c r="P1770" s="5"/>
      <c r="Q1770" s="9"/>
      <c r="R1770" s="5"/>
      <c r="S1770" s="5"/>
      <c r="T1770" s="5"/>
      <c r="U1770" s="5"/>
      <c r="V1770" s="5"/>
      <c r="W1770" s="5"/>
      <c r="X1770" s="5"/>
      <c r="Y1770" s="9"/>
      <c r="Z1770" s="2"/>
    </row>
    <row r="1771" spans="1:26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3"/>
      <c r="M1771" s="6"/>
      <c r="N1771" s="6"/>
      <c r="O1771" s="6"/>
      <c r="P1771" s="5"/>
      <c r="Q1771" s="9"/>
      <c r="R1771" s="5"/>
      <c r="S1771" s="5"/>
      <c r="T1771" s="5"/>
      <c r="U1771" s="5"/>
      <c r="V1771" s="5"/>
      <c r="W1771" s="5"/>
      <c r="X1771" s="5"/>
      <c r="Y1771" s="9"/>
      <c r="Z1771" s="2"/>
    </row>
    <row r="1772" spans="1:26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3"/>
      <c r="M1772" s="6"/>
      <c r="N1772" s="6"/>
      <c r="O1772" s="6"/>
      <c r="P1772" s="5"/>
      <c r="Q1772" s="9"/>
      <c r="R1772" s="5"/>
      <c r="S1772" s="5"/>
      <c r="T1772" s="5"/>
      <c r="U1772" s="5"/>
      <c r="V1772" s="5"/>
      <c r="W1772" s="5"/>
      <c r="X1772" s="5"/>
      <c r="Y1772" s="9"/>
      <c r="Z1772" s="2"/>
    </row>
    <row r="1773" spans="1:26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3"/>
      <c r="M1773" s="6"/>
      <c r="N1773" s="6"/>
      <c r="O1773" s="6"/>
      <c r="P1773" s="5"/>
      <c r="Q1773" s="9"/>
      <c r="R1773" s="5"/>
      <c r="S1773" s="5"/>
      <c r="T1773" s="5"/>
      <c r="U1773" s="5"/>
      <c r="V1773" s="5"/>
      <c r="W1773" s="5"/>
      <c r="X1773" s="5"/>
      <c r="Y1773" s="9"/>
      <c r="Z1773" s="2"/>
    </row>
    <row r="1774" spans="1:26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3"/>
      <c r="M1774" s="6"/>
      <c r="N1774" s="6"/>
      <c r="O1774" s="6"/>
      <c r="P1774" s="5"/>
      <c r="Q1774" s="9"/>
      <c r="R1774" s="5"/>
      <c r="S1774" s="5"/>
      <c r="T1774" s="5"/>
      <c r="U1774" s="5"/>
      <c r="V1774" s="5"/>
      <c r="W1774" s="5"/>
      <c r="X1774" s="5"/>
      <c r="Y1774" s="9"/>
      <c r="Z1774" s="2"/>
    </row>
    <row r="1775" spans="1:26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3"/>
      <c r="M1775" s="6"/>
      <c r="N1775" s="6"/>
      <c r="O1775" s="6"/>
      <c r="P1775" s="5"/>
      <c r="Q1775" s="9"/>
      <c r="R1775" s="5"/>
      <c r="S1775" s="5"/>
      <c r="T1775" s="5"/>
      <c r="U1775" s="5"/>
      <c r="V1775" s="5"/>
      <c r="W1775" s="5"/>
      <c r="X1775" s="5"/>
      <c r="Y1775" s="9"/>
      <c r="Z1775" s="2"/>
    </row>
    <row r="1776" spans="1:26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3"/>
      <c r="M1776" s="6"/>
      <c r="N1776" s="6"/>
      <c r="O1776" s="6"/>
      <c r="P1776" s="5"/>
      <c r="Q1776" s="9"/>
      <c r="R1776" s="5"/>
      <c r="S1776" s="5"/>
      <c r="T1776" s="5"/>
      <c r="U1776" s="5"/>
      <c r="V1776" s="5"/>
      <c r="W1776" s="5"/>
      <c r="X1776" s="5"/>
      <c r="Y1776" s="9"/>
      <c r="Z1776" s="2"/>
    </row>
    <row r="1777" spans="1:26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3"/>
      <c r="M1777" s="6"/>
      <c r="N1777" s="6"/>
      <c r="O1777" s="6"/>
      <c r="P1777" s="5"/>
      <c r="Q1777" s="9"/>
      <c r="R1777" s="5"/>
      <c r="S1777" s="5"/>
      <c r="T1777" s="5"/>
      <c r="U1777" s="5"/>
      <c r="V1777" s="5"/>
      <c r="W1777" s="5"/>
      <c r="X1777" s="5"/>
      <c r="Y1777" s="9"/>
      <c r="Z1777" s="2"/>
    </row>
    <row r="1778" spans="1:26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3"/>
      <c r="M1778" s="6"/>
      <c r="N1778" s="6"/>
      <c r="O1778" s="6"/>
      <c r="P1778" s="5"/>
      <c r="Q1778" s="9"/>
      <c r="R1778" s="5"/>
      <c r="S1778" s="5"/>
      <c r="T1778" s="5"/>
      <c r="U1778" s="5"/>
      <c r="V1778" s="5"/>
      <c r="W1778" s="5"/>
      <c r="X1778" s="5"/>
      <c r="Y1778" s="9"/>
      <c r="Z1778" s="2"/>
    </row>
    <row r="1779" spans="1:26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3"/>
      <c r="M1779" s="6"/>
      <c r="N1779" s="6"/>
      <c r="O1779" s="6"/>
      <c r="P1779" s="5"/>
      <c r="Q1779" s="9"/>
      <c r="R1779" s="5"/>
      <c r="S1779" s="5"/>
      <c r="T1779" s="5"/>
      <c r="U1779" s="5"/>
      <c r="V1779" s="5"/>
      <c r="W1779" s="5"/>
      <c r="X1779" s="5"/>
      <c r="Y1779" s="9"/>
      <c r="Z1779" s="2"/>
    </row>
    <row r="1780" spans="1:26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3"/>
      <c r="M1780" s="6"/>
      <c r="N1780" s="6"/>
      <c r="O1780" s="6"/>
      <c r="P1780" s="5"/>
      <c r="Q1780" s="9"/>
      <c r="R1780" s="5"/>
      <c r="S1780" s="5"/>
      <c r="T1780" s="5"/>
      <c r="U1780" s="5"/>
      <c r="V1780" s="5"/>
      <c r="W1780" s="5"/>
      <c r="X1780" s="5"/>
      <c r="Y1780" s="9"/>
      <c r="Z1780" s="2"/>
    </row>
    <row r="1781" spans="1:26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3"/>
      <c r="M1781" s="6"/>
      <c r="N1781" s="6"/>
      <c r="O1781" s="6"/>
      <c r="P1781" s="5"/>
      <c r="Q1781" s="9"/>
      <c r="R1781" s="5"/>
      <c r="S1781" s="5"/>
      <c r="T1781" s="5"/>
      <c r="U1781" s="5"/>
      <c r="V1781" s="5"/>
      <c r="W1781" s="5"/>
      <c r="X1781" s="5"/>
      <c r="Y1781" s="9"/>
      <c r="Z1781" s="2"/>
    </row>
    <row r="1782" spans="1:26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3"/>
      <c r="M1782" s="6"/>
      <c r="N1782" s="6"/>
      <c r="O1782" s="6"/>
      <c r="P1782" s="5"/>
      <c r="Q1782" s="9"/>
      <c r="R1782" s="5"/>
      <c r="S1782" s="5"/>
      <c r="T1782" s="5"/>
      <c r="U1782" s="5"/>
      <c r="V1782" s="5"/>
      <c r="W1782" s="5"/>
      <c r="X1782" s="5"/>
      <c r="Y1782" s="9"/>
      <c r="Z1782" s="2"/>
    </row>
    <row r="1783" spans="1:26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3"/>
      <c r="M1783" s="6"/>
      <c r="N1783" s="6"/>
      <c r="O1783" s="6"/>
      <c r="P1783" s="5"/>
      <c r="Q1783" s="9"/>
      <c r="R1783" s="5"/>
      <c r="S1783" s="5"/>
      <c r="T1783" s="5"/>
      <c r="U1783" s="5"/>
      <c r="V1783" s="5"/>
      <c r="W1783" s="5"/>
      <c r="X1783" s="5"/>
      <c r="Y1783" s="9"/>
      <c r="Z1783" s="2"/>
    </row>
    <row r="1784" spans="1:26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3"/>
      <c r="M1784" s="6"/>
      <c r="N1784" s="6"/>
      <c r="O1784" s="6"/>
      <c r="P1784" s="5"/>
      <c r="Q1784" s="9"/>
      <c r="R1784" s="5"/>
      <c r="S1784" s="5"/>
      <c r="T1784" s="5"/>
      <c r="U1784" s="5"/>
      <c r="V1784" s="5"/>
      <c r="W1784" s="5"/>
      <c r="X1784" s="5"/>
      <c r="Y1784" s="9"/>
      <c r="Z1784" s="2"/>
    </row>
    <row r="1785" spans="1:26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3"/>
      <c r="M1785" s="6"/>
      <c r="N1785" s="6"/>
      <c r="O1785" s="6"/>
      <c r="P1785" s="5"/>
      <c r="Q1785" s="9"/>
      <c r="R1785" s="5"/>
      <c r="S1785" s="5"/>
      <c r="T1785" s="5"/>
      <c r="U1785" s="5"/>
      <c r="V1785" s="5"/>
      <c r="W1785" s="5"/>
      <c r="X1785" s="5"/>
      <c r="Y1785" s="9"/>
      <c r="Z1785" s="2"/>
    </row>
    <row r="1786" spans="1:26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3"/>
      <c r="M1786" s="6"/>
      <c r="N1786" s="6"/>
      <c r="O1786" s="6"/>
      <c r="P1786" s="5"/>
      <c r="Q1786" s="9"/>
      <c r="R1786" s="5"/>
      <c r="S1786" s="5"/>
      <c r="T1786" s="5"/>
      <c r="U1786" s="5"/>
      <c r="V1786" s="5"/>
      <c r="W1786" s="5"/>
      <c r="X1786" s="5"/>
      <c r="Y1786" s="9"/>
      <c r="Z1786" s="2"/>
    </row>
    <row r="1787" spans="1:26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3"/>
      <c r="M1787" s="6"/>
      <c r="N1787" s="6"/>
      <c r="O1787" s="6"/>
      <c r="P1787" s="5"/>
      <c r="Q1787" s="9"/>
      <c r="R1787" s="5"/>
      <c r="S1787" s="5"/>
      <c r="T1787" s="5"/>
      <c r="U1787" s="5"/>
      <c r="V1787" s="5"/>
      <c r="W1787" s="5"/>
      <c r="X1787" s="5"/>
      <c r="Y1787" s="9"/>
      <c r="Z1787" s="2"/>
    </row>
    <row r="1788" spans="1:26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3"/>
      <c r="M1788" s="6"/>
      <c r="N1788" s="6"/>
      <c r="O1788" s="6"/>
      <c r="P1788" s="5"/>
      <c r="Q1788" s="9"/>
      <c r="R1788" s="5"/>
      <c r="S1788" s="5"/>
      <c r="T1788" s="5"/>
      <c r="U1788" s="5"/>
      <c r="V1788" s="5"/>
      <c r="W1788" s="5"/>
      <c r="X1788" s="5"/>
      <c r="Y1788" s="9"/>
      <c r="Z1788" s="2"/>
    </row>
    <row r="1789" spans="1:26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3"/>
      <c r="M1789" s="6"/>
      <c r="N1789" s="6"/>
      <c r="O1789" s="6"/>
      <c r="P1789" s="5"/>
      <c r="Q1789" s="9"/>
      <c r="R1789" s="5"/>
      <c r="S1789" s="5"/>
      <c r="T1789" s="5"/>
      <c r="U1789" s="5"/>
      <c r="V1789" s="5"/>
      <c r="W1789" s="5"/>
      <c r="X1789" s="5"/>
      <c r="Y1789" s="9"/>
      <c r="Z1789" s="2"/>
    </row>
    <row r="1790" spans="1:26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3"/>
      <c r="M1790" s="6"/>
      <c r="N1790" s="6"/>
      <c r="O1790" s="6"/>
      <c r="P1790" s="5"/>
      <c r="Q1790" s="9"/>
      <c r="R1790" s="5"/>
      <c r="S1790" s="5"/>
      <c r="T1790" s="5"/>
      <c r="U1790" s="5"/>
      <c r="V1790" s="5"/>
      <c r="W1790" s="5"/>
      <c r="X1790" s="5"/>
      <c r="Y1790" s="9"/>
      <c r="Z1790" s="2"/>
    </row>
    <row r="1791" spans="1:26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3"/>
      <c r="M1791" s="6"/>
      <c r="N1791" s="6"/>
      <c r="O1791" s="6"/>
      <c r="P1791" s="5"/>
      <c r="Q1791" s="9"/>
      <c r="R1791" s="5"/>
      <c r="S1791" s="5"/>
      <c r="T1791" s="5"/>
      <c r="U1791" s="5"/>
      <c r="V1791" s="5"/>
      <c r="W1791" s="5"/>
      <c r="X1791" s="5"/>
      <c r="Y1791" s="9"/>
      <c r="Z1791" s="2"/>
    </row>
    <row r="1792" spans="1:26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3"/>
      <c r="M1792" s="6"/>
      <c r="N1792" s="6"/>
      <c r="O1792" s="6"/>
      <c r="P1792" s="5"/>
      <c r="Q1792" s="9"/>
      <c r="R1792" s="5"/>
      <c r="S1792" s="5"/>
      <c r="T1792" s="5"/>
      <c r="U1792" s="5"/>
      <c r="V1792" s="5"/>
      <c r="W1792" s="5"/>
      <c r="X1792" s="5"/>
      <c r="Y1792" s="9"/>
      <c r="Z1792" s="2"/>
    </row>
    <row r="1793" spans="1:26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3"/>
      <c r="M1793" s="6"/>
      <c r="N1793" s="6"/>
      <c r="O1793" s="6"/>
      <c r="P1793" s="5"/>
      <c r="Q1793" s="9"/>
      <c r="R1793" s="5"/>
      <c r="S1793" s="5"/>
      <c r="T1793" s="5"/>
      <c r="U1793" s="5"/>
      <c r="V1793" s="5"/>
      <c r="W1793" s="5"/>
      <c r="X1793" s="5"/>
      <c r="Y1793" s="9"/>
      <c r="Z1793" s="2"/>
    </row>
    <row r="1794" spans="1:26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3"/>
      <c r="M1794" s="6"/>
      <c r="N1794" s="6"/>
      <c r="O1794" s="6"/>
      <c r="P1794" s="5"/>
      <c r="Q1794" s="9"/>
      <c r="R1794" s="5"/>
      <c r="S1794" s="5"/>
      <c r="T1794" s="5"/>
      <c r="U1794" s="5"/>
      <c r="V1794" s="5"/>
      <c r="W1794" s="5"/>
      <c r="X1794" s="5"/>
      <c r="Y1794" s="9"/>
      <c r="Z1794" s="2"/>
    </row>
    <row r="1795" spans="1:26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3"/>
      <c r="M1795" s="6"/>
      <c r="N1795" s="6"/>
      <c r="O1795" s="6"/>
      <c r="P1795" s="5"/>
      <c r="Q1795" s="9"/>
      <c r="R1795" s="5"/>
      <c r="S1795" s="5"/>
      <c r="T1795" s="5"/>
      <c r="U1795" s="5"/>
      <c r="V1795" s="5"/>
      <c r="W1795" s="5"/>
      <c r="X1795" s="5"/>
      <c r="Y1795" s="9"/>
      <c r="Z1795" s="2"/>
    </row>
    <row r="1796" spans="1:26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3"/>
      <c r="M1796" s="6"/>
      <c r="N1796" s="6"/>
      <c r="O1796" s="6"/>
      <c r="P1796" s="5"/>
      <c r="Q1796" s="9"/>
      <c r="R1796" s="5"/>
      <c r="S1796" s="5"/>
      <c r="T1796" s="5"/>
      <c r="U1796" s="5"/>
      <c r="V1796" s="5"/>
      <c r="W1796" s="5"/>
      <c r="X1796" s="5"/>
      <c r="Y1796" s="9"/>
      <c r="Z1796" s="2"/>
    </row>
    <row r="1797" spans="1:26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3"/>
      <c r="M1797" s="6"/>
      <c r="N1797" s="6"/>
      <c r="O1797" s="6"/>
      <c r="P1797" s="5"/>
      <c r="Q1797" s="9"/>
      <c r="R1797" s="5"/>
      <c r="S1797" s="5"/>
      <c r="T1797" s="5"/>
      <c r="U1797" s="5"/>
      <c r="V1797" s="5"/>
      <c r="W1797" s="5"/>
      <c r="X1797" s="5"/>
      <c r="Y1797" s="9"/>
      <c r="Z1797" s="2"/>
    </row>
    <row r="1798" spans="1:26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3"/>
      <c r="M1798" s="6"/>
      <c r="N1798" s="6"/>
      <c r="O1798" s="6"/>
      <c r="P1798" s="5"/>
      <c r="Q1798" s="9"/>
      <c r="R1798" s="5"/>
      <c r="S1798" s="5"/>
      <c r="T1798" s="5"/>
      <c r="U1798" s="5"/>
      <c r="V1798" s="5"/>
      <c r="W1798" s="5"/>
      <c r="X1798" s="5"/>
      <c r="Y1798" s="9"/>
      <c r="Z1798" s="2"/>
    </row>
    <row r="1799" spans="1:26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3"/>
      <c r="M1799" s="6"/>
      <c r="N1799" s="6"/>
      <c r="O1799" s="6"/>
      <c r="P1799" s="5"/>
      <c r="Q1799" s="9"/>
      <c r="R1799" s="5"/>
      <c r="S1799" s="5"/>
      <c r="T1799" s="5"/>
      <c r="U1799" s="5"/>
      <c r="V1799" s="5"/>
      <c r="W1799" s="5"/>
      <c r="X1799" s="5"/>
      <c r="Y1799" s="9"/>
      <c r="Z1799" s="2"/>
    </row>
    <row r="1800" spans="1:26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3"/>
      <c r="M1800" s="6"/>
      <c r="N1800" s="6"/>
      <c r="O1800" s="6"/>
      <c r="P1800" s="5"/>
      <c r="Q1800" s="9"/>
      <c r="R1800" s="5"/>
      <c r="S1800" s="5"/>
      <c r="T1800" s="5"/>
      <c r="U1800" s="5"/>
      <c r="V1800" s="5"/>
      <c r="W1800" s="5"/>
      <c r="X1800" s="5"/>
      <c r="Y1800" s="9"/>
      <c r="Z1800" s="2"/>
    </row>
    <row r="1801" spans="1:26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3"/>
      <c r="M1801" s="6"/>
      <c r="N1801" s="6"/>
      <c r="O1801" s="6"/>
      <c r="P1801" s="5"/>
      <c r="Q1801" s="9"/>
      <c r="R1801" s="5"/>
      <c r="S1801" s="5"/>
      <c r="T1801" s="5"/>
      <c r="U1801" s="5"/>
      <c r="V1801" s="5"/>
      <c r="W1801" s="5"/>
      <c r="X1801" s="5"/>
      <c r="Y1801" s="9"/>
      <c r="Z1801" s="2"/>
    </row>
    <row r="1802" spans="1:26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3"/>
      <c r="M1802" s="6"/>
      <c r="N1802" s="6"/>
      <c r="O1802" s="6"/>
      <c r="P1802" s="5"/>
      <c r="Q1802" s="9"/>
      <c r="R1802" s="5"/>
      <c r="S1802" s="5"/>
      <c r="T1802" s="5"/>
      <c r="U1802" s="5"/>
      <c r="V1802" s="5"/>
      <c r="W1802" s="5"/>
      <c r="X1802" s="5"/>
      <c r="Y1802" s="9"/>
      <c r="Z1802" s="2"/>
    </row>
    <row r="1803" spans="1:26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3"/>
      <c r="M1803" s="6"/>
      <c r="N1803" s="6"/>
      <c r="O1803" s="6"/>
      <c r="P1803" s="5"/>
      <c r="Q1803" s="9"/>
      <c r="R1803" s="5"/>
      <c r="S1803" s="5"/>
      <c r="T1803" s="5"/>
      <c r="U1803" s="5"/>
      <c r="V1803" s="5"/>
      <c r="W1803" s="5"/>
      <c r="X1803" s="5"/>
      <c r="Y1803" s="9"/>
      <c r="Z1803" s="2"/>
    </row>
    <row r="1804" spans="1:26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3"/>
      <c r="M1804" s="6"/>
      <c r="N1804" s="6"/>
      <c r="O1804" s="6"/>
      <c r="P1804" s="5"/>
      <c r="Q1804" s="9"/>
      <c r="R1804" s="5"/>
      <c r="S1804" s="5"/>
      <c r="T1804" s="5"/>
      <c r="U1804" s="5"/>
      <c r="V1804" s="5"/>
      <c r="W1804" s="5"/>
      <c r="X1804" s="5"/>
      <c r="Y1804" s="9"/>
      <c r="Z1804" s="2"/>
    </row>
    <row r="1805" spans="1:26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3"/>
      <c r="M1805" s="6"/>
      <c r="N1805" s="6"/>
      <c r="O1805" s="6"/>
      <c r="P1805" s="5"/>
      <c r="Q1805" s="9"/>
      <c r="R1805" s="5"/>
      <c r="S1805" s="5"/>
      <c r="T1805" s="5"/>
      <c r="U1805" s="5"/>
      <c r="V1805" s="5"/>
      <c r="W1805" s="5"/>
      <c r="X1805" s="5"/>
      <c r="Y1805" s="9"/>
      <c r="Z1805" s="2"/>
    </row>
    <row r="1806" spans="1:26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3"/>
      <c r="M1806" s="6"/>
      <c r="N1806" s="6"/>
      <c r="O1806" s="6"/>
      <c r="P1806" s="5"/>
      <c r="Q1806" s="9"/>
      <c r="R1806" s="5"/>
      <c r="S1806" s="5"/>
      <c r="T1806" s="5"/>
      <c r="U1806" s="5"/>
      <c r="V1806" s="5"/>
      <c r="W1806" s="5"/>
      <c r="X1806" s="5"/>
      <c r="Y1806" s="9"/>
      <c r="Z1806" s="2"/>
    </row>
    <row r="1807" spans="1:26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3"/>
      <c r="M1807" s="6"/>
      <c r="N1807" s="6"/>
      <c r="O1807" s="6"/>
      <c r="P1807" s="5"/>
      <c r="Q1807" s="9"/>
      <c r="R1807" s="5"/>
      <c r="S1807" s="5"/>
      <c r="T1807" s="5"/>
      <c r="U1807" s="5"/>
      <c r="V1807" s="5"/>
      <c r="W1807" s="5"/>
      <c r="X1807" s="5"/>
      <c r="Y1807" s="9"/>
      <c r="Z1807" s="2"/>
    </row>
    <row r="1808" spans="1:26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3"/>
      <c r="M1808" s="6"/>
      <c r="N1808" s="6"/>
      <c r="O1808" s="6"/>
      <c r="P1808" s="5"/>
      <c r="Q1808" s="9"/>
      <c r="R1808" s="5"/>
      <c r="S1808" s="5"/>
      <c r="T1808" s="5"/>
      <c r="U1808" s="5"/>
      <c r="V1808" s="5"/>
      <c r="W1808" s="5"/>
      <c r="X1808" s="5"/>
      <c r="Y1808" s="9"/>
      <c r="Z1808" s="2"/>
    </row>
    <row r="1809" spans="1:26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3"/>
      <c r="M1809" s="6"/>
      <c r="N1809" s="6"/>
      <c r="O1809" s="6"/>
      <c r="P1809" s="5"/>
      <c r="Q1809" s="9"/>
      <c r="R1809" s="5"/>
      <c r="S1809" s="5"/>
      <c r="T1809" s="5"/>
      <c r="U1809" s="5"/>
      <c r="V1809" s="5"/>
      <c r="W1809" s="5"/>
      <c r="X1809" s="5"/>
      <c r="Y1809" s="9"/>
      <c r="Z1809" s="2"/>
    </row>
    <row r="1810" spans="1:26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3"/>
      <c r="M1810" s="6"/>
      <c r="N1810" s="6"/>
      <c r="O1810" s="6"/>
      <c r="P1810" s="5"/>
      <c r="Q1810" s="9"/>
      <c r="R1810" s="5"/>
      <c r="S1810" s="5"/>
      <c r="T1810" s="5"/>
      <c r="U1810" s="5"/>
      <c r="V1810" s="5"/>
      <c r="W1810" s="5"/>
      <c r="X1810" s="5"/>
      <c r="Y1810" s="9"/>
      <c r="Z1810" s="2"/>
    </row>
    <row r="1811" spans="1:26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3"/>
      <c r="M1811" s="6"/>
      <c r="N1811" s="6"/>
      <c r="O1811" s="6"/>
      <c r="P1811" s="5"/>
      <c r="Q1811" s="9"/>
      <c r="R1811" s="5"/>
      <c r="S1811" s="5"/>
      <c r="T1811" s="5"/>
      <c r="U1811" s="5"/>
      <c r="V1811" s="5"/>
      <c r="W1811" s="5"/>
      <c r="X1811" s="5"/>
      <c r="Y1811" s="9"/>
      <c r="Z1811" s="2"/>
    </row>
    <row r="1812" spans="1:26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3"/>
      <c r="M1812" s="6"/>
      <c r="N1812" s="6"/>
      <c r="O1812" s="6"/>
      <c r="P1812" s="5"/>
      <c r="Q1812" s="9"/>
      <c r="R1812" s="5"/>
      <c r="S1812" s="5"/>
      <c r="T1812" s="5"/>
      <c r="U1812" s="5"/>
      <c r="V1812" s="5"/>
      <c r="W1812" s="5"/>
      <c r="X1812" s="5"/>
      <c r="Y1812" s="9"/>
      <c r="Z1812" s="2"/>
    </row>
    <row r="1813" spans="1:26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3"/>
      <c r="M1813" s="6"/>
      <c r="N1813" s="6"/>
      <c r="O1813" s="6"/>
      <c r="P1813" s="5"/>
      <c r="Q1813" s="9"/>
      <c r="R1813" s="5"/>
      <c r="S1813" s="5"/>
      <c r="T1813" s="5"/>
      <c r="U1813" s="5"/>
      <c r="V1813" s="5"/>
      <c r="W1813" s="5"/>
      <c r="X1813" s="5"/>
      <c r="Y1813" s="9"/>
      <c r="Z1813" s="2"/>
    </row>
    <row r="1814" spans="1:26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3"/>
      <c r="M1814" s="6"/>
      <c r="N1814" s="6"/>
      <c r="O1814" s="6"/>
      <c r="P1814" s="5"/>
      <c r="Q1814" s="9"/>
      <c r="R1814" s="5"/>
      <c r="S1814" s="5"/>
      <c r="T1814" s="5"/>
      <c r="U1814" s="5"/>
      <c r="V1814" s="5"/>
      <c r="W1814" s="5"/>
      <c r="X1814" s="5"/>
      <c r="Y1814" s="9"/>
      <c r="Z1814" s="2"/>
    </row>
    <row r="1815" spans="1:26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3"/>
      <c r="M1815" s="6"/>
      <c r="N1815" s="6"/>
      <c r="O1815" s="6"/>
      <c r="P1815" s="5"/>
      <c r="Q1815" s="9"/>
      <c r="R1815" s="5"/>
      <c r="S1815" s="5"/>
      <c r="T1815" s="5"/>
      <c r="U1815" s="5"/>
      <c r="V1815" s="5"/>
      <c r="W1815" s="5"/>
      <c r="X1815" s="5"/>
      <c r="Y1815" s="9"/>
      <c r="Z1815" s="2"/>
    </row>
    <row r="1816" spans="1:26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3"/>
      <c r="M1816" s="6"/>
      <c r="N1816" s="6"/>
      <c r="O1816" s="6"/>
      <c r="P1816" s="5"/>
      <c r="Q1816" s="9"/>
      <c r="R1816" s="5"/>
      <c r="S1816" s="5"/>
      <c r="T1816" s="5"/>
      <c r="U1816" s="5"/>
      <c r="V1816" s="5"/>
      <c r="W1816" s="5"/>
      <c r="X1816" s="5"/>
      <c r="Y1816" s="9"/>
      <c r="Z1816" s="2"/>
    </row>
    <row r="1817" spans="1:26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3"/>
      <c r="M1817" s="6"/>
      <c r="N1817" s="6"/>
      <c r="O1817" s="6"/>
      <c r="P1817" s="5"/>
      <c r="Q1817" s="9"/>
      <c r="R1817" s="5"/>
      <c r="S1817" s="5"/>
      <c r="T1817" s="5"/>
      <c r="U1817" s="5"/>
      <c r="V1817" s="5"/>
      <c r="W1817" s="5"/>
      <c r="X1817" s="5"/>
      <c r="Y1817" s="9"/>
      <c r="Z1817" s="2"/>
    </row>
    <row r="1818" spans="1:26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3"/>
      <c r="M1818" s="6"/>
      <c r="N1818" s="6"/>
      <c r="O1818" s="6"/>
      <c r="P1818" s="5"/>
      <c r="Q1818" s="9"/>
      <c r="R1818" s="5"/>
      <c r="S1818" s="5"/>
      <c r="T1818" s="5"/>
      <c r="U1818" s="5"/>
      <c r="V1818" s="5"/>
      <c r="W1818" s="5"/>
      <c r="X1818" s="5"/>
      <c r="Y1818" s="9"/>
      <c r="Z1818" s="2"/>
    </row>
    <row r="1819" spans="1:26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3"/>
      <c r="M1819" s="6"/>
      <c r="N1819" s="6"/>
      <c r="O1819" s="6"/>
      <c r="P1819" s="5"/>
      <c r="Q1819" s="9"/>
      <c r="R1819" s="5"/>
      <c r="S1819" s="5"/>
      <c r="T1819" s="5"/>
      <c r="U1819" s="5"/>
      <c r="V1819" s="5"/>
      <c r="W1819" s="5"/>
      <c r="X1819" s="5"/>
      <c r="Y1819" s="9"/>
      <c r="Z1819" s="2"/>
    </row>
    <row r="1820" spans="1:26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3"/>
      <c r="M1820" s="6"/>
      <c r="N1820" s="6"/>
      <c r="O1820" s="6"/>
      <c r="P1820" s="5"/>
      <c r="Q1820" s="9"/>
      <c r="R1820" s="5"/>
      <c r="S1820" s="5"/>
      <c r="T1820" s="5"/>
      <c r="U1820" s="5"/>
      <c r="V1820" s="5"/>
      <c r="W1820" s="5"/>
      <c r="X1820" s="5"/>
      <c r="Y1820" s="9"/>
      <c r="Z1820" s="2"/>
    </row>
    <row r="1821" spans="1:26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3"/>
      <c r="M1821" s="6"/>
      <c r="N1821" s="6"/>
      <c r="O1821" s="6"/>
      <c r="P1821" s="5"/>
      <c r="Q1821" s="9"/>
      <c r="R1821" s="5"/>
      <c r="S1821" s="5"/>
      <c r="T1821" s="5"/>
      <c r="U1821" s="5"/>
      <c r="V1821" s="5"/>
      <c r="W1821" s="5"/>
      <c r="X1821" s="5"/>
      <c r="Y1821" s="9"/>
      <c r="Z1821" s="2"/>
    </row>
    <row r="1822" spans="1:26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3"/>
      <c r="M1822" s="6"/>
      <c r="N1822" s="6"/>
      <c r="O1822" s="6"/>
      <c r="P1822" s="5"/>
      <c r="Q1822" s="9"/>
      <c r="R1822" s="5"/>
      <c r="S1822" s="5"/>
      <c r="T1822" s="5"/>
      <c r="U1822" s="5"/>
      <c r="V1822" s="5"/>
      <c r="W1822" s="5"/>
      <c r="X1822" s="5"/>
      <c r="Y1822" s="9"/>
      <c r="Z1822" s="2"/>
    </row>
    <row r="1823" spans="1:26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3"/>
      <c r="M1823" s="6"/>
      <c r="N1823" s="6"/>
      <c r="O1823" s="6"/>
      <c r="P1823" s="5"/>
      <c r="Q1823" s="9"/>
      <c r="R1823" s="5"/>
      <c r="S1823" s="5"/>
      <c r="T1823" s="5"/>
      <c r="U1823" s="5"/>
      <c r="V1823" s="5"/>
      <c r="W1823" s="5"/>
      <c r="X1823" s="5"/>
      <c r="Y1823" s="9"/>
      <c r="Z1823" s="2"/>
    </row>
    <row r="1824" spans="1:26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3"/>
      <c r="M1824" s="6"/>
      <c r="N1824" s="6"/>
      <c r="O1824" s="6"/>
      <c r="P1824" s="5"/>
      <c r="Q1824" s="9"/>
      <c r="R1824" s="5"/>
      <c r="S1824" s="5"/>
      <c r="T1824" s="5"/>
      <c r="U1824" s="5"/>
      <c r="V1824" s="5"/>
      <c r="W1824" s="5"/>
      <c r="X1824" s="5"/>
      <c r="Y1824" s="9"/>
      <c r="Z1824" s="2"/>
    </row>
    <row r="1825" spans="1:26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3"/>
      <c r="M1825" s="6"/>
      <c r="N1825" s="6"/>
      <c r="O1825" s="6"/>
      <c r="P1825" s="5"/>
      <c r="Q1825" s="9"/>
      <c r="R1825" s="5"/>
      <c r="S1825" s="5"/>
      <c r="T1825" s="5"/>
      <c r="U1825" s="5"/>
      <c r="V1825" s="5"/>
      <c r="W1825" s="5"/>
      <c r="X1825" s="5"/>
      <c r="Y1825" s="9"/>
      <c r="Z1825" s="2"/>
    </row>
    <row r="1826" spans="1:26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3"/>
      <c r="M1826" s="6"/>
      <c r="N1826" s="6"/>
      <c r="O1826" s="6"/>
      <c r="P1826" s="5"/>
      <c r="Q1826" s="9"/>
      <c r="R1826" s="5"/>
      <c r="S1826" s="5"/>
      <c r="T1826" s="5"/>
      <c r="U1826" s="5"/>
      <c r="V1826" s="5"/>
      <c r="W1826" s="5"/>
      <c r="X1826" s="5"/>
      <c r="Y1826" s="9"/>
      <c r="Z1826" s="2"/>
    </row>
    <row r="1827" spans="1:26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3"/>
      <c r="M1827" s="6"/>
      <c r="N1827" s="6"/>
      <c r="O1827" s="6"/>
      <c r="P1827" s="5"/>
      <c r="Q1827" s="9"/>
      <c r="R1827" s="5"/>
      <c r="S1827" s="5"/>
      <c r="T1827" s="5"/>
      <c r="U1827" s="5"/>
      <c r="V1827" s="5"/>
      <c r="W1827" s="5"/>
      <c r="X1827" s="5"/>
      <c r="Y1827" s="9"/>
      <c r="Z1827" s="2"/>
    </row>
    <row r="1828" spans="1:26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3"/>
      <c r="M1828" s="6"/>
      <c r="N1828" s="6"/>
      <c r="O1828" s="6"/>
      <c r="P1828" s="5"/>
      <c r="Q1828" s="9"/>
      <c r="R1828" s="5"/>
      <c r="S1828" s="5"/>
      <c r="T1828" s="5"/>
      <c r="U1828" s="5"/>
      <c r="V1828" s="5"/>
      <c r="W1828" s="5"/>
      <c r="X1828" s="5"/>
      <c r="Y1828" s="9"/>
      <c r="Z1828" s="2"/>
    </row>
    <row r="1829" spans="1:26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3"/>
      <c r="M1829" s="6"/>
      <c r="N1829" s="6"/>
      <c r="O1829" s="6"/>
      <c r="P1829" s="5"/>
      <c r="Q1829" s="9"/>
      <c r="R1829" s="5"/>
      <c r="S1829" s="5"/>
      <c r="T1829" s="5"/>
      <c r="U1829" s="5"/>
      <c r="V1829" s="5"/>
      <c r="W1829" s="5"/>
      <c r="X1829" s="5"/>
      <c r="Y1829" s="9"/>
      <c r="Z1829" s="2"/>
    </row>
    <row r="1830" spans="1:26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3"/>
      <c r="M1830" s="6"/>
      <c r="N1830" s="6"/>
      <c r="O1830" s="6"/>
      <c r="P1830" s="5"/>
      <c r="Q1830" s="9"/>
      <c r="R1830" s="5"/>
      <c r="S1830" s="5"/>
      <c r="T1830" s="5"/>
      <c r="U1830" s="5"/>
      <c r="V1830" s="5"/>
      <c r="W1830" s="5"/>
      <c r="X1830" s="5"/>
      <c r="Y1830" s="9"/>
      <c r="Z1830" s="2"/>
    </row>
    <row r="1831" spans="1:26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3"/>
      <c r="M1831" s="6"/>
      <c r="N1831" s="6"/>
      <c r="O1831" s="6"/>
      <c r="P1831" s="5"/>
      <c r="Q1831" s="9"/>
      <c r="R1831" s="5"/>
      <c r="S1831" s="5"/>
      <c r="T1831" s="5"/>
      <c r="U1831" s="5"/>
      <c r="V1831" s="5"/>
      <c r="W1831" s="5"/>
      <c r="X1831" s="5"/>
      <c r="Y1831" s="9"/>
      <c r="Z1831" s="2"/>
    </row>
    <row r="1832" spans="1:26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3"/>
      <c r="M1832" s="6"/>
      <c r="N1832" s="6"/>
      <c r="O1832" s="6"/>
      <c r="P1832" s="5"/>
      <c r="Q1832" s="9"/>
      <c r="R1832" s="5"/>
      <c r="S1832" s="5"/>
      <c r="T1832" s="5"/>
      <c r="U1832" s="5"/>
      <c r="V1832" s="5"/>
      <c r="W1832" s="5"/>
      <c r="X1832" s="5"/>
      <c r="Y1832" s="9"/>
      <c r="Z1832" s="2"/>
    </row>
    <row r="1833" spans="1:26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3"/>
      <c r="M1833" s="6"/>
      <c r="N1833" s="6"/>
      <c r="O1833" s="6"/>
      <c r="P1833" s="5"/>
      <c r="Q1833" s="9"/>
      <c r="R1833" s="5"/>
      <c r="S1833" s="5"/>
      <c r="T1833" s="5"/>
      <c r="U1833" s="5"/>
      <c r="V1833" s="5"/>
      <c r="W1833" s="5"/>
      <c r="X1833" s="5"/>
      <c r="Y1833" s="9"/>
      <c r="Z1833" s="2"/>
    </row>
    <row r="1834" spans="1:26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3"/>
      <c r="M1834" s="6"/>
      <c r="N1834" s="6"/>
      <c r="O1834" s="6"/>
      <c r="P1834" s="5"/>
      <c r="Q1834" s="9"/>
      <c r="R1834" s="5"/>
      <c r="S1834" s="5"/>
      <c r="T1834" s="5"/>
      <c r="U1834" s="5"/>
      <c r="V1834" s="5"/>
      <c r="W1834" s="5"/>
      <c r="X1834" s="5"/>
      <c r="Y1834" s="9"/>
      <c r="Z1834" s="2"/>
    </row>
    <row r="1835" spans="1:26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3"/>
      <c r="M1835" s="6"/>
      <c r="N1835" s="6"/>
      <c r="O1835" s="6"/>
      <c r="P1835" s="5"/>
      <c r="Q1835" s="9"/>
      <c r="R1835" s="5"/>
      <c r="S1835" s="5"/>
      <c r="T1835" s="5"/>
      <c r="U1835" s="5"/>
      <c r="V1835" s="5"/>
      <c r="W1835" s="5"/>
      <c r="X1835" s="5"/>
      <c r="Y1835" s="9"/>
      <c r="Z1835" s="2"/>
    </row>
    <row r="1836" spans="1:26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3"/>
      <c r="M1836" s="6"/>
      <c r="N1836" s="6"/>
      <c r="O1836" s="6"/>
      <c r="P1836" s="5"/>
      <c r="Q1836" s="9"/>
      <c r="R1836" s="5"/>
      <c r="S1836" s="5"/>
      <c r="T1836" s="5"/>
      <c r="U1836" s="5"/>
      <c r="V1836" s="5"/>
      <c r="W1836" s="5"/>
      <c r="X1836" s="5"/>
      <c r="Y1836" s="9"/>
      <c r="Z1836" s="2"/>
    </row>
    <row r="1837" spans="1:26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3"/>
      <c r="M1837" s="6"/>
      <c r="N1837" s="6"/>
      <c r="O1837" s="6"/>
      <c r="P1837" s="5"/>
      <c r="Q1837" s="9"/>
      <c r="R1837" s="5"/>
      <c r="S1837" s="5"/>
      <c r="T1837" s="5"/>
      <c r="U1837" s="5"/>
      <c r="V1837" s="5"/>
      <c r="W1837" s="5"/>
      <c r="X1837" s="5"/>
      <c r="Y1837" s="9"/>
      <c r="Z1837" s="2"/>
    </row>
    <row r="1838" spans="1:26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3"/>
      <c r="M1838" s="6"/>
      <c r="N1838" s="6"/>
      <c r="O1838" s="6"/>
      <c r="P1838" s="5"/>
      <c r="Q1838" s="9"/>
      <c r="R1838" s="5"/>
      <c r="S1838" s="5"/>
      <c r="T1838" s="5"/>
      <c r="U1838" s="5"/>
      <c r="V1838" s="5"/>
      <c r="W1838" s="5"/>
      <c r="X1838" s="5"/>
      <c r="Y1838" s="9"/>
      <c r="Z1838" s="2"/>
    </row>
    <row r="1839" spans="1:26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3"/>
      <c r="M1839" s="6"/>
      <c r="N1839" s="6"/>
      <c r="O1839" s="6"/>
      <c r="P1839" s="5"/>
      <c r="Q1839" s="9"/>
      <c r="R1839" s="5"/>
      <c r="S1839" s="5"/>
      <c r="T1839" s="5"/>
      <c r="U1839" s="5"/>
      <c r="V1839" s="5"/>
      <c r="W1839" s="5"/>
      <c r="X1839" s="5"/>
      <c r="Y1839" s="9"/>
      <c r="Z1839" s="2"/>
    </row>
    <row r="1840" spans="1:26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3"/>
      <c r="M1840" s="6"/>
      <c r="N1840" s="6"/>
      <c r="O1840" s="6"/>
      <c r="P1840" s="5"/>
      <c r="Q1840" s="9"/>
      <c r="R1840" s="5"/>
      <c r="S1840" s="5"/>
      <c r="T1840" s="5"/>
      <c r="U1840" s="5"/>
      <c r="V1840" s="5"/>
      <c r="W1840" s="5"/>
      <c r="X1840" s="5"/>
      <c r="Y1840" s="9"/>
      <c r="Z1840" s="2"/>
    </row>
    <row r="1841" spans="1:26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3"/>
      <c r="M1841" s="6"/>
      <c r="N1841" s="6"/>
      <c r="O1841" s="6"/>
      <c r="P1841" s="5"/>
      <c r="Q1841" s="9"/>
      <c r="R1841" s="5"/>
      <c r="S1841" s="5"/>
      <c r="T1841" s="5"/>
      <c r="U1841" s="5"/>
      <c r="V1841" s="5"/>
      <c r="W1841" s="5"/>
      <c r="X1841" s="5"/>
      <c r="Y1841" s="9"/>
      <c r="Z1841" s="2"/>
    </row>
    <row r="1842" spans="1:26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3"/>
      <c r="M1842" s="6"/>
      <c r="N1842" s="6"/>
      <c r="O1842" s="6"/>
      <c r="P1842" s="5"/>
      <c r="Q1842" s="9"/>
      <c r="R1842" s="5"/>
      <c r="S1842" s="5"/>
      <c r="T1842" s="5"/>
      <c r="U1842" s="5"/>
      <c r="V1842" s="5"/>
      <c r="W1842" s="5"/>
      <c r="X1842" s="5"/>
      <c r="Y1842" s="9"/>
      <c r="Z1842" s="2"/>
    </row>
    <row r="1843" spans="1:26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3"/>
      <c r="M1843" s="6"/>
      <c r="N1843" s="6"/>
      <c r="O1843" s="6"/>
      <c r="P1843" s="5"/>
      <c r="Q1843" s="9"/>
      <c r="R1843" s="5"/>
      <c r="S1843" s="5"/>
      <c r="T1843" s="5"/>
      <c r="U1843" s="5"/>
      <c r="V1843" s="5"/>
      <c r="W1843" s="5"/>
      <c r="X1843" s="5"/>
      <c r="Y1843" s="9"/>
      <c r="Z1843" s="2"/>
    </row>
    <row r="1844" spans="1:26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3"/>
      <c r="M1844" s="6"/>
      <c r="N1844" s="6"/>
      <c r="O1844" s="6"/>
      <c r="P1844" s="5"/>
      <c r="Q1844" s="9"/>
      <c r="R1844" s="5"/>
      <c r="S1844" s="5"/>
      <c r="T1844" s="5"/>
      <c r="U1844" s="5"/>
      <c r="V1844" s="5"/>
      <c r="W1844" s="5"/>
      <c r="X1844" s="5"/>
      <c r="Y1844" s="9"/>
      <c r="Z1844" s="2"/>
    </row>
    <row r="1845" spans="1:26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3"/>
      <c r="M1845" s="6"/>
      <c r="N1845" s="6"/>
      <c r="O1845" s="6"/>
      <c r="P1845" s="5"/>
      <c r="Q1845" s="9"/>
      <c r="R1845" s="5"/>
      <c r="S1845" s="5"/>
      <c r="T1845" s="5"/>
      <c r="U1845" s="5"/>
      <c r="V1845" s="5"/>
      <c r="W1845" s="5"/>
      <c r="X1845" s="5"/>
      <c r="Y1845" s="9"/>
      <c r="Z1845" s="2"/>
    </row>
    <row r="1846" spans="1:26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3"/>
      <c r="M1846" s="6"/>
      <c r="N1846" s="6"/>
      <c r="O1846" s="6"/>
      <c r="P1846" s="5"/>
      <c r="Q1846" s="9"/>
      <c r="R1846" s="5"/>
      <c r="S1846" s="5"/>
      <c r="T1846" s="5"/>
      <c r="U1846" s="5"/>
      <c r="V1846" s="5"/>
      <c r="W1846" s="5"/>
      <c r="X1846" s="5"/>
      <c r="Y1846" s="9"/>
      <c r="Z1846" s="2"/>
    </row>
    <row r="1847" spans="1:26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3"/>
      <c r="M1847" s="6"/>
      <c r="N1847" s="6"/>
      <c r="O1847" s="6"/>
      <c r="P1847" s="5"/>
      <c r="Q1847" s="9"/>
      <c r="R1847" s="5"/>
      <c r="S1847" s="5"/>
      <c r="T1847" s="5"/>
      <c r="U1847" s="5"/>
      <c r="V1847" s="5"/>
      <c r="W1847" s="5"/>
      <c r="X1847" s="5"/>
      <c r="Y1847" s="9"/>
      <c r="Z1847" s="2"/>
    </row>
    <row r="1848" spans="1:26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3"/>
      <c r="M1848" s="6"/>
      <c r="N1848" s="6"/>
      <c r="O1848" s="6"/>
      <c r="P1848" s="5"/>
      <c r="Q1848" s="9"/>
      <c r="R1848" s="5"/>
      <c r="S1848" s="5"/>
      <c r="T1848" s="5"/>
      <c r="U1848" s="5"/>
      <c r="V1848" s="5"/>
      <c r="W1848" s="5"/>
      <c r="X1848" s="5"/>
      <c r="Y1848" s="9"/>
      <c r="Z1848" s="2"/>
    </row>
    <row r="1849" spans="1:26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3"/>
      <c r="M1849" s="6"/>
      <c r="N1849" s="6"/>
      <c r="O1849" s="6"/>
      <c r="P1849" s="5"/>
      <c r="Q1849" s="9"/>
      <c r="R1849" s="5"/>
      <c r="S1849" s="5"/>
      <c r="T1849" s="5"/>
      <c r="U1849" s="5"/>
      <c r="V1849" s="5"/>
      <c r="W1849" s="5"/>
      <c r="X1849" s="5"/>
      <c r="Y1849" s="9"/>
      <c r="Z1849" s="2"/>
    </row>
    <row r="1850" spans="1:26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3"/>
      <c r="M1850" s="6"/>
      <c r="N1850" s="6"/>
      <c r="O1850" s="6"/>
      <c r="P1850" s="5"/>
      <c r="Q1850" s="9"/>
      <c r="R1850" s="5"/>
      <c r="S1850" s="5"/>
      <c r="T1850" s="5"/>
      <c r="U1850" s="5"/>
      <c r="V1850" s="5"/>
      <c r="W1850" s="5"/>
      <c r="X1850" s="5"/>
      <c r="Y1850" s="9"/>
      <c r="Z1850" s="2"/>
    </row>
    <row r="1851" spans="1:26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3"/>
      <c r="M1851" s="6"/>
      <c r="N1851" s="6"/>
      <c r="O1851" s="6"/>
      <c r="P1851" s="5"/>
      <c r="Q1851" s="9"/>
      <c r="R1851" s="5"/>
      <c r="S1851" s="5"/>
      <c r="T1851" s="5"/>
      <c r="U1851" s="5"/>
      <c r="V1851" s="5"/>
      <c r="W1851" s="5"/>
      <c r="X1851" s="5"/>
      <c r="Y1851" s="9"/>
      <c r="Z1851" s="2"/>
    </row>
    <row r="1852" spans="1:26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3"/>
      <c r="M1852" s="6"/>
      <c r="N1852" s="6"/>
      <c r="O1852" s="6"/>
      <c r="P1852" s="5"/>
      <c r="Q1852" s="9"/>
      <c r="R1852" s="5"/>
      <c r="S1852" s="5"/>
      <c r="T1852" s="5"/>
      <c r="U1852" s="5"/>
      <c r="V1852" s="5"/>
      <c r="W1852" s="5"/>
      <c r="X1852" s="5"/>
      <c r="Y1852" s="9"/>
      <c r="Z1852" s="2"/>
    </row>
    <row r="1853" spans="1:26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3"/>
      <c r="M1853" s="6"/>
      <c r="N1853" s="6"/>
      <c r="O1853" s="6"/>
      <c r="P1853" s="5"/>
      <c r="Q1853" s="9"/>
      <c r="R1853" s="5"/>
      <c r="S1853" s="5"/>
      <c r="T1853" s="5"/>
      <c r="U1853" s="5"/>
      <c r="V1853" s="5"/>
      <c r="W1853" s="5"/>
      <c r="X1853" s="5"/>
      <c r="Y1853" s="9"/>
      <c r="Z1853" s="2"/>
    </row>
    <row r="1854" spans="1:26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3"/>
      <c r="M1854" s="6"/>
      <c r="N1854" s="6"/>
      <c r="O1854" s="6"/>
      <c r="P1854" s="5"/>
      <c r="Q1854" s="9"/>
      <c r="R1854" s="5"/>
      <c r="S1854" s="5"/>
      <c r="T1854" s="5"/>
      <c r="U1854" s="5"/>
      <c r="V1854" s="5"/>
      <c r="W1854" s="5"/>
      <c r="X1854" s="5"/>
      <c r="Y1854" s="9"/>
      <c r="Z1854" s="2"/>
    </row>
    <row r="1855" spans="1:26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3"/>
      <c r="M1855" s="6"/>
      <c r="N1855" s="6"/>
      <c r="O1855" s="6"/>
      <c r="P1855" s="5"/>
      <c r="Q1855" s="9"/>
      <c r="R1855" s="5"/>
      <c r="S1855" s="5"/>
      <c r="T1855" s="5"/>
      <c r="U1855" s="5"/>
      <c r="V1855" s="5"/>
      <c r="W1855" s="5"/>
      <c r="X1855" s="5"/>
      <c r="Y1855" s="9"/>
      <c r="Z1855" s="2"/>
    </row>
    <row r="1856" spans="1:26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3"/>
      <c r="M1856" s="6"/>
      <c r="N1856" s="6"/>
      <c r="O1856" s="6"/>
      <c r="P1856" s="5"/>
      <c r="Q1856" s="9"/>
      <c r="R1856" s="5"/>
      <c r="S1856" s="5"/>
      <c r="T1856" s="5"/>
      <c r="U1856" s="5"/>
      <c r="V1856" s="5"/>
      <c r="W1856" s="5"/>
      <c r="X1856" s="5"/>
      <c r="Y1856" s="9"/>
      <c r="Z1856" s="2"/>
    </row>
    <row r="1857" spans="1:26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3"/>
      <c r="M1857" s="6"/>
      <c r="N1857" s="6"/>
      <c r="O1857" s="6"/>
      <c r="P1857" s="5"/>
      <c r="Q1857" s="9"/>
      <c r="R1857" s="5"/>
      <c r="S1857" s="5"/>
      <c r="T1857" s="5"/>
      <c r="U1857" s="5"/>
      <c r="V1857" s="5"/>
      <c r="W1857" s="5"/>
      <c r="X1857" s="5"/>
      <c r="Y1857" s="9"/>
      <c r="Z1857" s="2"/>
    </row>
    <row r="1858" spans="1:26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3"/>
      <c r="M1858" s="6"/>
      <c r="N1858" s="6"/>
      <c r="O1858" s="6"/>
      <c r="P1858" s="5"/>
      <c r="Q1858" s="9"/>
      <c r="R1858" s="5"/>
      <c r="S1858" s="5"/>
      <c r="T1858" s="5"/>
      <c r="U1858" s="5"/>
      <c r="V1858" s="5"/>
      <c r="W1858" s="5"/>
      <c r="X1858" s="5"/>
      <c r="Y1858" s="9"/>
      <c r="Z1858" s="2"/>
    </row>
    <row r="1859" spans="1:26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3"/>
      <c r="M1859" s="6"/>
      <c r="N1859" s="6"/>
      <c r="O1859" s="6"/>
      <c r="P1859" s="5"/>
      <c r="Q1859" s="9"/>
      <c r="R1859" s="5"/>
      <c r="S1859" s="5"/>
      <c r="T1859" s="5"/>
      <c r="U1859" s="5"/>
      <c r="V1859" s="5"/>
      <c r="W1859" s="5"/>
      <c r="X1859" s="5"/>
      <c r="Y1859" s="9"/>
      <c r="Z1859" s="2"/>
    </row>
    <row r="1860" spans="1:26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3"/>
      <c r="M1860" s="6"/>
      <c r="N1860" s="6"/>
      <c r="O1860" s="6"/>
      <c r="P1860" s="5"/>
      <c r="Q1860" s="9"/>
      <c r="R1860" s="5"/>
      <c r="S1860" s="5"/>
      <c r="T1860" s="5"/>
      <c r="U1860" s="5"/>
      <c r="V1860" s="5"/>
      <c r="W1860" s="5"/>
      <c r="X1860" s="5"/>
      <c r="Y1860" s="9"/>
      <c r="Z1860" s="2"/>
    </row>
    <row r="1861" spans="1:26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3"/>
      <c r="M1861" s="6"/>
      <c r="N1861" s="6"/>
      <c r="O1861" s="6"/>
      <c r="P1861" s="5"/>
      <c r="Q1861" s="9"/>
      <c r="R1861" s="5"/>
      <c r="S1861" s="5"/>
      <c r="T1861" s="5"/>
      <c r="U1861" s="5"/>
      <c r="V1861" s="5"/>
      <c r="W1861" s="5"/>
      <c r="X1861" s="5"/>
      <c r="Y1861" s="9"/>
      <c r="Z1861" s="2"/>
    </row>
    <row r="1862" spans="1:26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3"/>
      <c r="M1862" s="6"/>
      <c r="N1862" s="6"/>
      <c r="O1862" s="6"/>
      <c r="P1862" s="5"/>
      <c r="Q1862" s="9"/>
      <c r="R1862" s="5"/>
      <c r="S1862" s="5"/>
      <c r="T1862" s="5"/>
      <c r="U1862" s="5"/>
      <c r="V1862" s="5"/>
      <c r="W1862" s="5"/>
      <c r="X1862" s="5"/>
      <c r="Y1862" s="9"/>
      <c r="Z1862" s="2"/>
    </row>
    <row r="1863" spans="1:26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3"/>
      <c r="M1863" s="6"/>
      <c r="N1863" s="6"/>
      <c r="O1863" s="6"/>
      <c r="P1863" s="5"/>
      <c r="Q1863" s="9"/>
      <c r="R1863" s="5"/>
      <c r="S1863" s="5"/>
      <c r="T1863" s="5"/>
      <c r="U1863" s="5"/>
      <c r="V1863" s="5"/>
      <c r="W1863" s="5"/>
      <c r="X1863" s="5"/>
      <c r="Y1863" s="9"/>
      <c r="Z1863" s="2"/>
    </row>
    <row r="1864" spans="1:26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3"/>
      <c r="M1864" s="6"/>
      <c r="N1864" s="6"/>
      <c r="O1864" s="6"/>
      <c r="P1864" s="5"/>
      <c r="Q1864" s="9"/>
      <c r="R1864" s="5"/>
      <c r="S1864" s="5"/>
      <c r="T1864" s="5"/>
      <c r="U1864" s="5"/>
      <c r="V1864" s="5"/>
      <c r="W1864" s="5"/>
      <c r="X1864" s="5"/>
      <c r="Y1864" s="9"/>
      <c r="Z1864" s="2"/>
    </row>
    <row r="1865" spans="1:26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3"/>
      <c r="M1865" s="6"/>
      <c r="N1865" s="6"/>
      <c r="O1865" s="6"/>
      <c r="P1865" s="5"/>
      <c r="Q1865" s="9"/>
      <c r="R1865" s="5"/>
      <c r="S1865" s="5"/>
      <c r="T1865" s="5"/>
      <c r="U1865" s="5"/>
      <c r="V1865" s="5"/>
      <c r="W1865" s="5"/>
      <c r="X1865" s="5"/>
      <c r="Y1865" s="9"/>
      <c r="Z1865" s="2"/>
    </row>
    <row r="1866" spans="1:26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3"/>
      <c r="M1866" s="6"/>
      <c r="N1866" s="6"/>
      <c r="O1866" s="6"/>
      <c r="P1866" s="5"/>
      <c r="Q1866" s="9"/>
      <c r="R1866" s="5"/>
      <c r="S1866" s="5"/>
      <c r="T1866" s="5"/>
      <c r="U1866" s="5"/>
      <c r="V1866" s="5"/>
      <c r="W1866" s="5"/>
      <c r="X1866" s="5"/>
      <c r="Y1866" s="9"/>
      <c r="Z1866" s="2"/>
    </row>
    <row r="1867" spans="1:26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3"/>
      <c r="M1867" s="6"/>
      <c r="N1867" s="6"/>
      <c r="O1867" s="6"/>
      <c r="P1867" s="5"/>
      <c r="Q1867" s="9"/>
      <c r="R1867" s="5"/>
      <c r="S1867" s="5"/>
      <c r="T1867" s="5"/>
      <c r="U1867" s="5"/>
      <c r="V1867" s="5"/>
      <c r="W1867" s="5"/>
      <c r="X1867" s="5"/>
      <c r="Y1867" s="9"/>
      <c r="Z1867" s="2"/>
    </row>
    <row r="1868" spans="1:26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3"/>
      <c r="M1868" s="6"/>
      <c r="N1868" s="6"/>
      <c r="O1868" s="6"/>
      <c r="P1868" s="5"/>
      <c r="Q1868" s="9"/>
      <c r="R1868" s="5"/>
      <c r="S1868" s="5"/>
      <c r="T1868" s="5"/>
      <c r="U1868" s="5"/>
      <c r="V1868" s="5"/>
      <c r="W1868" s="5"/>
      <c r="X1868" s="5"/>
      <c r="Y1868" s="9"/>
      <c r="Z1868" s="2"/>
    </row>
    <row r="1869" spans="1:26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3"/>
      <c r="M1869" s="6"/>
      <c r="N1869" s="6"/>
      <c r="O1869" s="6"/>
      <c r="P1869" s="5"/>
      <c r="Q1869" s="9"/>
      <c r="R1869" s="5"/>
      <c r="S1869" s="5"/>
      <c r="T1869" s="5"/>
      <c r="U1869" s="5"/>
      <c r="V1869" s="5"/>
      <c r="W1869" s="5"/>
      <c r="X1869" s="5"/>
      <c r="Y1869" s="9"/>
      <c r="Z1869" s="2"/>
    </row>
    <row r="1870" spans="1:26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3"/>
      <c r="M1870" s="6"/>
      <c r="N1870" s="6"/>
      <c r="O1870" s="6"/>
      <c r="P1870" s="5"/>
      <c r="Q1870" s="9"/>
      <c r="R1870" s="5"/>
      <c r="S1870" s="5"/>
      <c r="T1870" s="5"/>
      <c r="U1870" s="5"/>
      <c r="V1870" s="5"/>
      <c r="W1870" s="5"/>
      <c r="X1870" s="5"/>
      <c r="Y1870" s="9"/>
      <c r="Z1870" s="2"/>
    </row>
    <row r="1871" spans="1:26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3"/>
      <c r="M1871" s="6"/>
      <c r="N1871" s="6"/>
      <c r="O1871" s="6"/>
      <c r="P1871" s="5"/>
      <c r="Q1871" s="9"/>
      <c r="R1871" s="5"/>
      <c r="S1871" s="5"/>
      <c r="T1871" s="5"/>
      <c r="U1871" s="5"/>
      <c r="V1871" s="5"/>
      <c r="W1871" s="5"/>
      <c r="X1871" s="5"/>
      <c r="Y1871" s="9"/>
      <c r="Z1871" s="2"/>
    </row>
    <row r="1872" spans="1:26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3"/>
      <c r="M1872" s="6"/>
      <c r="N1872" s="6"/>
      <c r="O1872" s="6"/>
      <c r="P1872" s="5"/>
      <c r="Q1872" s="9"/>
      <c r="R1872" s="5"/>
      <c r="S1872" s="5"/>
      <c r="T1872" s="5"/>
      <c r="U1872" s="5"/>
      <c r="V1872" s="5"/>
      <c r="W1872" s="5"/>
      <c r="X1872" s="5"/>
      <c r="Y1872" s="9"/>
      <c r="Z1872" s="2"/>
    </row>
    <row r="1873" spans="1:26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3"/>
      <c r="M1873" s="6"/>
      <c r="N1873" s="6"/>
      <c r="O1873" s="6"/>
      <c r="P1873" s="5"/>
      <c r="Q1873" s="9"/>
      <c r="R1873" s="5"/>
      <c r="S1873" s="5"/>
      <c r="T1873" s="5"/>
      <c r="U1873" s="5"/>
      <c r="V1873" s="5"/>
      <c r="W1873" s="5"/>
      <c r="X1873" s="5"/>
      <c r="Y1873" s="9"/>
      <c r="Z1873" s="2"/>
    </row>
    <row r="1874" spans="1:26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3"/>
      <c r="M1874" s="6"/>
      <c r="N1874" s="6"/>
      <c r="O1874" s="6"/>
      <c r="P1874" s="5"/>
      <c r="Q1874" s="9"/>
      <c r="R1874" s="5"/>
      <c r="S1874" s="5"/>
      <c r="T1874" s="5"/>
      <c r="U1874" s="5"/>
      <c r="V1874" s="5"/>
      <c r="W1874" s="5"/>
      <c r="X1874" s="5"/>
      <c r="Y1874" s="9"/>
      <c r="Z1874" s="2"/>
    </row>
    <row r="1875" spans="1:26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3"/>
      <c r="M1875" s="6"/>
      <c r="N1875" s="6"/>
      <c r="O1875" s="6"/>
      <c r="P1875" s="5"/>
      <c r="Q1875" s="9"/>
      <c r="R1875" s="5"/>
      <c r="S1875" s="5"/>
      <c r="T1875" s="5"/>
      <c r="U1875" s="5"/>
      <c r="V1875" s="5"/>
      <c r="W1875" s="5"/>
      <c r="X1875" s="5"/>
      <c r="Y1875" s="9"/>
      <c r="Z1875" s="2"/>
    </row>
    <row r="1876" spans="1:26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3"/>
      <c r="M1876" s="6"/>
      <c r="N1876" s="6"/>
      <c r="O1876" s="6"/>
      <c r="P1876" s="5"/>
      <c r="Q1876" s="9"/>
      <c r="R1876" s="5"/>
      <c r="S1876" s="5"/>
      <c r="T1876" s="5"/>
      <c r="U1876" s="5"/>
      <c r="V1876" s="5"/>
      <c r="W1876" s="5"/>
      <c r="X1876" s="5"/>
      <c r="Y1876" s="9"/>
      <c r="Z1876" s="2"/>
    </row>
    <row r="1877" spans="1:26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3"/>
      <c r="M1877" s="6"/>
      <c r="N1877" s="6"/>
      <c r="O1877" s="6"/>
      <c r="P1877" s="5"/>
      <c r="Q1877" s="9"/>
      <c r="R1877" s="5"/>
      <c r="S1877" s="5"/>
      <c r="T1877" s="5"/>
      <c r="U1877" s="5"/>
      <c r="V1877" s="5"/>
      <c r="W1877" s="5"/>
      <c r="X1877" s="5"/>
      <c r="Y1877" s="9"/>
      <c r="Z1877" s="2"/>
    </row>
    <row r="1878" spans="1:26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3"/>
      <c r="M1878" s="6"/>
      <c r="N1878" s="6"/>
      <c r="O1878" s="6"/>
      <c r="P1878" s="5"/>
      <c r="Q1878" s="9"/>
      <c r="R1878" s="5"/>
      <c r="S1878" s="5"/>
      <c r="T1878" s="5"/>
      <c r="U1878" s="5"/>
      <c r="V1878" s="5"/>
      <c r="W1878" s="5"/>
      <c r="X1878" s="5"/>
      <c r="Y1878" s="9"/>
      <c r="Z1878" s="2"/>
    </row>
    <row r="1879" spans="1:26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3"/>
      <c r="M1879" s="6"/>
      <c r="N1879" s="6"/>
      <c r="O1879" s="6"/>
      <c r="P1879" s="5"/>
      <c r="Q1879" s="9"/>
      <c r="R1879" s="5"/>
      <c r="S1879" s="5"/>
      <c r="T1879" s="5"/>
      <c r="U1879" s="5"/>
      <c r="V1879" s="5"/>
      <c r="W1879" s="5"/>
      <c r="X1879" s="5"/>
      <c r="Y1879" s="9"/>
      <c r="Z1879" s="2"/>
    </row>
    <row r="1880" spans="1:26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3"/>
      <c r="M1880" s="6"/>
      <c r="N1880" s="6"/>
      <c r="O1880" s="6"/>
      <c r="P1880" s="5"/>
      <c r="Q1880" s="9"/>
      <c r="R1880" s="5"/>
      <c r="S1880" s="5"/>
      <c r="T1880" s="5"/>
      <c r="U1880" s="5"/>
      <c r="V1880" s="5"/>
      <c r="W1880" s="5"/>
      <c r="X1880" s="5"/>
      <c r="Y1880" s="9"/>
      <c r="Z1880" s="2"/>
    </row>
    <row r="1881" spans="1:26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3"/>
      <c r="M1881" s="6"/>
      <c r="N1881" s="6"/>
      <c r="O1881" s="6"/>
      <c r="P1881" s="5"/>
      <c r="Q1881" s="9"/>
      <c r="R1881" s="5"/>
      <c r="S1881" s="5"/>
      <c r="T1881" s="5"/>
      <c r="U1881" s="5"/>
      <c r="V1881" s="5"/>
      <c r="W1881" s="5"/>
      <c r="X1881" s="5"/>
      <c r="Y1881" s="9"/>
      <c r="Z1881" s="2"/>
    </row>
    <row r="1882" spans="1:26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3"/>
      <c r="M1882" s="6"/>
      <c r="N1882" s="6"/>
      <c r="O1882" s="6"/>
      <c r="P1882" s="5"/>
      <c r="Q1882" s="9"/>
      <c r="R1882" s="5"/>
      <c r="S1882" s="5"/>
      <c r="T1882" s="5"/>
      <c r="U1882" s="5"/>
      <c r="V1882" s="5"/>
      <c r="W1882" s="5"/>
      <c r="X1882" s="5"/>
      <c r="Y1882" s="9"/>
      <c r="Z1882" s="2"/>
    </row>
    <row r="1883" spans="1:26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3"/>
      <c r="M1883" s="6"/>
      <c r="N1883" s="6"/>
      <c r="O1883" s="6"/>
      <c r="P1883" s="5"/>
      <c r="Q1883" s="9"/>
      <c r="R1883" s="5"/>
      <c r="S1883" s="5"/>
      <c r="T1883" s="5"/>
      <c r="U1883" s="5"/>
      <c r="V1883" s="5"/>
      <c r="W1883" s="5"/>
      <c r="X1883" s="5"/>
      <c r="Y1883" s="9"/>
      <c r="Z1883" s="2"/>
    </row>
    <row r="1884" spans="1:26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3"/>
      <c r="M1884" s="6"/>
      <c r="N1884" s="6"/>
      <c r="O1884" s="6"/>
      <c r="P1884" s="5"/>
      <c r="Q1884" s="9"/>
      <c r="R1884" s="5"/>
      <c r="S1884" s="5"/>
      <c r="T1884" s="5"/>
      <c r="U1884" s="5"/>
      <c r="V1884" s="5"/>
      <c r="W1884" s="5"/>
      <c r="X1884" s="5"/>
      <c r="Y1884" s="9"/>
      <c r="Z1884" s="2"/>
    </row>
    <row r="1885" spans="1:26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3"/>
      <c r="M1885" s="6"/>
      <c r="N1885" s="6"/>
      <c r="O1885" s="6"/>
      <c r="P1885" s="5"/>
      <c r="Q1885" s="9"/>
      <c r="R1885" s="5"/>
      <c r="S1885" s="5"/>
      <c r="T1885" s="5"/>
      <c r="U1885" s="5"/>
      <c r="V1885" s="5"/>
      <c r="W1885" s="5"/>
      <c r="X1885" s="5"/>
      <c r="Y1885" s="9"/>
      <c r="Z1885" s="2"/>
    </row>
    <row r="1886" spans="1:26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3"/>
      <c r="M1886" s="6"/>
      <c r="N1886" s="6"/>
      <c r="O1886" s="6"/>
      <c r="P1886" s="5"/>
      <c r="Q1886" s="9"/>
      <c r="R1886" s="5"/>
      <c r="S1886" s="5"/>
      <c r="T1886" s="5"/>
      <c r="U1886" s="5"/>
      <c r="V1886" s="5"/>
      <c r="W1886" s="5"/>
      <c r="X1886" s="5"/>
      <c r="Y1886" s="9"/>
      <c r="Z1886" s="2"/>
    </row>
    <row r="1887" spans="1:26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3"/>
      <c r="M1887" s="6"/>
      <c r="N1887" s="6"/>
      <c r="O1887" s="6"/>
      <c r="P1887" s="5"/>
      <c r="Q1887" s="9"/>
      <c r="R1887" s="5"/>
      <c r="S1887" s="5"/>
      <c r="T1887" s="5"/>
      <c r="U1887" s="5"/>
      <c r="V1887" s="5"/>
      <c r="W1887" s="5"/>
      <c r="X1887" s="5"/>
      <c r="Y1887" s="9"/>
      <c r="Z1887" s="2"/>
    </row>
    <row r="1888" spans="1:26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3"/>
      <c r="M1888" s="6"/>
      <c r="N1888" s="6"/>
      <c r="O1888" s="6"/>
      <c r="P1888" s="5"/>
      <c r="Q1888" s="9"/>
      <c r="R1888" s="5"/>
      <c r="S1888" s="5"/>
      <c r="T1888" s="5"/>
      <c r="U1888" s="5"/>
      <c r="V1888" s="5"/>
      <c r="W1888" s="5"/>
      <c r="X1888" s="5"/>
      <c r="Y1888" s="9"/>
      <c r="Z1888" s="2"/>
    </row>
    <row r="1889" spans="1:26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3"/>
      <c r="M1889" s="6"/>
      <c r="N1889" s="6"/>
      <c r="O1889" s="6"/>
      <c r="P1889" s="5"/>
      <c r="Q1889" s="9"/>
      <c r="R1889" s="5"/>
      <c r="S1889" s="5"/>
      <c r="T1889" s="5"/>
      <c r="U1889" s="5"/>
      <c r="V1889" s="5"/>
      <c r="W1889" s="5"/>
      <c r="X1889" s="5"/>
      <c r="Y1889" s="9"/>
      <c r="Z1889" s="2"/>
    </row>
    <row r="1890" spans="1:26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3"/>
      <c r="M1890" s="6"/>
      <c r="N1890" s="6"/>
      <c r="O1890" s="6"/>
      <c r="P1890" s="5"/>
      <c r="Q1890" s="9"/>
      <c r="R1890" s="5"/>
      <c r="S1890" s="5"/>
      <c r="T1890" s="5"/>
      <c r="U1890" s="5"/>
      <c r="V1890" s="5"/>
      <c r="W1890" s="5"/>
      <c r="X1890" s="5"/>
      <c r="Y1890" s="9"/>
      <c r="Z1890" s="2"/>
    </row>
    <row r="1891" spans="1:26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3"/>
      <c r="M1891" s="6"/>
      <c r="N1891" s="6"/>
      <c r="O1891" s="6"/>
      <c r="P1891" s="5"/>
      <c r="Q1891" s="9"/>
      <c r="R1891" s="5"/>
      <c r="S1891" s="5"/>
      <c r="T1891" s="5"/>
      <c r="U1891" s="5"/>
      <c r="V1891" s="5"/>
      <c r="W1891" s="5"/>
      <c r="X1891" s="5"/>
      <c r="Y1891" s="9"/>
      <c r="Z1891" s="2"/>
    </row>
    <row r="1892" spans="1:26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3"/>
      <c r="M1892" s="6"/>
      <c r="N1892" s="6"/>
      <c r="O1892" s="6"/>
      <c r="P1892" s="5"/>
      <c r="Q1892" s="9"/>
      <c r="R1892" s="5"/>
      <c r="S1892" s="5"/>
      <c r="T1892" s="5"/>
      <c r="U1892" s="5"/>
      <c r="V1892" s="5"/>
      <c r="W1892" s="5"/>
      <c r="X1892" s="5"/>
      <c r="Y1892" s="9"/>
      <c r="Z1892" s="2"/>
    </row>
    <row r="1893" spans="1:26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3"/>
      <c r="M1893" s="6"/>
      <c r="N1893" s="6"/>
      <c r="O1893" s="6"/>
      <c r="P1893" s="5"/>
      <c r="Q1893" s="9"/>
      <c r="R1893" s="5"/>
      <c r="S1893" s="5"/>
      <c r="T1893" s="5"/>
      <c r="U1893" s="5"/>
      <c r="V1893" s="5"/>
      <c r="W1893" s="5"/>
      <c r="X1893" s="5"/>
      <c r="Y1893" s="9"/>
      <c r="Z1893" s="2"/>
    </row>
    <row r="1894" spans="1:26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3"/>
      <c r="M1894" s="6"/>
      <c r="N1894" s="6"/>
      <c r="O1894" s="6"/>
      <c r="P1894" s="5"/>
      <c r="Q1894" s="9"/>
      <c r="R1894" s="5"/>
      <c r="S1894" s="5"/>
      <c r="T1894" s="5"/>
      <c r="U1894" s="5"/>
      <c r="V1894" s="5"/>
      <c r="W1894" s="5"/>
      <c r="X1894" s="5"/>
      <c r="Y1894" s="9"/>
      <c r="Z1894" s="2"/>
    </row>
    <row r="1895" spans="1:26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3"/>
      <c r="M1895" s="6"/>
      <c r="N1895" s="6"/>
      <c r="O1895" s="6"/>
      <c r="P1895" s="5"/>
      <c r="Q1895" s="9"/>
      <c r="R1895" s="5"/>
      <c r="S1895" s="5"/>
      <c r="T1895" s="5"/>
      <c r="U1895" s="5"/>
      <c r="V1895" s="5"/>
      <c r="W1895" s="5"/>
      <c r="X1895" s="5"/>
      <c r="Y1895" s="9"/>
      <c r="Z1895" s="2"/>
    </row>
    <row r="1896" spans="1:26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3"/>
      <c r="M1896" s="6"/>
      <c r="N1896" s="6"/>
      <c r="O1896" s="6"/>
      <c r="P1896" s="5"/>
      <c r="Q1896" s="9"/>
      <c r="R1896" s="5"/>
      <c r="S1896" s="5"/>
      <c r="T1896" s="5"/>
      <c r="U1896" s="5"/>
      <c r="V1896" s="5"/>
      <c r="W1896" s="5"/>
      <c r="X1896" s="5"/>
      <c r="Y1896" s="9"/>
      <c r="Z1896" s="2"/>
    </row>
    <row r="1897" spans="1:26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3"/>
      <c r="M1897" s="6"/>
      <c r="N1897" s="6"/>
      <c r="O1897" s="6"/>
      <c r="P1897" s="5"/>
      <c r="Q1897" s="9"/>
      <c r="R1897" s="5"/>
      <c r="S1897" s="5"/>
      <c r="T1897" s="5"/>
      <c r="U1897" s="5"/>
      <c r="V1897" s="5"/>
      <c r="W1897" s="5"/>
      <c r="X1897" s="5"/>
      <c r="Y1897" s="9"/>
      <c r="Z1897" s="2"/>
    </row>
    <row r="1898" spans="1:26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3"/>
      <c r="M1898" s="6"/>
      <c r="N1898" s="6"/>
      <c r="O1898" s="6"/>
      <c r="P1898" s="5"/>
      <c r="Q1898" s="9"/>
      <c r="R1898" s="5"/>
      <c r="S1898" s="5"/>
      <c r="T1898" s="5"/>
      <c r="U1898" s="5"/>
      <c r="V1898" s="5"/>
      <c r="W1898" s="5"/>
      <c r="X1898" s="5"/>
      <c r="Y1898" s="9"/>
      <c r="Z1898" s="2"/>
    </row>
    <row r="1899" spans="1:26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3"/>
      <c r="M1899" s="6"/>
      <c r="N1899" s="6"/>
      <c r="O1899" s="6"/>
      <c r="P1899" s="5"/>
      <c r="Q1899" s="9"/>
      <c r="R1899" s="5"/>
      <c r="S1899" s="5"/>
      <c r="T1899" s="5"/>
      <c r="U1899" s="5"/>
      <c r="V1899" s="5"/>
      <c r="W1899" s="5"/>
      <c r="X1899" s="5"/>
      <c r="Y1899" s="9"/>
      <c r="Z1899" s="2"/>
    </row>
    <row r="1900" spans="1:26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3"/>
      <c r="M1900" s="6"/>
      <c r="N1900" s="6"/>
      <c r="O1900" s="6"/>
      <c r="P1900" s="5"/>
      <c r="Q1900" s="9"/>
      <c r="R1900" s="5"/>
      <c r="S1900" s="5"/>
      <c r="T1900" s="5"/>
      <c r="U1900" s="5"/>
      <c r="V1900" s="5"/>
      <c r="W1900" s="5"/>
      <c r="X1900" s="5"/>
      <c r="Y1900" s="9"/>
      <c r="Z1900" s="2"/>
    </row>
    <row r="1901" spans="1:26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3"/>
      <c r="M1901" s="6"/>
      <c r="N1901" s="6"/>
      <c r="O1901" s="6"/>
      <c r="P1901" s="5"/>
      <c r="Q1901" s="9"/>
      <c r="R1901" s="5"/>
      <c r="S1901" s="5"/>
      <c r="T1901" s="5"/>
      <c r="U1901" s="5"/>
      <c r="V1901" s="5"/>
      <c r="W1901" s="5"/>
      <c r="X1901" s="5"/>
      <c r="Y1901" s="9"/>
      <c r="Z1901" s="2"/>
    </row>
    <row r="1902" spans="1:26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3"/>
      <c r="M1902" s="6"/>
      <c r="N1902" s="6"/>
      <c r="O1902" s="6"/>
      <c r="P1902" s="5"/>
      <c r="Q1902" s="9"/>
      <c r="R1902" s="5"/>
      <c r="S1902" s="5"/>
      <c r="T1902" s="5"/>
      <c r="U1902" s="5"/>
      <c r="V1902" s="5"/>
      <c r="W1902" s="5"/>
      <c r="X1902" s="5"/>
      <c r="Y1902" s="9"/>
      <c r="Z1902" s="2"/>
    </row>
    <row r="1903" spans="1:26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3"/>
      <c r="M1903" s="6"/>
      <c r="N1903" s="6"/>
      <c r="O1903" s="6"/>
      <c r="P1903" s="5"/>
      <c r="Q1903" s="9"/>
      <c r="R1903" s="5"/>
      <c r="S1903" s="5"/>
      <c r="T1903" s="5"/>
      <c r="U1903" s="5"/>
      <c r="V1903" s="5"/>
      <c r="W1903" s="5"/>
      <c r="X1903" s="5"/>
      <c r="Y1903" s="9"/>
      <c r="Z1903" s="2"/>
    </row>
    <row r="1904" spans="1:26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3"/>
      <c r="M1904" s="6"/>
      <c r="N1904" s="6"/>
      <c r="O1904" s="6"/>
      <c r="P1904" s="5"/>
      <c r="Q1904" s="9"/>
      <c r="R1904" s="5"/>
      <c r="S1904" s="5"/>
      <c r="T1904" s="5"/>
      <c r="U1904" s="5"/>
      <c r="V1904" s="5"/>
      <c r="W1904" s="5"/>
      <c r="X1904" s="5"/>
      <c r="Y1904" s="9"/>
      <c r="Z1904" s="2"/>
    </row>
    <row r="1905" spans="1:26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3"/>
      <c r="M1905" s="6"/>
      <c r="N1905" s="6"/>
      <c r="O1905" s="6"/>
      <c r="P1905" s="5"/>
      <c r="Q1905" s="9"/>
      <c r="R1905" s="5"/>
      <c r="S1905" s="5"/>
      <c r="T1905" s="5"/>
      <c r="U1905" s="5"/>
      <c r="V1905" s="5"/>
      <c r="W1905" s="5"/>
      <c r="X1905" s="5"/>
      <c r="Y1905" s="9"/>
      <c r="Z1905" s="2"/>
    </row>
    <row r="1906" spans="1:26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3"/>
      <c r="M1906" s="6"/>
      <c r="N1906" s="6"/>
      <c r="O1906" s="6"/>
      <c r="P1906" s="5"/>
      <c r="Q1906" s="9"/>
      <c r="R1906" s="5"/>
      <c r="S1906" s="5"/>
      <c r="T1906" s="5"/>
      <c r="U1906" s="5"/>
      <c r="V1906" s="5"/>
      <c r="W1906" s="5"/>
      <c r="X1906" s="5"/>
      <c r="Y1906" s="9"/>
      <c r="Z1906" s="2"/>
    </row>
    <row r="1907" spans="1:26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3"/>
      <c r="M1907" s="6"/>
      <c r="N1907" s="6"/>
      <c r="O1907" s="6"/>
      <c r="P1907" s="5"/>
      <c r="Q1907" s="9"/>
      <c r="R1907" s="5"/>
      <c r="S1907" s="5"/>
      <c r="T1907" s="5"/>
      <c r="U1907" s="5"/>
      <c r="V1907" s="5"/>
      <c r="W1907" s="5"/>
      <c r="X1907" s="5"/>
      <c r="Y1907" s="9"/>
      <c r="Z1907" s="2"/>
    </row>
    <row r="1908" spans="1:26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3"/>
      <c r="M1908" s="6"/>
      <c r="N1908" s="6"/>
      <c r="O1908" s="6"/>
      <c r="P1908" s="5"/>
      <c r="Q1908" s="9"/>
      <c r="R1908" s="5"/>
      <c r="S1908" s="5"/>
      <c r="T1908" s="5"/>
      <c r="U1908" s="5"/>
      <c r="V1908" s="5"/>
      <c r="W1908" s="5"/>
      <c r="X1908" s="5"/>
      <c r="Y1908" s="9"/>
      <c r="Z1908" s="2"/>
    </row>
    <row r="1909" spans="1:26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3"/>
      <c r="M1909" s="6"/>
      <c r="N1909" s="6"/>
      <c r="O1909" s="6"/>
      <c r="P1909" s="5"/>
      <c r="Q1909" s="9"/>
      <c r="R1909" s="5"/>
      <c r="S1909" s="5"/>
      <c r="T1909" s="5"/>
      <c r="U1909" s="5"/>
      <c r="V1909" s="5"/>
      <c r="W1909" s="5"/>
      <c r="X1909" s="5"/>
      <c r="Y1909" s="9"/>
      <c r="Z1909" s="2"/>
    </row>
    <row r="1910" spans="1:26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3"/>
      <c r="M1910" s="6"/>
      <c r="N1910" s="6"/>
      <c r="O1910" s="6"/>
      <c r="P1910" s="5"/>
      <c r="Q1910" s="9"/>
      <c r="R1910" s="5"/>
      <c r="S1910" s="5"/>
      <c r="T1910" s="5"/>
      <c r="U1910" s="5"/>
      <c r="V1910" s="5"/>
      <c r="W1910" s="5"/>
      <c r="X1910" s="5"/>
      <c r="Y1910" s="9"/>
      <c r="Z1910" s="2"/>
    </row>
    <row r="1911" spans="1:26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3"/>
      <c r="M1911" s="6"/>
      <c r="N1911" s="6"/>
      <c r="O1911" s="6"/>
      <c r="P1911" s="5"/>
      <c r="Q1911" s="9"/>
      <c r="R1911" s="5"/>
      <c r="S1911" s="5"/>
      <c r="T1911" s="5"/>
      <c r="U1911" s="5"/>
      <c r="V1911" s="5"/>
      <c r="W1911" s="5"/>
      <c r="X1911" s="5"/>
      <c r="Y1911" s="9"/>
      <c r="Z1911" s="2"/>
    </row>
    <row r="1912" spans="1:26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3"/>
      <c r="M1912" s="6"/>
      <c r="N1912" s="6"/>
      <c r="O1912" s="6"/>
      <c r="P1912" s="5"/>
      <c r="Q1912" s="9"/>
      <c r="R1912" s="5"/>
      <c r="S1912" s="5"/>
      <c r="T1912" s="5"/>
      <c r="U1912" s="5"/>
      <c r="V1912" s="5"/>
      <c r="W1912" s="5"/>
      <c r="X1912" s="5"/>
      <c r="Y1912" s="9"/>
      <c r="Z1912" s="2"/>
    </row>
    <row r="1913" spans="1:26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3"/>
      <c r="M1913" s="6"/>
      <c r="N1913" s="6"/>
      <c r="O1913" s="6"/>
      <c r="P1913" s="5"/>
      <c r="Q1913" s="9"/>
      <c r="R1913" s="5"/>
      <c r="S1913" s="5"/>
      <c r="T1913" s="5"/>
      <c r="U1913" s="5"/>
      <c r="V1913" s="5"/>
      <c r="W1913" s="5"/>
      <c r="X1913" s="5"/>
      <c r="Y1913" s="9"/>
      <c r="Z1913" s="2"/>
    </row>
    <row r="1914" spans="1:26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3"/>
      <c r="M1914" s="6"/>
      <c r="N1914" s="6"/>
      <c r="O1914" s="6"/>
      <c r="P1914" s="5"/>
      <c r="Q1914" s="9"/>
      <c r="R1914" s="5"/>
      <c r="S1914" s="5"/>
      <c r="T1914" s="5"/>
      <c r="U1914" s="5"/>
      <c r="V1914" s="5"/>
      <c r="W1914" s="5"/>
      <c r="X1914" s="5"/>
      <c r="Y1914" s="9"/>
      <c r="Z1914" s="2"/>
    </row>
    <row r="1915" spans="1:26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3"/>
      <c r="M1915" s="6"/>
      <c r="N1915" s="6"/>
      <c r="O1915" s="6"/>
      <c r="P1915" s="5"/>
      <c r="Q1915" s="9"/>
      <c r="R1915" s="5"/>
      <c r="S1915" s="5"/>
      <c r="T1915" s="5"/>
      <c r="U1915" s="5"/>
      <c r="V1915" s="5"/>
      <c r="W1915" s="5"/>
      <c r="X1915" s="5"/>
      <c r="Y1915" s="9"/>
      <c r="Z1915" s="2"/>
    </row>
    <row r="1916" spans="1:26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3"/>
      <c r="M1916" s="6"/>
      <c r="N1916" s="6"/>
      <c r="O1916" s="6"/>
      <c r="P1916" s="5"/>
      <c r="Q1916" s="9"/>
      <c r="R1916" s="5"/>
      <c r="S1916" s="5"/>
      <c r="T1916" s="5"/>
      <c r="U1916" s="5"/>
      <c r="V1916" s="5"/>
      <c r="W1916" s="5"/>
      <c r="X1916" s="5"/>
      <c r="Y1916" s="9"/>
      <c r="Z1916" s="2"/>
    </row>
    <row r="1917" spans="1:26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3"/>
      <c r="M1917" s="6"/>
      <c r="N1917" s="6"/>
      <c r="O1917" s="6"/>
      <c r="P1917" s="5"/>
      <c r="Q1917" s="9"/>
      <c r="R1917" s="5"/>
      <c r="S1917" s="5"/>
      <c r="T1917" s="5"/>
      <c r="U1917" s="5"/>
      <c r="V1917" s="5"/>
      <c r="W1917" s="5"/>
      <c r="X1917" s="5"/>
      <c r="Y1917" s="9"/>
      <c r="Z1917" s="2"/>
    </row>
    <row r="1918" spans="1:26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3"/>
      <c r="M1918" s="6"/>
      <c r="N1918" s="6"/>
      <c r="O1918" s="6"/>
      <c r="P1918" s="5"/>
      <c r="Q1918" s="9"/>
      <c r="R1918" s="5"/>
      <c r="S1918" s="5"/>
      <c r="T1918" s="5"/>
      <c r="U1918" s="5"/>
      <c r="V1918" s="5"/>
      <c r="W1918" s="5"/>
      <c r="X1918" s="5"/>
      <c r="Y1918" s="9"/>
      <c r="Z1918" s="2"/>
    </row>
    <row r="1919" spans="1:26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3"/>
      <c r="M1919" s="6"/>
      <c r="N1919" s="6"/>
      <c r="O1919" s="6"/>
      <c r="P1919" s="5"/>
      <c r="Q1919" s="9"/>
      <c r="R1919" s="5"/>
      <c r="S1919" s="5"/>
      <c r="T1919" s="5"/>
      <c r="U1919" s="5"/>
      <c r="V1919" s="5"/>
      <c r="W1919" s="5"/>
      <c r="X1919" s="5"/>
      <c r="Y1919" s="9"/>
      <c r="Z1919" s="2"/>
    </row>
    <row r="1920" spans="1:26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3"/>
      <c r="M1920" s="6"/>
      <c r="N1920" s="6"/>
      <c r="O1920" s="6"/>
      <c r="P1920" s="5"/>
      <c r="Q1920" s="9"/>
      <c r="R1920" s="5"/>
      <c r="S1920" s="5"/>
      <c r="T1920" s="5"/>
      <c r="U1920" s="5"/>
      <c r="V1920" s="5"/>
      <c r="W1920" s="5"/>
      <c r="X1920" s="5"/>
      <c r="Y1920" s="9"/>
      <c r="Z1920" s="2"/>
    </row>
    <row r="1921" spans="1:26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3"/>
      <c r="M1921" s="6"/>
      <c r="N1921" s="6"/>
      <c r="O1921" s="6"/>
      <c r="P1921" s="5"/>
      <c r="Q1921" s="9"/>
      <c r="R1921" s="5"/>
      <c r="S1921" s="5"/>
      <c r="T1921" s="5"/>
      <c r="U1921" s="5"/>
      <c r="V1921" s="5"/>
      <c r="W1921" s="5"/>
      <c r="X1921" s="5"/>
      <c r="Y1921" s="9"/>
      <c r="Z1921" s="2"/>
    </row>
    <row r="1922" spans="1:26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3"/>
      <c r="M1922" s="6"/>
      <c r="N1922" s="6"/>
      <c r="O1922" s="6"/>
      <c r="P1922" s="5"/>
      <c r="Q1922" s="9"/>
      <c r="R1922" s="5"/>
      <c r="S1922" s="5"/>
      <c r="T1922" s="5"/>
      <c r="U1922" s="5"/>
      <c r="V1922" s="5"/>
      <c r="W1922" s="5"/>
      <c r="X1922" s="5"/>
      <c r="Y1922" s="9"/>
      <c r="Z1922" s="2"/>
    </row>
    <row r="1923" spans="1:26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3"/>
      <c r="M1923" s="6"/>
      <c r="N1923" s="6"/>
      <c r="O1923" s="6"/>
      <c r="P1923" s="5"/>
      <c r="Q1923" s="9"/>
      <c r="R1923" s="5"/>
      <c r="S1923" s="5"/>
      <c r="T1923" s="5"/>
      <c r="U1923" s="5"/>
      <c r="V1923" s="5"/>
      <c r="W1923" s="5"/>
      <c r="X1923" s="5"/>
      <c r="Y1923" s="9"/>
      <c r="Z1923" s="2"/>
    </row>
    <row r="1924" spans="1:26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3"/>
      <c r="M1924" s="6"/>
      <c r="N1924" s="6"/>
      <c r="O1924" s="6"/>
      <c r="P1924" s="5"/>
      <c r="Q1924" s="9"/>
      <c r="R1924" s="5"/>
      <c r="S1924" s="5"/>
      <c r="T1924" s="5"/>
      <c r="U1924" s="5"/>
      <c r="V1924" s="5"/>
      <c r="W1924" s="5"/>
      <c r="X1924" s="5"/>
      <c r="Y1924" s="9"/>
      <c r="Z1924" s="2"/>
    </row>
    <row r="1925" spans="1:26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3"/>
      <c r="M1925" s="6"/>
      <c r="N1925" s="6"/>
      <c r="O1925" s="6"/>
      <c r="P1925" s="5"/>
      <c r="Q1925" s="9"/>
      <c r="R1925" s="5"/>
      <c r="S1925" s="5"/>
      <c r="T1925" s="5"/>
      <c r="U1925" s="5"/>
      <c r="V1925" s="5"/>
      <c r="W1925" s="5"/>
      <c r="X1925" s="5"/>
      <c r="Y1925" s="9"/>
      <c r="Z1925" s="2"/>
    </row>
    <row r="1926" spans="1:26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3"/>
      <c r="M1926" s="6"/>
      <c r="N1926" s="6"/>
      <c r="O1926" s="6"/>
      <c r="P1926" s="5"/>
      <c r="Q1926" s="9"/>
      <c r="R1926" s="5"/>
      <c r="S1926" s="5"/>
      <c r="T1926" s="5"/>
      <c r="U1926" s="5"/>
      <c r="V1926" s="5"/>
      <c r="W1926" s="5"/>
      <c r="X1926" s="5"/>
      <c r="Y1926" s="9"/>
      <c r="Z1926" s="2"/>
    </row>
    <row r="1927" spans="1:26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3"/>
      <c r="M1927" s="6"/>
      <c r="N1927" s="6"/>
      <c r="O1927" s="6"/>
      <c r="P1927" s="5"/>
      <c r="Q1927" s="9"/>
      <c r="R1927" s="5"/>
      <c r="S1927" s="5"/>
      <c r="T1927" s="5"/>
      <c r="U1927" s="5"/>
      <c r="V1927" s="5"/>
      <c r="W1927" s="5"/>
      <c r="X1927" s="5"/>
      <c r="Y1927" s="9"/>
      <c r="Z1927" s="2"/>
    </row>
    <row r="1928" spans="1:26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3"/>
      <c r="M1928" s="6"/>
      <c r="N1928" s="6"/>
      <c r="O1928" s="6"/>
      <c r="P1928" s="5"/>
      <c r="Q1928" s="9"/>
      <c r="R1928" s="5"/>
      <c r="S1928" s="5"/>
      <c r="T1928" s="5"/>
      <c r="U1928" s="5"/>
      <c r="V1928" s="5"/>
      <c r="W1928" s="5"/>
      <c r="X1928" s="5"/>
      <c r="Y1928" s="9"/>
      <c r="Z1928" s="2"/>
    </row>
    <row r="1929" spans="1:26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3"/>
      <c r="M1929" s="6"/>
      <c r="N1929" s="6"/>
      <c r="O1929" s="6"/>
      <c r="P1929" s="5"/>
      <c r="Q1929" s="9"/>
      <c r="R1929" s="5"/>
      <c r="S1929" s="5"/>
      <c r="T1929" s="5"/>
      <c r="U1929" s="5"/>
      <c r="V1929" s="5"/>
      <c r="W1929" s="5"/>
      <c r="X1929" s="5"/>
      <c r="Y1929" s="9"/>
      <c r="Z1929" s="2"/>
    </row>
    <row r="1930" spans="1:26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3"/>
      <c r="M1930" s="6"/>
      <c r="N1930" s="6"/>
      <c r="O1930" s="6"/>
      <c r="P1930" s="5"/>
      <c r="Q1930" s="9"/>
      <c r="R1930" s="5"/>
      <c r="S1930" s="5"/>
      <c r="T1930" s="5"/>
      <c r="U1930" s="5"/>
      <c r="V1930" s="5"/>
      <c r="W1930" s="5"/>
      <c r="X1930" s="5"/>
      <c r="Y1930" s="9"/>
      <c r="Z1930" s="2"/>
    </row>
    <row r="1931" spans="1:26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3"/>
      <c r="M1931" s="6"/>
      <c r="N1931" s="6"/>
      <c r="O1931" s="6"/>
      <c r="P1931" s="5"/>
      <c r="Q1931" s="9"/>
      <c r="R1931" s="5"/>
      <c r="S1931" s="5"/>
      <c r="T1931" s="5"/>
      <c r="U1931" s="5"/>
      <c r="V1931" s="5"/>
      <c r="W1931" s="5"/>
      <c r="X1931" s="5"/>
      <c r="Y1931" s="9"/>
      <c r="Z1931" s="2"/>
    </row>
    <row r="1932" spans="1:26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3"/>
      <c r="M1932" s="6"/>
      <c r="N1932" s="6"/>
      <c r="O1932" s="6"/>
      <c r="P1932" s="5"/>
      <c r="Q1932" s="9"/>
      <c r="R1932" s="5"/>
      <c r="S1932" s="5"/>
      <c r="T1932" s="5"/>
      <c r="U1932" s="5"/>
      <c r="V1932" s="5"/>
      <c r="W1932" s="5"/>
      <c r="X1932" s="5"/>
      <c r="Y1932" s="9"/>
      <c r="Z1932" s="2"/>
    </row>
    <row r="1933" spans="1:26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3"/>
      <c r="M1933" s="6"/>
      <c r="N1933" s="6"/>
      <c r="O1933" s="6"/>
      <c r="P1933" s="5"/>
      <c r="Q1933" s="9"/>
      <c r="R1933" s="5"/>
      <c r="S1933" s="5"/>
      <c r="T1933" s="5"/>
      <c r="U1933" s="5"/>
      <c r="V1933" s="5"/>
      <c r="W1933" s="5"/>
      <c r="X1933" s="5"/>
      <c r="Y1933" s="9"/>
      <c r="Z1933" s="2"/>
    </row>
    <row r="1934" spans="1:26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3"/>
      <c r="M1934" s="6"/>
      <c r="N1934" s="6"/>
      <c r="O1934" s="6"/>
      <c r="P1934" s="5"/>
      <c r="Q1934" s="9"/>
      <c r="R1934" s="5"/>
      <c r="S1934" s="5"/>
      <c r="T1934" s="5"/>
      <c r="U1934" s="5"/>
      <c r="V1934" s="5"/>
      <c r="W1934" s="5"/>
      <c r="X1934" s="5"/>
      <c r="Y1934" s="9"/>
      <c r="Z1934" s="2"/>
    </row>
    <row r="1935" spans="1:26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3"/>
      <c r="M1935" s="6"/>
      <c r="N1935" s="6"/>
      <c r="O1935" s="6"/>
      <c r="P1935" s="5"/>
      <c r="Q1935" s="9"/>
      <c r="R1935" s="5"/>
      <c r="S1935" s="5"/>
      <c r="T1935" s="5"/>
      <c r="U1935" s="5"/>
      <c r="V1935" s="5"/>
      <c r="W1935" s="5"/>
      <c r="X1935" s="5"/>
      <c r="Y1935" s="9"/>
      <c r="Z1935" s="2"/>
    </row>
    <row r="1936" spans="1:26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3"/>
      <c r="M1936" s="6"/>
      <c r="N1936" s="6"/>
      <c r="O1936" s="6"/>
      <c r="P1936" s="5"/>
      <c r="Q1936" s="9"/>
      <c r="R1936" s="5"/>
      <c r="S1936" s="5"/>
      <c r="T1936" s="5"/>
      <c r="U1936" s="5"/>
      <c r="V1936" s="5"/>
      <c r="W1936" s="5"/>
      <c r="X1936" s="5"/>
      <c r="Y1936" s="9"/>
      <c r="Z1936" s="2"/>
    </row>
    <row r="1937" spans="1:26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3"/>
      <c r="M1937" s="6"/>
      <c r="N1937" s="6"/>
      <c r="O1937" s="6"/>
      <c r="P1937" s="5"/>
      <c r="Q1937" s="9"/>
      <c r="R1937" s="5"/>
      <c r="S1937" s="5"/>
      <c r="T1937" s="5"/>
      <c r="U1937" s="5"/>
      <c r="V1937" s="5"/>
      <c r="W1937" s="5"/>
      <c r="X1937" s="5"/>
      <c r="Y1937" s="9"/>
      <c r="Z1937" s="2"/>
    </row>
    <row r="1938" spans="1:26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3"/>
      <c r="M1938" s="6"/>
      <c r="N1938" s="6"/>
      <c r="O1938" s="6"/>
      <c r="P1938" s="5"/>
      <c r="Q1938" s="9"/>
      <c r="R1938" s="5"/>
      <c r="S1938" s="5"/>
      <c r="T1938" s="5"/>
      <c r="U1938" s="5"/>
      <c r="V1938" s="5"/>
      <c r="W1938" s="5"/>
      <c r="X1938" s="5"/>
      <c r="Y1938" s="9"/>
      <c r="Z1938" s="2"/>
    </row>
    <row r="1939" spans="1:26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3"/>
      <c r="M1939" s="6"/>
      <c r="N1939" s="6"/>
      <c r="O1939" s="6"/>
      <c r="P1939" s="5"/>
      <c r="Q1939" s="9"/>
      <c r="R1939" s="5"/>
      <c r="S1939" s="5"/>
      <c r="T1939" s="5"/>
      <c r="U1939" s="5"/>
      <c r="V1939" s="5"/>
      <c r="W1939" s="5"/>
      <c r="X1939" s="5"/>
      <c r="Y1939" s="9"/>
      <c r="Z1939" s="2"/>
    </row>
    <row r="1940" spans="1:26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3"/>
      <c r="M1940" s="6"/>
      <c r="N1940" s="6"/>
      <c r="O1940" s="6"/>
      <c r="P1940" s="5"/>
      <c r="Q1940" s="9"/>
      <c r="R1940" s="5"/>
      <c r="S1940" s="5"/>
      <c r="T1940" s="5"/>
      <c r="U1940" s="5"/>
      <c r="V1940" s="5"/>
      <c r="W1940" s="5"/>
      <c r="X1940" s="5"/>
      <c r="Y1940" s="9"/>
      <c r="Z1940" s="2"/>
    </row>
    <row r="1941" spans="1:26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3"/>
      <c r="M1941" s="6"/>
      <c r="N1941" s="6"/>
      <c r="O1941" s="6"/>
      <c r="P1941" s="5"/>
      <c r="Q1941" s="9"/>
      <c r="R1941" s="5"/>
      <c r="S1941" s="5"/>
      <c r="T1941" s="5"/>
      <c r="U1941" s="5"/>
      <c r="V1941" s="5"/>
      <c r="W1941" s="5"/>
      <c r="X1941" s="5"/>
      <c r="Y1941" s="9"/>
      <c r="Z1941" s="2"/>
    </row>
    <row r="1942" spans="1:26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3"/>
      <c r="M1942" s="6"/>
      <c r="N1942" s="6"/>
      <c r="O1942" s="6"/>
      <c r="P1942" s="5"/>
      <c r="Q1942" s="9"/>
      <c r="R1942" s="5"/>
      <c r="S1942" s="5"/>
      <c r="T1942" s="5"/>
      <c r="U1942" s="5"/>
      <c r="V1942" s="5"/>
      <c r="W1942" s="5"/>
      <c r="X1942" s="5"/>
      <c r="Y1942" s="9"/>
      <c r="Z1942" s="2"/>
    </row>
    <row r="1943" spans="1:26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3"/>
      <c r="M1943" s="6"/>
      <c r="N1943" s="6"/>
      <c r="O1943" s="6"/>
      <c r="P1943" s="5"/>
      <c r="Q1943" s="9"/>
      <c r="R1943" s="5"/>
      <c r="S1943" s="5"/>
      <c r="T1943" s="5"/>
      <c r="U1943" s="5"/>
      <c r="V1943" s="5"/>
      <c r="W1943" s="5"/>
      <c r="X1943" s="5"/>
      <c r="Y1943" s="9"/>
      <c r="Z1943" s="2"/>
    </row>
    <row r="1944" spans="1:26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3"/>
      <c r="M1944" s="6"/>
      <c r="N1944" s="6"/>
      <c r="O1944" s="6"/>
      <c r="P1944" s="5"/>
      <c r="Q1944" s="9"/>
      <c r="R1944" s="5"/>
      <c r="S1944" s="5"/>
      <c r="T1944" s="5"/>
      <c r="U1944" s="5"/>
      <c r="V1944" s="5"/>
      <c r="W1944" s="5"/>
      <c r="X1944" s="5"/>
      <c r="Y1944" s="9"/>
      <c r="Z1944" s="2"/>
    </row>
    <row r="1945" spans="1:26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3"/>
      <c r="M1945" s="6"/>
      <c r="N1945" s="6"/>
      <c r="O1945" s="6"/>
      <c r="P1945" s="5"/>
      <c r="Q1945" s="9"/>
      <c r="R1945" s="5"/>
      <c r="S1945" s="5"/>
      <c r="T1945" s="5"/>
      <c r="U1945" s="5"/>
      <c r="V1945" s="5"/>
      <c r="W1945" s="5"/>
      <c r="X1945" s="5"/>
      <c r="Y1945" s="9"/>
      <c r="Z1945" s="2"/>
    </row>
    <row r="1946" spans="1:26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3"/>
      <c r="M1946" s="6"/>
      <c r="N1946" s="6"/>
      <c r="O1946" s="6"/>
      <c r="P1946" s="5"/>
      <c r="Q1946" s="9"/>
      <c r="R1946" s="5"/>
      <c r="S1946" s="5"/>
      <c r="T1946" s="5"/>
      <c r="U1946" s="5"/>
      <c r="V1946" s="5"/>
      <c r="W1946" s="5"/>
      <c r="X1946" s="5"/>
      <c r="Y1946" s="9"/>
      <c r="Z1946" s="2"/>
    </row>
    <row r="1947" spans="1:26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3"/>
      <c r="M1947" s="6"/>
      <c r="N1947" s="6"/>
      <c r="O1947" s="6"/>
      <c r="P1947" s="5"/>
      <c r="Q1947" s="9"/>
      <c r="R1947" s="5"/>
      <c r="S1947" s="5"/>
      <c r="T1947" s="5"/>
      <c r="U1947" s="5"/>
      <c r="V1947" s="5"/>
      <c r="W1947" s="5"/>
      <c r="X1947" s="5"/>
      <c r="Y1947" s="9"/>
      <c r="Z1947" s="2"/>
    </row>
    <row r="1948" spans="1:26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3"/>
      <c r="M1948" s="6"/>
      <c r="N1948" s="6"/>
      <c r="O1948" s="6"/>
      <c r="P1948" s="5"/>
      <c r="Q1948" s="9"/>
      <c r="R1948" s="5"/>
      <c r="S1948" s="5"/>
      <c r="T1948" s="5"/>
      <c r="U1948" s="5"/>
      <c r="V1948" s="5"/>
      <c r="W1948" s="5"/>
      <c r="X1948" s="5"/>
      <c r="Y1948" s="9"/>
      <c r="Z1948" s="2"/>
    </row>
    <row r="1949" spans="1:26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3"/>
      <c r="M1949" s="6"/>
      <c r="N1949" s="6"/>
      <c r="O1949" s="6"/>
      <c r="P1949" s="5"/>
      <c r="Q1949" s="9"/>
      <c r="R1949" s="5"/>
      <c r="S1949" s="5"/>
      <c r="T1949" s="5"/>
      <c r="U1949" s="5"/>
      <c r="V1949" s="5"/>
      <c r="W1949" s="5"/>
      <c r="X1949" s="5"/>
      <c r="Y1949" s="9"/>
      <c r="Z1949" s="2"/>
    </row>
    <row r="1950" spans="1:26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3"/>
      <c r="M1950" s="6"/>
      <c r="N1950" s="6"/>
      <c r="O1950" s="6"/>
      <c r="P1950" s="5"/>
      <c r="Q1950" s="9"/>
      <c r="R1950" s="5"/>
      <c r="S1950" s="5"/>
      <c r="T1950" s="5"/>
      <c r="U1950" s="5"/>
      <c r="V1950" s="5"/>
      <c r="W1950" s="5"/>
      <c r="X1950" s="5"/>
      <c r="Y1950" s="9"/>
      <c r="Z1950" s="2"/>
    </row>
    <row r="1951" spans="1:26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3"/>
      <c r="M1951" s="6"/>
      <c r="N1951" s="6"/>
      <c r="O1951" s="6"/>
      <c r="P1951" s="5"/>
      <c r="Q1951" s="9"/>
      <c r="R1951" s="5"/>
      <c r="S1951" s="5"/>
      <c r="T1951" s="5"/>
      <c r="U1951" s="5"/>
      <c r="V1951" s="5"/>
      <c r="W1951" s="5"/>
      <c r="X1951" s="5"/>
      <c r="Y1951" s="9"/>
      <c r="Z1951" s="2"/>
    </row>
    <row r="1952" spans="1:26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3"/>
      <c r="M1952" s="6"/>
      <c r="N1952" s="6"/>
      <c r="O1952" s="6"/>
      <c r="P1952" s="5"/>
      <c r="Q1952" s="9"/>
      <c r="R1952" s="5"/>
      <c r="S1952" s="5"/>
      <c r="T1952" s="5"/>
      <c r="U1952" s="5"/>
      <c r="V1952" s="5"/>
      <c r="W1952" s="5"/>
      <c r="X1952" s="5"/>
      <c r="Y1952" s="9"/>
      <c r="Z1952" s="2"/>
    </row>
    <row r="1953" spans="1:26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3"/>
      <c r="M1953" s="6"/>
      <c r="N1953" s="6"/>
      <c r="O1953" s="6"/>
      <c r="P1953" s="5"/>
      <c r="Q1953" s="9"/>
      <c r="R1953" s="5"/>
      <c r="S1953" s="5"/>
      <c r="T1953" s="5"/>
      <c r="U1953" s="5"/>
      <c r="V1953" s="5"/>
      <c r="W1953" s="5"/>
      <c r="X1953" s="5"/>
      <c r="Y1953" s="9"/>
      <c r="Z1953" s="2"/>
    </row>
    <row r="1954" spans="1:26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3"/>
      <c r="M1954" s="6"/>
      <c r="N1954" s="6"/>
      <c r="O1954" s="6"/>
      <c r="P1954" s="5"/>
      <c r="Q1954" s="9"/>
      <c r="R1954" s="5"/>
      <c r="S1954" s="5"/>
      <c r="T1954" s="5"/>
      <c r="U1954" s="5"/>
      <c r="V1954" s="5"/>
      <c r="W1954" s="5"/>
      <c r="X1954" s="5"/>
      <c r="Y1954" s="9"/>
      <c r="Z1954" s="2"/>
    </row>
    <row r="1955" spans="1:26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3"/>
      <c r="M1955" s="6"/>
      <c r="N1955" s="6"/>
      <c r="O1955" s="6"/>
      <c r="P1955" s="5"/>
      <c r="Q1955" s="9"/>
      <c r="R1955" s="5"/>
      <c r="S1955" s="5"/>
      <c r="T1955" s="5"/>
      <c r="U1955" s="5"/>
      <c r="V1955" s="5"/>
      <c r="W1955" s="5"/>
      <c r="X1955" s="5"/>
      <c r="Y1955" s="9"/>
      <c r="Z1955" s="2"/>
    </row>
    <row r="1956" spans="1:26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3"/>
      <c r="M1956" s="6"/>
      <c r="N1956" s="6"/>
      <c r="O1956" s="6"/>
      <c r="P1956" s="5"/>
      <c r="Q1956" s="9"/>
      <c r="R1956" s="5"/>
      <c r="S1956" s="5"/>
      <c r="T1956" s="5"/>
      <c r="U1956" s="5"/>
      <c r="V1956" s="5"/>
      <c r="W1956" s="5"/>
      <c r="X1956" s="5"/>
      <c r="Y1956" s="9"/>
      <c r="Z1956" s="2"/>
    </row>
    <row r="1957" spans="1:26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3"/>
      <c r="M1957" s="6"/>
      <c r="N1957" s="6"/>
      <c r="O1957" s="6"/>
      <c r="P1957" s="5"/>
      <c r="Q1957" s="9"/>
      <c r="R1957" s="5"/>
      <c r="S1957" s="5"/>
      <c r="T1957" s="5"/>
      <c r="U1957" s="5"/>
      <c r="V1957" s="5"/>
      <c r="W1957" s="5"/>
      <c r="X1957" s="5"/>
      <c r="Y1957" s="9"/>
      <c r="Z1957" s="2"/>
    </row>
    <row r="1958" spans="1:26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3"/>
      <c r="M1958" s="6"/>
      <c r="N1958" s="6"/>
      <c r="O1958" s="6"/>
      <c r="P1958" s="5"/>
      <c r="Q1958" s="9"/>
      <c r="R1958" s="5"/>
      <c r="S1958" s="5"/>
      <c r="T1958" s="5"/>
      <c r="U1958" s="5"/>
      <c r="V1958" s="5"/>
      <c r="W1958" s="5"/>
      <c r="X1958" s="5"/>
      <c r="Y1958" s="9"/>
      <c r="Z1958" s="2"/>
    </row>
    <row r="1959" spans="1:26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3"/>
      <c r="M1959" s="6"/>
      <c r="N1959" s="6"/>
      <c r="O1959" s="6"/>
      <c r="P1959" s="5"/>
      <c r="Q1959" s="9"/>
      <c r="R1959" s="5"/>
      <c r="S1959" s="5"/>
      <c r="T1959" s="5"/>
      <c r="U1959" s="5"/>
      <c r="V1959" s="5"/>
      <c r="W1959" s="5"/>
      <c r="X1959" s="5"/>
      <c r="Y1959" s="9"/>
      <c r="Z1959" s="2"/>
    </row>
    <row r="1960" spans="1:26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3"/>
      <c r="M1960" s="6"/>
      <c r="N1960" s="6"/>
      <c r="O1960" s="6"/>
      <c r="P1960" s="5"/>
      <c r="Q1960" s="9"/>
      <c r="R1960" s="5"/>
      <c r="S1960" s="5"/>
      <c r="T1960" s="5"/>
      <c r="U1960" s="5"/>
      <c r="V1960" s="5"/>
      <c r="W1960" s="5"/>
      <c r="X1960" s="5"/>
      <c r="Y1960" s="9"/>
      <c r="Z1960" s="2"/>
    </row>
    <row r="1961" spans="1:26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3"/>
      <c r="M1961" s="6"/>
      <c r="N1961" s="6"/>
      <c r="O1961" s="6"/>
      <c r="P1961" s="5"/>
      <c r="Q1961" s="9"/>
      <c r="R1961" s="5"/>
      <c r="S1961" s="5"/>
      <c r="T1961" s="5"/>
      <c r="U1961" s="5"/>
      <c r="V1961" s="5"/>
      <c r="W1961" s="5"/>
      <c r="X1961" s="5"/>
      <c r="Y1961" s="9"/>
      <c r="Z1961" s="2"/>
    </row>
    <row r="1962" spans="1:26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3"/>
      <c r="M1962" s="6"/>
      <c r="N1962" s="6"/>
      <c r="O1962" s="6"/>
      <c r="P1962" s="5"/>
      <c r="Q1962" s="9"/>
      <c r="R1962" s="5"/>
      <c r="S1962" s="5"/>
      <c r="T1962" s="5"/>
      <c r="U1962" s="5"/>
      <c r="V1962" s="5"/>
      <c r="W1962" s="5"/>
      <c r="X1962" s="5"/>
      <c r="Y1962" s="9"/>
      <c r="Z1962" s="2"/>
    </row>
    <row r="1963" spans="1:26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3"/>
      <c r="M1963" s="6"/>
      <c r="N1963" s="6"/>
      <c r="O1963" s="6"/>
      <c r="P1963" s="5"/>
      <c r="Q1963" s="9"/>
      <c r="R1963" s="5"/>
      <c r="S1963" s="5"/>
      <c r="T1963" s="5"/>
      <c r="U1963" s="5"/>
      <c r="V1963" s="5"/>
      <c r="W1963" s="5"/>
      <c r="X1963" s="5"/>
      <c r="Y1963" s="9"/>
      <c r="Z1963" s="2"/>
    </row>
    <row r="1964" spans="1:26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3"/>
      <c r="M1964" s="6"/>
      <c r="N1964" s="6"/>
      <c r="O1964" s="6"/>
      <c r="P1964" s="5"/>
      <c r="Q1964" s="9"/>
      <c r="R1964" s="5"/>
      <c r="S1964" s="5"/>
      <c r="T1964" s="5"/>
      <c r="U1964" s="5"/>
      <c r="V1964" s="5"/>
      <c r="W1964" s="5"/>
      <c r="X1964" s="5"/>
      <c r="Y1964" s="9"/>
      <c r="Z1964" s="2"/>
    </row>
    <row r="1965" spans="1:26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3"/>
      <c r="M1965" s="6"/>
      <c r="N1965" s="6"/>
      <c r="O1965" s="6"/>
      <c r="P1965" s="5"/>
      <c r="Q1965" s="9"/>
      <c r="R1965" s="5"/>
      <c r="S1965" s="5"/>
      <c r="T1965" s="5"/>
      <c r="U1965" s="5"/>
      <c r="V1965" s="5"/>
      <c r="W1965" s="5"/>
      <c r="X1965" s="5"/>
      <c r="Y1965" s="9"/>
      <c r="Z1965" s="2"/>
    </row>
    <row r="1966" spans="1:26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3"/>
      <c r="M1966" s="6"/>
      <c r="N1966" s="6"/>
      <c r="O1966" s="6"/>
      <c r="P1966" s="5"/>
      <c r="Q1966" s="9"/>
      <c r="R1966" s="5"/>
      <c r="S1966" s="5"/>
      <c r="T1966" s="5"/>
      <c r="U1966" s="5"/>
      <c r="V1966" s="5"/>
      <c r="W1966" s="5"/>
      <c r="X1966" s="5"/>
      <c r="Y1966" s="9"/>
      <c r="Z1966" s="2"/>
    </row>
    <row r="1967" spans="1:26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3"/>
      <c r="M1967" s="6"/>
      <c r="N1967" s="6"/>
      <c r="O1967" s="6"/>
      <c r="P1967" s="5"/>
      <c r="Q1967" s="9"/>
      <c r="R1967" s="5"/>
      <c r="S1967" s="5"/>
      <c r="T1967" s="5"/>
      <c r="U1967" s="5"/>
      <c r="V1967" s="5"/>
      <c r="W1967" s="5"/>
      <c r="X1967" s="5"/>
      <c r="Y1967" s="9"/>
      <c r="Z1967" s="2"/>
    </row>
    <row r="1968" spans="1:26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3"/>
      <c r="M1968" s="6"/>
      <c r="N1968" s="6"/>
      <c r="O1968" s="6"/>
      <c r="P1968" s="5"/>
      <c r="Q1968" s="9"/>
      <c r="R1968" s="5"/>
      <c r="S1968" s="5"/>
      <c r="T1968" s="5"/>
      <c r="U1968" s="5"/>
      <c r="V1968" s="5"/>
      <c r="W1968" s="5"/>
      <c r="X1968" s="5"/>
      <c r="Y1968" s="9"/>
      <c r="Z1968" s="2"/>
    </row>
    <row r="1969" spans="1:26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3"/>
      <c r="M1969" s="6"/>
      <c r="N1969" s="6"/>
      <c r="O1969" s="6"/>
      <c r="P1969" s="5"/>
      <c r="Q1969" s="9"/>
      <c r="R1969" s="5"/>
      <c r="S1969" s="5"/>
      <c r="T1969" s="5"/>
      <c r="U1969" s="5"/>
      <c r="V1969" s="5"/>
      <c r="W1969" s="5"/>
      <c r="X1969" s="5"/>
      <c r="Y1969" s="9"/>
      <c r="Z1969" s="2"/>
    </row>
    <row r="1970" spans="1:26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3"/>
      <c r="M1970" s="6"/>
      <c r="N1970" s="6"/>
      <c r="O1970" s="6"/>
      <c r="P1970" s="5"/>
      <c r="Q1970" s="9"/>
      <c r="R1970" s="5"/>
      <c r="S1970" s="5"/>
      <c r="T1970" s="5"/>
      <c r="U1970" s="5"/>
      <c r="V1970" s="5"/>
      <c r="W1970" s="5"/>
      <c r="X1970" s="5"/>
      <c r="Y1970" s="9"/>
      <c r="Z1970" s="2"/>
    </row>
    <row r="1971" spans="1:26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3"/>
      <c r="M1971" s="6"/>
      <c r="N1971" s="6"/>
      <c r="O1971" s="6"/>
      <c r="P1971" s="5"/>
      <c r="Q1971" s="9"/>
      <c r="R1971" s="5"/>
      <c r="S1971" s="5"/>
      <c r="T1971" s="5"/>
      <c r="U1971" s="5"/>
      <c r="V1971" s="5"/>
      <c r="W1971" s="5"/>
      <c r="X1971" s="5"/>
      <c r="Y1971" s="9"/>
      <c r="Z1971" s="2"/>
    </row>
    <row r="1972" spans="1:26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3"/>
      <c r="M1972" s="6"/>
      <c r="N1972" s="6"/>
      <c r="O1972" s="6"/>
      <c r="P1972" s="5"/>
      <c r="Q1972" s="9"/>
      <c r="R1972" s="5"/>
      <c r="S1972" s="5"/>
      <c r="T1972" s="5"/>
      <c r="U1972" s="5"/>
      <c r="V1972" s="5"/>
      <c r="W1972" s="5"/>
      <c r="X1972" s="5"/>
      <c r="Y1972" s="9"/>
      <c r="Z1972" s="2"/>
    </row>
    <row r="1973" spans="1:26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3"/>
      <c r="M1973" s="6"/>
      <c r="N1973" s="6"/>
      <c r="O1973" s="6"/>
      <c r="P1973" s="5"/>
      <c r="Q1973" s="9"/>
      <c r="R1973" s="5"/>
      <c r="S1973" s="5"/>
      <c r="T1973" s="5"/>
      <c r="U1973" s="5"/>
      <c r="V1973" s="5"/>
      <c r="W1973" s="5"/>
      <c r="X1973" s="5"/>
      <c r="Y1973" s="9"/>
      <c r="Z1973" s="2"/>
    </row>
    <row r="1974" spans="1:26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3"/>
      <c r="M1974" s="6"/>
      <c r="N1974" s="6"/>
      <c r="O1974" s="6"/>
      <c r="P1974" s="5"/>
      <c r="Q1974" s="9"/>
      <c r="R1974" s="5"/>
      <c r="S1974" s="5"/>
      <c r="T1974" s="5"/>
      <c r="U1974" s="5"/>
      <c r="V1974" s="5"/>
      <c r="W1974" s="5"/>
      <c r="X1974" s="5"/>
      <c r="Y1974" s="9"/>
      <c r="Z1974" s="2"/>
    </row>
    <row r="1975" spans="1:26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3"/>
      <c r="M1975" s="6"/>
      <c r="N1975" s="6"/>
      <c r="O1975" s="6"/>
      <c r="P1975" s="5"/>
      <c r="Q1975" s="9"/>
      <c r="R1975" s="5"/>
      <c r="S1975" s="5"/>
      <c r="T1975" s="5"/>
      <c r="U1975" s="5"/>
      <c r="V1975" s="5"/>
      <c r="W1975" s="5"/>
      <c r="X1975" s="5"/>
      <c r="Y1975" s="9"/>
      <c r="Z1975" s="2"/>
    </row>
    <row r="1976" spans="1:26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3"/>
      <c r="M1976" s="6"/>
      <c r="N1976" s="6"/>
      <c r="O1976" s="6"/>
      <c r="P1976" s="5"/>
      <c r="Q1976" s="9"/>
      <c r="R1976" s="5"/>
      <c r="S1976" s="5"/>
      <c r="T1976" s="5"/>
      <c r="U1976" s="5"/>
      <c r="V1976" s="5"/>
      <c r="W1976" s="5"/>
      <c r="X1976" s="5"/>
      <c r="Y1976" s="9"/>
      <c r="Z1976" s="2"/>
    </row>
    <row r="1977" spans="1:26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3"/>
      <c r="M1977" s="6"/>
      <c r="N1977" s="6"/>
      <c r="O1977" s="6"/>
      <c r="P1977" s="5"/>
      <c r="Q1977" s="9"/>
      <c r="R1977" s="5"/>
      <c r="S1977" s="5"/>
      <c r="T1977" s="5"/>
      <c r="U1977" s="5"/>
      <c r="V1977" s="5"/>
      <c r="W1977" s="5"/>
      <c r="X1977" s="5"/>
      <c r="Y1977" s="9"/>
      <c r="Z1977" s="2"/>
    </row>
    <row r="1978" spans="1:26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3"/>
      <c r="M1978" s="6"/>
      <c r="N1978" s="6"/>
      <c r="O1978" s="6"/>
      <c r="P1978" s="5"/>
      <c r="Q1978" s="9"/>
      <c r="R1978" s="5"/>
      <c r="S1978" s="5"/>
      <c r="T1978" s="5"/>
      <c r="U1978" s="5"/>
      <c r="V1978" s="5"/>
      <c r="W1978" s="5"/>
      <c r="X1978" s="5"/>
      <c r="Y1978" s="9"/>
      <c r="Z1978" s="2"/>
    </row>
    <row r="1979" spans="1:26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3"/>
      <c r="M1979" s="6"/>
      <c r="N1979" s="6"/>
      <c r="O1979" s="6"/>
      <c r="P1979" s="5"/>
      <c r="Q1979" s="9"/>
      <c r="R1979" s="5"/>
      <c r="S1979" s="5"/>
      <c r="T1979" s="5"/>
      <c r="U1979" s="5"/>
      <c r="V1979" s="5"/>
      <c r="W1979" s="5"/>
      <c r="X1979" s="5"/>
      <c r="Y1979" s="9"/>
      <c r="Z1979" s="2"/>
    </row>
    <row r="1980" spans="1:26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3"/>
      <c r="M1980" s="6"/>
      <c r="N1980" s="6"/>
      <c r="O1980" s="6"/>
      <c r="P1980" s="5"/>
      <c r="Q1980" s="9"/>
      <c r="R1980" s="5"/>
      <c r="S1980" s="5"/>
      <c r="T1980" s="5"/>
      <c r="U1980" s="5"/>
      <c r="V1980" s="5"/>
      <c r="W1980" s="5"/>
      <c r="X1980" s="5"/>
      <c r="Y1980" s="9"/>
      <c r="Z1980" s="2"/>
    </row>
    <row r="1981" spans="1:26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3"/>
      <c r="M1981" s="6"/>
      <c r="N1981" s="6"/>
      <c r="O1981" s="6"/>
      <c r="P1981" s="5"/>
      <c r="Q1981" s="9"/>
      <c r="R1981" s="5"/>
      <c r="S1981" s="5"/>
      <c r="T1981" s="5"/>
      <c r="U1981" s="5"/>
      <c r="V1981" s="5"/>
      <c r="W1981" s="5"/>
      <c r="X1981" s="5"/>
      <c r="Y1981" s="9"/>
      <c r="Z1981" s="2"/>
    </row>
    <row r="1982" spans="1:26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3"/>
      <c r="M1982" s="6"/>
      <c r="N1982" s="6"/>
      <c r="O1982" s="6"/>
      <c r="P1982" s="5"/>
      <c r="Q1982" s="9"/>
      <c r="R1982" s="5"/>
      <c r="S1982" s="5"/>
      <c r="T1982" s="5"/>
      <c r="U1982" s="5"/>
      <c r="V1982" s="5"/>
      <c r="W1982" s="5"/>
      <c r="X1982" s="5"/>
      <c r="Y1982" s="9"/>
      <c r="Z1982" s="2"/>
    </row>
    <row r="1983" spans="1:26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3"/>
      <c r="M1983" s="6"/>
      <c r="N1983" s="6"/>
      <c r="O1983" s="6"/>
      <c r="P1983" s="5"/>
      <c r="Q1983" s="9"/>
      <c r="R1983" s="5"/>
      <c r="S1983" s="5"/>
      <c r="T1983" s="5"/>
      <c r="U1983" s="5"/>
      <c r="V1983" s="5"/>
      <c r="W1983" s="5"/>
      <c r="X1983" s="5"/>
      <c r="Y1983" s="9"/>
      <c r="Z1983" s="2"/>
    </row>
    <row r="1984" spans="1:26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3"/>
      <c r="M1984" s="6"/>
      <c r="N1984" s="6"/>
      <c r="O1984" s="6"/>
      <c r="P1984" s="5"/>
      <c r="Q1984" s="9"/>
      <c r="R1984" s="5"/>
      <c r="S1984" s="5"/>
      <c r="T1984" s="5"/>
      <c r="U1984" s="5"/>
      <c r="V1984" s="5"/>
      <c r="W1984" s="5"/>
      <c r="X1984" s="5"/>
      <c r="Y1984" s="9"/>
      <c r="Z1984" s="2"/>
    </row>
    <row r="1985" spans="1:26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3"/>
      <c r="M1985" s="6"/>
      <c r="N1985" s="6"/>
      <c r="O1985" s="6"/>
      <c r="P1985" s="5"/>
      <c r="Q1985" s="9"/>
      <c r="R1985" s="5"/>
      <c r="S1985" s="5"/>
      <c r="T1985" s="5"/>
      <c r="U1985" s="5"/>
      <c r="V1985" s="5"/>
      <c r="W1985" s="5"/>
      <c r="X1985" s="5"/>
      <c r="Y1985" s="9"/>
      <c r="Z1985" s="2"/>
    </row>
    <row r="1986" spans="1:26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3"/>
      <c r="M1986" s="6"/>
      <c r="N1986" s="6"/>
      <c r="O1986" s="6"/>
      <c r="P1986" s="5"/>
      <c r="Q1986" s="9"/>
      <c r="R1986" s="5"/>
      <c r="S1986" s="5"/>
      <c r="T1986" s="5"/>
      <c r="U1986" s="5"/>
      <c r="V1986" s="5"/>
      <c r="W1986" s="5"/>
      <c r="X1986" s="5"/>
      <c r="Y1986" s="9"/>
      <c r="Z1986" s="2"/>
    </row>
    <row r="1987" spans="1:26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3"/>
      <c r="M1987" s="6"/>
      <c r="N1987" s="6"/>
      <c r="O1987" s="6"/>
      <c r="P1987" s="5"/>
      <c r="Q1987" s="9"/>
      <c r="R1987" s="5"/>
      <c r="S1987" s="5"/>
      <c r="T1987" s="5"/>
      <c r="U1987" s="5"/>
      <c r="V1987" s="5"/>
      <c r="W1987" s="5"/>
      <c r="X1987" s="5"/>
      <c r="Y1987" s="9"/>
      <c r="Z1987" s="2"/>
    </row>
    <row r="1988" spans="1:26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3"/>
      <c r="M1988" s="6"/>
      <c r="N1988" s="6"/>
      <c r="O1988" s="6"/>
      <c r="P1988" s="5"/>
      <c r="Q1988" s="9"/>
      <c r="R1988" s="5"/>
      <c r="S1988" s="5"/>
      <c r="T1988" s="5"/>
      <c r="U1988" s="5"/>
      <c r="V1988" s="5"/>
      <c r="W1988" s="5"/>
      <c r="X1988" s="5"/>
      <c r="Y1988" s="9"/>
      <c r="Z1988" s="2"/>
    </row>
    <row r="1989" spans="1:26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3"/>
      <c r="M1989" s="6"/>
      <c r="N1989" s="6"/>
      <c r="O1989" s="6"/>
      <c r="P1989" s="5"/>
      <c r="Q1989" s="9"/>
      <c r="R1989" s="5"/>
      <c r="S1989" s="5"/>
      <c r="T1989" s="5"/>
      <c r="U1989" s="5"/>
      <c r="V1989" s="5"/>
      <c r="W1989" s="5"/>
      <c r="X1989" s="5"/>
      <c r="Y1989" s="9"/>
      <c r="Z1989" s="2"/>
    </row>
    <row r="1990" spans="1:26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3"/>
      <c r="M1990" s="6"/>
      <c r="N1990" s="6"/>
      <c r="O1990" s="6"/>
      <c r="P1990" s="5"/>
      <c r="Q1990" s="9"/>
      <c r="R1990" s="5"/>
      <c r="S1990" s="5"/>
      <c r="T1990" s="5"/>
      <c r="U1990" s="5"/>
      <c r="V1990" s="5"/>
      <c r="W1990" s="5"/>
      <c r="X1990" s="5"/>
      <c r="Y1990" s="9"/>
      <c r="Z1990" s="2"/>
    </row>
    <row r="1991" spans="1:26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3"/>
      <c r="M1991" s="6"/>
      <c r="N1991" s="6"/>
      <c r="O1991" s="6"/>
      <c r="P1991" s="5"/>
      <c r="Q1991" s="9"/>
      <c r="R1991" s="5"/>
      <c r="S1991" s="5"/>
      <c r="T1991" s="5"/>
      <c r="U1991" s="5"/>
      <c r="V1991" s="5"/>
      <c r="W1991" s="5"/>
      <c r="X1991" s="5"/>
      <c r="Y1991" s="9"/>
      <c r="Z1991" s="2"/>
    </row>
    <row r="1992" spans="1:26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3"/>
      <c r="M1992" s="6"/>
      <c r="N1992" s="6"/>
      <c r="O1992" s="6"/>
      <c r="P1992" s="5"/>
      <c r="Q1992" s="9"/>
      <c r="R1992" s="5"/>
      <c r="S1992" s="5"/>
      <c r="T1992" s="5"/>
      <c r="U1992" s="5"/>
      <c r="V1992" s="5"/>
      <c r="W1992" s="5"/>
      <c r="X1992" s="5"/>
      <c r="Y1992" s="9"/>
      <c r="Z1992" s="2"/>
    </row>
    <row r="1993" spans="1:26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3"/>
      <c r="M1993" s="6"/>
      <c r="N1993" s="6"/>
      <c r="O1993" s="6"/>
      <c r="P1993" s="5"/>
      <c r="Q1993" s="9"/>
      <c r="R1993" s="5"/>
      <c r="S1993" s="5"/>
      <c r="T1993" s="5"/>
      <c r="U1993" s="5"/>
      <c r="V1993" s="5"/>
      <c r="W1993" s="5"/>
      <c r="X1993" s="5"/>
      <c r="Y1993" s="9"/>
      <c r="Z1993" s="2"/>
    </row>
    <row r="1994" spans="1:26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3"/>
      <c r="M1994" s="6"/>
      <c r="N1994" s="6"/>
      <c r="O1994" s="6"/>
      <c r="P1994" s="5"/>
      <c r="Q1994" s="9"/>
      <c r="R1994" s="5"/>
      <c r="S1994" s="5"/>
      <c r="T1994" s="5"/>
      <c r="U1994" s="5"/>
      <c r="V1994" s="5"/>
      <c r="W1994" s="5"/>
      <c r="X1994" s="5"/>
      <c r="Y1994" s="9"/>
      <c r="Z1994" s="2"/>
    </row>
    <row r="1995" spans="1:26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3"/>
      <c r="M1995" s="6"/>
      <c r="N1995" s="6"/>
      <c r="O1995" s="6"/>
      <c r="P1995" s="5"/>
      <c r="Q1995" s="9"/>
      <c r="R1995" s="5"/>
      <c r="S1995" s="5"/>
      <c r="T1995" s="5"/>
      <c r="U1995" s="5"/>
      <c r="V1995" s="5"/>
      <c r="W1995" s="5"/>
      <c r="X1995" s="5"/>
      <c r="Y1995" s="9"/>
      <c r="Z1995" s="2"/>
    </row>
    <row r="1996" spans="1:26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3"/>
      <c r="M1996" s="6"/>
      <c r="N1996" s="6"/>
      <c r="O1996" s="6"/>
      <c r="P1996" s="5"/>
      <c r="Q1996" s="9"/>
      <c r="R1996" s="5"/>
      <c r="S1996" s="5"/>
      <c r="T1996" s="5"/>
      <c r="U1996" s="5"/>
      <c r="V1996" s="5"/>
      <c r="W1996" s="5"/>
      <c r="X1996" s="5"/>
      <c r="Y1996" s="9"/>
      <c r="Z1996" s="2"/>
    </row>
    <row r="1997" spans="1:26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3"/>
      <c r="M1997" s="6"/>
      <c r="N1997" s="6"/>
      <c r="O1997" s="6"/>
      <c r="P1997" s="5"/>
      <c r="Q1997" s="9"/>
      <c r="R1997" s="5"/>
      <c r="S1997" s="5"/>
      <c r="T1997" s="5"/>
      <c r="U1997" s="5"/>
      <c r="V1997" s="5"/>
      <c r="W1997" s="5"/>
      <c r="X1997" s="5"/>
      <c r="Y1997" s="9"/>
      <c r="Z1997" s="2"/>
    </row>
    <row r="1998" spans="1:26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3"/>
      <c r="M1998" s="6"/>
      <c r="N1998" s="6"/>
      <c r="O1998" s="6"/>
      <c r="P1998" s="5"/>
      <c r="Q1998" s="9"/>
      <c r="R1998" s="5"/>
      <c r="S1998" s="5"/>
      <c r="T1998" s="5"/>
      <c r="U1998" s="5"/>
      <c r="V1998" s="5"/>
      <c r="W1998" s="5"/>
      <c r="X1998" s="5"/>
      <c r="Y1998" s="9"/>
      <c r="Z1998" s="2"/>
    </row>
    <row r="1999" spans="1:26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3"/>
      <c r="M1999" s="6"/>
      <c r="N1999" s="6"/>
      <c r="O1999" s="6"/>
      <c r="P1999" s="5"/>
      <c r="Q1999" s="9"/>
      <c r="R1999" s="5"/>
      <c r="S1999" s="5"/>
      <c r="T1999" s="5"/>
      <c r="U1999" s="5"/>
      <c r="V1999" s="5"/>
      <c r="W1999" s="5"/>
      <c r="X1999" s="5"/>
      <c r="Y1999" s="9"/>
      <c r="Z1999" s="2"/>
    </row>
    <row r="2000" spans="1:26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3"/>
      <c r="M2000" s="6"/>
      <c r="N2000" s="6"/>
      <c r="O2000" s="6"/>
      <c r="P2000" s="5"/>
      <c r="Q2000" s="9"/>
      <c r="R2000" s="5"/>
      <c r="S2000" s="5"/>
      <c r="T2000" s="5"/>
      <c r="U2000" s="5"/>
      <c r="V2000" s="5"/>
      <c r="W2000" s="5"/>
      <c r="X2000" s="5"/>
      <c r="Y2000" s="9"/>
      <c r="Z2000" s="2"/>
    </row>
    <row r="2001" spans="1:26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3"/>
      <c r="M2001" s="6"/>
      <c r="N2001" s="6"/>
      <c r="O2001" s="6"/>
      <c r="P2001" s="5"/>
      <c r="Q2001" s="9"/>
      <c r="R2001" s="5"/>
      <c r="S2001" s="5"/>
      <c r="T2001" s="5"/>
      <c r="U2001" s="5"/>
      <c r="V2001" s="5"/>
      <c r="W2001" s="5"/>
      <c r="X2001" s="5"/>
      <c r="Y2001" s="9"/>
      <c r="Z2001" s="2"/>
    </row>
    <row r="2002" spans="1:26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3"/>
      <c r="M2002" s="6"/>
      <c r="N2002" s="6"/>
      <c r="O2002" s="6"/>
      <c r="P2002" s="5"/>
      <c r="Q2002" s="9"/>
      <c r="R2002" s="5"/>
      <c r="S2002" s="5"/>
      <c r="T2002" s="5"/>
      <c r="U2002" s="5"/>
      <c r="V2002" s="5"/>
      <c r="W2002" s="5"/>
      <c r="X2002" s="5"/>
      <c r="Y2002" s="9"/>
      <c r="Z2002" s="2"/>
    </row>
    <row r="2003" spans="1:26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3"/>
      <c r="M2003" s="6"/>
      <c r="N2003" s="6"/>
      <c r="O2003" s="6"/>
      <c r="P2003" s="5"/>
      <c r="Q2003" s="9"/>
      <c r="R2003" s="5"/>
      <c r="S2003" s="5"/>
      <c r="T2003" s="5"/>
      <c r="U2003" s="5"/>
      <c r="V2003" s="5"/>
      <c r="W2003" s="5"/>
      <c r="X2003" s="5"/>
      <c r="Y2003" s="9"/>
      <c r="Z2003" s="2"/>
    </row>
    <row r="2004" spans="1:26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3"/>
      <c r="M2004" s="6"/>
      <c r="N2004" s="6"/>
      <c r="O2004" s="6"/>
      <c r="P2004" s="5"/>
      <c r="Q2004" s="9"/>
      <c r="R2004" s="5"/>
      <c r="S2004" s="5"/>
      <c r="T2004" s="5"/>
      <c r="U2004" s="5"/>
      <c r="V2004" s="5"/>
      <c r="W2004" s="5"/>
      <c r="X2004" s="5"/>
      <c r="Y2004" s="9"/>
      <c r="Z2004" s="2"/>
    </row>
    <row r="2005" spans="1:26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3"/>
      <c r="M2005" s="6"/>
      <c r="N2005" s="6"/>
      <c r="O2005" s="6"/>
      <c r="P2005" s="5"/>
      <c r="Q2005" s="9"/>
      <c r="R2005" s="5"/>
      <c r="S2005" s="5"/>
      <c r="T2005" s="5"/>
      <c r="U2005" s="5"/>
      <c r="V2005" s="5"/>
      <c r="W2005" s="5"/>
      <c r="X2005" s="5"/>
      <c r="Y2005" s="9"/>
      <c r="Z2005" s="2"/>
    </row>
    <row r="2006" spans="1:26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3"/>
      <c r="M2006" s="6"/>
      <c r="N2006" s="6"/>
      <c r="O2006" s="6"/>
      <c r="P2006" s="5"/>
      <c r="Q2006" s="9"/>
      <c r="R2006" s="5"/>
      <c r="S2006" s="5"/>
      <c r="T2006" s="5"/>
      <c r="U2006" s="5"/>
      <c r="V2006" s="5"/>
      <c r="W2006" s="5"/>
      <c r="X2006" s="5"/>
      <c r="Y2006" s="9"/>
      <c r="Z2006" s="2"/>
    </row>
    <row r="2007" spans="1:26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3"/>
      <c r="M2007" s="6"/>
      <c r="N2007" s="6"/>
      <c r="O2007" s="6"/>
      <c r="P2007" s="5"/>
      <c r="Q2007" s="9"/>
      <c r="R2007" s="5"/>
      <c r="S2007" s="5"/>
      <c r="T2007" s="5"/>
      <c r="U2007" s="5"/>
      <c r="V2007" s="5"/>
      <c r="W2007" s="5"/>
      <c r="X2007" s="5"/>
      <c r="Y2007" s="9"/>
      <c r="Z2007" s="2"/>
    </row>
    <row r="2008" spans="1:26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3"/>
      <c r="M2008" s="6"/>
      <c r="N2008" s="6"/>
      <c r="O2008" s="6"/>
      <c r="P2008" s="5"/>
      <c r="Q2008" s="9"/>
      <c r="R2008" s="5"/>
      <c r="S2008" s="5"/>
      <c r="T2008" s="5"/>
      <c r="U2008" s="5"/>
      <c r="V2008" s="5"/>
      <c r="W2008" s="5"/>
      <c r="X2008" s="5"/>
      <c r="Y2008" s="9"/>
      <c r="Z2008" s="2"/>
    </row>
    <row r="2009" spans="1:26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3"/>
      <c r="M2009" s="6"/>
      <c r="N2009" s="6"/>
      <c r="O2009" s="6"/>
      <c r="P2009" s="5"/>
      <c r="Q2009" s="9"/>
      <c r="R2009" s="5"/>
      <c r="S2009" s="5"/>
      <c r="T2009" s="5"/>
      <c r="U2009" s="5"/>
      <c r="V2009" s="5"/>
      <c r="W2009" s="5"/>
      <c r="X2009" s="5"/>
      <c r="Y2009" s="9"/>
      <c r="Z2009" s="2"/>
    </row>
    <row r="2010" spans="1:26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3"/>
      <c r="M2010" s="6"/>
      <c r="N2010" s="6"/>
      <c r="O2010" s="6"/>
      <c r="P2010" s="5"/>
      <c r="Q2010" s="9"/>
      <c r="R2010" s="5"/>
      <c r="S2010" s="5"/>
      <c r="T2010" s="5"/>
      <c r="U2010" s="5"/>
      <c r="V2010" s="5"/>
      <c r="W2010" s="5"/>
      <c r="X2010" s="5"/>
      <c r="Y2010" s="9"/>
      <c r="Z2010" s="2"/>
    </row>
    <row r="2011" spans="1:26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3"/>
      <c r="M2011" s="6"/>
      <c r="N2011" s="6"/>
      <c r="O2011" s="6"/>
      <c r="P2011" s="5"/>
      <c r="Q2011" s="9"/>
      <c r="R2011" s="5"/>
      <c r="S2011" s="5"/>
      <c r="T2011" s="5"/>
      <c r="U2011" s="5"/>
      <c r="V2011" s="5"/>
      <c r="W2011" s="5"/>
      <c r="X2011" s="5"/>
      <c r="Y2011" s="9"/>
      <c r="Z2011" s="2"/>
    </row>
    <row r="2012" spans="1:26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3"/>
      <c r="M2012" s="6"/>
      <c r="N2012" s="6"/>
      <c r="O2012" s="6"/>
      <c r="P2012" s="5"/>
      <c r="Q2012" s="9"/>
      <c r="R2012" s="5"/>
      <c r="S2012" s="5"/>
      <c r="T2012" s="5"/>
      <c r="U2012" s="5"/>
      <c r="V2012" s="5"/>
      <c r="W2012" s="5"/>
      <c r="X2012" s="5"/>
      <c r="Y2012" s="9"/>
      <c r="Z2012" s="2"/>
    </row>
    <row r="2013" spans="1:26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3"/>
      <c r="M2013" s="6"/>
      <c r="N2013" s="6"/>
      <c r="O2013" s="6"/>
      <c r="P2013" s="5"/>
      <c r="Q2013" s="9"/>
      <c r="R2013" s="5"/>
      <c r="S2013" s="5"/>
      <c r="T2013" s="5"/>
      <c r="U2013" s="5"/>
      <c r="V2013" s="5"/>
      <c r="W2013" s="5"/>
      <c r="X2013" s="5"/>
      <c r="Y2013" s="9"/>
      <c r="Z2013" s="2"/>
    </row>
    <row r="2014" spans="1:26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3"/>
      <c r="M2014" s="6"/>
      <c r="N2014" s="6"/>
      <c r="O2014" s="6"/>
      <c r="P2014" s="5"/>
      <c r="Q2014" s="9"/>
      <c r="R2014" s="5"/>
      <c r="S2014" s="5"/>
      <c r="T2014" s="5"/>
      <c r="U2014" s="5"/>
      <c r="V2014" s="5"/>
      <c r="W2014" s="5"/>
      <c r="X2014" s="5"/>
      <c r="Y2014" s="9"/>
      <c r="Z2014" s="2"/>
    </row>
    <row r="2015" spans="1:26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3"/>
      <c r="M2015" s="6"/>
      <c r="N2015" s="6"/>
      <c r="O2015" s="6"/>
      <c r="P2015" s="5"/>
      <c r="Q2015" s="9"/>
      <c r="R2015" s="5"/>
      <c r="S2015" s="5"/>
      <c r="T2015" s="5"/>
      <c r="U2015" s="5"/>
      <c r="V2015" s="5"/>
      <c r="W2015" s="5"/>
      <c r="X2015" s="5"/>
      <c r="Y2015" s="9"/>
      <c r="Z2015" s="2"/>
    </row>
    <row r="2016" spans="1:26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3"/>
      <c r="M2016" s="6"/>
      <c r="N2016" s="6"/>
      <c r="O2016" s="6"/>
      <c r="P2016" s="5"/>
      <c r="Q2016" s="9"/>
      <c r="R2016" s="5"/>
      <c r="S2016" s="5"/>
      <c r="T2016" s="5"/>
      <c r="U2016" s="5"/>
      <c r="V2016" s="5"/>
      <c r="W2016" s="5"/>
      <c r="X2016" s="5"/>
      <c r="Y2016" s="9"/>
      <c r="Z2016" s="2"/>
    </row>
    <row r="2017" spans="1:26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3"/>
      <c r="M2017" s="6"/>
      <c r="N2017" s="6"/>
      <c r="O2017" s="6"/>
      <c r="P2017" s="5"/>
      <c r="Q2017" s="9"/>
      <c r="R2017" s="5"/>
      <c r="S2017" s="5"/>
      <c r="T2017" s="5"/>
      <c r="U2017" s="5"/>
      <c r="V2017" s="5"/>
      <c r="W2017" s="5"/>
      <c r="X2017" s="5"/>
      <c r="Y2017" s="9"/>
      <c r="Z2017" s="2"/>
    </row>
    <row r="2018" spans="1:26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3"/>
      <c r="M2018" s="6"/>
      <c r="N2018" s="6"/>
      <c r="O2018" s="6"/>
      <c r="P2018" s="5"/>
      <c r="Q2018" s="9"/>
      <c r="R2018" s="5"/>
      <c r="S2018" s="5"/>
      <c r="T2018" s="5"/>
      <c r="U2018" s="5"/>
      <c r="V2018" s="5"/>
      <c r="W2018" s="5"/>
      <c r="X2018" s="5"/>
      <c r="Y2018" s="9"/>
      <c r="Z2018" s="2"/>
    </row>
    <row r="2019" spans="1:26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3"/>
      <c r="M2019" s="6"/>
      <c r="N2019" s="6"/>
      <c r="O2019" s="6"/>
      <c r="P2019" s="5"/>
      <c r="Q2019" s="9"/>
      <c r="R2019" s="5"/>
      <c r="S2019" s="5"/>
      <c r="T2019" s="5"/>
      <c r="U2019" s="5"/>
      <c r="V2019" s="5"/>
      <c r="W2019" s="5"/>
      <c r="X2019" s="5"/>
      <c r="Y2019" s="9"/>
      <c r="Z2019" s="2"/>
    </row>
    <row r="2020" spans="1:26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3"/>
      <c r="M2020" s="6"/>
      <c r="N2020" s="6"/>
      <c r="O2020" s="6"/>
      <c r="P2020" s="5"/>
      <c r="Q2020" s="9"/>
      <c r="R2020" s="5"/>
      <c r="S2020" s="5"/>
      <c r="T2020" s="5"/>
      <c r="U2020" s="5"/>
      <c r="V2020" s="5"/>
      <c r="W2020" s="5"/>
      <c r="X2020" s="5"/>
      <c r="Y2020" s="9"/>
      <c r="Z2020" s="2"/>
    </row>
    <row r="2021" spans="1:26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3"/>
      <c r="M2021" s="6"/>
      <c r="N2021" s="6"/>
      <c r="O2021" s="6"/>
      <c r="P2021" s="5"/>
      <c r="Q2021" s="9"/>
      <c r="R2021" s="5"/>
      <c r="S2021" s="5"/>
      <c r="T2021" s="5"/>
      <c r="U2021" s="5"/>
      <c r="V2021" s="5"/>
      <c r="W2021" s="5"/>
      <c r="X2021" s="5"/>
      <c r="Y2021" s="9"/>
      <c r="Z2021" s="2"/>
    </row>
    <row r="2022" spans="1:26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3"/>
      <c r="M2022" s="6"/>
      <c r="N2022" s="6"/>
      <c r="O2022" s="6"/>
      <c r="P2022" s="5"/>
      <c r="Q2022" s="9"/>
      <c r="R2022" s="5"/>
      <c r="S2022" s="5"/>
      <c r="T2022" s="5"/>
      <c r="U2022" s="5"/>
      <c r="V2022" s="5"/>
      <c r="W2022" s="5"/>
      <c r="X2022" s="5"/>
      <c r="Y2022" s="9"/>
      <c r="Z2022" s="2"/>
    </row>
    <row r="2023" spans="1:26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3"/>
      <c r="M2023" s="6"/>
      <c r="N2023" s="6"/>
      <c r="O2023" s="6"/>
      <c r="P2023" s="5"/>
      <c r="Q2023" s="9"/>
      <c r="R2023" s="5"/>
      <c r="S2023" s="5"/>
      <c r="T2023" s="5"/>
      <c r="U2023" s="5"/>
      <c r="V2023" s="5"/>
      <c r="W2023" s="5"/>
      <c r="X2023" s="5"/>
      <c r="Y2023" s="9"/>
      <c r="Z2023" s="2"/>
    </row>
    <row r="2024" spans="1:26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3"/>
      <c r="M2024" s="6"/>
      <c r="N2024" s="6"/>
      <c r="O2024" s="6"/>
      <c r="P2024" s="5"/>
      <c r="Q2024" s="9"/>
      <c r="R2024" s="5"/>
      <c r="S2024" s="5"/>
      <c r="T2024" s="5"/>
      <c r="U2024" s="5"/>
      <c r="V2024" s="5"/>
      <c r="W2024" s="5"/>
      <c r="X2024" s="5"/>
      <c r="Y2024" s="9"/>
      <c r="Z2024" s="2"/>
    </row>
    <row r="2025" spans="1:26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3"/>
      <c r="M2025" s="6"/>
      <c r="N2025" s="6"/>
      <c r="O2025" s="6"/>
      <c r="P2025" s="5"/>
      <c r="Q2025" s="9"/>
      <c r="R2025" s="5"/>
      <c r="S2025" s="5"/>
      <c r="T2025" s="5"/>
      <c r="U2025" s="5"/>
      <c r="V2025" s="5"/>
      <c r="W2025" s="5"/>
      <c r="X2025" s="5"/>
      <c r="Y2025" s="9"/>
      <c r="Z2025" s="2"/>
    </row>
    <row r="2026" spans="1:26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3"/>
      <c r="M2026" s="6"/>
      <c r="N2026" s="6"/>
      <c r="O2026" s="6"/>
      <c r="P2026" s="5"/>
      <c r="Q2026" s="9"/>
      <c r="R2026" s="5"/>
      <c r="S2026" s="5"/>
      <c r="T2026" s="5"/>
      <c r="U2026" s="5"/>
      <c r="V2026" s="5"/>
      <c r="W2026" s="5"/>
      <c r="X2026" s="5"/>
      <c r="Y2026" s="9"/>
      <c r="Z2026" s="2"/>
    </row>
    <row r="2027" spans="1:26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3"/>
      <c r="M2027" s="6"/>
      <c r="N2027" s="6"/>
      <c r="O2027" s="6"/>
      <c r="P2027" s="5"/>
      <c r="Q2027" s="9"/>
      <c r="R2027" s="5"/>
      <c r="S2027" s="5"/>
      <c r="T2027" s="5"/>
      <c r="U2027" s="5"/>
      <c r="V2027" s="5"/>
      <c r="W2027" s="5"/>
      <c r="X2027" s="5"/>
      <c r="Y2027" s="9"/>
      <c r="Z2027" s="2"/>
    </row>
    <row r="2028" spans="1:26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3"/>
      <c r="M2028" s="6"/>
      <c r="N2028" s="6"/>
      <c r="O2028" s="6"/>
      <c r="P2028" s="5"/>
      <c r="Q2028" s="9"/>
      <c r="R2028" s="5"/>
      <c r="S2028" s="5"/>
      <c r="T2028" s="5"/>
      <c r="U2028" s="5"/>
      <c r="V2028" s="5"/>
      <c r="W2028" s="5"/>
      <c r="X2028" s="5"/>
      <c r="Y2028" s="9"/>
      <c r="Z2028" s="2"/>
    </row>
    <row r="2029" spans="1:26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3"/>
      <c r="M2029" s="6"/>
      <c r="N2029" s="6"/>
      <c r="O2029" s="6"/>
      <c r="P2029" s="5"/>
      <c r="Q2029" s="9"/>
      <c r="R2029" s="5"/>
      <c r="S2029" s="5"/>
      <c r="T2029" s="5"/>
      <c r="U2029" s="5"/>
      <c r="V2029" s="5"/>
      <c r="W2029" s="5"/>
      <c r="X2029" s="5"/>
      <c r="Y2029" s="9"/>
      <c r="Z2029" s="2"/>
    </row>
    <row r="2030" spans="1:26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3"/>
      <c r="M2030" s="6"/>
      <c r="N2030" s="6"/>
      <c r="O2030" s="6"/>
      <c r="P2030" s="5"/>
      <c r="Q2030" s="9"/>
      <c r="R2030" s="5"/>
      <c r="S2030" s="5"/>
      <c r="T2030" s="5"/>
      <c r="U2030" s="5"/>
      <c r="V2030" s="5"/>
      <c r="W2030" s="5"/>
      <c r="X2030" s="5"/>
      <c r="Y2030" s="9"/>
      <c r="Z2030" s="2"/>
    </row>
    <row r="2031" spans="1:26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3"/>
      <c r="M2031" s="6"/>
      <c r="N2031" s="6"/>
      <c r="O2031" s="6"/>
      <c r="P2031" s="5"/>
      <c r="Q2031" s="9"/>
      <c r="R2031" s="5"/>
      <c r="S2031" s="5"/>
      <c r="T2031" s="5"/>
      <c r="U2031" s="5"/>
      <c r="V2031" s="5"/>
      <c r="W2031" s="5"/>
      <c r="X2031" s="5"/>
      <c r="Y2031" s="9"/>
      <c r="Z2031" s="2"/>
    </row>
    <row r="2032" spans="1:26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3"/>
      <c r="M2032" s="6"/>
      <c r="N2032" s="6"/>
      <c r="O2032" s="6"/>
      <c r="P2032" s="5"/>
      <c r="Q2032" s="9"/>
      <c r="R2032" s="5"/>
      <c r="S2032" s="5"/>
      <c r="T2032" s="5"/>
      <c r="U2032" s="5"/>
      <c r="V2032" s="5"/>
      <c r="W2032" s="5"/>
      <c r="X2032" s="5"/>
      <c r="Y2032" s="9"/>
      <c r="Z2032" s="2"/>
    </row>
    <row r="2033" spans="1:26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3"/>
      <c r="M2033" s="6"/>
      <c r="N2033" s="6"/>
      <c r="O2033" s="6"/>
      <c r="P2033" s="5"/>
      <c r="Q2033" s="9"/>
      <c r="R2033" s="5"/>
      <c r="S2033" s="5"/>
      <c r="T2033" s="5"/>
      <c r="U2033" s="5"/>
      <c r="V2033" s="5"/>
      <c r="W2033" s="5"/>
      <c r="X2033" s="5"/>
      <c r="Y2033" s="9"/>
      <c r="Z2033" s="2"/>
    </row>
    <row r="2034" spans="1:26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3"/>
      <c r="M2034" s="6"/>
      <c r="N2034" s="6"/>
      <c r="O2034" s="6"/>
      <c r="P2034" s="5"/>
      <c r="Q2034" s="9"/>
      <c r="R2034" s="5"/>
      <c r="S2034" s="5"/>
      <c r="T2034" s="5"/>
      <c r="U2034" s="5"/>
      <c r="V2034" s="5"/>
      <c r="W2034" s="5"/>
      <c r="X2034" s="5"/>
      <c r="Y2034" s="9"/>
      <c r="Z2034" s="2"/>
    </row>
    <row r="2035" spans="1:26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3"/>
      <c r="M2035" s="6"/>
      <c r="N2035" s="6"/>
      <c r="O2035" s="6"/>
      <c r="P2035" s="5"/>
      <c r="Q2035" s="9"/>
      <c r="R2035" s="5"/>
      <c r="S2035" s="5"/>
      <c r="T2035" s="5"/>
      <c r="U2035" s="5"/>
      <c r="V2035" s="5"/>
      <c r="W2035" s="5"/>
      <c r="X2035" s="5"/>
      <c r="Y2035" s="9"/>
      <c r="Z2035" s="2"/>
    </row>
    <row r="2036" spans="1:26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3"/>
      <c r="M2036" s="6"/>
      <c r="N2036" s="6"/>
      <c r="O2036" s="6"/>
      <c r="P2036" s="5"/>
      <c r="Q2036" s="9"/>
      <c r="R2036" s="5"/>
      <c r="S2036" s="5"/>
      <c r="T2036" s="5"/>
      <c r="U2036" s="5"/>
      <c r="V2036" s="5"/>
      <c r="W2036" s="5"/>
      <c r="X2036" s="5"/>
      <c r="Y2036" s="9"/>
      <c r="Z2036" s="2"/>
    </row>
    <row r="2037" spans="1:26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3"/>
      <c r="M2037" s="6"/>
      <c r="N2037" s="6"/>
      <c r="O2037" s="6"/>
      <c r="P2037" s="5"/>
      <c r="Q2037" s="9"/>
      <c r="R2037" s="5"/>
      <c r="S2037" s="5"/>
      <c r="T2037" s="5"/>
      <c r="U2037" s="5"/>
      <c r="V2037" s="5"/>
      <c r="W2037" s="5"/>
      <c r="X2037" s="5"/>
      <c r="Y2037" s="9"/>
      <c r="Z2037" s="2"/>
    </row>
    <row r="2038" spans="1:26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3"/>
      <c r="M2038" s="6"/>
      <c r="N2038" s="6"/>
      <c r="O2038" s="6"/>
      <c r="P2038" s="5"/>
      <c r="Q2038" s="9"/>
      <c r="R2038" s="5"/>
      <c r="S2038" s="5"/>
      <c r="T2038" s="5"/>
      <c r="U2038" s="5"/>
      <c r="V2038" s="5"/>
      <c r="W2038" s="5"/>
      <c r="X2038" s="5"/>
      <c r="Y2038" s="9"/>
      <c r="Z2038" s="2"/>
    </row>
    <row r="2039" spans="1:26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3"/>
      <c r="M2039" s="6"/>
      <c r="N2039" s="6"/>
      <c r="O2039" s="6"/>
      <c r="P2039" s="5"/>
      <c r="Q2039" s="9"/>
      <c r="R2039" s="5"/>
      <c r="S2039" s="5"/>
      <c r="T2039" s="5"/>
      <c r="U2039" s="5"/>
      <c r="V2039" s="5"/>
      <c r="W2039" s="5"/>
      <c r="X2039" s="5"/>
      <c r="Y2039" s="9"/>
      <c r="Z2039" s="2"/>
    </row>
    <row r="2040" spans="1:26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3"/>
      <c r="M2040" s="6"/>
      <c r="N2040" s="6"/>
      <c r="O2040" s="6"/>
      <c r="P2040" s="5"/>
      <c r="Q2040" s="9"/>
      <c r="R2040" s="5"/>
      <c r="S2040" s="5"/>
      <c r="T2040" s="5"/>
      <c r="U2040" s="5"/>
      <c r="V2040" s="5"/>
      <c r="W2040" s="5"/>
      <c r="X2040" s="5"/>
      <c r="Y2040" s="9"/>
      <c r="Z2040" s="2"/>
    </row>
    <row r="2041" spans="1:26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3"/>
      <c r="M2041" s="6"/>
      <c r="N2041" s="6"/>
      <c r="O2041" s="6"/>
      <c r="P2041" s="5"/>
      <c r="Q2041" s="9"/>
      <c r="R2041" s="5"/>
      <c r="S2041" s="5"/>
      <c r="T2041" s="5"/>
      <c r="U2041" s="5"/>
      <c r="V2041" s="5"/>
      <c r="W2041" s="5"/>
      <c r="X2041" s="5"/>
      <c r="Y2041" s="9"/>
      <c r="Z2041" s="2"/>
    </row>
    <row r="2042" spans="1:26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3"/>
      <c r="M2042" s="6"/>
      <c r="N2042" s="6"/>
      <c r="O2042" s="6"/>
      <c r="P2042" s="5"/>
      <c r="Q2042" s="9"/>
      <c r="R2042" s="5"/>
      <c r="S2042" s="5"/>
      <c r="T2042" s="5"/>
      <c r="U2042" s="5"/>
      <c r="V2042" s="5"/>
      <c r="W2042" s="5"/>
      <c r="X2042" s="5"/>
      <c r="Y2042" s="9"/>
      <c r="Z2042" s="2"/>
    </row>
    <row r="2043" spans="1:26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3"/>
      <c r="M2043" s="6"/>
      <c r="N2043" s="6"/>
      <c r="O2043" s="6"/>
      <c r="P2043" s="5"/>
      <c r="Q2043" s="9"/>
      <c r="R2043" s="5"/>
      <c r="S2043" s="5"/>
      <c r="T2043" s="5"/>
      <c r="U2043" s="5"/>
      <c r="V2043" s="5"/>
      <c r="W2043" s="5"/>
      <c r="X2043" s="5"/>
      <c r="Y2043" s="9"/>
      <c r="Z2043" s="2"/>
    </row>
    <row r="2044" spans="1:26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3"/>
      <c r="M2044" s="6"/>
      <c r="N2044" s="6"/>
      <c r="O2044" s="6"/>
      <c r="P2044" s="5"/>
      <c r="Q2044" s="9"/>
      <c r="R2044" s="5"/>
      <c r="S2044" s="5"/>
      <c r="T2044" s="5"/>
      <c r="U2044" s="5"/>
      <c r="V2044" s="5"/>
      <c r="W2044" s="5"/>
      <c r="X2044" s="5"/>
      <c r="Y2044" s="9"/>
      <c r="Z2044" s="2"/>
    </row>
    <row r="2045" spans="1:26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3"/>
      <c r="M2045" s="6"/>
      <c r="N2045" s="6"/>
      <c r="O2045" s="6"/>
      <c r="P2045" s="5"/>
      <c r="Q2045" s="9"/>
      <c r="R2045" s="5"/>
      <c r="S2045" s="5"/>
      <c r="T2045" s="5"/>
      <c r="U2045" s="5"/>
      <c r="V2045" s="5"/>
      <c r="W2045" s="5"/>
      <c r="X2045" s="5"/>
      <c r="Y2045" s="9"/>
      <c r="Z2045" s="2"/>
    </row>
    <row r="2046" spans="1:26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3"/>
      <c r="M2046" s="6"/>
      <c r="N2046" s="6"/>
      <c r="O2046" s="6"/>
      <c r="P2046" s="5"/>
      <c r="Q2046" s="9"/>
      <c r="R2046" s="5"/>
      <c r="S2046" s="5"/>
      <c r="T2046" s="5"/>
      <c r="U2046" s="5"/>
      <c r="V2046" s="5"/>
      <c r="W2046" s="5"/>
      <c r="X2046" s="5"/>
      <c r="Y2046" s="9"/>
      <c r="Z2046" s="2"/>
    </row>
    <row r="2047" spans="1:26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3"/>
      <c r="M2047" s="6"/>
      <c r="N2047" s="6"/>
      <c r="O2047" s="6"/>
      <c r="P2047" s="5"/>
      <c r="Q2047" s="9"/>
      <c r="R2047" s="5"/>
      <c r="S2047" s="5"/>
      <c r="T2047" s="5"/>
      <c r="U2047" s="5"/>
      <c r="V2047" s="5"/>
      <c r="W2047" s="5"/>
      <c r="X2047" s="5"/>
      <c r="Y2047" s="9"/>
      <c r="Z2047" s="2"/>
    </row>
    <row r="2048" spans="1:26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3"/>
      <c r="M2048" s="6"/>
      <c r="N2048" s="6"/>
      <c r="O2048" s="6"/>
      <c r="P2048" s="5"/>
      <c r="Q2048" s="9"/>
      <c r="R2048" s="5"/>
      <c r="S2048" s="5"/>
      <c r="T2048" s="5"/>
      <c r="U2048" s="5"/>
      <c r="V2048" s="5"/>
      <c r="W2048" s="5"/>
      <c r="X2048" s="5"/>
      <c r="Y2048" s="9"/>
      <c r="Z2048" s="2"/>
    </row>
    <row r="2049" spans="1:26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3"/>
      <c r="M2049" s="6"/>
      <c r="N2049" s="6"/>
      <c r="O2049" s="6"/>
      <c r="P2049" s="5"/>
      <c r="Q2049" s="9"/>
      <c r="R2049" s="5"/>
      <c r="S2049" s="5"/>
      <c r="T2049" s="5"/>
      <c r="U2049" s="5"/>
      <c r="V2049" s="5"/>
      <c r="W2049" s="5"/>
      <c r="X2049" s="5"/>
      <c r="Y2049" s="9"/>
      <c r="Z2049" s="2"/>
    </row>
    <row r="2050" spans="1:26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3"/>
      <c r="M2050" s="6"/>
      <c r="N2050" s="6"/>
      <c r="O2050" s="6"/>
      <c r="P2050" s="5"/>
      <c r="Q2050" s="9"/>
      <c r="R2050" s="5"/>
      <c r="S2050" s="5"/>
      <c r="T2050" s="5"/>
      <c r="U2050" s="5"/>
      <c r="V2050" s="5"/>
      <c r="W2050" s="5"/>
      <c r="X2050" s="5"/>
      <c r="Y2050" s="9"/>
      <c r="Z2050" s="2"/>
    </row>
    <row r="2051" spans="1:26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3"/>
      <c r="M2051" s="6"/>
      <c r="N2051" s="6"/>
      <c r="O2051" s="6"/>
      <c r="P2051" s="5"/>
      <c r="Q2051" s="9"/>
      <c r="R2051" s="5"/>
      <c r="S2051" s="5"/>
      <c r="T2051" s="5"/>
      <c r="U2051" s="5"/>
      <c r="V2051" s="5"/>
      <c r="W2051" s="5"/>
      <c r="X2051" s="5"/>
      <c r="Y2051" s="9"/>
      <c r="Z2051" s="2"/>
    </row>
    <row r="2052" spans="1:26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3"/>
      <c r="M2052" s="6"/>
      <c r="N2052" s="6"/>
      <c r="O2052" s="6"/>
      <c r="P2052" s="5"/>
      <c r="Q2052" s="9"/>
      <c r="R2052" s="5"/>
      <c r="S2052" s="5"/>
      <c r="T2052" s="5"/>
      <c r="U2052" s="5"/>
      <c r="V2052" s="5"/>
      <c r="W2052" s="5"/>
      <c r="X2052" s="5"/>
      <c r="Y2052" s="9"/>
      <c r="Z2052" s="2"/>
    </row>
    <row r="2053" spans="1:26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3"/>
      <c r="M2053" s="6"/>
      <c r="N2053" s="6"/>
      <c r="O2053" s="6"/>
      <c r="P2053" s="5"/>
      <c r="Q2053" s="9"/>
      <c r="R2053" s="5"/>
      <c r="S2053" s="5"/>
      <c r="T2053" s="5"/>
      <c r="U2053" s="5"/>
      <c r="V2053" s="5"/>
      <c r="W2053" s="5"/>
      <c r="X2053" s="5"/>
      <c r="Y2053" s="9"/>
      <c r="Z2053" s="2"/>
    </row>
    <row r="2054" spans="1:26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3"/>
      <c r="M2054" s="6"/>
      <c r="N2054" s="6"/>
      <c r="O2054" s="6"/>
      <c r="P2054" s="5"/>
      <c r="Q2054" s="9"/>
      <c r="R2054" s="5"/>
      <c r="S2054" s="5"/>
      <c r="T2054" s="5"/>
      <c r="U2054" s="5"/>
      <c r="V2054" s="5"/>
      <c r="W2054" s="5"/>
      <c r="X2054" s="5"/>
      <c r="Y2054" s="9"/>
      <c r="Z2054" s="2"/>
    </row>
    <row r="2055" spans="1:26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3"/>
      <c r="M2055" s="6"/>
      <c r="N2055" s="6"/>
      <c r="O2055" s="6"/>
      <c r="P2055" s="5"/>
      <c r="Q2055" s="9"/>
      <c r="R2055" s="5"/>
      <c r="S2055" s="5"/>
      <c r="T2055" s="5"/>
      <c r="U2055" s="5"/>
      <c r="V2055" s="5"/>
      <c r="W2055" s="5"/>
      <c r="X2055" s="5"/>
      <c r="Y2055" s="9"/>
      <c r="Z2055" s="2"/>
    </row>
    <row r="2056" spans="1:26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3"/>
      <c r="M2056" s="6"/>
      <c r="N2056" s="6"/>
      <c r="O2056" s="6"/>
      <c r="P2056" s="5"/>
      <c r="Q2056" s="9"/>
      <c r="R2056" s="5"/>
      <c r="S2056" s="5"/>
      <c r="T2056" s="5"/>
      <c r="U2056" s="5"/>
      <c r="V2056" s="5"/>
      <c r="W2056" s="5"/>
      <c r="X2056" s="5"/>
      <c r="Y2056" s="9"/>
      <c r="Z2056" s="2"/>
    </row>
    <row r="2057" spans="1:26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3"/>
      <c r="M2057" s="6"/>
      <c r="N2057" s="6"/>
      <c r="O2057" s="6"/>
      <c r="P2057" s="5"/>
      <c r="Q2057" s="9"/>
      <c r="R2057" s="5"/>
      <c r="S2057" s="5"/>
      <c r="T2057" s="5"/>
      <c r="U2057" s="5"/>
      <c r="V2057" s="5"/>
      <c r="W2057" s="5"/>
      <c r="X2057" s="5"/>
      <c r="Y2057" s="9"/>
      <c r="Z2057" s="2"/>
    </row>
    <row r="2058" spans="1:26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3"/>
      <c r="M2058" s="6"/>
      <c r="N2058" s="6"/>
      <c r="O2058" s="6"/>
      <c r="P2058" s="5"/>
      <c r="Q2058" s="9"/>
      <c r="R2058" s="5"/>
      <c r="S2058" s="5"/>
      <c r="T2058" s="5"/>
      <c r="U2058" s="5"/>
      <c r="V2058" s="5"/>
      <c r="W2058" s="5"/>
      <c r="X2058" s="5"/>
      <c r="Y2058" s="9"/>
      <c r="Z2058" s="2"/>
    </row>
    <row r="2059" spans="1:26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3"/>
      <c r="M2059" s="6"/>
      <c r="N2059" s="6"/>
      <c r="O2059" s="6"/>
      <c r="P2059" s="5"/>
      <c r="Q2059" s="9"/>
      <c r="R2059" s="5"/>
      <c r="S2059" s="5"/>
      <c r="T2059" s="5"/>
      <c r="U2059" s="5"/>
      <c r="V2059" s="5"/>
      <c r="W2059" s="5"/>
      <c r="X2059" s="5"/>
      <c r="Y2059" s="9"/>
      <c r="Z2059" s="2"/>
    </row>
    <row r="2060" spans="1:26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3"/>
      <c r="M2060" s="6"/>
      <c r="N2060" s="6"/>
      <c r="O2060" s="6"/>
      <c r="P2060" s="5"/>
      <c r="Q2060" s="9"/>
      <c r="R2060" s="5"/>
      <c r="S2060" s="5"/>
      <c r="T2060" s="5"/>
      <c r="U2060" s="5"/>
      <c r="V2060" s="5"/>
      <c r="W2060" s="5"/>
      <c r="X2060" s="5"/>
      <c r="Y2060" s="9"/>
      <c r="Z2060" s="2"/>
    </row>
    <row r="2061" spans="1:26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3"/>
      <c r="M2061" s="6"/>
      <c r="N2061" s="6"/>
      <c r="O2061" s="6"/>
      <c r="P2061" s="5"/>
      <c r="Q2061" s="9"/>
      <c r="R2061" s="5"/>
      <c r="S2061" s="5"/>
      <c r="T2061" s="5"/>
      <c r="U2061" s="5"/>
      <c r="V2061" s="5"/>
      <c r="W2061" s="5"/>
      <c r="X2061" s="5"/>
      <c r="Y2061" s="9"/>
      <c r="Z2061" s="2"/>
    </row>
    <row r="2062" spans="1:26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3"/>
      <c r="M2062" s="6"/>
      <c r="N2062" s="6"/>
      <c r="O2062" s="6"/>
      <c r="P2062" s="5"/>
      <c r="Q2062" s="9"/>
      <c r="R2062" s="5"/>
      <c r="S2062" s="5"/>
      <c r="T2062" s="5"/>
      <c r="U2062" s="5"/>
      <c r="V2062" s="5"/>
      <c r="W2062" s="5"/>
      <c r="X2062" s="5"/>
      <c r="Y2062" s="9"/>
      <c r="Z2062" s="2"/>
    </row>
    <row r="2063" spans="1:26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3"/>
      <c r="M2063" s="6"/>
      <c r="N2063" s="6"/>
      <c r="O2063" s="6"/>
      <c r="P2063" s="5"/>
      <c r="Q2063" s="9"/>
      <c r="R2063" s="5"/>
      <c r="S2063" s="5"/>
      <c r="T2063" s="5"/>
      <c r="U2063" s="5"/>
      <c r="V2063" s="5"/>
      <c r="W2063" s="5"/>
      <c r="X2063" s="5"/>
      <c r="Y2063" s="9"/>
      <c r="Z2063" s="2"/>
    </row>
    <row r="2064" spans="1:26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3"/>
      <c r="M2064" s="6"/>
      <c r="N2064" s="6"/>
      <c r="O2064" s="6"/>
      <c r="P2064" s="5"/>
      <c r="Q2064" s="9"/>
      <c r="R2064" s="5"/>
      <c r="S2064" s="5"/>
      <c r="T2064" s="5"/>
      <c r="U2064" s="5"/>
      <c r="V2064" s="5"/>
      <c r="W2064" s="5"/>
      <c r="X2064" s="5"/>
      <c r="Y2064" s="9"/>
      <c r="Z2064" s="2"/>
    </row>
    <row r="2065" spans="1:26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3"/>
      <c r="M2065" s="6"/>
      <c r="N2065" s="6"/>
      <c r="O2065" s="6"/>
      <c r="P2065" s="5"/>
      <c r="Q2065" s="9"/>
      <c r="R2065" s="5"/>
      <c r="S2065" s="5"/>
      <c r="T2065" s="5"/>
      <c r="U2065" s="5"/>
      <c r="V2065" s="5"/>
      <c r="W2065" s="5"/>
      <c r="X2065" s="5"/>
      <c r="Y2065" s="9"/>
      <c r="Z2065" s="2"/>
    </row>
    <row r="2066" spans="1:26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3"/>
      <c r="M2066" s="6"/>
      <c r="N2066" s="6"/>
      <c r="O2066" s="6"/>
      <c r="P2066" s="5"/>
      <c r="Q2066" s="9"/>
      <c r="R2066" s="5"/>
      <c r="S2066" s="5"/>
      <c r="T2066" s="5"/>
      <c r="U2066" s="5"/>
      <c r="V2066" s="5"/>
      <c r="W2066" s="5"/>
      <c r="X2066" s="5"/>
      <c r="Y2066" s="9"/>
      <c r="Z2066" s="2"/>
    </row>
    <row r="2067" spans="1:26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3"/>
      <c r="M2067" s="6"/>
      <c r="N2067" s="6"/>
      <c r="O2067" s="6"/>
      <c r="P2067" s="5"/>
      <c r="Q2067" s="9"/>
      <c r="R2067" s="5"/>
      <c r="S2067" s="5"/>
      <c r="T2067" s="5"/>
      <c r="U2067" s="5"/>
      <c r="V2067" s="5"/>
      <c r="W2067" s="5"/>
      <c r="X2067" s="5"/>
      <c r="Y2067" s="9"/>
      <c r="Z2067" s="2"/>
    </row>
    <row r="2068" spans="1:26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3"/>
      <c r="M2068" s="6"/>
      <c r="N2068" s="6"/>
      <c r="O2068" s="6"/>
      <c r="P2068" s="5"/>
      <c r="Q2068" s="9"/>
      <c r="R2068" s="5"/>
      <c r="S2068" s="5"/>
      <c r="T2068" s="5"/>
      <c r="U2068" s="5"/>
      <c r="V2068" s="5"/>
      <c r="W2068" s="5"/>
      <c r="X2068" s="5"/>
      <c r="Y2068" s="9"/>
      <c r="Z2068" s="2"/>
    </row>
    <row r="2069" spans="1:26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3"/>
      <c r="M2069" s="6"/>
      <c r="N2069" s="6"/>
      <c r="O2069" s="6"/>
      <c r="P2069" s="5"/>
      <c r="Q2069" s="9"/>
      <c r="R2069" s="5"/>
      <c r="S2069" s="5"/>
      <c r="T2069" s="5"/>
      <c r="U2069" s="5"/>
      <c r="V2069" s="5"/>
      <c r="W2069" s="5"/>
      <c r="X2069" s="5"/>
      <c r="Y2069" s="9"/>
      <c r="Z2069" s="2"/>
    </row>
    <row r="2070" spans="1:26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3"/>
      <c r="M2070" s="6"/>
      <c r="N2070" s="6"/>
      <c r="O2070" s="6"/>
      <c r="P2070" s="5"/>
      <c r="Q2070" s="9"/>
      <c r="R2070" s="5"/>
      <c r="S2070" s="5"/>
      <c r="T2070" s="5"/>
      <c r="U2070" s="5"/>
      <c r="V2070" s="5"/>
      <c r="W2070" s="5"/>
      <c r="X2070" s="5"/>
      <c r="Y2070" s="9"/>
      <c r="Z2070" s="2"/>
    </row>
    <row r="2071" spans="1:26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3"/>
      <c r="M2071" s="6"/>
      <c r="N2071" s="6"/>
      <c r="O2071" s="6"/>
      <c r="P2071" s="5"/>
      <c r="Q2071" s="9"/>
      <c r="R2071" s="5"/>
      <c r="S2071" s="5"/>
      <c r="T2071" s="5"/>
      <c r="U2071" s="5"/>
      <c r="V2071" s="5"/>
      <c r="W2071" s="5"/>
      <c r="X2071" s="5"/>
      <c r="Y2071" s="9"/>
      <c r="Z2071" s="2"/>
    </row>
    <row r="2072" spans="1:26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3"/>
      <c r="M2072" s="6"/>
      <c r="N2072" s="6"/>
      <c r="O2072" s="6"/>
      <c r="P2072" s="5"/>
      <c r="Q2072" s="9"/>
      <c r="R2072" s="5"/>
      <c r="S2072" s="5"/>
      <c r="T2072" s="5"/>
      <c r="U2072" s="5"/>
      <c r="V2072" s="5"/>
      <c r="W2072" s="5"/>
      <c r="X2072" s="5"/>
      <c r="Y2072" s="9"/>
      <c r="Z2072" s="2"/>
    </row>
    <row r="2073" spans="1:26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3"/>
      <c r="M2073" s="6"/>
      <c r="N2073" s="6"/>
      <c r="O2073" s="6"/>
      <c r="P2073" s="5"/>
      <c r="Q2073" s="9"/>
      <c r="R2073" s="5"/>
      <c r="S2073" s="5"/>
      <c r="T2073" s="5"/>
      <c r="U2073" s="5"/>
      <c r="V2073" s="5"/>
      <c r="W2073" s="5"/>
      <c r="X2073" s="5"/>
      <c r="Y2073" s="9"/>
      <c r="Z2073" s="2"/>
    </row>
    <row r="2074" spans="1:26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3"/>
      <c r="M2074" s="6"/>
      <c r="N2074" s="6"/>
      <c r="O2074" s="6"/>
      <c r="P2074" s="5"/>
      <c r="Q2074" s="9"/>
      <c r="R2074" s="5"/>
      <c r="S2074" s="5"/>
      <c r="T2074" s="5"/>
      <c r="U2074" s="5"/>
      <c r="V2074" s="5"/>
      <c r="W2074" s="5"/>
      <c r="X2074" s="5"/>
      <c r="Y2074" s="9"/>
      <c r="Z2074" s="2"/>
    </row>
    <row r="2075" spans="1:26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3"/>
      <c r="M2075" s="6"/>
      <c r="N2075" s="6"/>
      <c r="O2075" s="6"/>
      <c r="P2075" s="5"/>
      <c r="Q2075" s="9"/>
      <c r="R2075" s="5"/>
      <c r="S2075" s="5"/>
      <c r="T2075" s="5"/>
      <c r="U2075" s="5"/>
      <c r="V2075" s="5"/>
      <c r="W2075" s="5"/>
      <c r="X2075" s="5"/>
      <c r="Y2075" s="9"/>
      <c r="Z2075" s="2"/>
    </row>
    <row r="2076" spans="1:26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3"/>
      <c r="M2076" s="6"/>
      <c r="N2076" s="6"/>
      <c r="O2076" s="6"/>
      <c r="P2076" s="5"/>
      <c r="Q2076" s="9"/>
      <c r="R2076" s="5"/>
      <c r="S2076" s="5"/>
      <c r="T2076" s="5"/>
      <c r="U2076" s="5"/>
      <c r="V2076" s="5"/>
      <c r="W2076" s="5"/>
      <c r="X2076" s="5"/>
      <c r="Y2076" s="9"/>
      <c r="Z2076" s="2"/>
    </row>
    <row r="2077" spans="1:26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3"/>
      <c r="M2077" s="6"/>
      <c r="N2077" s="6"/>
      <c r="O2077" s="6"/>
      <c r="P2077" s="5"/>
      <c r="Q2077" s="9"/>
      <c r="R2077" s="5"/>
      <c r="S2077" s="5"/>
      <c r="T2077" s="5"/>
      <c r="U2077" s="5"/>
      <c r="V2077" s="5"/>
      <c r="W2077" s="5"/>
      <c r="X2077" s="5"/>
      <c r="Y2077" s="9"/>
      <c r="Z2077" s="2"/>
    </row>
    <row r="2078" spans="1:26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3"/>
      <c r="M2078" s="6"/>
      <c r="N2078" s="6"/>
      <c r="O2078" s="6"/>
      <c r="P2078" s="5"/>
      <c r="Q2078" s="9"/>
      <c r="R2078" s="5"/>
      <c r="S2078" s="5"/>
      <c r="T2078" s="5"/>
      <c r="U2078" s="5"/>
      <c r="V2078" s="5"/>
      <c r="W2078" s="5"/>
      <c r="X2078" s="5"/>
      <c r="Y2078" s="9"/>
      <c r="Z2078" s="2"/>
    </row>
    <row r="2079" spans="1:26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3"/>
      <c r="M2079" s="6"/>
      <c r="N2079" s="6"/>
      <c r="O2079" s="6"/>
      <c r="P2079" s="5"/>
      <c r="Q2079" s="9"/>
      <c r="R2079" s="5"/>
      <c r="S2079" s="5"/>
      <c r="T2079" s="5"/>
      <c r="U2079" s="5"/>
      <c r="V2079" s="5"/>
      <c r="W2079" s="5"/>
      <c r="X2079" s="5"/>
      <c r="Y2079" s="9"/>
      <c r="Z2079" s="2"/>
    </row>
    <row r="2080" spans="1:26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3"/>
      <c r="M2080" s="6"/>
      <c r="N2080" s="6"/>
      <c r="O2080" s="6"/>
      <c r="P2080" s="5"/>
      <c r="Q2080" s="9"/>
      <c r="R2080" s="5"/>
      <c r="S2080" s="5"/>
      <c r="T2080" s="5"/>
      <c r="U2080" s="5"/>
      <c r="V2080" s="5"/>
      <c r="W2080" s="5"/>
      <c r="X2080" s="5"/>
      <c r="Y2080" s="9"/>
      <c r="Z2080" s="2"/>
    </row>
    <row r="2081" spans="1:26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3"/>
      <c r="M2081" s="6"/>
      <c r="N2081" s="6"/>
      <c r="O2081" s="6"/>
      <c r="P2081" s="5"/>
      <c r="Q2081" s="9"/>
      <c r="R2081" s="5"/>
      <c r="S2081" s="5"/>
      <c r="T2081" s="5"/>
      <c r="U2081" s="5"/>
      <c r="V2081" s="5"/>
      <c r="W2081" s="5"/>
      <c r="X2081" s="5"/>
      <c r="Y2081" s="9"/>
      <c r="Z2081" s="2"/>
    </row>
    <row r="2082" spans="1:26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3"/>
      <c r="M2082" s="6"/>
      <c r="N2082" s="6"/>
      <c r="O2082" s="6"/>
      <c r="P2082" s="5"/>
      <c r="Q2082" s="9"/>
      <c r="R2082" s="5"/>
      <c r="S2082" s="5"/>
      <c r="T2082" s="5"/>
      <c r="U2082" s="5"/>
      <c r="V2082" s="5"/>
      <c r="W2082" s="5"/>
      <c r="X2082" s="5"/>
      <c r="Y2082" s="9"/>
      <c r="Z2082" s="2"/>
    </row>
    <row r="2083" spans="1:26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3"/>
      <c r="M2083" s="6"/>
      <c r="N2083" s="6"/>
      <c r="O2083" s="6"/>
      <c r="P2083" s="5"/>
      <c r="Q2083" s="9"/>
      <c r="R2083" s="5"/>
      <c r="S2083" s="5"/>
      <c r="T2083" s="5"/>
      <c r="U2083" s="5"/>
      <c r="V2083" s="5"/>
      <c r="W2083" s="5"/>
      <c r="X2083" s="5"/>
      <c r="Y2083" s="9"/>
      <c r="Z2083" s="2"/>
    </row>
    <row r="2084" spans="1:26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3"/>
      <c r="M2084" s="6"/>
      <c r="N2084" s="6"/>
      <c r="O2084" s="6"/>
      <c r="P2084" s="5"/>
      <c r="Q2084" s="9"/>
      <c r="R2084" s="5"/>
      <c r="S2084" s="5"/>
      <c r="T2084" s="5"/>
      <c r="U2084" s="5"/>
      <c r="V2084" s="5"/>
      <c r="W2084" s="5"/>
      <c r="X2084" s="5"/>
      <c r="Y2084" s="9"/>
      <c r="Z2084" s="2"/>
    </row>
    <row r="2085" spans="1:26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3"/>
      <c r="M2085" s="6"/>
      <c r="N2085" s="6"/>
      <c r="O2085" s="6"/>
      <c r="P2085" s="5"/>
      <c r="Q2085" s="9"/>
      <c r="R2085" s="5"/>
      <c r="S2085" s="5"/>
      <c r="T2085" s="5"/>
      <c r="U2085" s="5"/>
      <c r="V2085" s="5"/>
      <c r="W2085" s="5"/>
      <c r="X2085" s="5"/>
      <c r="Y2085" s="9"/>
      <c r="Z2085" s="2"/>
    </row>
    <row r="2086" spans="1:26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3"/>
      <c r="M2086" s="6"/>
      <c r="N2086" s="6"/>
      <c r="O2086" s="6"/>
      <c r="P2086" s="5"/>
      <c r="Q2086" s="9"/>
      <c r="R2086" s="5"/>
      <c r="S2086" s="5"/>
      <c r="T2086" s="5"/>
      <c r="U2086" s="5"/>
      <c r="V2086" s="5"/>
      <c r="W2086" s="5"/>
      <c r="X2086" s="5"/>
      <c r="Y2086" s="9"/>
      <c r="Z2086" s="2"/>
    </row>
    <row r="2087" spans="1:26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3"/>
      <c r="M2087" s="6"/>
      <c r="N2087" s="6"/>
      <c r="O2087" s="6"/>
      <c r="P2087" s="5"/>
      <c r="Q2087" s="9"/>
      <c r="R2087" s="5"/>
      <c r="S2087" s="5"/>
      <c r="T2087" s="5"/>
      <c r="U2087" s="5"/>
      <c r="V2087" s="5"/>
      <c r="W2087" s="5"/>
      <c r="X2087" s="5"/>
      <c r="Y2087" s="9"/>
      <c r="Z2087" s="2"/>
    </row>
    <row r="2088" spans="1:26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3"/>
      <c r="M2088" s="6"/>
      <c r="N2088" s="6"/>
      <c r="O2088" s="6"/>
      <c r="P2088" s="5"/>
      <c r="Q2088" s="9"/>
      <c r="R2088" s="5"/>
      <c r="S2088" s="5"/>
      <c r="T2088" s="5"/>
      <c r="U2088" s="5"/>
      <c r="V2088" s="5"/>
      <c r="W2088" s="5"/>
      <c r="X2088" s="5"/>
      <c r="Y2088" s="9"/>
      <c r="Z2088" s="2"/>
    </row>
    <row r="2089" spans="1:26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3"/>
      <c r="M2089" s="6"/>
      <c r="N2089" s="6"/>
      <c r="O2089" s="6"/>
      <c r="P2089" s="5"/>
      <c r="Q2089" s="9"/>
      <c r="R2089" s="5"/>
      <c r="S2089" s="5"/>
      <c r="T2089" s="5"/>
      <c r="U2089" s="5"/>
      <c r="V2089" s="5"/>
      <c r="W2089" s="5"/>
      <c r="X2089" s="5"/>
      <c r="Y2089" s="9"/>
      <c r="Z2089" s="2"/>
    </row>
    <row r="2090" spans="1:26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3"/>
      <c r="M2090" s="6"/>
      <c r="N2090" s="6"/>
      <c r="O2090" s="6"/>
      <c r="P2090" s="5"/>
      <c r="Q2090" s="9"/>
      <c r="R2090" s="5"/>
      <c r="S2090" s="5"/>
      <c r="T2090" s="5"/>
      <c r="U2090" s="5"/>
      <c r="V2090" s="5"/>
      <c r="W2090" s="5"/>
      <c r="X2090" s="5"/>
      <c r="Y2090" s="9"/>
      <c r="Z2090" s="2"/>
    </row>
    <row r="2091" spans="1:26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3"/>
      <c r="M2091" s="6"/>
      <c r="N2091" s="6"/>
      <c r="O2091" s="6"/>
      <c r="P2091" s="5"/>
      <c r="Q2091" s="9"/>
      <c r="R2091" s="5"/>
      <c r="S2091" s="5"/>
      <c r="T2091" s="5"/>
      <c r="U2091" s="5"/>
      <c r="V2091" s="5"/>
      <c r="W2091" s="5"/>
      <c r="X2091" s="5"/>
      <c r="Y2091" s="9"/>
      <c r="Z2091" s="2"/>
    </row>
    <row r="2092" spans="1:26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3"/>
      <c r="M2092" s="6"/>
      <c r="N2092" s="6"/>
      <c r="O2092" s="6"/>
      <c r="P2092" s="5"/>
      <c r="Q2092" s="9"/>
      <c r="R2092" s="5"/>
      <c r="S2092" s="5"/>
      <c r="T2092" s="5"/>
      <c r="U2092" s="5"/>
      <c r="V2092" s="5"/>
      <c r="W2092" s="5"/>
      <c r="X2092" s="5"/>
      <c r="Y2092" s="9"/>
      <c r="Z2092" s="2"/>
    </row>
    <row r="2093" spans="1:26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3"/>
      <c r="M2093" s="6"/>
      <c r="N2093" s="6"/>
      <c r="O2093" s="6"/>
      <c r="P2093" s="5"/>
      <c r="Q2093" s="9"/>
      <c r="R2093" s="5"/>
      <c r="S2093" s="5"/>
      <c r="T2093" s="5"/>
      <c r="U2093" s="5"/>
      <c r="V2093" s="5"/>
      <c r="W2093" s="5"/>
      <c r="X2093" s="5"/>
      <c r="Y2093" s="9"/>
      <c r="Z2093" s="2"/>
    </row>
    <row r="2094" spans="1:26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3"/>
      <c r="M2094" s="6"/>
      <c r="N2094" s="6"/>
      <c r="O2094" s="6"/>
      <c r="P2094" s="5"/>
      <c r="Q2094" s="9"/>
      <c r="R2094" s="5"/>
      <c r="S2094" s="5"/>
      <c r="T2094" s="5"/>
      <c r="U2094" s="5"/>
      <c r="V2094" s="5"/>
      <c r="W2094" s="5"/>
      <c r="X2094" s="5"/>
      <c r="Y2094" s="9"/>
      <c r="Z2094" s="2"/>
    </row>
    <row r="2095" spans="1:26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3"/>
      <c r="M2095" s="6"/>
      <c r="N2095" s="6"/>
      <c r="O2095" s="6"/>
      <c r="P2095" s="5"/>
      <c r="Q2095" s="9"/>
      <c r="R2095" s="5"/>
      <c r="S2095" s="5"/>
      <c r="T2095" s="5"/>
      <c r="U2095" s="5"/>
      <c r="V2095" s="5"/>
      <c r="W2095" s="5"/>
      <c r="X2095" s="5"/>
      <c r="Y2095" s="9"/>
      <c r="Z2095" s="2"/>
    </row>
    <row r="2096" spans="1:26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3"/>
      <c r="M2096" s="6"/>
      <c r="N2096" s="6"/>
      <c r="O2096" s="6"/>
      <c r="P2096" s="5"/>
      <c r="Q2096" s="9"/>
      <c r="R2096" s="5"/>
      <c r="S2096" s="5"/>
      <c r="T2096" s="5"/>
      <c r="U2096" s="5"/>
      <c r="V2096" s="5"/>
      <c r="W2096" s="5"/>
      <c r="X2096" s="5"/>
      <c r="Y2096" s="9"/>
      <c r="Z2096" s="2"/>
    </row>
    <row r="2097" spans="1:26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3"/>
      <c r="M2097" s="6"/>
      <c r="N2097" s="6"/>
      <c r="O2097" s="6"/>
      <c r="P2097" s="5"/>
      <c r="Q2097" s="9"/>
      <c r="R2097" s="5"/>
      <c r="S2097" s="5"/>
      <c r="T2097" s="5"/>
      <c r="U2097" s="5"/>
      <c r="V2097" s="5"/>
      <c r="W2097" s="5"/>
      <c r="X2097" s="5"/>
      <c r="Y2097" s="9"/>
      <c r="Z2097" s="2"/>
    </row>
    <row r="2098" spans="1:26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3"/>
      <c r="M2098" s="6"/>
      <c r="N2098" s="6"/>
      <c r="O2098" s="6"/>
      <c r="P2098" s="5"/>
      <c r="Q2098" s="9"/>
      <c r="R2098" s="5"/>
      <c r="S2098" s="5"/>
      <c r="T2098" s="5"/>
      <c r="U2098" s="5"/>
      <c r="V2098" s="5"/>
      <c r="W2098" s="5"/>
      <c r="X2098" s="5"/>
      <c r="Y2098" s="9"/>
      <c r="Z2098" s="2"/>
    </row>
    <row r="2099" spans="1:26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3"/>
      <c r="M2099" s="6"/>
      <c r="N2099" s="6"/>
      <c r="O2099" s="6"/>
      <c r="P2099" s="5"/>
      <c r="Q2099" s="9"/>
      <c r="R2099" s="5"/>
      <c r="S2099" s="5"/>
      <c r="T2099" s="5"/>
      <c r="U2099" s="5"/>
      <c r="V2099" s="5"/>
      <c r="W2099" s="5"/>
      <c r="X2099" s="5"/>
      <c r="Y2099" s="9"/>
      <c r="Z2099" s="2"/>
    </row>
    <row r="2100" spans="1:26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3"/>
      <c r="M2100" s="6"/>
      <c r="N2100" s="6"/>
      <c r="O2100" s="6"/>
      <c r="P2100" s="5"/>
      <c r="Q2100" s="9"/>
      <c r="R2100" s="5"/>
      <c r="S2100" s="5"/>
      <c r="T2100" s="5"/>
      <c r="U2100" s="5"/>
      <c r="V2100" s="5"/>
      <c r="W2100" s="5"/>
      <c r="X2100" s="5"/>
      <c r="Y2100" s="9"/>
      <c r="Z2100" s="2"/>
    </row>
    <row r="2101" spans="1:26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3"/>
      <c r="M2101" s="6"/>
      <c r="N2101" s="6"/>
      <c r="O2101" s="6"/>
      <c r="P2101" s="5"/>
      <c r="Q2101" s="9"/>
      <c r="R2101" s="5"/>
      <c r="S2101" s="5"/>
      <c r="T2101" s="5"/>
      <c r="U2101" s="5"/>
      <c r="V2101" s="5"/>
      <c r="W2101" s="5"/>
      <c r="X2101" s="5"/>
      <c r="Y2101" s="9"/>
      <c r="Z2101" s="2"/>
    </row>
    <row r="2102" spans="1:26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3"/>
      <c r="M2102" s="6"/>
      <c r="N2102" s="6"/>
      <c r="O2102" s="6"/>
      <c r="P2102" s="5"/>
      <c r="Q2102" s="9"/>
      <c r="R2102" s="5"/>
      <c r="S2102" s="5"/>
      <c r="T2102" s="5"/>
      <c r="U2102" s="5"/>
      <c r="V2102" s="5"/>
      <c r="W2102" s="5"/>
      <c r="X2102" s="5"/>
      <c r="Y2102" s="9"/>
      <c r="Z2102" s="2"/>
    </row>
    <row r="2103" spans="1:26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3"/>
      <c r="M2103" s="6"/>
      <c r="N2103" s="6"/>
      <c r="O2103" s="6"/>
      <c r="P2103" s="5"/>
      <c r="Q2103" s="9"/>
      <c r="R2103" s="5"/>
      <c r="S2103" s="5"/>
      <c r="T2103" s="5"/>
      <c r="U2103" s="5"/>
      <c r="V2103" s="5"/>
      <c r="W2103" s="5"/>
      <c r="X2103" s="5"/>
      <c r="Y2103" s="9"/>
      <c r="Z2103" s="2"/>
    </row>
    <row r="2104" spans="1:26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3"/>
      <c r="M2104" s="6"/>
      <c r="N2104" s="6"/>
      <c r="O2104" s="6"/>
      <c r="P2104" s="5"/>
      <c r="Q2104" s="9"/>
      <c r="R2104" s="5"/>
      <c r="S2104" s="5"/>
      <c r="T2104" s="5"/>
      <c r="U2104" s="5"/>
      <c r="V2104" s="5"/>
      <c r="W2104" s="5"/>
      <c r="X2104" s="5"/>
      <c r="Y2104" s="9"/>
      <c r="Z2104" s="2"/>
    </row>
    <row r="2105" spans="1:26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3"/>
      <c r="M2105" s="6"/>
      <c r="N2105" s="6"/>
      <c r="O2105" s="6"/>
      <c r="P2105" s="5"/>
      <c r="Q2105" s="9"/>
      <c r="R2105" s="5"/>
      <c r="S2105" s="5"/>
      <c r="T2105" s="5"/>
      <c r="U2105" s="5"/>
      <c r="V2105" s="5"/>
      <c r="W2105" s="5"/>
      <c r="X2105" s="5"/>
      <c r="Y2105" s="9"/>
      <c r="Z2105" s="2"/>
    </row>
    <row r="2106" spans="1:26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3"/>
      <c r="M2106" s="6"/>
      <c r="N2106" s="6"/>
      <c r="O2106" s="6"/>
      <c r="P2106" s="5"/>
      <c r="Q2106" s="9"/>
      <c r="R2106" s="5"/>
      <c r="S2106" s="5"/>
      <c r="T2106" s="5"/>
      <c r="U2106" s="5"/>
      <c r="V2106" s="5"/>
      <c r="W2106" s="5"/>
      <c r="X2106" s="5"/>
      <c r="Y2106" s="9"/>
      <c r="Z2106" s="2"/>
    </row>
    <row r="2107" spans="1:26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3"/>
      <c r="M2107" s="6"/>
      <c r="N2107" s="6"/>
      <c r="O2107" s="6"/>
      <c r="P2107" s="5"/>
      <c r="Q2107" s="9"/>
      <c r="R2107" s="5"/>
      <c r="S2107" s="5"/>
      <c r="T2107" s="5"/>
      <c r="U2107" s="5"/>
      <c r="V2107" s="5"/>
      <c r="W2107" s="5"/>
      <c r="X2107" s="5"/>
      <c r="Y2107" s="9"/>
      <c r="Z2107" s="2"/>
    </row>
    <row r="2108" spans="1:26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3"/>
      <c r="M2108" s="6"/>
      <c r="N2108" s="6"/>
      <c r="O2108" s="6"/>
      <c r="P2108" s="5"/>
      <c r="Q2108" s="9"/>
      <c r="R2108" s="5"/>
      <c r="S2108" s="5"/>
      <c r="T2108" s="5"/>
      <c r="U2108" s="5"/>
      <c r="V2108" s="5"/>
      <c r="W2108" s="5"/>
      <c r="X2108" s="5"/>
      <c r="Y2108" s="9"/>
      <c r="Z2108" s="2"/>
    </row>
    <row r="2109" spans="1:26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3"/>
      <c r="M2109" s="6"/>
      <c r="N2109" s="6"/>
      <c r="O2109" s="6"/>
      <c r="P2109" s="5"/>
      <c r="Q2109" s="9"/>
      <c r="R2109" s="5"/>
      <c r="S2109" s="5"/>
      <c r="T2109" s="5"/>
      <c r="U2109" s="5"/>
      <c r="V2109" s="5"/>
      <c r="W2109" s="5"/>
      <c r="X2109" s="5"/>
      <c r="Y2109" s="9"/>
      <c r="Z2109" s="2"/>
    </row>
    <row r="2110" spans="1:26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3"/>
      <c r="M2110" s="6"/>
      <c r="N2110" s="6"/>
      <c r="O2110" s="6"/>
      <c r="P2110" s="5"/>
      <c r="Q2110" s="9"/>
      <c r="R2110" s="5"/>
      <c r="S2110" s="5"/>
      <c r="T2110" s="5"/>
      <c r="U2110" s="5"/>
      <c r="V2110" s="5"/>
      <c r="W2110" s="5"/>
      <c r="X2110" s="5"/>
      <c r="Y2110" s="9"/>
      <c r="Z2110" s="2"/>
    </row>
    <row r="2111" spans="1:26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3"/>
      <c r="M2111" s="6"/>
      <c r="N2111" s="6"/>
      <c r="O2111" s="6"/>
      <c r="P2111" s="5"/>
      <c r="Q2111" s="9"/>
      <c r="R2111" s="5"/>
      <c r="S2111" s="5"/>
      <c r="T2111" s="5"/>
      <c r="U2111" s="5"/>
      <c r="V2111" s="5"/>
      <c r="W2111" s="5"/>
      <c r="X2111" s="5"/>
      <c r="Y2111" s="9"/>
      <c r="Z2111" s="2"/>
    </row>
    <row r="2112" spans="1:26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3"/>
      <c r="M2112" s="6"/>
      <c r="N2112" s="6"/>
      <c r="O2112" s="6"/>
      <c r="P2112" s="5"/>
      <c r="Q2112" s="9"/>
      <c r="R2112" s="5"/>
      <c r="S2112" s="5"/>
      <c r="T2112" s="5"/>
      <c r="U2112" s="5"/>
      <c r="V2112" s="5"/>
      <c r="W2112" s="5"/>
      <c r="X2112" s="5"/>
      <c r="Y2112" s="9"/>
      <c r="Z2112" s="2"/>
    </row>
    <row r="2113" spans="1:26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3"/>
      <c r="M2113" s="6"/>
      <c r="N2113" s="6"/>
      <c r="O2113" s="6"/>
      <c r="P2113" s="5"/>
      <c r="Q2113" s="9"/>
      <c r="R2113" s="5"/>
      <c r="S2113" s="5"/>
      <c r="T2113" s="5"/>
      <c r="U2113" s="5"/>
      <c r="V2113" s="5"/>
      <c r="W2113" s="5"/>
      <c r="X2113" s="5"/>
      <c r="Y2113" s="9"/>
      <c r="Z2113" s="2"/>
    </row>
    <row r="2114" spans="1:26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3"/>
      <c r="M2114" s="6"/>
      <c r="N2114" s="6"/>
      <c r="O2114" s="6"/>
      <c r="P2114" s="5"/>
      <c r="Q2114" s="9"/>
      <c r="R2114" s="5"/>
      <c r="S2114" s="5"/>
      <c r="T2114" s="5"/>
      <c r="U2114" s="5"/>
      <c r="V2114" s="5"/>
      <c r="W2114" s="5"/>
      <c r="X2114" s="5"/>
      <c r="Y2114" s="9"/>
      <c r="Z2114" s="2"/>
    </row>
    <row r="2115" spans="1:26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3"/>
      <c r="M2115" s="6"/>
      <c r="N2115" s="6"/>
      <c r="O2115" s="6"/>
      <c r="P2115" s="5"/>
      <c r="Q2115" s="9"/>
      <c r="R2115" s="5"/>
      <c r="S2115" s="5"/>
      <c r="T2115" s="5"/>
      <c r="U2115" s="5"/>
      <c r="V2115" s="5"/>
      <c r="W2115" s="5"/>
      <c r="X2115" s="5"/>
      <c r="Y2115" s="9"/>
      <c r="Z2115" s="2"/>
    </row>
    <row r="2116" spans="1:26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3"/>
      <c r="M2116" s="6"/>
      <c r="N2116" s="6"/>
      <c r="O2116" s="6"/>
      <c r="P2116" s="5"/>
      <c r="Q2116" s="9"/>
      <c r="R2116" s="5"/>
      <c r="S2116" s="5"/>
      <c r="T2116" s="5"/>
      <c r="U2116" s="5"/>
      <c r="V2116" s="5"/>
      <c r="W2116" s="5"/>
      <c r="X2116" s="5"/>
      <c r="Y2116" s="9"/>
      <c r="Z2116" s="2"/>
    </row>
    <row r="2117" spans="1:26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3"/>
      <c r="M2117" s="6"/>
      <c r="N2117" s="6"/>
      <c r="O2117" s="6"/>
      <c r="P2117" s="5"/>
      <c r="Q2117" s="9"/>
      <c r="R2117" s="5"/>
      <c r="S2117" s="5"/>
      <c r="T2117" s="5"/>
      <c r="U2117" s="5"/>
      <c r="V2117" s="5"/>
      <c r="W2117" s="5"/>
      <c r="X2117" s="5"/>
      <c r="Y2117" s="9"/>
      <c r="Z2117" s="2"/>
    </row>
    <row r="2118" spans="1:26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3"/>
      <c r="M2118" s="6"/>
      <c r="N2118" s="6"/>
      <c r="O2118" s="6"/>
      <c r="P2118" s="5"/>
      <c r="Q2118" s="9"/>
      <c r="R2118" s="5"/>
      <c r="S2118" s="5"/>
      <c r="T2118" s="5"/>
      <c r="U2118" s="5"/>
      <c r="V2118" s="5"/>
      <c r="W2118" s="5"/>
      <c r="X2118" s="5"/>
      <c r="Y2118" s="9"/>
      <c r="Z2118" s="2"/>
    </row>
    <row r="2119" spans="1:26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3"/>
      <c r="M2119" s="6"/>
      <c r="N2119" s="6"/>
      <c r="O2119" s="6"/>
      <c r="P2119" s="5"/>
      <c r="Q2119" s="9"/>
      <c r="R2119" s="5"/>
      <c r="S2119" s="5"/>
      <c r="T2119" s="5"/>
      <c r="U2119" s="5"/>
      <c r="V2119" s="5"/>
      <c r="W2119" s="5"/>
      <c r="X2119" s="5"/>
      <c r="Y2119" s="9"/>
      <c r="Z2119" s="2"/>
    </row>
    <row r="2120" spans="1:26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3"/>
      <c r="M2120" s="6"/>
      <c r="N2120" s="6"/>
      <c r="O2120" s="6"/>
      <c r="P2120" s="5"/>
      <c r="Q2120" s="9"/>
      <c r="R2120" s="5"/>
      <c r="S2120" s="5"/>
      <c r="T2120" s="5"/>
      <c r="U2120" s="5"/>
      <c r="V2120" s="5"/>
      <c r="W2120" s="5"/>
      <c r="X2120" s="5"/>
      <c r="Y2120" s="9"/>
      <c r="Z2120" s="2"/>
    </row>
    <row r="2121" spans="1:26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3"/>
      <c r="M2121" s="6"/>
      <c r="N2121" s="6"/>
      <c r="O2121" s="6"/>
      <c r="P2121" s="5"/>
      <c r="Q2121" s="9"/>
      <c r="R2121" s="5"/>
      <c r="S2121" s="5"/>
      <c r="T2121" s="5"/>
      <c r="U2121" s="5"/>
      <c r="V2121" s="5"/>
      <c r="W2121" s="5"/>
      <c r="X2121" s="5"/>
      <c r="Y2121" s="9"/>
      <c r="Z2121" s="2"/>
    </row>
    <row r="2122" spans="1:26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3"/>
      <c r="M2122" s="6"/>
      <c r="N2122" s="6"/>
      <c r="O2122" s="6"/>
      <c r="P2122" s="5"/>
      <c r="Q2122" s="9"/>
      <c r="R2122" s="5"/>
      <c r="S2122" s="5"/>
      <c r="T2122" s="5"/>
      <c r="U2122" s="5"/>
      <c r="V2122" s="5"/>
      <c r="W2122" s="5"/>
      <c r="X2122" s="5"/>
      <c r="Y2122" s="9"/>
      <c r="Z2122" s="2"/>
    </row>
    <row r="2123" spans="1:26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3"/>
      <c r="M2123" s="6"/>
      <c r="N2123" s="6"/>
      <c r="O2123" s="6"/>
      <c r="P2123" s="5"/>
      <c r="Q2123" s="9"/>
      <c r="R2123" s="5"/>
      <c r="S2123" s="5"/>
      <c r="T2123" s="5"/>
      <c r="U2123" s="5"/>
      <c r="V2123" s="5"/>
      <c r="W2123" s="5"/>
      <c r="X2123" s="5"/>
      <c r="Y2123" s="9"/>
      <c r="Z2123" s="2"/>
    </row>
    <row r="2124" spans="1:26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3"/>
      <c r="M2124" s="6"/>
      <c r="N2124" s="6"/>
      <c r="O2124" s="6"/>
      <c r="P2124" s="5"/>
      <c r="Q2124" s="9"/>
      <c r="R2124" s="5"/>
      <c r="S2124" s="5"/>
      <c r="T2124" s="5"/>
      <c r="U2124" s="5"/>
      <c r="V2124" s="5"/>
      <c r="W2124" s="5"/>
      <c r="X2124" s="5"/>
      <c r="Y2124" s="9"/>
      <c r="Z2124" s="2"/>
    </row>
    <row r="2125" spans="1:26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3"/>
      <c r="M2125" s="6"/>
      <c r="N2125" s="6"/>
      <c r="O2125" s="6"/>
      <c r="P2125" s="5"/>
      <c r="Q2125" s="9"/>
      <c r="R2125" s="5"/>
      <c r="S2125" s="5"/>
      <c r="T2125" s="5"/>
      <c r="U2125" s="5"/>
      <c r="V2125" s="5"/>
      <c r="W2125" s="5"/>
      <c r="X2125" s="5"/>
      <c r="Y2125" s="9"/>
      <c r="Z2125" s="2"/>
    </row>
    <row r="2126" spans="1:26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3"/>
      <c r="M2126" s="6"/>
      <c r="N2126" s="6"/>
      <c r="O2126" s="6"/>
      <c r="P2126" s="5"/>
      <c r="Q2126" s="9"/>
      <c r="R2126" s="5"/>
      <c r="S2126" s="5"/>
      <c r="T2126" s="5"/>
      <c r="U2126" s="5"/>
      <c r="V2126" s="5"/>
      <c r="W2126" s="5"/>
      <c r="X2126" s="5"/>
      <c r="Y2126" s="9"/>
      <c r="Z2126" s="2"/>
    </row>
    <row r="2127" spans="1:26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3"/>
      <c r="M2127" s="6"/>
      <c r="N2127" s="6"/>
      <c r="O2127" s="6"/>
      <c r="P2127" s="5"/>
      <c r="Q2127" s="9"/>
      <c r="R2127" s="5"/>
      <c r="S2127" s="5"/>
      <c r="T2127" s="5"/>
      <c r="U2127" s="5"/>
      <c r="V2127" s="5"/>
      <c r="W2127" s="5"/>
      <c r="X2127" s="5"/>
      <c r="Y2127" s="9"/>
      <c r="Z2127" s="2"/>
    </row>
    <row r="2128" spans="1:26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3"/>
      <c r="M2128" s="6"/>
      <c r="N2128" s="6"/>
      <c r="O2128" s="6"/>
      <c r="P2128" s="5"/>
      <c r="Q2128" s="9"/>
      <c r="R2128" s="5"/>
      <c r="S2128" s="5"/>
      <c r="T2128" s="5"/>
      <c r="U2128" s="5"/>
      <c r="V2128" s="5"/>
      <c r="W2128" s="5"/>
      <c r="X2128" s="5"/>
      <c r="Y2128" s="9"/>
      <c r="Z2128" s="2"/>
    </row>
    <row r="2129" spans="1:26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3"/>
      <c r="M2129" s="6"/>
      <c r="N2129" s="6"/>
      <c r="O2129" s="6"/>
      <c r="P2129" s="5"/>
      <c r="Q2129" s="9"/>
      <c r="R2129" s="5"/>
      <c r="S2129" s="5"/>
      <c r="T2129" s="5"/>
      <c r="U2129" s="5"/>
      <c r="V2129" s="5"/>
      <c r="W2129" s="5"/>
      <c r="X2129" s="5"/>
      <c r="Y2129" s="9"/>
      <c r="Z2129" s="2"/>
    </row>
    <row r="2130" spans="1:26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3"/>
      <c r="M2130" s="6"/>
      <c r="N2130" s="6"/>
      <c r="O2130" s="6"/>
      <c r="P2130" s="5"/>
      <c r="Q2130" s="9"/>
      <c r="R2130" s="5"/>
      <c r="S2130" s="5"/>
      <c r="T2130" s="5"/>
      <c r="U2130" s="5"/>
      <c r="V2130" s="5"/>
      <c r="W2130" s="5"/>
      <c r="X2130" s="5"/>
      <c r="Y2130" s="9"/>
      <c r="Z2130" s="2"/>
    </row>
    <row r="2131" spans="1:26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3"/>
      <c r="M2131" s="6"/>
      <c r="N2131" s="6"/>
      <c r="O2131" s="6"/>
      <c r="P2131" s="5"/>
      <c r="Q2131" s="9"/>
      <c r="R2131" s="5"/>
      <c r="S2131" s="5"/>
      <c r="T2131" s="5"/>
      <c r="U2131" s="5"/>
      <c r="V2131" s="5"/>
      <c r="W2131" s="5"/>
      <c r="X2131" s="5"/>
      <c r="Y2131" s="9"/>
      <c r="Z2131" s="2"/>
    </row>
    <row r="2132" spans="1:26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3"/>
      <c r="M2132" s="6"/>
      <c r="N2132" s="6"/>
      <c r="O2132" s="6"/>
      <c r="P2132" s="5"/>
      <c r="Q2132" s="9"/>
      <c r="R2132" s="5"/>
      <c r="S2132" s="5"/>
      <c r="T2132" s="5"/>
      <c r="U2132" s="5"/>
      <c r="V2132" s="5"/>
      <c r="W2132" s="5"/>
      <c r="X2132" s="5"/>
      <c r="Y2132" s="9"/>
      <c r="Z2132" s="2"/>
    </row>
    <row r="2133" spans="1:26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3"/>
      <c r="M2133" s="6"/>
      <c r="N2133" s="6"/>
      <c r="O2133" s="6"/>
      <c r="P2133" s="5"/>
      <c r="Q2133" s="9"/>
      <c r="R2133" s="5"/>
      <c r="S2133" s="5"/>
      <c r="T2133" s="5"/>
      <c r="U2133" s="5"/>
      <c r="V2133" s="5"/>
      <c r="W2133" s="5"/>
      <c r="X2133" s="5"/>
      <c r="Y2133" s="9"/>
      <c r="Z2133" s="2"/>
    </row>
    <row r="2134" spans="1:26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3"/>
      <c r="M2134" s="6"/>
      <c r="N2134" s="6"/>
      <c r="O2134" s="6"/>
      <c r="P2134" s="5"/>
      <c r="Q2134" s="9"/>
      <c r="R2134" s="5"/>
      <c r="S2134" s="5"/>
      <c r="T2134" s="5"/>
      <c r="U2134" s="5"/>
      <c r="V2134" s="5"/>
      <c r="W2134" s="5"/>
      <c r="X2134" s="5"/>
      <c r="Y2134" s="9"/>
      <c r="Z2134" s="2"/>
    </row>
    <row r="2135" spans="1:26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3"/>
      <c r="M2135" s="6"/>
      <c r="N2135" s="6"/>
      <c r="O2135" s="6"/>
      <c r="P2135" s="5"/>
      <c r="Q2135" s="9"/>
      <c r="R2135" s="5"/>
      <c r="S2135" s="5"/>
      <c r="T2135" s="5"/>
      <c r="U2135" s="5"/>
      <c r="V2135" s="5"/>
      <c r="W2135" s="5"/>
      <c r="X2135" s="5"/>
      <c r="Y2135" s="9"/>
      <c r="Z2135" s="2"/>
    </row>
    <row r="2136" spans="1:26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3"/>
      <c r="M2136" s="6"/>
      <c r="N2136" s="6"/>
      <c r="O2136" s="6"/>
      <c r="P2136" s="5"/>
      <c r="Q2136" s="9"/>
      <c r="R2136" s="5"/>
      <c r="S2136" s="5"/>
      <c r="T2136" s="5"/>
      <c r="U2136" s="5"/>
      <c r="V2136" s="5"/>
      <c r="W2136" s="5"/>
      <c r="X2136" s="5"/>
      <c r="Y2136" s="9"/>
      <c r="Z2136" s="2"/>
    </row>
    <row r="2137" spans="1:26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3"/>
      <c r="M2137" s="6"/>
      <c r="N2137" s="6"/>
      <c r="O2137" s="6"/>
      <c r="P2137" s="5"/>
      <c r="Q2137" s="9"/>
      <c r="R2137" s="5"/>
      <c r="S2137" s="5"/>
      <c r="T2137" s="5"/>
      <c r="U2137" s="5"/>
      <c r="V2137" s="5"/>
      <c r="W2137" s="5"/>
      <c r="X2137" s="5"/>
      <c r="Y2137" s="9"/>
      <c r="Z2137" s="2"/>
    </row>
    <row r="2138" spans="1:26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3"/>
      <c r="M2138" s="6"/>
      <c r="N2138" s="6"/>
      <c r="O2138" s="6"/>
      <c r="P2138" s="5"/>
      <c r="Q2138" s="9"/>
      <c r="R2138" s="5"/>
      <c r="S2138" s="5"/>
      <c r="T2138" s="5"/>
      <c r="U2138" s="5"/>
      <c r="V2138" s="5"/>
      <c r="W2138" s="5"/>
      <c r="X2138" s="5"/>
      <c r="Y2138" s="9"/>
      <c r="Z2138" s="2"/>
    </row>
    <row r="2139" spans="1:26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3"/>
      <c r="M2139" s="6"/>
      <c r="N2139" s="6"/>
      <c r="O2139" s="6"/>
      <c r="P2139" s="5"/>
      <c r="Q2139" s="9"/>
      <c r="R2139" s="5"/>
      <c r="S2139" s="5"/>
      <c r="T2139" s="5"/>
      <c r="U2139" s="5"/>
      <c r="V2139" s="5"/>
      <c r="W2139" s="5"/>
      <c r="X2139" s="5"/>
      <c r="Y2139" s="9"/>
      <c r="Z2139" s="2"/>
    </row>
    <row r="2140" spans="1:26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3"/>
      <c r="M2140" s="6"/>
      <c r="N2140" s="6"/>
      <c r="O2140" s="6"/>
      <c r="P2140" s="5"/>
      <c r="Q2140" s="9"/>
      <c r="R2140" s="5"/>
      <c r="S2140" s="5"/>
      <c r="T2140" s="5"/>
      <c r="U2140" s="5"/>
      <c r="V2140" s="5"/>
      <c r="W2140" s="5"/>
      <c r="X2140" s="5"/>
      <c r="Y2140" s="9"/>
      <c r="Z2140" s="2"/>
    </row>
    <row r="2141" spans="1:26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3"/>
      <c r="M2141" s="6"/>
      <c r="N2141" s="6"/>
      <c r="O2141" s="6"/>
      <c r="P2141" s="5"/>
      <c r="Q2141" s="9"/>
      <c r="R2141" s="5"/>
      <c r="S2141" s="5"/>
      <c r="T2141" s="5"/>
      <c r="U2141" s="5"/>
      <c r="V2141" s="5"/>
      <c r="W2141" s="5"/>
      <c r="X2141" s="5"/>
      <c r="Y2141" s="9"/>
      <c r="Z2141" s="2"/>
    </row>
    <row r="2142" spans="1:26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3"/>
      <c r="M2142" s="6"/>
      <c r="N2142" s="6"/>
      <c r="O2142" s="6"/>
      <c r="P2142" s="5"/>
      <c r="Q2142" s="9"/>
      <c r="R2142" s="5"/>
      <c r="S2142" s="5"/>
      <c r="T2142" s="5"/>
      <c r="U2142" s="5"/>
      <c r="V2142" s="5"/>
      <c r="W2142" s="5"/>
      <c r="X2142" s="5"/>
      <c r="Y2142" s="9"/>
      <c r="Z2142" s="2"/>
    </row>
    <row r="2143" spans="1:26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3"/>
      <c r="M2143" s="6"/>
      <c r="N2143" s="6"/>
      <c r="O2143" s="6"/>
      <c r="P2143" s="5"/>
      <c r="Q2143" s="9"/>
      <c r="R2143" s="5"/>
      <c r="S2143" s="5"/>
      <c r="T2143" s="5"/>
      <c r="U2143" s="5"/>
      <c r="V2143" s="5"/>
      <c r="W2143" s="5"/>
      <c r="X2143" s="5"/>
      <c r="Y2143" s="9"/>
      <c r="Z2143" s="2"/>
    </row>
    <row r="2144" spans="1:26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3"/>
      <c r="M2144" s="6"/>
      <c r="N2144" s="6"/>
      <c r="O2144" s="6"/>
      <c r="P2144" s="5"/>
      <c r="Q2144" s="9"/>
      <c r="R2144" s="5"/>
      <c r="S2144" s="5"/>
      <c r="T2144" s="5"/>
      <c r="U2144" s="5"/>
      <c r="V2144" s="5"/>
      <c r="W2144" s="5"/>
      <c r="X2144" s="5"/>
      <c r="Y2144" s="9"/>
      <c r="Z2144" s="2"/>
    </row>
    <row r="2145" spans="1:26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3"/>
      <c r="M2145" s="6"/>
      <c r="N2145" s="6"/>
      <c r="O2145" s="6"/>
      <c r="P2145" s="5"/>
      <c r="Q2145" s="9"/>
      <c r="R2145" s="5"/>
      <c r="S2145" s="5"/>
      <c r="T2145" s="5"/>
      <c r="U2145" s="5"/>
      <c r="V2145" s="5"/>
      <c r="W2145" s="5"/>
      <c r="X2145" s="5"/>
      <c r="Y2145" s="9"/>
      <c r="Z2145" s="2"/>
    </row>
    <row r="2146" spans="1:26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3"/>
      <c r="M2146" s="6"/>
      <c r="N2146" s="6"/>
      <c r="O2146" s="6"/>
      <c r="P2146" s="5"/>
      <c r="Q2146" s="9"/>
      <c r="R2146" s="5"/>
      <c r="S2146" s="5"/>
      <c r="T2146" s="5"/>
      <c r="U2146" s="5"/>
      <c r="V2146" s="5"/>
      <c r="W2146" s="5"/>
      <c r="X2146" s="5"/>
      <c r="Y2146" s="9"/>
      <c r="Z2146" s="2"/>
    </row>
    <row r="2147" spans="1:26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3"/>
      <c r="M2147" s="6"/>
      <c r="N2147" s="6"/>
      <c r="O2147" s="6"/>
      <c r="P2147" s="5"/>
      <c r="Q2147" s="9"/>
      <c r="R2147" s="5"/>
      <c r="S2147" s="5"/>
      <c r="T2147" s="5"/>
      <c r="U2147" s="5"/>
      <c r="V2147" s="5"/>
      <c r="W2147" s="5"/>
      <c r="X2147" s="5"/>
      <c r="Y2147" s="9"/>
      <c r="Z2147" s="2"/>
    </row>
    <row r="2148" spans="1:26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3"/>
      <c r="M2148" s="6"/>
      <c r="N2148" s="6"/>
      <c r="O2148" s="6"/>
      <c r="P2148" s="5"/>
      <c r="Q2148" s="9"/>
      <c r="R2148" s="5"/>
      <c r="S2148" s="5"/>
      <c r="T2148" s="5"/>
      <c r="U2148" s="5"/>
      <c r="V2148" s="5"/>
      <c r="W2148" s="5"/>
      <c r="X2148" s="5"/>
      <c r="Y2148" s="9"/>
      <c r="Z2148" s="2"/>
    </row>
    <row r="2149" spans="1:26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3"/>
      <c r="M2149" s="6"/>
      <c r="N2149" s="6"/>
      <c r="O2149" s="6"/>
      <c r="P2149" s="5"/>
      <c r="Q2149" s="9"/>
      <c r="R2149" s="5"/>
      <c r="S2149" s="5"/>
      <c r="T2149" s="5"/>
      <c r="U2149" s="5"/>
      <c r="V2149" s="5"/>
      <c r="W2149" s="5"/>
      <c r="X2149" s="5"/>
      <c r="Y2149" s="9"/>
      <c r="Z2149" s="2"/>
    </row>
    <row r="2150" spans="1:26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3"/>
      <c r="M2150" s="6"/>
      <c r="N2150" s="6"/>
      <c r="O2150" s="6"/>
      <c r="P2150" s="5"/>
      <c r="Q2150" s="9"/>
      <c r="R2150" s="5"/>
      <c r="S2150" s="5"/>
      <c r="T2150" s="5"/>
      <c r="U2150" s="5"/>
      <c r="V2150" s="5"/>
      <c r="W2150" s="5"/>
      <c r="X2150" s="5"/>
      <c r="Y2150" s="9"/>
      <c r="Z2150" s="2"/>
    </row>
    <row r="2151" spans="1:26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3"/>
      <c r="M2151" s="6"/>
      <c r="N2151" s="6"/>
      <c r="O2151" s="6"/>
      <c r="P2151" s="5"/>
      <c r="Q2151" s="9"/>
      <c r="R2151" s="5"/>
      <c r="S2151" s="5"/>
      <c r="T2151" s="5"/>
      <c r="U2151" s="5"/>
      <c r="V2151" s="5"/>
      <c r="W2151" s="5"/>
      <c r="X2151" s="5"/>
      <c r="Y2151" s="9"/>
      <c r="Z2151" s="2"/>
    </row>
    <row r="2152" spans="1:26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3"/>
      <c r="M2152" s="6"/>
      <c r="N2152" s="6"/>
      <c r="O2152" s="6"/>
      <c r="P2152" s="5"/>
      <c r="Q2152" s="9"/>
      <c r="R2152" s="5"/>
      <c r="S2152" s="5"/>
      <c r="T2152" s="5"/>
      <c r="U2152" s="5"/>
      <c r="V2152" s="5"/>
      <c r="W2152" s="5"/>
      <c r="X2152" s="5"/>
      <c r="Y2152" s="9"/>
      <c r="Z2152" s="2"/>
    </row>
    <row r="2153" spans="1:26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3"/>
      <c r="M2153" s="6"/>
      <c r="N2153" s="6"/>
      <c r="O2153" s="6"/>
      <c r="P2153" s="5"/>
      <c r="Q2153" s="9"/>
      <c r="R2153" s="5"/>
      <c r="S2153" s="5"/>
      <c r="T2153" s="5"/>
      <c r="U2153" s="5"/>
      <c r="V2153" s="5"/>
      <c r="W2153" s="5"/>
      <c r="X2153" s="5"/>
      <c r="Y2153" s="9"/>
      <c r="Z2153" s="2"/>
    </row>
    <row r="2154" spans="1:26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3"/>
      <c r="M2154" s="6"/>
      <c r="N2154" s="6"/>
      <c r="O2154" s="6"/>
      <c r="P2154" s="5"/>
      <c r="Q2154" s="9"/>
      <c r="R2154" s="5"/>
      <c r="S2154" s="5"/>
      <c r="T2154" s="5"/>
      <c r="U2154" s="5"/>
      <c r="V2154" s="5"/>
      <c r="W2154" s="5"/>
      <c r="X2154" s="5"/>
      <c r="Y2154" s="9"/>
      <c r="Z2154" s="2"/>
    </row>
    <row r="2155" spans="1:26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3"/>
      <c r="M2155" s="6"/>
      <c r="N2155" s="6"/>
      <c r="O2155" s="6"/>
      <c r="P2155" s="5"/>
      <c r="Q2155" s="9"/>
      <c r="R2155" s="5"/>
      <c r="S2155" s="5"/>
      <c r="T2155" s="5"/>
      <c r="U2155" s="5"/>
      <c r="V2155" s="5"/>
      <c r="W2155" s="5"/>
      <c r="X2155" s="5"/>
      <c r="Y2155" s="9"/>
      <c r="Z2155" s="2"/>
    </row>
    <row r="2156" spans="1:26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3"/>
      <c r="M2156" s="6"/>
      <c r="N2156" s="6"/>
      <c r="O2156" s="6"/>
      <c r="P2156" s="5"/>
      <c r="Q2156" s="9"/>
      <c r="R2156" s="5"/>
      <c r="S2156" s="5"/>
      <c r="T2156" s="5"/>
      <c r="U2156" s="5"/>
      <c r="V2156" s="5"/>
      <c r="W2156" s="5"/>
      <c r="X2156" s="5"/>
      <c r="Y2156" s="9"/>
      <c r="Z2156" s="2"/>
    </row>
    <row r="2157" spans="1:26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3"/>
      <c r="M2157" s="6"/>
      <c r="N2157" s="6"/>
      <c r="O2157" s="6"/>
      <c r="P2157" s="5"/>
      <c r="Q2157" s="9"/>
      <c r="R2157" s="5"/>
      <c r="S2157" s="5"/>
      <c r="T2157" s="5"/>
      <c r="U2157" s="5"/>
      <c r="V2157" s="5"/>
      <c r="W2157" s="5"/>
      <c r="X2157" s="5"/>
      <c r="Y2157" s="9"/>
      <c r="Z2157" s="2"/>
    </row>
    <row r="2158" spans="1:26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3"/>
      <c r="M2158" s="6"/>
      <c r="N2158" s="6"/>
      <c r="O2158" s="6"/>
      <c r="P2158" s="5"/>
      <c r="Q2158" s="9"/>
      <c r="R2158" s="5"/>
      <c r="S2158" s="5"/>
      <c r="T2158" s="5"/>
      <c r="U2158" s="5"/>
      <c r="V2158" s="5"/>
      <c r="W2158" s="5"/>
      <c r="X2158" s="5"/>
      <c r="Y2158" s="9"/>
      <c r="Z2158" s="2"/>
    </row>
    <row r="2159" spans="1:26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3"/>
      <c r="M2159" s="6"/>
      <c r="N2159" s="6"/>
      <c r="O2159" s="6"/>
      <c r="P2159" s="5"/>
      <c r="Q2159" s="9"/>
      <c r="R2159" s="5"/>
      <c r="S2159" s="5"/>
      <c r="T2159" s="5"/>
      <c r="U2159" s="5"/>
      <c r="V2159" s="5"/>
      <c r="W2159" s="5"/>
      <c r="X2159" s="5"/>
      <c r="Y2159" s="9"/>
      <c r="Z2159" s="2"/>
    </row>
    <row r="2160" spans="1:26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3"/>
      <c r="M2160" s="6"/>
      <c r="N2160" s="6"/>
      <c r="O2160" s="6"/>
      <c r="P2160" s="5"/>
      <c r="Q2160" s="9"/>
      <c r="R2160" s="5"/>
      <c r="S2160" s="5"/>
      <c r="T2160" s="5"/>
      <c r="U2160" s="5"/>
      <c r="V2160" s="5"/>
      <c r="W2160" s="5"/>
      <c r="X2160" s="5"/>
      <c r="Y2160" s="9"/>
      <c r="Z2160" s="2"/>
    </row>
    <row r="2161" spans="1:26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3"/>
      <c r="M2161" s="6"/>
      <c r="N2161" s="6"/>
      <c r="O2161" s="6"/>
      <c r="P2161" s="5"/>
      <c r="Q2161" s="9"/>
      <c r="R2161" s="5"/>
      <c r="S2161" s="5"/>
      <c r="T2161" s="5"/>
      <c r="U2161" s="5"/>
      <c r="V2161" s="5"/>
      <c r="W2161" s="5"/>
      <c r="X2161" s="5"/>
      <c r="Y2161" s="9"/>
      <c r="Z2161" s="2"/>
    </row>
    <row r="2162" spans="1:26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3"/>
      <c r="M2162" s="6"/>
      <c r="N2162" s="6"/>
      <c r="O2162" s="6"/>
      <c r="P2162" s="5"/>
      <c r="Q2162" s="9"/>
      <c r="R2162" s="5"/>
      <c r="S2162" s="5"/>
      <c r="T2162" s="5"/>
      <c r="U2162" s="5"/>
      <c r="V2162" s="5"/>
      <c r="W2162" s="5"/>
      <c r="X2162" s="5"/>
      <c r="Y2162" s="9"/>
      <c r="Z2162" s="2"/>
    </row>
    <row r="2163" spans="1:26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3"/>
      <c r="M2163" s="6"/>
      <c r="N2163" s="6"/>
      <c r="O2163" s="6"/>
      <c r="P2163" s="5"/>
      <c r="Q2163" s="9"/>
      <c r="R2163" s="5"/>
      <c r="S2163" s="5"/>
      <c r="T2163" s="5"/>
      <c r="U2163" s="5"/>
      <c r="V2163" s="5"/>
      <c r="W2163" s="5"/>
      <c r="X2163" s="5"/>
      <c r="Y2163" s="9"/>
      <c r="Z2163" s="2"/>
    </row>
    <row r="2164" spans="1:26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3"/>
      <c r="M2164" s="6"/>
      <c r="N2164" s="6"/>
      <c r="O2164" s="6"/>
      <c r="P2164" s="5"/>
      <c r="Q2164" s="9"/>
      <c r="R2164" s="5"/>
      <c r="S2164" s="5"/>
      <c r="T2164" s="5"/>
      <c r="U2164" s="5"/>
      <c r="V2164" s="5"/>
      <c r="W2164" s="5"/>
      <c r="X2164" s="5"/>
      <c r="Y2164" s="9"/>
      <c r="Z2164" s="2"/>
    </row>
    <row r="2165" spans="1:26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3"/>
      <c r="M2165" s="6"/>
      <c r="N2165" s="6"/>
      <c r="O2165" s="6"/>
      <c r="P2165" s="5"/>
      <c r="Q2165" s="9"/>
      <c r="R2165" s="5"/>
      <c r="S2165" s="5"/>
      <c r="T2165" s="5"/>
      <c r="U2165" s="5"/>
      <c r="V2165" s="5"/>
      <c r="W2165" s="5"/>
      <c r="X2165" s="5"/>
      <c r="Y2165" s="9"/>
      <c r="Z2165" s="2"/>
    </row>
    <row r="2166" spans="1:26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3"/>
      <c r="M2166" s="6"/>
      <c r="N2166" s="6"/>
      <c r="O2166" s="6"/>
      <c r="P2166" s="5"/>
      <c r="Q2166" s="9"/>
      <c r="R2166" s="5"/>
      <c r="S2166" s="5"/>
      <c r="T2166" s="5"/>
      <c r="U2166" s="5"/>
      <c r="V2166" s="5"/>
      <c r="W2166" s="5"/>
      <c r="X2166" s="5"/>
      <c r="Y2166" s="9"/>
      <c r="Z2166" s="2"/>
    </row>
    <row r="2167" spans="1:26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3"/>
      <c r="M2167" s="6"/>
      <c r="N2167" s="6"/>
      <c r="O2167" s="6"/>
      <c r="P2167" s="5"/>
      <c r="Q2167" s="9"/>
      <c r="R2167" s="5"/>
      <c r="S2167" s="5"/>
      <c r="T2167" s="5"/>
      <c r="U2167" s="5"/>
      <c r="V2167" s="5"/>
      <c r="W2167" s="5"/>
      <c r="X2167" s="5"/>
      <c r="Y2167" s="9"/>
      <c r="Z2167" s="2"/>
    </row>
    <row r="2168" spans="1:26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3"/>
      <c r="M2168" s="6"/>
      <c r="N2168" s="6"/>
      <c r="O2168" s="6"/>
      <c r="P2168" s="5"/>
      <c r="Q2168" s="9"/>
      <c r="R2168" s="5"/>
      <c r="S2168" s="5"/>
      <c r="T2168" s="5"/>
      <c r="U2168" s="5"/>
      <c r="V2168" s="5"/>
      <c r="W2168" s="5"/>
      <c r="X2168" s="5"/>
      <c r="Y2168" s="9"/>
      <c r="Z2168" s="2"/>
    </row>
    <row r="2169" spans="1:26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3"/>
      <c r="M2169" s="6"/>
      <c r="N2169" s="6"/>
      <c r="O2169" s="6"/>
      <c r="P2169" s="5"/>
      <c r="Q2169" s="9"/>
      <c r="R2169" s="5"/>
      <c r="S2169" s="5"/>
      <c r="T2169" s="5"/>
      <c r="U2169" s="5"/>
      <c r="V2169" s="5"/>
      <c r="W2169" s="5"/>
      <c r="X2169" s="5"/>
      <c r="Y2169" s="9"/>
      <c r="Z2169" s="2"/>
    </row>
    <row r="2170" spans="1:26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3"/>
      <c r="M2170" s="6"/>
      <c r="N2170" s="6"/>
      <c r="O2170" s="6"/>
      <c r="P2170" s="5"/>
      <c r="Q2170" s="9"/>
      <c r="R2170" s="5"/>
      <c r="S2170" s="5"/>
      <c r="T2170" s="5"/>
      <c r="U2170" s="5"/>
      <c r="V2170" s="5"/>
      <c r="W2170" s="5"/>
      <c r="X2170" s="5"/>
      <c r="Y2170" s="9"/>
      <c r="Z2170" s="2"/>
    </row>
    <row r="2171" spans="1:26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3"/>
      <c r="M2171" s="6"/>
      <c r="N2171" s="6"/>
      <c r="O2171" s="6"/>
      <c r="P2171" s="5"/>
      <c r="Q2171" s="9"/>
      <c r="R2171" s="5"/>
      <c r="S2171" s="5"/>
      <c r="T2171" s="5"/>
      <c r="U2171" s="5"/>
      <c r="V2171" s="5"/>
      <c r="W2171" s="5"/>
      <c r="X2171" s="5"/>
      <c r="Y2171" s="9"/>
      <c r="Z2171" s="2"/>
    </row>
    <row r="2172" spans="1:26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3"/>
      <c r="M2172" s="6"/>
      <c r="N2172" s="6"/>
      <c r="O2172" s="6"/>
      <c r="P2172" s="5"/>
      <c r="Q2172" s="9"/>
      <c r="R2172" s="5"/>
      <c r="S2172" s="5"/>
      <c r="T2172" s="5"/>
      <c r="U2172" s="5"/>
      <c r="V2172" s="5"/>
      <c r="W2172" s="5"/>
      <c r="X2172" s="5"/>
      <c r="Y2172" s="9"/>
      <c r="Z2172" s="2"/>
    </row>
    <row r="2173" spans="1:26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3"/>
      <c r="M2173" s="6"/>
      <c r="N2173" s="6"/>
      <c r="O2173" s="6"/>
      <c r="P2173" s="5"/>
      <c r="Q2173" s="9"/>
      <c r="R2173" s="5"/>
      <c r="S2173" s="5"/>
      <c r="T2173" s="5"/>
      <c r="U2173" s="5"/>
      <c r="V2173" s="5"/>
      <c r="W2173" s="5"/>
      <c r="X2173" s="5"/>
      <c r="Y2173" s="9"/>
      <c r="Z2173" s="2"/>
    </row>
    <row r="2174" spans="1:26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3"/>
      <c r="M2174" s="6"/>
      <c r="N2174" s="6"/>
      <c r="O2174" s="6"/>
      <c r="P2174" s="5"/>
      <c r="Q2174" s="9"/>
      <c r="R2174" s="5"/>
      <c r="S2174" s="5"/>
      <c r="T2174" s="5"/>
      <c r="U2174" s="5"/>
      <c r="V2174" s="5"/>
      <c r="W2174" s="5"/>
      <c r="X2174" s="5"/>
      <c r="Y2174" s="9"/>
      <c r="Z2174" s="2"/>
    </row>
    <row r="2175" spans="1:26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3"/>
      <c r="M2175" s="6"/>
      <c r="N2175" s="6"/>
      <c r="O2175" s="6"/>
      <c r="P2175" s="5"/>
      <c r="Q2175" s="9"/>
      <c r="R2175" s="5"/>
      <c r="S2175" s="5"/>
      <c r="T2175" s="5"/>
      <c r="U2175" s="5"/>
      <c r="V2175" s="5"/>
      <c r="W2175" s="5"/>
      <c r="X2175" s="5"/>
      <c r="Y2175" s="9"/>
      <c r="Z2175" s="2"/>
    </row>
    <row r="2176" spans="1:26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3"/>
      <c r="M2176" s="6"/>
      <c r="N2176" s="6"/>
      <c r="O2176" s="6"/>
      <c r="P2176" s="5"/>
      <c r="Q2176" s="9"/>
      <c r="R2176" s="5"/>
      <c r="S2176" s="5"/>
      <c r="T2176" s="5"/>
      <c r="U2176" s="5"/>
      <c r="V2176" s="5"/>
      <c r="W2176" s="5"/>
      <c r="X2176" s="5"/>
      <c r="Y2176" s="9"/>
      <c r="Z2176" s="2"/>
    </row>
    <row r="2177" spans="1:26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3"/>
      <c r="M2177" s="6"/>
      <c r="N2177" s="6"/>
      <c r="O2177" s="6"/>
      <c r="P2177" s="5"/>
      <c r="Q2177" s="9"/>
      <c r="R2177" s="5"/>
      <c r="S2177" s="5"/>
      <c r="T2177" s="5"/>
      <c r="U2177" s="5"/>
      <c r="V2177" s="5"/>
      <c r="W2177" s="5"/>
      <c r="X2177" s="5"/>
      <c r="Y2177" s="9"/>
      <c r="Z2177" s="2"/>
    </row>
    <row r="2178" spans="1:26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3"/>
      <c r="M2178" s="6"/>
      <c r="N2178" s="6"/>
      <c r="O2178" s="6"/>
      <c r="P2178" s="5"/>
      <c r="Q2178" s="9"/>
      <c r="R2178" s="5"/>
      <c r="S2178" s="5"/>
      <c r="T2178" s="5"/>
      <c r="U2178" s="5"/>
      <c r="V2178" s="5"/>
      <c r="W2178" s="5"/>
      <c r="X2178" s="5"/>
      <c r="Y2178" s="9"/>
      <c r="Z2178" s="2"/>
    </row>
    <row r="2179" spans="1:26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3"/>
      <c r="M2179" s="6"/>
      <c r="N2179" s="6"/>
      <c r="O2179" s="6"/>
      <c r="P2179" s="5"/>
      <c r="Q2179" s="9"/>
      <c r="R2179" s="5"/>
      <c r="S2179" s="5"/>
      <c r="T2179" s="5"/>
      <c r="U2179" s="5"/>
      <c r="V2179" s="5"/>
      <c r="W2179" s="5"/>
      <c r="X2179" s="5"/>
      <c r="Y2179" s="9"/>
      <c r="Z2179" s="2"/>
    </row>
    <row r="2180" spans="1:26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3"/>
      <c r="M2180" s="6"/>
      <c r="N2180" s="6"/>
      <c r="O2180" s="6"/>
      <c r="P2180" s="5"/>
      <c r="Q2180" s="9"/>
      <c r="R2180" s="5"/>
      <c r="S2180" s="5"/>
      <c r="T2180" s="5"/>
      <c r="U2180" s="5"/>
      <c r="V2180" s="5"/>
      <c r="W2180" s="5"/>
      <c r="X2180" s="5"/>
      <c r="Y2180" s="9"/>
      <c r="Z2180" s="2"/>
    </row>
    <row r="2181" spans="1:26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3"/>
      <c r="M2181" s="6"/>
      <c r="N2181" s="6"/>
      <c r="O2181" s="6"/>
      <c r="P2181" s="5"/>
      <c r="Q2181" s="9"/>
      <c r="R2181" s="5"/>
      <c r="S2181" s="5"/>
      <c r="T2181" s="5"/>
      <c r="U2181" s="5"/>
      <c r="V2181" s="5"/>
      <c r="W2181" s="5"/>
      <c r="X2181" s="5"/>
      <c r="Y2181" s="9"/>
      <c r="Z2181" s="2"/>
    </row>
    <row r="2182" spans="1:26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3"/>
      <c r="M2182" s="6"/>
      <c r="N2182" s="6"/>
      <c r="O2182" s="6"/>
      <c r="P2182" s="5"/>
      <c r="Q2182" s="9"/>
      <c r="R2182" s="5"/>
      <c r="S2182" s="5"/>
      <c r="T2182" s="5"/>
      <c r="U2182" s="5"/>
      <c r="V2182" s="5"/>
      <c r="W2182" s="5"/>
      <c r="X2182" s="5"/>
      <c r="Y2182" s="9"/>
      <c r="Z2182" s="2"/>
    </row>
    <row r="2183" spans="1:26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3"/>
      <c r="M2183" s="6"/>
      <c r="N2183" s="6"/>
      <c r="O2183" s="6"/>
      <c r="P2183" s="5"/>
      <c r="Q2183" s="9"/>
      <c r="R2183" s="5"/>
      <c r="S2183" s="5"/>
      <c r="T2183" s="5"/>
      <c r="U2183" s="5"/>
      <c r="V2183" s="5"/>
      <c r="W2183" s="5"/>
      <c r="X2183" s="5"/>
      <c r="Y2183" s="9"/>
      <c r="Z2183" s="2"/>
    </row>
    <row r="2184" spans="1:26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3"/>
      <c r="M2184" s="6"/>
      <c r="N2184" s="6"/>
      <c r="O2184" s="6"/>
      <c r="P2184" s="5"/>
      <c r="Q2184" s="9"/>
      <c r="R2184" s="5"/>
      <c r="S2184" s="5"/>
      <c r="T2184" s="5"/>
      <c r="U2184" s="5"/>
      <c r="V2184" s="5"/>
      <c r="W2184" s="5"/>
      <c r="X2184" s="5"/>
      <c r="Y2184" s="9"/>
      <c r="Z2184" s="2"/>
    </row>
    <row r="2185" spans="1:26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3"/>
      <c r="M2185" s="6"/>
      <c r="N2185" s="6"/>
      <c r="O2185" s="6"/>
      <c r="P2185" s="5"/>
      <c r="Q2185" s="9"/>
      <c r="R2185" s="5"/>
      <c r="S2185" s="5"/>
      <c r="T2185" s="5"/>
      <c r="U2185" s="5"/>
      <c r="V2185" s="5"/>
      <c r="W2185" s="5"/>
      <c r="X2185" s="5"/>
      <c r="Y2185" s="9"/>
      <c r="Z2185" s="2"/>
    </row>
    <row r="2186" spans="1:26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3"/>
      <c r="M2186" s="6"/>
      <c r="N2186" s="6"/>
      <c r="O2186" s="6"/>
      <c r="P2186" s="5"/>
      <c r="Q2186" s="9"/>
      <c r="R2186" s="5"/>
      <c r="S2186" s="5"/>
      <c r="T2186" s="5"/>
      <c r="U2186" s="5"/>
      <c r="V2186" s="5"/>
      <c r="W2186" s="5"/>
      <c r="X2186" s="5"/>
      <c r="Y2186" s="9"/>
      <c r="Z2186" s="2"/>
    </row>
    <row r="2187" spans="1:26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3"/>
      <c r="M2187" s="6"/>
      <c r="N2187" s="6"/>
      <c r="O2187" s="6"/>
      <c r="P2187" s="5"/>
      <c r="Q2187" s="9"/>
      <c r="R2187" s="5"/>
      <c r="S2187" s="5"/>
      <c r="T2187" s="5"/>
      <c r="U2187" s="5"/>
      <c r="V2187" s="5"/>
      <c r="W2187" s="5"/>
      <c r="X2187" s="5"/>
      <c r="Y2187" s="9"/>
      <c r="Z2187" s="2"/>
    </row>
    <row r="2188" spans="1:26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3"/>
      <c r="M2188" s="6"/>
      <c r="N2188" s="6"/>
      <c r="O2188" s="6"/>
      <c r="P2188" s="5"/>
      <c r="Q2188" s="9"/>
      <c r="R2188" s="5"/>
      <c r="S2188" s="5"/>
      <c r="T2188" s="5"/>
      <c r="U2188" s="5"/>
      <c r="V2188" s="5"/>
      <c r="W2188" s="5"/>
      <c r="X2188" s="5"/>
      <c r="Y2188" s="9"/>
      <c r="Z2188" s="2"/>
    </row>
    <row r="2189" spans="1:26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3"/>
      <c r="M2189" s="6"/>
      <c r="N2189" s="6"/>
      <c r="O2189" s="6"/>
      <c r="P2189" s="5"/>
      <c r="Q2189" s="9"/>
      <c r="R2189" s="5"/>
      <c r="S2189" s="5"/>
      <c r="T2189" s="5"/>
      <c r="U2189" s="5"/>
      <c r="V2189" s="5"/>
      <c r="W2189" s="5"/>
      <c r="X2189" s="5"/>
      <c r="Y2189" s="9"/>
      <c r="Z2189" s="2"/>
    </row>
    <row r="2190" spans="1:26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3"/>
      <c r="M2190" s="6"/>
      <c r="N2190" s="6"/>
      <c r="O2190" s="6"/>
      <c r="P2190" s="5"/>
      <c r="Q2190" s="9"/>
      <c r="R2190" s="5"/>
      <c r="S2190" s="5"/>
      <c r="T2190" s="5"/>
      <c r="U2190" s="5"/>
      <c r="V2190" s="5"/>
      <c r="W2190" s="5"/>
      <c r="X2190" s="5"/>
      <c r="Y2190" s="9"/>
      <c r="Z2190" s="2"/>
    </row>
    <row r="2191" spans="1:26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3"/>
      <c r="M2191" s="6"/>
      <c r="N2191" s="6"/>
      <c r="O2191" s="6"/>
      <c r="P2191" s="5"/>
      <c r="Q2191" s="9"/>
      <c r="R2191" s="5"/>
      <c r="S2191" s="5"/>
      <c r="T2191" s="5"/>
      <c r="U2191" s="5"/>
      <c r="V2191" s="5"/>
      <c r="W2191" s="5"/>
      <c r="X2191" s="5"/>
      <c r="Y2191" s="9"/>
      <c r="Z2191" s="2"/>
    </row>
    <row r="2192" spans="1:26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3"/>
      <c r="M2192" s="6"/>
      <c r="N2192" s="6"/>
      <c r="O2192" s="6"/>
      <c r="P2192" s="5"/>
      <c r="Q2192" s="9"/>
      <c r="R2192" s="5"/>
      <c r="S2192" s="5"/>
      <c r="T2192" s="5"/>
      <c r="U2192" s="5"/>
      <c r="V2192" s="5"/>
      <c r="W2192" s="5"/>
      <c r="X2192" s="5"/>
      <c r="Y2192" s="9"/>
      <c r="Z2192" s="2"/>
    </row>
    <row r="2193" spans="1:26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3"/>
      <c r="M2193" s="6"/>
      <c r="N2193" s="6"/>
      <c r="O2193" s="6"/>
      <c r="P2193" s="5"/>
      <c r="Q2193" s="9"/>
      <c r="R2193" s="5"/>
      <c r="S2193" s="5"/>
      <c r="T2193" s="5"/>
      <c r="U2193" s="5"/>
      <c r="V2193" s="5"/>
      <c r="W2193" s="5"/>
      <c r="X2193" s="5"/>
      <c r="Y2193" s="9"/>
      <c r="Z2193" s="2"/>
    </row>
    <row r="2194" spans="1:26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3"/>
      <c r="M2194" s="6"/>
      <c r="N2194" s="6"/>
      <c r="O2194" s="6"/>
      <c r="P2194" s="5"/>
      <c r="Q2194" s="9"/>
      <c r="R2194" s="5"/>
      <c r="S2194" s="5"/>
      <c r="T2194" s="5"/>
      <c r="U2194" s="5"/>
      <c r="V2194" s="5"/>
      <c r="W2194" s="5"/>
      <c r="X2194" s="5"/>
      <c r="Y2194" s="9"/>
      <c r="Z2194" s="2"/>
    </row>
    <row r="2195" spans="1:26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3"/>
      <c r="M2195" s="6"/>
      <c r="N2195" s="6"/>
      <c r="O2195" s="6"/>
      <c r="P2195" s="5"/>
      <c r="Q2195" s="9"/>
      <c r="R2195" s="5"/>
      <c r="S2195" s="5"/>
      <c r="T2195" s="5"/>
      <c r="U2195" s="5"/>
      <c r="V2195" s="5"/>
      <c r="W2195" s="5"/>
      <c r="X2195" s="5"/>
      <c r="Y2195" s="9"/>
      <c r="Z2195" s="2"/>
    </row>
    <row r="2196" spans="1:26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3"/>
      <c r="M2196" s="6"/>
      <c r="N2196" s="6"/>
      <c r="O2196" s="6"/>
      <c r="P2196" s="5"/>
      <c r="Q2196" s="9"/>
      <c r="R2196" s="5"/>
      <c r="S2196" s="5"/>
      <c r="T2196" s="5"/>
      <c r="U2196" s="5"/>
      <c r="V2196" s="5"/>
      <c r="W2196" s="5"/>
      <c r="X2196" s="5"/>
      <c r="Y2196" s="9"/>
      <c r="Z2196" s="2"/>
    </row>
    <row r="2197" spans="1:26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3"/>
      <c r="M2197" s="6"/>
      <c r="N2197" s="6"/>
      <c r="O2197" s="6"/>
      <c r="P2197" s="5"/>
      <c r="Q2197" s="9"/>
      <c r="R2197" s="5"/>
      <c r="S2197" s="5"/>
      <c r="T2197" s="5"/>
      <c r="U2197" s="5"/>
      <c r="V2197" s="5"/>
      <c r="W2197" s="5"/>
      <c r="X2197" s="5"/>
      <c r="Y2197" s="9"/>
      <c r="Z2197" s="2"/>
    </row>
    <row r="2198" spans="1:26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3"/>
      <c r="M2198" s="6"/>
      <c r="N2198" s="6"/>
      <c r="O2198" s="6"/>
      <c r="P2198" s="5"/>
      <c r="Q2198" s="9"/>
      <c r="R2198" s="5"/>
      <c r="S2198" s="5"/>
      <c r="T2198" s="5"/>
      <c r="U2198" s="5"/>
      <c r="V2198" s="5"/>
      <c r="W2198" s="5"/>
      <c r="X2198" s="5"/>
      <c r="Y2198" s="9"/>
      <c r="Z2198" s="2"/>
    </row>
    <row r="2199" spans="1:26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3"/>
      <c r="M2199" s="6"/>
      <c r="N2199" s="6"/>
      <c r="O2199" s="6"/>
      <c r="P2199" s="5"/>
      <c r="Q2199" s="9"/>
      <c r="R2199" s="5"/>
      <c r="S2199" s="5"/>
      <c r="T2199" s="5"/>
      <c r="U2199" s="5"/>
      <c r="V2199" s="5"/>
      <c r="W2199" s="5"/>
      <c r="X2199" s="5"/>
      <c r="Y2199" s="9"/>
      <c r="Z2199" s="2"/>
    </row>
    <row r="2200" spans="1:26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3"/>
      <c r="M2200" s="6"/>
      <c r="N2200" s="6"/>
      <c r="O2200" s="6"/>
      <c r="P2200" s="5"/>
      <c r="Q2200" s="9"/>
      <c r="R2200" s="5"/>
      <c r="S2200" s="5"/>
      <c r="T2200" s="5"/>
      <c r="U2200" s="5"/>
      <c r="V2200" s="5"/>
      <c r="W2200" s="5"/>
      <c r="X2200" s="5"/>
      <c r="Y2200" s="9"/>
      <c r="Z2200" s="2"/>
    </row>
    <row r="2201" spans="1:26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3"/>
      <c r="M2201" s="6"/>
      <c r="N2201" s="6"/>
      <c r="O2201" s="6"/>
      <c r="P2201" s="5"/>
      <c r="Q2201" s="9"/>
      <c r="R2201" s="5"/>
      <c r="S2201" s="5"/>
      <c r="T2201" s="5"/>
      <c r="U2201" s="5"/>
      <c r="V2201" s="5"/>
      <c r="W2201" s="5"/>
      <c r="X2201" s="5"/>
      <c r="Y2201" s="9"/>
      <c r="Z2201" s="2"/>
    </row>
    <row r="2202" spans="1:26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3"/>
      <c r="M2202" s="6"/>
      <c r="N2202" s="6"/>
      <c r="O2202" s="6"/>
      <c r="P2202" s="5"/>
      <c r="Q2202" s="9"/>
      <c r="R2202" s="5"/>
      <c r="S2202" s="5"/>
      <c r="T2202" s="5"/>
      <c r="U2202" s="5"/>
      <c r="V2202" s="5"/>
      <c r="W2202" s="5"/>
      <c r="X2202" s="5"/>
      <c r="Y2202" s="9"/>
      <c r="Z2202" s="2"/>
    </row>
    <row r="2203" spans="1:26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3"/>
      <c r="M2203" s="6"/>
      <c r="N2203" s="6"/>
      <c r="O2203" s="6"/>
      <c r="P2203" s="5"/>
      <c r="Q2203" s="9"/>
      <c r="R2203" s="5"/>
      <c r="S2203" s="5"/>
      <c r="T2203" s="5"/>
      <c r="U2203" s="5"/>
      <c r="V2203" s="5"/>
      <c r="W2203" s="5"/>
      <c r="X2203" s="5"/>
      <c r="Y2203" s="9"/>
      <c r="Z2203" s="2"/>
    </row>
    <row r="2204" spans="1:26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3"/>
      <c r="M2204" s="6"/>
      <c r="N2204" s="6"/>
      <c r="O2204" s="6"/>
      <c r="P2204" s="5"/>
      <c r="Q2204" s="9"/>
      <c r="R2204" s="5"/>
      <c r="S2204" s="5"/>
      <c r="T2204" s="5"/>
      <c r="U2204" s="5"/>
      <c r="V2204" s="5"/>
      <c r="W2204" s="5"/>
      <c r="X2204" s="5"/>
      <c r="Y2204" s="9"/>
      <c r="Z2204" s="2"/>
    </row>
    <row r="2205" spans="1:26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3"/>
      <c r="M2205" s="6"/>
      <c r="N2205" s="6"/>
      <c r="O2205" s="6"/>
      <c r="P2205" s="5"/>
      <c r="Q2205" s="9"/>
      <c r="R2205" s="5"/>
      <c r="S2205" s="5"/>
      <c r="T2205" s="5"/>
      <c r="U2205" s="5"/>
      <c r="V2205" s="5"/>
      <c r="W2205" s="5"/>
      <c r="X2205" s="5"/>
      <c r="Y2205" s="9"/>
      <c r="Z2205" s="2"/>
    </row>
    <row r="2206" spans="1:26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3"/>
      <c r="M2206" s="6"/>
      <c r="N2206" s="6"/>
      <c r="O2206" s="6"/>
      <c r="P2206" s="5"/>
      <c r="Q2206" s="9"/>
      <c r="R2206" s="5"/>
      <c r="S2206" s="5"/>
      <c r="T2206" s="5"/>
      <c r="U2206" s="5"/>
      <c r="V2206" s="5"/>
      <c r="W2206" s="5"/>
      <c r="X2206" s="5"/>
      <c r="Y2206" s="9"/>
      <c r="Z2206" s="2"/>
    </row>
    <row r="2207" spans="1:26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3"/>
      <c r="M2207" s="6"/>
      <c r="N2207" s="6"/>
      <c r="O2207" s="6"/>
      <c r="P2207" s="5"/>
      <c r="Q2207" s="9"/>
      <c r="R2207" s="5"/>
      <c r="S2207" s="5"/>
      <c r="T2207" s="5"/>
      <c r="U2207" s="5"/>
      <c r="V2207" s="5"/>
      <c r="W2207" s="5"/>
      <c r="X2207" s="5"/>
      <c r="Y2207" s="9"/>
      <c r="Z2207" s="2"/>
    </row>
    <row r="2208" spans="1:26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3"/>
      <c r="M2208" s="6"/>
      <c r="N2208" s="6"/>
      <c r="O2208" s="6"/>
      <c r="P2208" s="5"/>
      <c r="Q2208" s="9"/>
      <c r="R2208" s="5"/>
      <c r="S2208" s="5"/>
      <c r="T2208" s="5"/>
      <c r="U2208" s="5"/>
      <c r="V2208" s="5"/>
      <c r="W2208" s="5"/>
      <c r="X2208" s="5"/>
      <c r="Y2208" s="9"/>
      <c r="Z2208" s="2"/>
    </row>
    <row r="2209" spans="1:26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3"/>
      <c r="M2209" s="6"/>
      <c r="N2209" s="6"/>
      <c r="O2209" s="6"/>
      <c r="P2209" s="5"/>
      <c r="Q2209" s="9"/>
      <c r="R2209" s="5"/>
      <c r="S2209" s="5"/>
      <c r="T2209" s="5"/>
      <c r="U2209" s="5"/>
      <c r="V2209" s="5"/>
      <c r="W2209" s="5"/>
      <c r="X2209" s="5"/>
      <c r="Y2209" s="9"/>
      <c r="Z2209" s="2"/>
    </row>
    <row r="2210" spans="1:26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3"/>
      <c r="M2210" s="6"/>
      <c r="N2210" s="6"/>
      <c r="O2210" s="6"/>
      <c r="P2210" s="5"/>
      <c r="Q2210" s="9"/>
      <c r="R2210" s="5"/>
      <c r="S2210" s="5"/>
      <c r="T2210" s="5"/>
      <c r="U2210" s="5"/>
      <c r="V2210" s="5"/>
      <c r="W2210" s="5"/>
      <c r="X2210" s="5"/>
      <c r="Y2210" s="9"/>
      <c r="Z2210" s="2"/>
    </row>
    <row r="2211" spans="1:26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3"/>
      <c r="M2211" s="6"/>
      <c r="N2211" s="6"/>
      <c r="O2211" s="6"/>
      <c r="P2211" s="5"/>
      <c r="Q2211" s="9"/>
      <c r="R2211" s="5"/>
      <c r="S2211" s="5"/>
      <c r="T2211" s="5"/>
      <c r="U2211" s="5"/>
      <c r="V2211" s="5"/>
      <c r="W2211" s="5"/>
      <c r="X2211" s="5"/>
      <c r="Y2211" s="9"/>
      <c r="Z2211" s="2"/>
    </row>
    <row r="2212" spans="1:26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3"/>
      <c r="M2212" s="6"/>
      <c r="N2212" s="6"/>
      <c r="O2212" s="6"/>
      <c r="P2212" s="5"/>
      <c r="Q2212" s="9"/>
      <c r="R2212" s="5"/>
      <c r="S2212" s="5"/>
      <c r="T2212" s="5"/>
      <c r="U2212" s="5"/>
      <c r="V2212" s="5"/>
      <c r="W2212" s="5"/>
      <c r="X2212" s="5"/>
      <c r="Y2212" s="9"/>
      <c r="Z2212" s="2"/>
    </row>
    <row r="2213" spans="1:26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3"/>
      <c r="M2213" s="6"/>
      <c r="N2213" s="6"/>
      <c r="O2213" s="6"/>
      <c r="P2213" s="5"/>
      <c r="Q2213" s="9"/>
      <c r="R2213" s="5"/>
      <c r="S2213" s="5"/>
      <c r="T2213" s="5"/>
      <c r="U2213" s="5"/>
      <c r="V2213" s="5"/>
      <c r="W2213" s="5"/>
      <c r="X2213" s="5"/>
      <c r="Y2213" s="9"/>
      <c r="Z2213" s="2"/>
    </row>
    <row r="2214" spans="1:26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3"/>
      <c r="M2214" s="6"/>
      <c r="N2214" s="6"/>
      <c r="O2214" s="6"/>
      <c r="P2214" s="5"/>
      <c r="Q2214" s="9"/>
      <c r="R2214" s="5"/>
      <c r="S2214" s="5"/>
      <c r="T2214" s="5"/>
      <c r="U2214" s="5"/>
      <c r="V2214" s="5"/>
      <c r="W2214" s="5"/>
      <c r="X2214" s="5"/>
      <c r="Y2214" s="9"/>
      <c r="Z2214" s="2"/>
    </row>
    <row r="2215" spans="1:26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3"/>
      <c r="M2215" s="6"/>
      <c r="N2215" s="6"/>
      <c r="O2215" s="6"/>
      <c r="P2215" s="5"/>
      <c r="Q2215" s="9"/>
      <c r="R2215" s="5"/>
      <c r="S2215" s="5"/>
      <c r="T2215" s="5"/>
      <c r="U2215" s="5"/>
      <c r="V2215" s="5"/>
      <c r="W2215" s="5"/>
      <c r="X2215" s="5"/>
      <c r="Y2215" s="9"/>
      <c r="Z2215" s="2"/>
    </row>
    <row r="2216" spans="1:26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3"/>
      <c r="M2216" s="6"/>
      <c r="N2216" s="6"/>
      <c r="O2216" s="6"/>
      <c r="P2216" s="5"/>
      <c r="Q2216" s="9"/>
      <c r="R2216" s="5"/>
      <c r="S2216" s="5"/>
      <c r="T2216" s="5"/>
      <c r="U2216" s="5"/>
      <c r="V2216" s="5"/>
      <c r="W2216" s="5"/>
      <c r="X2216" s="5"/>
      <c r="Y2216" s="9"/>
      <c r="Z2216" s="2"/>
    </row>
    <row r="2217" spans="1:26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3"/>
      <c r="M2217" s="6"/>
      <c r="N2217" s="6"/>
      <c r="O2217" s="6"/>
      <c r="P2217" s="5"/>
      <c r="Q2217" s="9"/>
      <c r="R2217" s="5"/>
      <c r="S2217" s="5"/>
      <c r="T2217" s="5"/>
      <c r="U2217" s="5"/>
      <c r="V2217" s="5"/>
      <c r="W2217" s="5"/>
      <c r="X2217" s="5"/>
      <c r="Y2217" s="9"/>
      <c r="Z2217" s="2"/>
    </row>
    <row r="2218" spans="1:26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3"/>
      <c r="M2218" s="6"/>
      <c r="N2218" s="6"/>
      <c r="O2218" s="6"/>
      <c r="P2218" s="5"/>
      <c r="Q2218" s="9"/>
      <c r="R2218" s="5"/>
      <c r="S2218" s="5"/>
      <c r="T2218" s="5"/>
      <c r="U2218" s="5"/>
      <c r="V2218" s="5"/>
      <c r="W2218" s="5"/>
      <c r="X2218" s="5"/>
      <c r="Y2218" s="9"/>
      <c r="Z2218" s="2"/>
    </row>
    <row r="2219" spans="1:26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3"/>
      <c r="M2219" s="6"/>
      <c r="N2219" s="6"/>
      <c r="O2219" s="6"/>
      <c r="P2219" s="5"/>
      <c r="Q2219" s="9"/>
      <c r="R2219" s="5"/>
      <c r="S2219" s="5"/>
      <c r="T2219" s="5"/>
      <c r="U2219" s="5"/>
      <c r="V2219" s="5"/>
      <c r="W2219" s="5"/>
      <c r="X2219" s="5"/>
      <c r="Y2219" s="9"/>
      <c r="Z2219" s="2"/>
    </row>
    <row r="2220" spans="1:26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3"/>
      <c r="M2220" s="6"/>
      <c r="N2220" s="6"/>
      <c r="O2220" s="6"/>
      <c r="P2220" s="5"/>
      <c r="Q2220" s="9"/>
      <c r="R2220" s="5"/>
      <c r="S2220" s="5"/>
      <c r="T2220" s="5"/>
      <c r="U2220" s="5"/>
      <c r="V2220" s="5"/>
      <c r="W2220" s="5"/>
      <c r="X2220" s="5"/>
      <c r="Y2220" s="9"/>
      <c r="Z2220" s="2"/>
    </row>
    <row r="2221" spans="1:26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3"/>
      <c r="M2221" s="6"/>
      <c r="N2221" s="6"/>
      <c r="O2221" s="6"/>
      <c r="P2221" s="5"/>
      <c r="Q2221" s="9"/>
      <c r="R2221" s="5"/>
      <c r="S2221" s="5"/>
      <c r="T2221" s="5"/>
      <c r="U2221" s="5"/>
      <c r="V2221" s="5"/>
      <c r="W2221" s="5"/>
      <c r="X2221" s="5"/>
      <c r="Y2221" s="9"/>
      <c r="Z2221" s="2"/>
    </row>
    <row r="2222" spans="1:26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3"/>
      <c r="M2222" s="6"/>
      <c r="N2222" s="6"/>
      <c r="O2222" s="6"/>
      <c r="P2222" s="5"/>
      <c r="Q2222" s="9"/>
      <c r="R2222" s="5"/>
      <c r="S2222" s="5"/>
      <c r="T2222" s="5"/>
      <c r="U2222" s="5"/>
      <c r="V2222" s="5"/>
      <c r="W2222" s="5"/>
      <c r="X2222" s="5"/>
      <c r="Y2222" s="9"/>
      <c r="Z2222" s="2"/>
    </row>
    <row r="2223" spans="1:26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3"/>
      <c r="M2223" s="6"/>
      <c r="N2223" s="6"/>
      <c r="O2223" s="6"/>
      <c r="P2223" s="5"/>
      <c r="Q2223" s="9"/>
      <c r="R2223" s="5"/>
      <c r="S2223" s="5"/>
      <c r="T2223" s="5"/>
      <c r="U2223" s="5"/>
      <c r="V2223" s="5"/>
      <c r="W2223" s="5"/>
      <c r="X2223" s="5"/>
      <c r="Y2223" s="9"/>
      <c r="Z2223" s="2"/>
    </row>
    <row r="2224" spans="1:26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3"/>
      <c r="M2224" s="6"/>
      <c r="N2224" s="6"/>
      <c r="O2224" s="6"/>
      <c r="P2224" s="5"/>
      <c r="Q2224" s="9"/>
      <c r="R2224" s="5"/>
      <c r="S2224" s="5"/>
      <c r="T2224" s="5"/>
      <c r="U2224" s="5"/>
      <c r="V2224" s="5"/>
      <c r="W2224" s="5"/>
      <c r="X2224" s="5"/>
      <c r="Y2224" s="9"/>
      <c r="Z2224" s="2"/>
    </row>
    <row r="2225" spans="1:26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3"/>
      <c r="M2225" s="6"/>
      <c r="N2225" s="6"/>
      <c r="O2225" s="6"/>
      <c r="P2225" s="5"/>
      <c r="Q2225" s="9"/>
      <c r="R2225" s="5"/>
      <c r="S2225" s="5"/>
      <c r="T2225" s="5"/>
      <c r="U2225" s="5"/>
      <c r="V2225" s="5"/>
      <c r="W2225" s="5"/>
      <c r="X2225" s="5"/>
      <c r="Y2225" s="9"/>
      <c r="Z2225" s="2"/>
    </row>
    <row r="2226" spans="1:26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3"/>
      <c r="M2226" s="6"/>
      <c r="N2226" s="6"/>
      <c r="O2226" s="6"/>
      <c r="P2226" s="5"/>
      <c r="Q2226" s="9"/>
      <c r="R2226" s="5"/>
      <c r="S2226" s="5"/>
      <c r="T2226" s="5"/>
      <c r="U2226" s="5"/>
      <c r="V2226" s="5"/>
      <c r="W2226" s="5"/>
      <c r="X2226" s="5"/>
      <c r="Y2226" s="9"/>
      <c r="Z2226" s="2"/>
    </row>
    <row r="2227" spans="1:26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3"/>
      <c r="M2227" s="6"/>
      <c r="N2227" s="6"/>
      <c r="O2227" s="6"/>
      <c r="P2227" s="5"/>
      <c r="Q2227" s="9"/>
      <c r="R2227" s="5"/>
      <c r="S2227" s="5"/>
      <c r="T2227" s="5"/>
      <c r="U2227" s="5"/>
      <c r="V2227" s="5"/>
      <c r="W2227" s="5"/>
      <c r="X2227" s="5"/>
      <c r="Y2227" s="9"/>
      <c r="Z2227" s="2"/>
    </row>
    <row r="2228" spans="1:26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3"/>
      <c r="M2228" s="6"/>
      <c r="N2228" s="6"/>
      <c r="O2228" s="6"/>
      <c r="P2228" s="5"/>
      <c r="Q2228" s="9"/>
      <c r="R2228" s="5"/>
      <c r="S2228" s="5"/>
      <c r="T2228" s="5"/>
      <c r="U2228" s="5"/>
      <c r="V2228" s="5"/>
      <c r="W2228" s="5"/>
      <c r="X2228" s="5"/>
      <c r="Y2228" s="9"/>
      <c r="Z2228" s="2"/>
    </row>
    <row r="2229" spans="1:26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3"/>
      <c r="M2229" s="6"/>
      <c r="N2229" s="6"/>
      <c r="O2229" s="6"/>
      <c r="P2229" s="5"/>
      <c r="Q2229" s="9"/>
      <c r="R2229" s="5"/>
      <c r="S2229" s="5"/>
      <c r="T2229" s="5"/>
      <c r="U2229" s="5"/>
      <c r="V2229" s="5"/>
      <c r="W2229" s="5"/>
      <c r="X2229" s="5"/>
      <c r="Y2229" s="9"/>
      <c r="Z2229" s="2"/>
    </row>
    <row r="2230" spans="1:26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3"/>
      <c r="M2230" s="6"/>
      <c r="N2230" s="6"/>
      <c r="O2230" s="6"/>
      <c r="P2230" s="5"/>
      <c r="Q2230" s="9"/>
      <c r="R2230" s="5"/>
      <c r="S2230" s="5"/>
      <c r="T2230" s="5"/>
      <c r="U2230" s="5"/>
      <c r="V2230" s="5"/>
      <c r="W2230" s="5"/>
      <c r="X2230" s="5"/>
      <c r="Y2230" s="9"/>
      <c r="Z2230" s="2"/>
    </row>
    <row r="2231" spans="1:26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3"/>
      <c r="M2231" s="6"/>
      <c r="N2231" s="6"/>
      <c r="O2231" s="6"/>
      <c r="P2231" s="5"/>
      <c r="Q2231" s="9"/>
      <c r="R2231" s="5"/>
      <c r="S2231" s="5"/>
      <c r="T2231" s="5"/>
      <c r="U2231" s="5"/>
      <c r="V2231" s="5"/>
      <c r="W2231" s="5"/>
      <c r="X2231" s="5"/>
      <c r="Y2231" s="9"/>
      <c r="Z2231" s="2"/>
    </row>
    <row r="2232" spans="1:26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3"/>
      <c r="M2232" s="6"/>
      <c r="N2232" s="6"/>
      <c r="O2232" s="6"/>
      <c r="P2232" s="5"/>
      <c r="Q2232" s="9"/>
      <c r="R2232" s="5"/>
      <c r="S2232" s="5"/>
      <c r="T2232" s="5"/>
      <c r="U2232" s="5"/>
      <c r="V2232" s="5"/>
      <c r="W2232" s="5"/>
      <c r="X2232" s="5"/>
      <c r="Y2232" s="9"/>
      <c r="Z2232" s="2"/>
    </row>
    <row r="2233" spans="1:26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3"/>
      <c r="M2233" s="6"/>
      <c r="N2233" s="6"/>
      <c r="O2233" s="6"/>
      <c r="P2233" s="5"/>
      <c r="Q2233" s="9"/>
      <c r="R2233" s="5"/>
      <c r="S2233" s="5"/>
      <c r="T2233" s="5"/>
      <c r="U2233" s="5"/>
      <c r="V2233" s="5"/>
      <c r="W2233" s="5"/>
      <c r="X2233" s="5"/>
      <c r="Y2233" s="9"/>
      <c r="Z2233" s="2"/>
    </row>
    <row r="2234" spans="1:26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3"/>
      <c r="M2234" s="6"/>
      <c r="N2234" s="6"/>
      <c r="O2234" s="6"/>
      <c r="P2234" s="5"/>
      <c r="Q2234" s="9"/>
      <c r="R2234" s="5"/>
      <c r="S2234" s="5"/>
      <c r="T2234" s="5"/>
      <c r="U2234" s="5"/>
      <c r="V2234" s="5"/>
      <c r="W2234" s="5"/>
      <c r="X2234" s="5"/>
      <c r="Y2234" s="9"/>
      <c r="Z2234" s="2"/>
    </row>
    <row r="2235" spans="1:26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3"/>
      <c r="M2235" s="6"/>
      <c r="N2235" s="6"/>
      <c r="O2235" s="6"/>
      <c r="P2235" s="5"/>
      <c r="Q2235" s="9"/>
      <c r="R2235" s="5"/>
      <c r="S2235" s="5"/>
      <c r="T2235" s="5"/>
      <c r="U2235" s="5"/>
      <c r="V2235" s="5"/>
      <c r="W2235" s="5"/>
      <c r="X2235" s="5"/>
      <c r="Y2235" s="9"/>
      <c r="Z2235" s="2"/>
    </row>
    <row r="2236" spans="1:26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3"/>
      <c r="M2236" s="6"/>
      <c r="N2236" s="6"/>
      <c r="O2236" s="6"/>
      <c r="P2236" s="5"/>
      <c r="Q2236" s="9"/>
      <c r="R2236" s="5"/>
      <c r="S2236" s="5"/>
      <c r="T2236" s="5"/>
      <c r="U2236" s="5"/>
      <c r="V2236" s="5"/>
      <c r="W2236" s="5"/>
      <c r="X2236" s="5"/>
      <c r="Y2236" s="9"/>
      <c r="Z2236" s="2"/>
    </row>
    <row r="2237" spans="1:26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3"/>
      <c r="M2237" s="6"/>
      <c r="N2237" s="6"/>
      <c r="O2237" s="6"/>
      <c r="P2237" s="5"/>
      <c r="Q2237" s="9"/>
      <c r="R2237" s="5"/>
      <c r="S2237" s="5"/>
      <c r="T2237" s="5"/>
      <c r="U2237" s="5"/>
      <c r="V2237" s="5"/>
      <c r="W2237" s="5"/>
      <c r="X2237" s="5"/>
      <c r="Y2237" s="9"/>
      <c r="Z2237" s="2"/>
    </row>
    <row r="2238" spans="1:26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3"/>
      <c r="M2238" s="6"/>
      <c r="N2238" s="6"/>
      <c r="O2238" s="6"/>
      <c r="P2238" s="5"/>
      <c r="Q2238" s="9"/>
      <c r="R2238" s="5"/>
      <c r="S2238" s="5"/>
      <c r="T2238" s="5"/>
      <c r="U2238" s="5"/>
      <c r="V2238" s="5"/>
      <c r="W2238" s="5"/>
      <c r="X2238" s="5"/>
      <c r="Y2238" s="9"/>
      <c r="Z2238" s="2"/>
    </row>
    <row r="2239" spans="1:26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3"/>
      <c r="M2239" s="6"/>
      <c r="N2239" s="6"/>
      <c r="O2239" s="6"/>
      <c r="P2239" s="5"/>
      <c r="Q2239" s="9"/>
      <c r="R2239" s="5"/>
      <c r="S2239" s="5"/>
      <c r="T2239" s="5"/>
      <c r="U2239" s="5"/>
      <c r="V2239" s="5"/>
      <c r="W2239" s="5"/>
      <c r="X2239" s="5"/>
      <c r="Y2239" s="9"/>
      <c r="Z2239" s="2"/>
    </row>
    <row r="2240" spans="1:26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3"/>
      <c r="M2240" s="6"/>
      <c r="N2240" s="6"/>
      <c r="O2240" s="6"/>
      <c r="P2240" s="5"/>
      <c r="Q2240" s="9"/>
      <c r="R2240" s="5"/>
      <c r="S2240" s="5"/>
      <c r="T2240" s="5"/>
      <c r="U2240" s="5"/>
      <c r="V2240" s="5"/>
      <c r="W2240" s="5"/>
      <c r="X2240" s="5"/>
      <c r="Y2240" s="9"/>
      <c r="Z2240" s="2"/>
    </row>
    <row r="2241" spans="1:26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3"/>
      <c r="M2241" s="6"/>
      <c r="N2241" s="6"/>
      <c r="O2241" s="6"/>
      <c r="P2241" s="5"/>
      <c r="Q2241" s="9"/>
      <c r="R2241" s="5"/>
      <c r="S2241" s="5"/>
      <c r="T2241" s="5"/>
      <c r="U2241" s="5"/>
      <c r="V2241" s="5"/>
      <c r="W2241" s="5"/>
      <c r="X2241" s="5"/>
      <c r="Y2241" s="9"/>
      <c r="Z2241" s="2"/>
    </row>
    <row r="2242" spans="1:26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3"/>
      <c r="M2242" s="6"/>
      <c r="N2242" s="6"/>
      <c r="O2242" s="6"/>
      <c r="P2242" s="5"/>
      <c r="Q2242" s="9"/>
      <c r="R2242" s="5"/>
      <c r="S2242" s="5"/>
      <c r="T2242" s="5"/>
      <c r="U2242" s="5"/>
      <c r="V2242" s="5"/>
      <c r="W2242" s="5"/>
      <c r="X2242" s="5"/>
      <c r="Y2242" s="9"/>
      <c r="Z2242" s="2"/>
    </row>
    <row r="2243" spans="1:26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3"/>
      <c r="M2243" s="6"/>
      <c r="N2243" s="6"/>
      <c r="O2243" s="6"/>
      <c r="P2243" s="5"/>
      <c r="Q2243" s="9"/>
      <c r="R2243" s="5"/>
      <c r="S2243" s="5"/>
      <c r="T2243" s="5"/>
      <c r="U2243" s="5"/>
      <c r="V2243" s="5"/>
      <c r="W2243" s="5"/>
      <c r="X2243" s="5"/>
      <c r="Y2243" s="9"/>
      <c r="Z2243" s="2"/>
    </row>
    <row r="2244" spans="1:26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3"/>
      <c r="M2244" s="6"/>
      <c r="N2244" s="6"/>
      <c r="O2244" s="6"/>
      <c r="P2244" s="5"/>
      <c r="Q2244" s="9"/>
      <c r="R2244" s="5"/>
      <c r="S2244" s="5"/>
      <c r="T2244" s="5"/>
      <c r="U2244" s="5"/>
      <c r="V2244" s="5"/>
      <c r="W2244" s="5"/>
      <c r="X2244" s="5"/>
      <c r="Y2244" s="9"/>
      <c r="Z2244" s="2"/>
    </row>
    <row r="2245" spans="1:26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3"/>
      <c r="M2245" s="6"/>
      <c r="N2245" s="6"/>
      <c r="O2245" s="6"/>
      <c r="P2245" s="5"/>
      <c r="Q2245" s="9"/>
      <c r="R2245" s="5"/>
      <c r="S2245" s="5"/>
      <c r="T2245" s="5"/>
      <c r="U2245" s="5"/>
      <c r="V2245" s="5"/>
      <c r="W2245" s="5"/>
      <c r="X2245" s="5"/>
      <c r="Y2245" s="9"/>
      <c r="Z2245" s="2"/>
    </row>
    <row r="2246" spans="1:26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3"/>
      <c r="M2246" s="6"/>
      <c r="N2246" s="6"/>
      <c r="O2246" s="6"/>
      <c r="P2246" s="5"/>
      <c r="Q2246" s="9"/>
      <c r="R2246" s="5"/>
      <c r="S2246" s="5"/>
      <c r="T2246" s="5"/>
      <c r="U2246" s="5"/>
      <c r="V2246" s="5"/>
      <c r="W2246" s="5"/>
      <c r="X2246" s="5"/>
      <c r="Y2246" s="9"/>
      <c r="Z2246" s="2"/>
    </row>
    <row r="2247" spans="1:26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3"/>
      <c r="M2247" s="6"/>
      <c r="N2247" s="6"/>
      <c r="O2247" s="6"/>
      <c r="P2247" s="5"/>
      <c r="Q2247" s="9"/>
      <c r="R2247" s="5"/>
      <c r="S2247" s="5"/>
      <c r="T2247" s="5"/>
      <c r="U2247" s="5"/>
      <c r="V2247" s="5"/>
      <c r="W2247" s="5"/>
      <c r="X2247" s="5"/>
      <c r="Y2247" s="9"/>
      <c r="Z2247" s="2"/>
    </row>
    <row r="2248" spans="1:26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3"/>
      <c r="M2248" s="6"/>
      <c r="N2248" s="6"/>
      <c r="O2248" s="6"/>
      <c r="P2248" s="5"/>
      <c r="Q2248" s="9"/>
      <c r="R2248" s="5"/>
      <c r="S2248" s="5"/>
      <c r="T2248" s="5"/>
      <c r="U2248" s="5"/>
      <c r="V2248" s="5"/>
      <c r="W2248" s="5"/>
      <c r="X2248" s="5"/>
      <c r="Y2248" s="9"/>
      <c r="Z2248" s="2"/>
    </row>
    <row r="2249" spans="1:26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3"/>
      <c r="M2249" s="6"/>
      <c r="N2249" s="6"/>
      <c r="O2249" s="6"/>
      <c r="P2249" s="5"/>
      <c r="Q2249" s="9"/>
      <c r="R2249" s="5"/>
      <c r="S2249" s="5"/>
      <c r="T2249" s="5"/>
      <c r="U2249" s="5"/>
      <c r="V2249" s="5"/>
      <c r="W2249" s="5"/>
      <c r="X2249" s="5"/>
      <c r="Y2249" s="9"/>
      <c r="Z2249" s="2"/>
    </row>
    <row r="2250" spans="1:26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3"/>
      <c r="M2250" s="6"/>
      <c r="N2250" s="6"/>
      <c r="O2250" s="6"/>
      <c r="P2250" s="5"/>
      <c r="Q2250" s="9"/>
      <c r="R2250" s="5"/>
      <c r="S2250" s="5"/>
      <c r="T2250" s="5"/>
      <c r="U2250" s="5"/>
      <c r="V2250" s="5"/>
      <c r="W2250" s="5"/>
      <c r="X2250" s="5"/>
      <c r="Y2250" s="9"/>
      <c r="Z2250" s="2"/>
    </row>
    <row r="2251" spans="1:26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3"/>
      <c r="M2251" s="6"/>
      <c r="N2251" s="6"/>
      <c r="O2251" s="6"/>
      <c r="P2251" s="5"/>
      <c r="Q2251" s="9"/>
      <c r="R2251" s="5"/>
      <c r="S2251" s="5"/>
      <c r="T2251" s="5"/>
      <c r="U2251" s="5"/>
      <c r="V2251" s="5"/>
      <c r="W2251" s="5"/>
      <c r="X2251" s="5"/>
      <c r="Y2251" s="9"/>
      <c r="Z2251" s="2"/>
    </row>
    <row r="2252" spans="1:26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3"/>
      <c r="M2252" s="6"/>
      <c r="N2252" s="6"/>
      <c r="O2252" s="6"/>
      <c r="P2252" s="5"/>
      <c r="Q2252" s="9"/>
      <c r="R2252" s="5"/>
      <c r="S2252" s="5"/>
      <c r="T2252" s="5"/>
      <c r="U2252" s="5"/>
      <c r="V2252" s="5"/>
      <c r="W2252" s="5"/>
      <c r="X2252" s="5"/>
      <c r="Y2252" s="9"/>
      <c r="Z2252" s="2"/>
    </row>
    <row r="2253" spans="1:26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3"/>
      <c r="M2253" s="6"/>
      <c r="N2253" s="6"/>
      <c r="O2253" s="6"/>
      <c r="P2253" s="5"/>
      <c r="Q2253" s="9"/>
      <c r="R2253" s="5"/>
      <c r="S2253" s="5"/>
      <c r="T2253" s="5"/>
      <c r="U2253" s="5"/>
      <c r="V2253" s="5"/>
      <c r="W2253" s="5"/>
      <c r="X2253" s="5"/>
      <c r="Y2253" s="9"/>
      <c r="Z2253" s="2"/>
    </row>
    <row r="2254" spans="1:26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3"/>
      <c r="M2254" s="6"/>
      <c r="N2254" s="6"/>
      <c r="O2254" s="6"/>
      <c r="P2254" s="5"/>
      <c r="Q2254" s="9"/>
      <c r="R2254" s="5"/>
      <c r="S2254" s="5"/>
      <c r="T2254" s="5"/>
      <c r="U2254" s="5"/>
      <c r="V2254" s="5"/>
      <c r="W2254" s="5"/>
      <c r="X2254" s="5"/>
      <c r="Y2254" s="9"/>
      <c r="Z2254" s="2"/>
    </row>
    <row r="2255" spans="1:26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3"/>
      <c r="M2255" s="6"/>
      <c r="N2255" s="6"/>
      <c r="O2255" s="6"/>
      <c r="P2255" s="5"/>
      <c r="Q2255" s="9"/>
      <c r="R2255" s="5"/>
      <c r="S2255" s="5"/>
      <c r="T2255" s="5"/>
      <c r="U2255" s="5"/>
      <c r="V2255" s="5"/>
      <c r="W2255" s="5"/>
      <c r="X2255" s="5"/>
      <c r="Y2255" s="9"/>
      <c r="Z2255" s="2"/>
    </row>
    <row r="2256" spans="1:26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3"/>
      <c r="M2256" s="6"/>
      <c r="N2256" s="6"/>
      <c r="O2256" s="6"/>
      <c r="P2256" s="5"/>
      <c r="Q2256" s="9"/>
      <c r="R2256" s="5"/>
      <c r="S2256" s="5"/>
      <c r="T2256" s="5"/>
      <c r="U2256" s="5"/>
      <c r="V2256" s="5"/>
      <c r="W2256" s="5"/>
      <c r="X2256" s="5"/>
      <c r="Y2256" s="9"/>
      <c r="Z2256" s="2"/>
    </row>
    <row r="2257" spans="1:26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3"/>
      <c r="M2257" s="6"/>
      <c r="N2257" s="6"/>
      <c r="O2257" s="6"/>
      <c r="P2257" s="5"/>
      <c r="Q2257" s="9"/>
      <c r="R2257" s="5"/>
      <c r="S2257" s="5"/>
      <c r="T2257" s="5"/>
      <c r="U2257" s="5"/>
      <c r="V2257" s="5"/>
      <c r="W2257" s="5"/>
      <c r="X2257" s="5"/>
      <c r="Y2257" s="9"/>
      <c r="Z2257" s="2"/>
    </row>
    <row r="2258" spans="1:26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3"/>
      <c r="M2258" s="6"/>
      <c r="N2258" s="6"/>
      <c r="O2258" s="6"/>
      <c r="P2258" s="5"/>
      <c r="Q2258" s="9"/>
      <c r="R2258" s="5"/>
      <c r="S2258" s="5"/>
      <c r="T2258" s="5"/>
      <c r="U2258" s="5"/>
      <c r="V2258" s="5"/>
      <c r="W2258" s="5"/>
      <c r="X2258" s="5"/>
      <c r="Y2258" s="9"/>
      <c r="Z2258" s="2"/>
    </row>
    <row r="2259" spans="1:26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3"/>
      <c r="M2259" s="6"/>
      <c r="N2259" s="6"/>
      <c r="O2259" s="6"/>
      <c r="P2259" s="5"/>
      <c r="Q2259" s="9"/>
      <c r="R2259" s="5"/>
      <c r="S2259" s="5"/>
      <c r="T2259" s="5"/>
      <c r="U2259" s="5"/>
      <c r="V2259" s="5"/>
      <c r="W2259" s="5"/>
      <c r="X2259" s="5"/>
      <c r="Y2259" s="9"/>
      <c r="Z2259" s="2"/>
    </row>
    <row r="2260" spans="1:26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3"/>
      <c r="M2260" s="6"/>
      <c r="N2260" s="6"/>
      <c r="O2260" s="6"/>
      <c r="P2260" s="5"/>
      <c r="Q2260" s="9"/>
      <c r="R2260" s="5"/>
      <c r="S2260" s="5"/>
      <c r="T2260" s="5"/>
      <c r="U2260" s="5"/>
      <c r="V2260" s="5"/>
      <c r="W2260" s="5"/>
      <c r="X2260" s="5"/>
      <c r="Y2260" s="9"/>
      <c r="Z2260" s="2"/>
    </row>
    <row r="2261" spans="1:26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3"/>
      <c r="M2261" s="6"/>
      <c r="N2261" s="6"/>
      <c r="O2261" s="6"/>
      <c r="P2261" s="5"/>
      <c r="Q2261" s="9"/>
      <c r="R2261" s="5"/>
      <c r="S2261" s="5"/>
      <c r="T2261" s="5"/>
      <c r="U2261" s="5"/>
      <c r="V2261" s="5"/>
      <c r="W2261" s="5"/>
      <c r="X2261" s="5"/>
      <c r="Y2261" s="9"/>
      <c r="Z2261" s="2"/>
    </row>
    <row r="2262" spans="1:26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3"/>
      <c r="M2262" s="6"/>
      <c r="N2262" s="6"/>
      <c r="O2262" s="6"/>
      <c r="P2262" s="5"/>
      <c r="Q2262" s="9"/>
      <c r="R2262" s="5"/>
      <c r="S2262" s="5"/>
      <c r="T2262" s="5"/>
      <c r="U2262" s="5"/>
      <c r="V2262" s="5"/>
      <c r="W2262" s="5"/>
      <c r="X2262" s="5"/>
      <c r="Y2262" s="9"/>
      <c r="Z2262" s="2"/>
    </row>
    <row r="2263" spans="1:26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3"/>
      <c r="M2263" s="6"/>
      <c r="N2263" s="6"/>
      <c r="O2263" s="6"/>
      <c r="P2263" s="5"/>
      <c r="Q2263" s="9"/>
      <c r="R2263" s="5"/>
      <c r="S2263" s="5"/>
      <c r="T2263" s="5"/>
      <c r="U2263" s="5"/>
      <c r="V2263" s="5"/>
      <c r="W2263" s="5"/>
      <c r="X2263" s="5"/>
      <c r="Y2263" s="9"/>
      <c r="Z2263" s="2"/>
    </row>
    <row r="2264" spans="1:26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3"/>
      <c r="M2264" s="6"/>
      <c r="N2264" s="6"/>
      <c r="O2264" s="6"/>
      <c r="P2264" s="5"/>
      <c r="Q2264" s="9"/>
      <c r="R2264" s="5"/>
      <c r="S2264" s="5"/>
      <c r="T2264" s="5"/>
      <c r="U2264" s="5"/>
      <c r="V2264" s="5"/>
      <c r="W2264" s="5"/>
      <c r="X2264" s="5"/>
      <c r="Y2264" s="9"/>
      <c r="Z2264" s="2"/>
    </row>
    <row r="2265" spans="1:26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3"/>
      <c r="M2265" s="6"/>
      <c r="N2265" s="6"/>
      <c r="O2265" s="6"/>
      <c r="P2265" s="5"/>
      <c r="Q2265" s="9"/>
      <c r="R2265" s="5"/>
      <c r="S2265" s="5"/>
      <c r="T2265" s="5"/>
      <c r="U2265" s="5"/>
      <c r="V2265" s="5"/>
      <c r="W2265" s="5"/>
      <c r="X2265" s="5"/>
      <c r="Y2265" s="9"/>
      <c r="Z2265" s="2"/>
    </row>
    <row r="2266" spans="1:26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3"/>
      <c r="M2266" s="6"/>
      <c r="N2266" s="6"/>
      <c r="O2266" s="6"/>
      <c r="P2266" s="5"/>
      <c r="Q2266" s="9"/>
      <c r="R2266" s="5"/>
      <c r="S2266" s="5"/>
      <c r="T2266" s="5"/>
      <c r="U2266" s="5"/>
      <c r="V2266" s="5"/>
      <c r="W2266" s="5"/>
      <c r="X2266" s="5"/>
      <c r="Y2266" s="9"/>
      <c r="Z2266" s="2"/>
    </row>
    <row r="2267" spans="1:26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3"/>
      <c r="M2267" s="6"/>
      <c r="N2267" s="6"/>
      <c r="O2267" s="6"/>
      <c r="P2267" s="5"/>
      <c r="Q2267" s="9"/>
      <c r="R2267" s="5"/>
      <c r="S2267" s="5"/>
      <c r="T2267" s="5"/>
      <c r="U2267" s="5"/>
      <c r="V2267" s="5"/>
      <c r="W2267" s="5"/>
      <c r="X2267" s="5"/>
      <c r="Y2267" s="9"/>
      <c r="Z2267" s="2"/>
    </row>
    <row r="2268" spans="1:26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3"/>
      <c r="M2268" s="6"/>
      <c r="N2268" s="6"/>
      <c r="O2268" s="6"/>
      <c r="P2268" s="5"/>
      <c r="Q2268" s="9"/>
      <c r="R2268" s="5"/>
      <c r="S2268" s="5"/>
      <c r="T2268" s="5"/>
      <c r="U2268" s="5"/>
      <c r="V2268" s="5"/>
      <c r="W2268" s="5"/>
      <c r="X2268" s="5"/>
      <c r="Y2268" s="9"/>
      <c r="Z2268" s="2"/>
    </row>
    <row r="2269" spans="1:26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3"/>
      <c r="M2269" s="6"/>
      <c r="N2269" s="6"/>
      <c r="O2269" s="6"/>
      <c r="P2269" s="5"/>
      <c r="Q2269" s="9"/>
      <c r="R2269" s="5"/>
      <c r="S2269" s="5"/>
      <c r="T2269" s="5"/>
      <c r="U2269" s="5"/>
      <c r="V2269" s="5"/>
      <c r="W2269" s="5"/>
      <c r="X2269" s="5"/>
      <c r="Y2269" s="9"/>
      <c r="Z2269" s="2"/>
    </row>
    <row r="2270" spans="1:26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3"/>
      <c r="M2270" s="6"/>
      <c r="N2270" s="6"/>
      <c r="O2270" s="6"/>
      <c r="P2270" s="5"/>
      <c r="Q2270" s="9"/>
      <c r="R2270" s="5"/>
      <c r="S2270" s="5"/>
      <c r="T2270" s="5"/>
      <c r="U2270" s="5"/>
      <c r="V2270" s="5"/>
      <c r="W2270" s="5"/>
      <c r="X2270" s="5"/>
      <c r="Y2270" s="9"/>
      <c r="Z2270" s="2"/>
    </row>
    <row r="2271" spans="1:26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3"/>
      <c r="M2271" s="6"/>
      <c r="N2271" s="6"/>
      <c r="O2271" s="6"/>
      <c r="P2271" s="5"/>
      <c r="Q2271" s="9"/>
      <c r="R2271" s="5"/>
      <c r="S2271" s="5"/>
      <c r="T2271" s="5"/>
      <c r="U2271" s="5"/>
      <c r="V2271" s="5"/>
      <c r="W2271" s="5"/>
      <c r="X2271" s="5"/>
      <c r="Y2271" s="9"/>
      <c r="Z2271" s="2"/>
    </row>
    <row r="2272" spans="1:26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3"/>
      <c r="M2272" s="6"/>
      <c r="N2272" s="6"/>
      <c r="O2272" s="6"/>
      <c r="P2272" s="5"/>
      <c r="Q2272" s="9"/>
      <c r="R2272" s="5"/>
      <c r="S2272" s="5"/>
      <c r="T2272" s="5"/>
      <c r="U2272" s="5"/>
      <c r="V2272" s="5"/>
      <c r="W2272" s="5"/>
      <c r="X2272" s="5"/>
      <c r="Y2272" s="9"/>
      <c r="Z2272" s="2"/>
    </row>
    <row r="2273" spans="1:26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3"/>
      <c r="M2273" s="6"/>
      <c r="N2273" s="6"/>
      <c r="O2273" s="6"/>
      <c r="P2273" s="5"/>
      <c r="Q2273" s="9"/>
      <c r="R2273" s="5"/>
      <c r="S2273" s="5"/>
      <c r="T2273" s="5"/>
      <c r="U2273" s="5"/>
      <c r="V2273" s="5"/>
      <c r="W2273" s="5"/>
      <c r="X2273" s="5"/>
      <c r="Y2273" s="9"/>
      <c r="Z2273" s="2"/>
    </row>
    <row r="2274" spans="1:26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3"/>
      <c r="M2274" s="6"/>
      <c r="N2274" s="6"/>
      <c r="O2274" s="6"/>
      <c r="P2274" s="5"/>
      <c r="Q2274" s="9"/>
      <c r="R2274" s="5"/>
      <c r="S2274" s="5"/>
      <c r="T2274" s="5"/>
      <c r="U2274" s="5"/>
      <c r="V2274" s="5"/>
      <c r="W2274" s="5"/>
      <c r="X2274" s="5"/>
      <c r="Y2274" s="9"/>
      <c r="Z2274" s="2"/>
    </row>
    <row r="2275" spans="1:26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3"/>
      <c r="M2275" s="6"/>
      <c r="N2275" s="6"/>
      <c r="O2275" s="6"/>
      <c r="P2275" s="5"/>
      <c r="Q2275" s="9"/>
      <c r="R2275" s="5"/>
      <c r="S2275" s="5"/>
      <c r="T2275" s="5"/>
      <c r="U2275" s="5"/>
      <c r="V2275" s="5"/>
      <c r="W2275" s="5"/>
      <c r="X2275" s="5"/>
      <c r="Y2275" s="9"/>
      <c r="Z2275" s="2"/>
    </row>
    <row r="2276" spans="1:26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3"/>
      <c r="M2276" s="6"/>
      <c r="N2276" s="6"/>
      <c r="O2276" s="6"/>
      <c r="P2276" s="5"/>
      <c r="Q2276" s="9"/>
      <c r="R2276" s="5"/>
      <c r="S2276" s="5"/>
      <c r="T2276" s="5"/>
      <c r="U2276" s="5"/>
      <c r="V2276" s="5"/>
      <c r="W2276" s="5"/>
      <c r="X2276" s="5"/>
      <c r="Y2276" s="9"/>
      <c r="Z2276" s="2"/>
    </row>
    <row r="2277" spans="1:26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3"/>
      <c r="M2277" s="6"/>
      <c r="N2277" s="6"/>
      <c r="O2277" s="6"/>
      <c r="P2277" s="5"/>
      <c r="Q2277" s="9"/>
      <c r="R2277" s="5"/>
      <c r="S2277" s="5"/>
      <c r="T2277" s="5"/>
      <c r="U2277" s="5"/>
      <c r="V2277" s="5"/>
      <c r="W2277" s="5"/>
      <c r="X2277" s="5"/>
      <c r="Y2277" s="9"/>
      <c r="Z2277" s="2"/>
    </row>
    <row r="2278" spans="1:26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3"/>
      <c r="M2278" s="6"/>
      <c r="N2278" s="6"/>
      <c r="O2278" s="6"/>
      <c r="P2278" s="5"/>
      <c r="Q2278" s="9"/>
      <c r="R2278" s="5"/>
      <c r="S2278" s="5"/>
      <c r="T2278" s="5"/>
      <c r="U2278" s="5"/>
      <c r="V2278" s="5"/>
      <c r="W2278" s="5"/>
      <c r="X2278" s="5"/>
      <c r="Y2278" s="9"/>
      <c r="Z2278" s="2"/>
    </row>
    <row r="2279" spans="1:26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3"/>
      <c r="M2279" s="6"/>
      <c r="N2279" s="6"/>
      <c r="O2279" s="6"/>
      <c r="P2279" s="5"/>
      <c r="Q2279" s="9"/>
      <c r="R2279" s="5"/>
      <c r="S2279" s="5"/>
      <c r="T2279" s="5"/>
      <c r="U2279" s="5"/>
      <c r="V2279" s="5"/>
      <c r="W2279" s="5"/>
      <c r="X2279" s="5"/>
      <c r="Y2279" s="9"/>
      <c r="Z2279" s="2"/>
    </row>
    <row r="2280" spans="1:26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3"/>
      <c r="M2280" s="6"/>
      <c r="N2280" s="6"/>
      <c r="O2280" s="6"/>
      <c r="P2280" s="5"/>
      <c r="Q2280" s="9"/>
      <c r="R2280" s="5"/>
      <c r="S2280" s="5"/>
      <c r="T2280" s="5"/>
      <c r="U2280" s="5"/>
      <c r="V2280" s="5"/>
      <c r="W2280" s="5"/>
      <c r="X2280" s="5"/>
      <c r="Y2280" s="9"/>
      <c r="Z2280" s="2"/>
    </row>
    <row r="2281" spans="1:26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3"/>
      <c r="M2281" s="6"/>
      <c r="N2281" s="6"/>
      <c r="O2281" s="6"/>
      <c r="P2281" s="5"/>
      <c r="Q2281" s="9"/>
      <c r="R2281" s="5"/>
      <c r="S2281" s="5"/>
      <c r="T2281" s="5"/>
      <c r="U2281" s="5"/>
      <c r="V2281" s="5"/>
      <c r="W2281" s="5"/>
      <c r="X2281" s="5"/>
      <c r="Y2281" s="9"/>
      <c r="Z2281" s="2"/>
    </row>
    <row r="2282" spans="1:26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3"/>
      <c r="M2282" s="6"/>
      <c r="N2282" s="6"/>
      <c r="O2282" s="6"/>
      <c r="P2282" s="5"/>
      <c r="Q2282" s="9"/>
      <c r="R2282" s="5"/>
      <c r="S2282" s="5"/>
      <c r="T2282" s="5"/>
      <c r="U2282" s="5"/>
      <c r="V2282" s="5"/>
      <c r="W2282" s="5"/>
      <c r="X2282" s="5"/>
      <c r="Y2282" s="9"/>
      <c r="Z2282" s="2"/>
    </row>
    <row r="2283" spans="1:26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3"/>
      <c r="M2283" s="6"/>
      <c r="N2283" s="6"/>
      <c r="O2283" s="6"/>
      <c r="P2283" s="5"/>
      <c r="Q2283" s="9"/>
      <c r="R2283" s="5"/>
      <c r="S2283" s="5"/>
      <c r="T2283" s="5"/>
      <c r="U2283" s="5"/>
      <c r="V2283" s="5"/>
      <c r="W2283" s="5"/>
      <c r="X2283" s="5"/>
      <c r="Y2283" s="9"/>
      <c r="Z2283" s="2"/>
    </row>
    <row r="2284" spans="1:26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3"/>
      <c r="M2284" s="6"/>
      <c r="N2284" s="6"/>
      <c r="O2284" s="6"/>
      <c r="P2284" s="5"/>
      <c r="Q2284" s="9"/>
      <c r="R2284" s="5"/>
      <c r="S2284" s="5"/>
      <c r="T2284" s="5"/>
      <c r="U2284" s="5"/>
      <c r="V2284" s="5"/>
      <c r="W2284" s="5"/>
      <c r="X2284" s="5"/>
      <c r="Y2284" s="9"/>
      <c r="Z2284" s="2"/>
    </row>
    <row r="2285" spans="1:26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3"/>
      <c r="M2285" s="6"/>
      <c r="N2285" s="6"/>
      <c r="O2285" s="6"/>
      <c r="P2285" s="5"/>
      <c r="Q2285" s="9"/>
      <c r="R2285" s="5"/>
      <c r="S2285" s="5"/>
      <c r="T2285" s="5"/>
      <c r="U2285" s="5"/>
      <c r="V2285" s="5"/>
      <c r="W2285" s="5"/>
      <c r="X2285" s="5"/>
      <c r="Y2285" s="9"/>
      <c r="Z2285" s="2"/>
    </row>
    <row r="2286" spans="1:26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3"/>
      <c r="M2286" s="6"/>
      <c r="N2286" s="6"/>
      <c r="O2286" s="6"/>
      <c r="P2286" s="5"/>
      <c r="Q2286" s="9"/>
      <c r="R2286" s="5"/>
      <c r="S2286" s="5"/>
      <c r="T2286" s="5"/>
      <c r="U2286" s="5"/>
      <c r="V2286" s="5"/>
      <c r="W2286" s="5"/>
      <c r="X2286" s="5"/>
      <c r="Y2286" s="9"/>
      <c r="Z2286" s="2"/>
    </row>
    <row r="2287" spans="1:26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3"/>
      <c r="M2287" s="6"/>
      <c r="N2287" s="6"/>
      <c r="O2287" s="6"/>
      <c r="P2287" s="5"/>
      <c r="Q2287" s="9"/>
      <c r="R2287" s="5"/>
      <c r="S2287" s="5"/>
      <c r="T2287" s="5"/>
      <c r="U2287" s="5"/>
      <c r="V2287" s="5"/>
      <c r="W2287" s="5"/>
      <c r="X2287" s="5"/>
      <c r="Y2287" s="9"/>
      <c r="Z2287" s="2"/>
    </row>
    <row r="2288" spans="1:26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3"/>
      <c r="M2288" s="6"/>
      <c r="N2288" s="6"/>
      <c r="O2288" s="6"/>
      <c r="P2288" s="5"/>
      <c r="Q2288" s="9"/>
      <c r="R2288" s="5"/>
      <c r="S2288" s="5"/>
      <c r="T2288" s="5"/>
      <c r="U2288" s="5"/>
      <c r="V2288" s="5"/>
      <c r="W2288" s="5"/>
      <c r="X2288" s="5"/>
      <c r="Y2288" s="9"/>
      <c r="Z2288" s="2"/>
    </row>
    <row r="2289" spans="1:26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3"/>
      <c r="M2289" s="6"/>
      <c r="N2289" s="6"/>
      <c r="O2289" s="6"/>
      <c r="P2289" s="5"/>
      <c r="Q2289" s="9"/>
      <c r="R2289" s="5"/>
      <c r="S2289" s="5"/>
      <c r="T2289" s="5"/>
      <c r="U2289" s="5"/>
      <c r="V2289" s="5"/>
      <c r="W2289" s="5"/>
      <c r="X2289" s="5"/>
      <c r="Y2289" s="9"/>
      <c r="Z2289" s="2"/>
    </row>
    <row r="2290" spans="1:26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3"/>
      <c r="M2290" s="6"/>
      <c r="N2290" s="6"/>
      <c r="O2290" s="6"/>
      <c r="P2290" s="5"/>
      <c r="Q2290" s="9"/>
      <c r="R2290" s="5"/>
      <c r="S2290" s="5"/>
      <c r="T2290" s="5"/>
      <c r="U2290" s="5"/>
      <c r="V2290" s="5"/>
      <c r="W2290" s="5"/>
      <c r="X2290" s="5"/>
      <c r="Y2290" s="9"/>
      <c r="Z2290" s="2"/>
    </row>
    <row r="2291" spans="1:26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3"/>
      <c r="M2291" s="6"/>
      <c r="N2291" s="6"/>
      <c r="O2291" s="6"/>
      <c r="P2291" s="5"/>
      <c r="Q2291" s="9"/>
      <c r="R2291" s="5"/>
      <c r="S2291" s="5"/>
      <c r="T2291" s="5"/>
      <c r="U2291" s="5"/>
      <c r="V2291" s="5"/>
      <c r="W2291" s="5"/>
      <c r="X2291" s="5"/>
      <c r="Y2291" s="9"/>
      <c r="Z2291" s="2"/>
    </row>
    <row r="2292" spans="1:26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3"/>
      <c r="M2292" s="6"/>
      <c r="N2292" s="6"/>
      <c r="O2292" s="6"/>
      <c r="P2292" s="5"/>
      <c r="Q2292" s="9"/>
      <c r="R2292" s="5"/>
      <c r="S2292" s="5"/>
      <c r="T2292" s="5"/>
      <c r="U2292" s="5"/>
      <c r="V2292" s="5"/>
      <c r="W2292" s="5"/>
      <c r="X2292" s="5"/>
      <c r="Y2292" s="9"/>
      <c r="Z2292" s="2"/>
    </row>
    <row r="2293" spans="1:26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3"/>
      <c r="M2293" s="6"/>
      <c r="N2293" s="6"/>
      <c r="O2293" s="6"/>
      <c r="P2293" s="5"/>
      <c r="Q2293" s="9"/>
      <c r="R2293" s="5"/>
      <c r="S2293" s="5"/>
      <c r="T2293" s="5"/>
      <c r="U2293" s="5"/>
      <c r="V2293" s="5"/>
      <c r="W2293" s="5"/>
      <c r="X2293" s="5"/>
      <c r="Y2293" s="9"/>
      <c r="Z2293" s="2"/>
    </row>
    <row r="2294" spans="1:26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3"/>
      <c r="M2294" s="6"/>
      <c r="N2294" s="6"/>
      <c r="O2294" s="6"/>
      <c r="P2294" s="5"/>
      <c r="Q2294" s="9"/>
      <c r="R2294" s="5"/>
      <c r="S2294" s="5"/>
      <c r="T2294" s="5"/>
      <c r="U2294" s="5"/>
      <c r="V2294" s="5"/>
      <c r="W2294" s="5"/>
      <c r="X2294" s="5"/>
      <c r="Y2294" s="9"/>
      <c r="Z2294" s="2"/>
    </row>
    <row r="2295" spans="1:26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3"/>
      <c r="M2295" s="6"/>
      <c r="N2295" s="6"/>
      <c r="O2295" s="6"/>
      <c r="P2295" s="5"/>
      <c r="Q2295" s="9"/>
      <c r="R2295" s="5"/>
      <c r="S2295" s="5"/>
      <c r="T2295" s="5"/>
      <c r="U2295" s="5"/>
      <c r="V2295" s="5"/>
      <c r="W2295" s="5"/>
      <c r="X2295" s="5"/>
      <c r="Y2295" s="9"/>
      <c r="Z2295" s="2"/>
    </row>
    <row r="2296" spans="1:26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3"/>
      <c r="M2296" s="6"/>
      <c r="N2296" s="6"/>
      <c r="O2296" s="6"/>
      <c r="P2296" s="5"/>
      <c r="Q2296" s="9"/>
      <c r="R2296" s="5"/>
      <c r="S2296" s="5"/>
      <c r="T2296" s="5"/>
      <c r="U2296" s="5"/>
      <c r="V2296" s="5"/>
      <c r="W2296" s="5"/>
      <c r="X2296" s="5"/>
      <c r="Y2296" s="9"/>
      <c r="Z2296" s="2"/>
    </row>
    <row r="2297" spans="1:26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3"/>
      <c r="M2297" s="6"/>
      <c r="N2297" s="6"/>
      <c r="O2297" s="6"/>
      <c r="P2297" s="5"/>
      <c r="Q2297" s="9"/>
      <c r="R2297" s="5"/>
      <c r="S2297" s="5"/>
      <c r="T2297" s="5"/>
      <c r="U2297" s="5"/>
      <c r="V2297" s="5"/>
      <c r="W2297" s="5"/>
      <c r="X2297" s="5"/>
      <c r="Y2297" s="9"/>
      <c r="Z2297" s="2"/>
    </row>
    <row r="2298" spans="1:26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3"/>
      <c r="M2298" s="6"/>
      <c r="N2298" s="6"/>
      <c r="O2298" s="6"/>
      <c r="P2298" s="5"/>
      <c r="Q2298" s="9"/>
      <c r="R2298" s="5"/>
      <c r="S2298" s="5"/>
      <c r="T2298" s="5"/>
      <c r="U2298" s="5"/>
      <c r="V2298" s="5"/>
      <c r="W2298" s="5"/>
      <c r="X2298" s="5"/>
      <c r="Y2298" s="9"/>
      <c r="Z2298" s="2"/>
    </row>
    <row r="2299" spans="1:26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3"/>
      <c r="M2299" s="6"/>
      <c r="N2299" s="6"/>
      <c r="O2299" s="6"/>
      <c r="P2299" s="5"/>
      <c r="Q2299" s="9"/>
      <c r="R2299" s="5"/>
      <c r="S2299" s="5"/>
      <c r="T2299" s="5"/>
      <c r="U2299" s="5"/>
      <c r="V2299" s="5"/>
      <c r="W2299" s="5"/>
      <c r="X2299" s="5"/>
      <c r="Y2299" s="9"/>
      <c r="Z2299" s="2"/>
    </row>
    <row r="2300" spans="1:26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3"/>
      <c r="M2300" s="6"/>
      <c r="N2300" s="6"/>
      <c r="O2300" s="6"/>
      <c r="P2300" s="5"/>
      <c r="Q2300" s="9"/>
      <c r="R2300" s="5"/>
      <c r="S2300" s="5"/>
      <c r="T2300" s="5"/>
      <c r="U2300" s="5"/>
      <c r="V2300" s="5"/>
      <c r="W2300" s="5"/>
      <c r="X2300" s="5"/>
      <c r="Y2300" s="9"/>
      <c r="Z2300" s="2"/>
    </row>
    <row r="2301" spans="1:26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3"/>
      <c r="M2301" s="6"/>
      <c r="N2301" s="6"/>
      <c r="O2301" s="6"/>
      <c r="P2301" s="5"/>
      <c r="Q2301" s="9"/>
      <c r="R2301" s="5"/>
      <c r="S2301" s="5"/>
      <c r="T2301" s="5"/>
      <c r="U2301" s="5"/>
      <c r="V2301" s="5"/>
      <c r="W2301" s="5"/>
      <c r="X2301" s="5"/>
      <c r="Y2301" s="9"/>
      <c r="Z2301" s="2"/>
    </row>
    <row r="2302" spans="1:26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3"/>
      <c r="M2302" s="6"/>
      <c r="N2302" s="6"/>
      <c r="O2302" s="6"/>
      <c r="P2302" s="5"/>
      <c r="Q2302" s="9"/>
      <c r="R2302" s="5"/>
      <c r="S2302" s="5"/>
      <c r="T2302" s="5"/>
      <c r="U2302" s="5"/>
      <c r="V2302" s="5"/>
      <c r="W2302" s="5"/>
      <c r="X2302" s="5"/>
      <c r="Y2302" s="9"/>
      <c r="Z2302" s="2"/>
    </row>
    <row r="2303" spans="1:26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3"/>
      <c r="M2303" s="6"/>
      <c r="N2303" s="6"/>
      <c r="O2303" s="6"/>
      <c r="P2303" s="5"/>
      <c r="Q2303" s="9"/>
      <c r="R2303" s="5"/>
      <c r="S2303" s="5"/>
      <c r="T2303" s="5"/>
      <c r="U2303" s="5"/>
      <c r="V2303" s="5"/>
      <c r="W2303" s="5"/>
      <c r="X2303" s="5"/>
      <c r="Y2303" s="9"/>
      <c r="Z2303" s="2"/>
    </row>
    <row r="2304" spans="1:26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3"/>
      <c r="M2304" s="6"/>
      <c r="N2304" s="6"/>
      <c r="O2304" s="6"/>
      <c r="P2304" s="5"/>
      <c r="Q2304" s="9"/>
      <c r="R2304" s="5"/>
      <c r="S2304" s="5"/>
      <c r="T2304" s="5"/>
      <c r="U2304" s="5"/>
      <c r="V2304" s="5"/>
      <c r="W2304" s="5"/>
      <c r="X2304" s="5"/>
      <c r="Y2304" s="9"/>
      <c r="Z2304" s="2"/>
    </row>
    <row r="2305" spans="1:26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3"/>
      <c r="M2305" s="6"/>
      <c r="N2305" s="6"/>
      <c r="O2305" s="6"/>
      <c r="P2305" s="5"/>
      <c r="Q2305" s="9"/>
      <c r="R2305" s="5"/>
      <c r="S2305" s="5"/>
      <c r="T2305" s="5"/>
      <c r="U2305" s="5"/>
      <c r="V2305" s="5"/>
      <c r="W2305" s="5"/>
      <c r="X2305" s="5"/>
      <c r="Y2305" s="9"/>
      <c r="Z2305" s="2"/>
    </row>
    <row r="2306" spans="1:26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3"/>
      <c r="M2306" s="6"/>
      <c r="N2306" s="6"/>
      <c r="O2306" s="6"/>
      <c r="P2306" s="5"/>
      <c r="Q2306" s="9"/>
      <c r="R2306" s="5"/>
      <c r="S2306" s="5"/>
      <c r="T2306" s="5"/>
      <c r="U2306" s="5"/>
      <c r="V2306" s="5"/>
      <c r="W2306" s="5"/>
      <c r="X2306" s="5"/>
      <c r="Y2306" s="9"/>
      <c r="Z2306" s="2"/>
    </row>
    <row r="2307" spans="1:26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3"/>
      <c r="M2307" s="6"/>
      <c r="N2307" s="6"/>
      <c r="O2307" s="6"/>
      <c r="P2307" s="5"/>
      <c r="Q2307" s="9"/>
      <c r="R2307" s="5"/>
      <c r="S2307" s="5"/>
      <c r="T2307" s="5"/>
      <c r="U2307" s="5"/>
      <c r="V2307" s="5"/>
      <c r="W2307" s="5"/>
      <c r="X2307" s="5"/>
      <c r="Y2307" s="9"/>
      <c r="Z2307" s="2"/>
    </row>
    <row r="2308" spans="1:26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3"/>
      <c r="M2308" s="6"/>
      <c r="N2308" s="6"/>
      <c r="O2308" s="6"/>
      <c r="P2308" s="5"/>
      <c r="Q2308" s="9"/>
      <c r="R2308" s="5"/>
      <c r="S2308" s="5"/>
      <c r="T2308" s="5"/>
      <c r="U2308" s="5"/>
      <c r="V2308" s="5"/>
      <c r="W2308" s="5"/>
      <c r="X2308" s="5"/>
      <c r="Y2308" s="9"/>
      <c r="Z2308" s="2"/>
    </row>
    <row r="2309" spans="1:26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3"/>
      <c r="M2309" s="6"/>
      <c r="N2309" s="6"/>
      <c r="O2309" s="6"/>
      <c r="P2309" s="5"/>
      <c r="Q2309" s="9"/>
      <c r="R2309" s="5"/>
      <c r="S2309" s="5"/>
      <c r="T2309" s="5"/>
      <c r="U2309" s="5"/>
      <c r="V2309" s="5"/>
      <c r="W2309" s="5"/>
      <c r="X2309" s="5"/>
      <c r="Y2309" s="9"/>
      <c r="Z2309" s="2"/>
    </row>
    <row r="2310" spans="1:26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3"/>
      <c r="M2310" s="6"/>
      <c r="N2310" s="6"/>
      <c r="O2310" s="6"/>
      <c r="P2310" s="5"/>
      <c r="Q2310" s="9"/>
      <c r="R2310" s="5"/>
      <c r="S2310" s="5"/>
      <c r="T2310" s="5"/>
      <c r="U2310" s="5"/>
      <c r="V2310" s="5"/>
      <c r="W2310" s="5"/>
      <c r="X2310" s="5"/>
      <c r="Y2310" s="9"/>
      <c r="Z2310" s="2"/>
    </row>
    <row r="2311" spans="1:26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3"/>
      <c r="M2311" s="6"/>
      <c r="N2311" s="6"/>
      <c r="O2311" s="6"/>
      <c r="P2311" s="5"/>
      <c r="Q2311" s="9"/>
      <c r="R2311" s="5"/>
      <c r="S2311" s="5"/>
      <c r="T2311" s="5"/>
      <c r="U2311" s="5"/>
      <c r="V2311" s="5"/>
      <c r="W2311" s="5"/>
      <c r="X2311" s="5"/>
      <c r="Y2311" s="9"/>
      <c r="Z2311" s="2"/>
    </row>
    <row r="2312" spans="1:26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3"/>
      <c r="M2312" s="6"/>
      <c r="N2312" s="6"/>
      <c r="O2312" s="6"/>
      <c r="P2312" s="5"/>
      <c r="Q2312" s="9"/>
      <c r="R2312" s="5"/>
      <c r="S2312" s="5"/>
      <c r="T2312" s="5"/>
      <c r="U2312" s="5"/>
      <c r="V2312" s="5"/>
      <c r="W2312" s="5"/>
      <c r="X2312" s="5"/>
      <c r="Y2312" s="9"/>
      <c r="Z2312" s="2"/>
    </row>
    <row r="2313" spans="1:26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3"/>
      <c r="M2313" s="6"/>
      <c r="N2313" s="6"/>
      <c r="O2313" s="6"/>
      <c r="P2313" s="5"/>
      <c r="Q2313" s="9"/>
      <c r="R2313" s="5"/>
      <c r="S2313" s="5"/>
      <c r="T2313" s="5"/>
      <c r="U2313" s="5"/>
      <c r="V2313" s="5"/>
      <c r="W2313" s="5"/>
      <c r="X2313" s="5"/>
      <c r="Y2313" s="9"/>
      <c r="Z2313" s="2"/>
    </row>
    <row r="2314" spans="1:26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3"/>
      <c r="M2314" s="6"/>
      <c r="N2314" s="6"/>
      <c r="O2314" s="6"/>
      <c r="P2314" s="5"/>
      <c r="Q2314" s="9"/>
      <c r="R2314" s="5"/>
      <c r="S2314" s="5"/>
      <c r="T2314" s="5"/>
      <c r="U2314" s="5"/>
      <c r="V2314" s="5"/>
      <c r="W2314" s="5"/>
      <c r="X2314" s="5"/>
      <c r="Y2314" s="9"/>
      <c r="Z2314" s="2"/>
    </row>
    <row r="2315" spans="1:26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3"/>
      <c r="M2315" s="6"/>
      <c r="N2315" s="6"/>
      <c r="O2315" s="6"/>
      <c r="P2315" s="5"/>
      <c r="Q2315" s="9"/>
      <c r="R2315" s="5"/>
      <c r="S2315" s="5"/>
      <c r="T2315" s="5"/>
      <c r="U2315" s="5"/>
      <c r="V2315" s="5"/>
      <c r="W2315" s="5"/>
      <c r="X2315" s="5"/>
      <c r="Y2315" s="9"/>
      <c r="Z2315" s="2"/>
    </row>
    <row r="2316" spans="1:26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3"/>
      <c r="M2316" s="6"/>
      <c r="N2316" s="6"/>
      <c r="O2316" s="6"/>
      <c r="P2316" s="5"/>
      <c r="Q2316" s="9"/>
      <c r="R2316" s="5"/>
      <c r="S2316" s="5"/>
      <c r="T2316" s="5"/>
      <c r="U2316" s="5"/>
      <c r="V2316" s="5"/>
      <c r="W2316" s="5"/>
      <c r="X2316" s="5"/>
      <c r="Y2316" s="9"/>
      <c r="Z2316" s="2"/>
    </row>
    <row r="2317" spans="1:26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3"/>
      <c r="M2317" s="6"/>
      <c r="N2317" s="6"/>
      <c r="O2317" s="6"/>
      <c r="P2317" s="5"/>
      <c r="Q2317" s="9"/>
      <c r="R2317" s="5"/>
      <c r="S2317" s="5"/>
      <c r="T2317" s="5"/>
      <c r="U2317" s="5"/>
      <c r="V2317" s="5"/>
      <c r="W2317" s="5"/>
      <c r="X2317" s="5"/>
      <c r="Y2317" s="9"/>
      <c r="Z2317" s="2"/>
    </row>
    <row r="2318" spans="1:26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3"/>
      <c r="M2318" s="6"/>
      <c r="N2318" s="6"/>
      <c r="O2318" s="6"/>
      <c r="P2318" s="5"/>
      <c r="Q2318" s="9"/>
      <c r="R2318" s="5"/>
      <c r="S2318" s="5"/>
      <c r="T2318" s="5"/>
      <c r="U2318" s="5"/>
      <c r="V2318" s="5"/>
      <c r="W2318" s="5"/>
      <c r="X2318" s="5"/>
      <c r="Y2318" s="9"/>
      <c r="Z2318" s="2"/>
    </row>
    <row r="2319" spans="1:26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3"/>
      <c r="M2319" s="6"/>
      <c r="N2319" s="6"/>
      <c r="O2319" s="6"/>
      <c r="P2319" s="5"/>
      <c r="Q2319" s="9"/>
      <c r="R2319" s="5"/>
      <c r="S2319" s="5"/>
      <c r="T2319" s="5"/>
      <c r="U2319" s="5"/>
      <c r="V2319" s="5"/>
      <c r="W2319" s="5"/>
      <c r="X2319" s="5"/>
      <c r="Y2319" s="9"/>
      <c r="Z2319" s="2"/>
    </row>
    <row r="2320" spans="1:26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3"/>
      <c r="M2320" s="6"/>
      <c r="N2320" s="6"/>
      <c r="O2320" s="6"/>
      <c r="P2320" s="5"/>
      <c r="Q2320" s="9"/>
      <c r="R2320" s="5"/>
      <c r="S2320" s="5"/>
      <c r="T2320" s="5"/>
      <c r="U2320" s="5"/>
      <c r="V2320" s="5"/>
      <c r="W2320" s="5"/>
      <c r="X2320" s="5"/>
      <c r="Y2320" s="9"/>
      <c r="Z2320" s="2"/>
    </row>
    <row r="2321" spans="1:26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3"/>
      <c r="M2321" s="6"/>
      <c r="N2321" s="6"/>
      <c r="O2321" s="6"/>
      <c r="P2321" s="5"/>
      <c r="Q2321" s="9"/>
      <c r="R2321" s="5"/>
      <c r="S2321" s="5"/>
      <c r="T2321" s="5"/>
      <c r="U2321" s="5"/>
      <c r="V2321" s="5"/>
      <c r="W2321" s="5"/>
      <c r="X2321" s="5"/>
      <c r="Y2321" s="9"/>
      <c r="Z2321" s="2"/>
    </row>
    <row r="2322" spans="1:26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3"/>
      <c r="M2322" s="6"/>
      <c r="N2322" s="6"/>
      <c r="O2322" s="6"/>
      <c r="P2322" s="5"/>
      <c r="Q2322" s="9"/>
      <c r="R2322" s="5"/>
      <c r="S2322" s="5"/>
      <c r="T2322" s="5"/>
      <c r="U2322" s="5"/>
      <c r="V2322" s="5"/>
      <c r="W2322" s="5"/>
      <c r="X2322" s="5"/>
      <c r="Y2322" s="9"/>
      <c r="Z2322" s="2"/>
    </row>
    <row r="2323" spans="1:26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3"/>
      <c r="M2323" s="6"/>
      <c r="N2323" s="6"/>
      <c r="O2323" s="6"/>
      <c r="P2323" s="5"/>
      <c r="Q2323" s="9"/>
      <c r="R2323" s="5"/>
      <c r="S2323" s="5"/>
      <c r="T2323" s="5"/>
      <c r="U2323" s="5"/>
      <c r="V2323" s="5"/>
      <c r="W2323" s="5"/>
      <c r="X2323" s="5"/>
      <c r="Y2323" s="9"/>
      <c r="Z2323" s="2"/>
    </row>
    <row r="2324" spans="1:26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3"/>
      <c r="M2324" s="6"/>
      <c r="N2324" s="6"/>
      <c r="O2324" s="6"/>
      <c r="P2324" s="5"/>
      <c r="Q2324" s="9"/>
      <c r="R2324" s="5"/>
      <c r="S2324" s="5"/>
      <c r="T2324" s="5"/>
      <c r="U2324" s="5"/>
      <c r="V2324" s="5"/>
      <c r="W2324" s="5"/>
      <c r="X2324" s="5"/>
      <c r="Y2324" s="9"/>
      <c r="Z2324" s="2"/>
    </row>
    <row r="2325" spans="1:26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3"/>
      <c r="M2325" s="6"/>
      <c r="N2325" s="6"/>
      <c r="O2325" s="6"/>
      <c r="P2325" s="5"/>
      <c r="Q2325" s="9"/>
      <c r="R2325" s="5"/>
      <c r="S2325" s="5"/>
      <c r="T2325" s="5"/>
      <c r="U2325" s="5"/>
      <c r="V2325" s="5"/>
      <c r="W2325" s="5"/>
      <c r="X2325" s="5"/>
      <c r="Y2325" s="9"/>
      <c r="Z2325" s="2"/>
    </row>
    <row r="2326" spans="1:26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3"/>
      <c r="M2326" s="6"/>
      <c r="N2326" s="6"/>
      <c r="O2326" s="6"/>
      <c r="P2326" s="5"/>
      <c r="Q2326" s="9"/>
      <c r="R2326" s="5"/>
      <c r="S2326" s="5"/>
      <c r="T2326" s="5"/>
      <c r="U2326" s="5"/>
      <c r="V2326" s="5"/>
      <c r="W2326" s="5"/>
      <c r="X2326" s="5"/>
      <c r="Y2326" s="9"/>
      <c r="Z2326" s="2"/>
    </row>
    <row r="2327" spans="1:26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3"/>
      <c r="M2327" s="6"/>
      <c r="N2327" s="6"/>
      <c r="O2327" s="6"/>
      <c r="P2327" s="5"/>
      <c r="Q2327" s="9"/>
      <c r="R2327" s="5"/>
      <c r="S2327" s="5"/>
      <c r="T2327" s="5"/>
      <c r="U2327" s="5"/>
      <c r="V2327" s="5"/>
      <c r="W2327" s="5"/>
      <c r="X2327" s="5"/>
      <c r="Y2327" s="9"/>
      <c r="Z2327" s="2"/>
    </row>
    <row r="2328" spans="1:26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3"/>
      <c r="M2328" s="6"/>
      <c r="N2328" s="6"/>
      <c r="O2328" s="6"/>
      <c r="P2328" s="5"/>
      <c r="Q2328" s="9"/>
      <c r="R2328" s="5"/>
      <c r="S2328" s="5"/>
      <c r="T2328" s="5"/>
      <c r="U2328" s="5"/>
      <c r="V2328" s="5"/>
      <c r="W2328" s="5"/>
      <c r="X2328" s="5"/>
      <c r="Y2328" s="9"/>
      <c r="Z2328" s="2"/>
    </row>
    <row r="2329" spans="1:26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3"/>
      <c r="M2329" s="6"/>
      <c r="N2329" s="6"/>
      <c r="O2329" s="6"/>
      <c r="P2329" s="5"/>
      <c r="Q2329" s="9"/>
      <c r="R2329" s="5"/>
      <c r="S2329" s="5"/>
      <c r="T2329" s="5"/>
      <c r="U2329" s="5"/>
      <c r="V2329" s="5"/>
      <c r="W2329" s="5"/>
      <c r="X2329" s="5"/>
      <c r="Y2329" s="9"/>
      <c r="Z2329" s="2"/>
    </row>
    <row r="2330" spans="1:26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3"/>
      <c r="M2330" s="6"/>
      <c r="N2330" s="6"/>
      <c r="O2330" s="6"/>
      <c r="P2330" s="5"/>
      <c r="Q2330" s="9"/>
      <c r="R2330" s="5"/>
      <c r="S2330" s="5"/>
      <c r="T2330" s="5"/>
      <c r="U2330" s="5"/>
      <c r="V2330" s="5"/>
      <c r="W2330" s="5"/>
      <c r="X2330" s="5"/>
      <c r="Y2330" s="9"/>
      <c r="Z2330" s="2"/>
    </row>
    <row r="2331" spans="1:26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3"/>
      <c r="M2331" s="6"/>
      <c r="N2331" s="6"/>
      <c r="O2331" s="6"/>
      <c r="P2331" s="5"/>
      <c r="Q2331" s="9"/>
      <c r="R2331" s="5"/>
      <c r="S2331" s="5"/>
      <c r="T2331" s="5"/>
      <c r="U2331" s="5"/>
      <c r="V2331" s="5"/>
      <c r="W2331" s="5"/>
      <c r="X2331" s="5"/>
      <c r="Y2331" s="9"/>
      <c r="Z2331" s="2"/>
    </row>
    <row r="2332" spans="1:26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3"/>
      <c r="M2332" s="6"/>
      <c r="N2332" s="6"/>
      <c r="O2332" s="6"/>
      <c r="P2332" s="5"/>
      <c r="Q2332" s="9"/>
      <c r="R2332" s="5"/>
      <c r="S2332" s="5"/>
      <c r="T2332" s="5"/>
      <c r="U2332" s="5"/>
      <c r="V2332" s="5"/>
      <c r="W2332" s="5"/>
      <c r="X2332" s="5"/>
      <c r="Y2332" s="9"/>
      <c r="Z2332" s="2"/>
    </row>
    <row r="2333" spans="1:26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3"/>
      <c r="M2333" s="6"/>
      <c r="N2333" s="6"/>
      <c r="O2333" s="6"/>
      <c r="P2333" s="5"/>
      <c r="Q2333" s="9"/>
      <c r="R2333" s="5"/>
      <c r="S2333" s="5"/>
      <c r="T2333" s="5"/>
      <c r="U2333" s="5"/>
      <c r="V2333" s="5"/>
      <c r="W2333" s="5"/>
      <c r="X2333" s="5"/>
      <c r="Y2333" s="9"/>
      <c r="Z2333" s="2"/>
    </row>
    <row r="2334" spans="1:26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3"/>
      <c r="M2334" s="6"/>
      <c r="N2334" s="6"/>
      <c r="O2334" s="6"/>
      <c r="P2334" s="5"/>
      <c r="Q2334" s="9"/>
      <c r="R2334" s="5"/>
      <c r="S2334" s="5"/>
      <c r="T2334" s="5"/>
      <c r="U2334" s="5"/>
      <c r="V2334" s="5"/>
      <c r="W2334" s="5"/>
      <c r="X2334" s="5"/>
      <c r="Y2334" s="9"/>
      <c r="Z2334" s="2"/>
    </row>
    <row r="2335" spans="1:26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3"/>
      <c r="M2335" s="6"/>
      <c r="N2335" s="6"/>
      <c r="O2335" s="6"/>
      <c r="P2335" s="5"/>
      <c r="Q2335" s="9"/>
      <c r="R2335" s="5"/>
      <c r="S2335" s="5"/>
      <c r="T2335" s="5"/>
      <c r="U2335" s="5"/>
      <c r="V2335" s="5"/>
      <c r="W2335" s="5"/>
      <c r="X2335" s="5"/>
      <c r="Y2335" s="9"/>
      <c r="Z2335" s="2"/>
    </row>
    <row r="2336" spans="1:26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3"/>
      <c r="M2336" s="6"/>
      <c r="N2336" s="6"/>
      <c r="O2336" s="6"/>
      <c r="P2336" s="5"/>
      <c r="Q2336" s="9"/>
      <c r="R2336" s="5"/>
      <c r="S2336" s="5"/>
      <c r="T2336" s="5"/>
      <c r="U2336" s="5"/>
      <c r="V2336" s="5"/>
      <c r="W2336" s="5"/>
      <c r="X2336" s="5"/>
      <c r="Y2336" s="9"/>
      <c r="Z2336" s="2"/>
    </row>
    <row r="2337" spans="1:26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3"/>
      <c r="M2337" s="6"/>
      <c r="N2337" s="6"/>
      <c r="O2337" s="6"/>
      <c r="P2337" s="5"/>
      <c r="Q2337" s="9"/>
      <c r="R2337" s="5"/>
      <c r="S2337" s="5"/>
      <c r="T2337" s="5"/>
      <c r="U2337" s="5"/>
      <c r="V2337" s="5"/>
      <c r="W2337" s="5"/>
      <c r="X2337" s="5"/>
      <c r="Y2337" s="9"/>
      <c r="Z2337" s="2"/>
    </row>
    <row r="2338" spans="1:26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3"/>
      <c r="M2338" s="6"/>
      <c r="N2338" s="6"/>
      <c r="O2338" s="6"/>
      <c r="P2338" s="5"/>
      <c r="Q2338" s="9"/>
      <c r="R2338" s="5"/>
      <c r="S2338" s="5"/>
      <c r="T2338" s="5"/>
      <c r="U2338" s="5"/>
      <c r="V2338" s="5"/>
      <c r="W2338" s="5"/>
      <c r="X2338" s="5"/>
      <c r="Y2338" s="9"/>
      <c r="Z2338" s="2"/>
    </row>
    <row r="2339" spans="1:26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3"/>
      <c r="M2339" s="6"/>
      <c r="N2339" s="6"/>
      <c r="O2339" s="6"/>
      <c r="P2339" s="5"/>
      <c r="Q2339" s="9"/>
      <c r="R2339" s="5"/>
      <c r="S2339" s="5"/>
      <c r="T2339" s="5"/>
      <c r="U2339" s="5"/>
      <c r="V2339" s="5"/>
      <c r="W2339" s="5"/>
      <c r="X2339" s="5"/>
      <c r="Y2339" s="9"/>
      <c r="Z2339" s="2"/>
    </row>
    <row r="2340" spans="1:26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3"/>
      <c r="M2340" s="6"/>
      <c r="N2340" s="6"/>
      <c r="O2340" s="6"/>
      <c r="P2340" s="5"/>
      <c r="Q2340" s="9"/>
      <c r="R2340" s="5"/>
      <c r="S2340" s="5"/>
      <c r="T2340" s="5"/>
      <c r="U2340" s="5"/>
      <c r="V2340" s="5"/>
      <c r="W2340" s="5"/>
      <c r="X2340" s="5"/>
      <c r="Y2340" s="9"/>
      <c r="Z2340" s="2"/>
    </row>
    <row r="2341" spans="1:26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3"/>
      <c r="M2341" s="6"/>
      <c r="N2341" s="6"/>
      <c r="O2341" s="6"/>
      <c r="P2341" s="5"/>
      <c r="Q2341" s="9"/>
      <c r="R2341" s="5"/>
      <c r="S2341" s="5"/>
      <c r="T2341" s="5"/>
      <c r="U2341" s="5"/>
      <c r="V2341" s="5"/>
      <c r="W2341" s="5"/>
      <c r="X2341" s="5"/>
      <c r="Y2341" s="9"/>
      <c r="Z2341" s="2"/>
    </row>
    <row r="2342" spans="1:26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3"/>
      <c r="M2342" s="6"/>
      <c r="N2342" s="6"/>
      <c r="O2342" s="6"/>
      <c r="P2342" s="5"/>
      <c r="Q2342" s="9"/>
      <c r="R2342" s="5"/>
      <c r="S2342" s="5"/>
      <c r="T2342" s="5"/>
      <c r="U2342" s="5"/>
      <c r="V2342" s="5"/>
      <c r="W2342" s="5"/>
      <c r="X2342" s="5"/>
      <c r="Y2342" s="9"/>
      <c r="Z2342" s="2"/>
    </row>
    <row r="2343" spans="1:26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3"/>
      <c r="M2343" s="6"/>
      <c r="N2343" s="6"/>
      <c r="O2343" s="6"/>
      <c r="P2343" s="5"/>
      <c r="Q2343" s="9"/>
      <c r="R2343" s="5"/>
      <c r="S2343" s="5"/>
      <c r="T2343" s="5"/>
      <c r="U2343" s="5"/>
      <c r="V2343" s="5"/>
      <c r="W2343" s="5"/>
      <c r="X2343" s="5"/>
      <c r="Y2343" s="9"/>
      <c r="Z2343" s="2"/>
    </row>
    <row r="2344" spans="1:26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3"/>
      <c r="M2344" s="6"/>
      <c r="N2344" s="6"/>
      <c r="O2344" s="6"/>
      <c r="P2344" s="5"/>
      <c r="Q2344" s="9"/>
      <c r="R2344" s="5"/>
      <c r="S2344" s="5"/>
      <c r="T2344" s="5"/>
      <c r="U2344" s="5"/>
      <c r="V2344" s="5"/>
      <c r="W2344" s="5"/>
      <c r="X2344" s="5"/>
      <c r="Y2344" s="9"/>
      <c r="Z2344" s="2"/>
    </row>
    <row r="2345" spans="1:26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3"/>
      <c r="M2345" s="6"/>
      <c r="N2345" s="6"/>
      <c r="O2345" s="6"/>
      <c r="P2345" s="5"/>
      <c r="Q2345" s="9"/>
      <c r="R2345" s="5"/>
      <c r="S2345" s="5"/>
      <c r="T2345" s="5"/>
      <c r="U2345" s="5"/>
      <c r="V2345" s="5"/>
      <c r="W2345" s="5"/>
      <c r="X2345" s="5"/>
      <c r="Y2345" s="9"/>
      <c r="Z2345" s="2"/>
    </row>
    <row r="2346" spans="1:26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3"/>
      <c r="M2346" s="6"/>
      <c r="N2346" s="6"/>
      <c r="O2346" s="6"/>
      <c r="P2346" s="5"/>
      <c r="Q2346" s="9"/>
      <c r="R2346" s="5"/>
      <c r="S2346" s="5"/>
      <c r="T2346" s="5"/>
      <c r="U2346" s="5"/>
      <c r="V2346" s="5"/>
      <c r="W2346" s="5"/>
      <c r="X2346" s="5"/>
      <c r="Y2346" s="9"/>
      <c r="Z2346" s="2"/>
    </row>
    <row r="2347" spans="1:26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3"/>
      <c r="M2347" s="6"/>
      <c r="N2347" s="6"/>
      <c r="O2347" s="6"/>
      <c r="P2347" s="5"/>
      <c r="Q2347" s="9"/>
      <c r="R2347" s="5"/>
      <c r="S2347" s="5"/>
      <c r="T2347" s="5"/>
      <c r="U2347" s="5"/>
      <c r="V2347" s="5"/>
      <c r="W2347" s="5"/>
      <c r="X2347" s="5"/>
      <c r="Y2347" s="9"/>
      <c r="Z2347" s="2"/>
    </row>
    <row r="2348" spans="1:26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3"/>
      <c r="M2348" s="6"/>
      <c r="N2348" s="6"/>
      <c r="O2348" s="6"/>
      <c r="P2348" s="5"/>
      <c r="Q2348" s="9"/>
      <c r="R2348" s="5"/>
      <c r="S2348" s="5"/>
      <c r="T2348" s="5"/>
      <c r="U2348" s="5"/>
      <c r="V2348" s="5"/>
      <c r="W2348" s="5"/>
      <c r="X2348" s="5"/>
      <c r="Y2348" s="9"/>
      <c r="Z2348" s="2"/>
    </row>
    <row r="2349" spans="1:26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3"/>
      <c r="M2349" s="6"/>
      <c r="N2349" s="6"/>
      <c r="O2349" s="6"/>
      <c r="P2349" s="5"/>
      <c r="Q2349" s="9"/>
      <c r="R2349" s="5"/>
      <c r="S2349" s="5"/>
      <c r="T2349" s="5"/>
      <c r="U2349" s="5"/>
      <c r="V2349" s="5"/>
      <c r="W2349" s="5"/>
      <c r="X2349" s="5"/>
      <c r="Y2349" s="9"/>
      <c r="Z2349" s="2"/>
    </row>
    <row r="2350" spans="1:26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3"/>
      <c r="M2350" s="6"/>
      <c r="N2350" s="6"/>
      <c r="O2350" s="6"/>
      <c r="P2350" s="5"/>
      <c r="Q2350" s="9"/>
      <c r="R2350" s="5"/>
      <c r="S2350" s="5"/>
      <c r="T2350" s="5"/>
      <c r="U2350" s="5"/>
      <c r="V2350" s="5"/>
      <c r="W2350" s="5"/>
      <c r="X2350" s="5"/>
      <c r="Y2350" s="9"/>
      <c r="Z2350" s="2"/>
    </row>
    <row r="2351" spans="1:26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3"/>
      <c r="M2351" s="6"/>
      <c r="N2351" s="6"/>
      <c r="O2351" s="6"/>
      <c r="P2351" s="5"/>
      <c r="Q2351" s="9"/>
      <c r="R2351" s="5"/>
      <c r="S2351" s="5"/>
      <c r="T2351" s="5"/>
      <c r="U2351" s="5"/>
      <c r="V2351" s="5"/>
      <c r="W2351" s="5"/>
      <c r="X2351" s="5"/>
      <c r="Y2351" s="9"/>
      <c r="Z2351" s="2"/>
    </row>
    <row r="2352" spans="1:26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3"/>
      <c r="M2352" s="6"/>
      <c r="N2352" s="6"/>
      <c r="O2352" s="6"/>
      <c r="P2352" s="5"/>
      <c r="Q2352" s="9"/>
      <c r="R2352" s="5"/>
      <c r="S2352" s="5"/>
      <c r="T2352" s="5"/>
      <c r="U2352" s="5"/>
      <c r="V2352" s="5"/>
      <c r="W2352" s="5"/>
      <c r="X2352" s="5"/>
      <c r="Y2352" s="9"/>
      <c r="Z2352" s="2"/>
    </row>
    <row r="2353" spans="1:26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3"/>
      <c r="M2353" s="6"/>
      <c r="N2353" s="6"/>
      <c r="O2353" s="6"/>
      <c r="P2353" s="5"/>
      <c r="Q2353" s="9"/>
      <c r="R2353" s="5"/>
      <c r="S2353" s="5"/>
      <c r="T2353" s="5"/>
      <c r="U2353" s="5"/>
      <c r="V2353" s="5"/>
      <c r="W2353" s="5"/>
      <c r="X2353" s="5"/>
      <c r="Y2353" s="9"/>
      <c r="Z2353" s="2"/>
    </row>
    <row r="2354" spans="1:26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3"/>
      <c r="M2354" s="6"/>
      <c r="N2354" s="6"/>
      <c r="O2354" s="6"/>
      <c r="P2354" s="5"/>
      <c r="Q2354" s="9"/>
      <c r="R2354" s="5"/>
      <c r="S2354" s="5"/>
      <c r="T2354" s="5"/>
      <c r="U2354" s="5"/>
      <c r="V2354" s="5"/>
      <c r="W2354" s="5"/>
      <c r="X2354" s="5"/>
      <c r="Y2354" s="9"/>
      <c r="Z2354" s="2"/>
    </row>
    <row r="2355" spans="1:26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3"/>
      <c r="M2355" s="6"/>
      <c r="N2355" s="6"/>
      <c r="O2355" s="6"/>
      <c r="P2355" s="5"/>
      <c r="Q2355" s="9"/>
      <c r="R2355" s="5"/>
      <c r="S2355" s="5"/>
      <c r="T2355" s="5"/>
      <c r="U2355" s="5"/>
      <c r="V2355" s="5"/>
      <c r="W2355" s="5"/>
      <c r="X2355" s="5"/>
      <c r="Y2355" s="9"/>
      <c r="Z2355" s="2"/>
    </row>
    <row r="2356" spans="1:26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3"/>
      <c r="M2356" s="6"/>
      <c r="N2356" s="6"/>
      <c r="O2356" s="6"/>
      <c r="P2356" s="5"/>
      <c r="Q2356" s="9"/>
      <c r="R2356" s="5"/>
      <c r="S2356" s="5"/>
      <c r="T2356" s="5"/>
      <c r="U2356" s="5"/>
      <c r="V2356" s="5"/>
      <c r="W2356" s="5"/>
      <c r="X2356" s="5"/>
      <c r="Y2356" s="9"/>
      <c r="Z2356" s="2"/>
    </row>
    <row r="2357" spans="1:26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3"/>
      <c r="M2357" s="6"/>
      <c r="N2357" s="6"/>
      <c r="O2357" s="6"/>
      <c r="P2357" s="5"/>
      <c r="Q2357" s="9"/>
      <c r="R2357" s="5"/>
      <c r="S2357" s="5"/>
      <c r="T2357" s="5"/>
      <c r="U2357" s="5"/>
      <c r="V2357" s="5"/>
      <c r="W2357" s="5"/>
      <c r="X2357" s="5"/>
      <c r="Y2357" s="9"/>
      <c r="Z2357" s="2"/>
    </row>
    <row r="2358" spans="1:26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3"/>
      <c r="M2358" s="6"/>
      <c r="N2358" s="6"/>
      <c r="O2358" s="6"/>
      <c r="P2358" s="5"/>
      <c r="Q2358" s="9"/>
      <c r="R2358" s="5"/>
      <c r="S2358" s="5"/>
      <c r="T2358" s="5"/>
      <c r="U2358" s="5"/>
      <c r="V2358" s="5"/>
      <c r="W2358" s="5"/>
      <c r="X2358" s="5"/>
      <c r="Y2358" s="9"/>
      <c r="Z2358" s="2"/>
    </row>
    <row r="2359" spans="1:26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3"/>
      <c r="M2359" s="6"/>
      <c r="N2359" s="6"/>
      <c r="O2359" s="6"/>
      <c r="P2359" s="5"/>
      <c r="Q2359" s="9"/>
      <c r="R2359" s="5"/>
      <c r="S2359" s="5"/>
      <c r="T2359" s="5"/>
      <c r="U2359" s="5"/>
      <c r="V2359" s="5"/>
      <c r="W2359" s="5"/>
      <c r="X2359" s="5"/>
      <c r="Y2359" s="9"/>
      <c r="Z2359" s="2"/>
    </row>
    <row r="2360" spans="1:26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3"/>
      <c r="M2360" s="6"/>
      <c r="N2360" s="6"/>
      <c r="O2360" s="6"/>
      <c r="P2360" s="5"/>
      <c r="Q2360" s="9"/>
      <c r="R2360" s="5"/>
      <c r="S2360" s="5"/>
      <c r="T2360" s="5"/>
      <c r="U2360" s="5"/>
      <c r="V2360" s="5"/>
      <c r="W2360" s="5"/>
      <c r="X2360" s="5"/>
      <c r="Y2360" s="9"/>
      <c r="Z2360" s="2"/>
    </row>
    <row r="2361" spans="1:26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3"/>
      <c r="M2361" s="6"/>
      <c r="N2361" s="6"/>
      <c r="O2361" s="6"/>
      <c r="P2361" s="5"/>
      <c r="Q2361" s="9"/>
      <c r="R2361" s="5"/>
      <c r="S2361" s="5"/>
      <c r="T2361" s="5"/>
      <c r="U2361" s="5"/>
      <c r="V2361" s="5"/>
      <c r="W2361" s="5"/>
      <c r="X2361" s="5"/>
      <c r="Y2361" s="9"/>
      <c r="Z2361" s="2"/>
    </row>
    <row r="2362" spans="1:26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3"/>
      <c r="M2362" s="6"/>
      <c r="N2362" s="6"/>
      <c r="O2362" s="6"/>
      <c r="P2362" s="5"/>
      <c r="Q2362" s="9"/>
      <c r="R2362" s="5"/>
      <c r="S2362" s="5"/>
      <c r="T2362" s="5"/>
      <c r="U2362" s="5"/>
      <c r="V2362" s="5"/>
      <c r="W2362" s="5"/>
      <c r="X2362" s="5"/>
      <c r="Y2362" s="9"/>
      <c r="Z2362" s="2"/>
    </row>
    <row r="2363" spans="1:26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3"/>
      <c r="M2363" s="6"/>
      <c r="N2363" s="6"/>
      <c r="O2363" s="6"/>
      <c r="P2363" s="5"/>
      <c r="Q2363" s="9"/>
      <c r="R2363" s="5"/>
      <c r="S2363" s="5"/>
      <c r="T2363" s="5"/>
      <c r="U2363" s="5"/>
      <c r="V2363" s="5"/>
      <c r="W2363" s="5"/>
      <c r="X2363" s="5"/>
      <c r="Y2363" s="9"/>
      <c r="Z2363" s="2"/>
    </row>
    <row r="2364" spans="1:26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3"/>
      <c r="M2364" s="6"/>
      <c r="N2364" s="6"/>
      <c r="O2364" s="6"/>
      <c r="P2364" s="5"/>
      <c r="Q2364" s="9"/>
      <c r="R2364" s="5"/>
      <c r="S2364" s="5"/>
      <c r="T2364" s="5"/>
      <c r="U2364" s="5"/>
      <c r="V2364" s="5"/>
      <c r="W2364" s="5"/>
      <c r="X2364" s="5"/>
      <c r="Y2364" s="9"/>
      <c r="Z2364" s="2"/>
    </row>
    <row r="2365" spans="1:26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3"/>
      <c r="M2365" s="6"/>
      <c r="N2365" s="6"/>
      <c r="O2365" s="6"/>
      <c r="P2365" s="5"/>
      <c r="Q2365" s="9"/>
      <c r="R2365" s="5"/>
      <c r="S2365" s="5"/>
      <c r="T2365" s="5"/>
      <c r="U2365" s="5"/>
      <c r="V2365" s="5"/>
      <c r="W2365" s="5"/>
      <c r="X2365" s="5"/>
      <c r="Y2365" s="9"/>
      <c r="Z2365" s="2"/>
    </row>
    <row r="2366" spans="1:26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3"/>
      <c r="M2366" s="6"/>
      <c r="N2366" s="6"/>
      <c r="O2366" s="6"/>
      <c r="P2366" s="5"/>
      <c r="Q2366" s="9"/>
      <c r="R2366" s="5"/>
      <c r="S2366" s="5"/>
      <c r="T2366" s="5"/>
      <c r="U2366" s="5"/>
      <c r="V2366" s="5"/>
      <c r="W2366" s="5"/>
      <c r="X2366" s="5"/>
      <c r="Y2366" s="9"/>
      <c r="Z2366" s="2"/>
    </row>
    <row r="2367" spans="1:26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3"/>
      <c r="M2367" s="6"/>
      <c r="N2367" s="6"/>
      <c r="O2367" s="6"/>
      <c r="P2367" s="5"/>
      <c r="Q2367" s="9"/>
      <c r="R2367" s="5"/>
      <c r="S2367" s="5"/>
      <c r="T2367" s="5"/>
      <c r="U2367" s="5"/>
      <c r="V2367" s="5"/>
      <c r="W2367" s="5"/>
      <c r="X2367" s="5"/>
      <c r="Y2367" s="9"/>
      <c r="Z2367" s="2"/>
    </row>
    <row r="2368" spans="1:26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3"/>
      <c r="M2368" s="6"/>
      <c r="N2368" s="6"/>
      <c r="O2368" s="6"/>
      <c r="P2368" s="5"/>
      <c r="Q2368" s="9"/>
      <c r="R2368" s="5"/>
      <c r="S2368" s="5"/>
      <c r="T2368" s="5"/>
      <c r="U2368" s="5"/>
      <c r="V2368" s="5"/>
      <c r="W2368" s="5"/>
      <c r="X2368" s="5"/>
      <c r="Y2368" s="9"/>
      <c r="Z2368" s="2"/>
    </row>
    <row r="2369" spans="1:26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3"/>
      <c r="M2369" s="6"/>
      <c r="N2369" s="6"/>
      <c r="O2369" s="6"/>
      <c r="P2369" s="5"/>
      <c r="Q2369" s="9"/>
      <c r="R2369" s="5"/>
      <c r="S2369" s="5"/>
      <c r="T2369" s="5"/>
      <c r="U2369" s="5"/>
      <c r="V2369" s="5"/>
      <c r="W2369" s="5"/>
      <c r="X2369" s="5"/>
      <c r="Y2369" s="9"/>
      <c r="Z2369" s="2"/>
    </row>
    <row r="2370" spans="1:26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3"/>
      <c r="M2370" s="6"/>
      <c r="N2370" s="6"/>
      <c r="O2370" s="6"/>
      <c r="P2370" s="5"/>
      <c r="Q2370" s="9"/>
      <c r="R2370" s="5"/>
      <c r="S2370" s="5"/>
      <c r="T2370" s="5"/>
      <c r="U2370" s="5"/>
      <c r="V2370" s="5"/>
      <c r="W2370" s="5"/>
      <c r="X2370" s="5"/>
      <c r="Y2370" s="9"/>
      <c r="Z2370" s="2"/>
    </row>
    <row r="2371" spans="1:26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3"/>
      <c r="M2371" s="6"/>
      <c r="N2371" s="6"/>
      <c r="O2371" s="6"/>
      <c r="P2371" s="5"/>
      <c r="Q2371" s="9"/>
      <c r="R2371" s="5"/>
      <c r="S2371" s="5"/>
      <c r="T2371" s="5"/>
      <c r="U2371" s="5"/>
      <c r="V2371" s="5"/>
      <c r="W2371" s="5"/>
      <c r="X2371" s="5"/>
      <c r="Y2371" s="9"/>
      <c r="Z2371" s="2"/>
    </row>
    <row r="2372" spans="1:26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3"/>
      <c r="M2372" s="6"/>
      <c r="N2372" s="6"/>
      <c r="O2372" s="6"/>
      <c r="P2372" s="5"/>
      <c r="Q2372" s="9"/>
      <c r="R2372" s="5"/>
      <c r="S2372" s="5"/>
      <c r="T2372" s="5"/>
      <c r="U2372" s="5"/>
      <c r="V2372" s="5"/>
      <c r="W2372" s="5"/>
      <c r="X2372" s="5"/>
      <c r="Y2372" s="9"/>
      <c r="Z2372" s="2"/>
    </row>
    <row r="2373" spans="1:26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3"/>
      <c r="M2373" s="6"/>
      <c r="N2373" s="6"/>
      <c r="O2373" s="6"/>
      <c r="P2373" s="5"/>
      <c r="Q2373" s="9"/>
      <c r="R2373" s="5"/>
      <c r="S2373" s="5"/>
      <c r="T2373" s="5"/>
      <c r="U2373" s="5"/>
      <c r="V2373" s="5"/>
      <c r="W2373" s="5"/>
      <c r="X2373" s="5"/>
      <c r="Y2373" s="9"/>
      <c r="Z2373" s="2"/>
    </row>
    <row r="2374" spans="1:26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3"/>
      <c r="M2374" s="6"/>
      <c r="N2374" s="6"/>
      <c r="O2374" s="6"/>
      <c r="P2374" s="5"/>
      <c r="Q2374" s="9"/>
      <c r="R2374" s="5"/>
      <c r="S2374" s="5"/>
      <c r="T2374" s="5"/>
      <c r="U2374" s="5"/>
      <c r="V2374" s="5"/>
      <c r="W2374" s="5"/>
      <c r="X2374" s="5"/>
      <c r="Y2374" s="9"/>
      <c r="Z2374" s="2"/>
    </row>
    <row r="2375" spans="1:26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3"/>
      <c r="M2375" s="6"/>
      <c r="N2375" s="6"/>
      <c r="O2375" s="6"/>
      <c r="P2375" s="5"/>
      <c r="Q2375" s="9"/>
      <c r="R2375" s="5"/>
      <c r="S2375" s="5"/>
      <c r="T2375" s="5"/>
      <c r="U2375" s="5"/>
      <c r="V2375" s="5"/>
      <c r="W2375" s="5"/>
      <c r="X2375" s="5"/>
      <c r="Y2375" s="9"/>
      <c r="Z2375" s="2"/>
    </row>
    <row r="2376" spans="1:26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3"/>
      <c r="M2376" s="6"/>
      <c r="N2376" s="6"/>
      <c r="O2376" s="6"/>
      <c r="P2376" s="5"/>
      <c r="Q2376" s="9"/>
      <c r="R2376" s="5"/>
      <c r="S2376" s="5"/>
      <c r="T2376" s="5"/>
      <c r="U2376" s="5"/>
      <c r="V2376" s="5"/>
      <c r="W2376" s="5"/>
      <c r="X2376" s="5"/>
      <c r="Y2376" s="9"/>
      <c r="Z2376" s="2"/>
    </row>
    <row r="2377" spans="1:26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3"/>
      <c r="M2377" s="6"/>
      <c r="N2377" s="6"/>
      <c r="O2377" s="6"/>
      <c r="P2377" s="5"/>
      <c r="Q2377" s="9"/>
      <c r="R2377" s="5"/>
      <c r="S2377" s="5"/>
      <c r="T2377" s="5"/>
      <c r="U2377" s="5"/>
      <c r="V2377" s="5"/>
      <c r="W2377" s="5"/>
      <c r="X2377" s="5"/>
      <c r="Y2377" s="9"/>
      <c r="Z2377" s="2"/>
    </row>
    <row r="2378" spans="1:26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3"/>
      <c r="M2378" s="6"/>
      <c r="N2378" s="6"/>
      <c r="O2378" s="6"/>
      <c r="P2378" s="5"/>
      <c r="Q2378" s="9"/>
      <c r="R2378" s="5"/>
      <c r="S2378" s="5"/>
      <c r="T2378" s="5"/>
      <c r="U2378" s="5"/>
      <c r="V2378" s="5"/>
      <c r="W2378" s="5"/>
      <c r="X2378" s="5"/>
      <c r="Y2378" s="9"/>
      <c r="Z2378" s="2"/>
    </row>
    <row r="2379" spans="1:26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3"/>
      <c r="M2379" s="6"/>
      <c r="N2379" s="6"/>
      <c r="O2379" s="6"/>
      <c r="P2379" s="5"/>
      <c r="Q2379" s="9"/>
      <c r="R2379" s="5"/>
      <c r="S2379" s="5"/>
      <c r="T2379" s="5"/>
      <c r="U2379" s="5"/>
      <c r="V2379" s="5"/>
      <c r="W2379" s="5"/>
      <c r="X2379" s="5"/>
      <c r="Y2379" s="9"/>
      <c r="Z2379" s="2"/>
    </row>
    <row r="2380" spans="1:26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3"/>
      <c r="M2380" s="6"/>
      <c r="N2380" s="6"/>
      <c r="O2380" s="6"/>
      <c r="P2380" s="5"/>
      <c r="Q2380" s="9"/>
      <c r="R2380" s="5"/>
      <c r="S2380" s="5"/>
      <c r="T2380" s="5"/>
      <c r="U2380" s="5"/>
      <c r="V2380" s="5"/>
      <c r="W2380" s="5"/>
      <c r="X2380" s="5"/>
      <c r="Y2380" s="9"/>
      <c r="Z2380" s="2"/>
    </row>
    <row r="2381" spans="1:26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3"/>
      <c r="M2381" s="6"/>
      <c r="N2381" s="6"/>
      <c r="O2381" s="6"/>
      <c r="P2381" s="5"/>
      <c r="Q2381" s="9"/>
      <c r="R2381" s="5"/>
      <c r="S2381" s="5"/>
      <c r="T2381" s="5"/>
      <c r="U2381" s="5"/>
      <c r="V2381" s="5"/>
      <c r="W2381" s="5"/>
      <c r="X2381" s="5"/>
      <c r="Y2381" s="9"/>
      <c r="Z2381" s="2"/>
    </row>
    <row r="2382" spans="1:26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3"/>
      <c r="M2382" s="6"/>
      <c r="N2382" s="6"/>
      <c r="O2382" s="6"/>
      <c r="P2382" s="5"/>
      <c r="Q2382" s="9"/>
      <c r="R2382" s="5"/>
      <c r="S2382" s="5"/>
      <c r="T2382" s="5"/>
      <c r="U2382" s="5"/>
      <c r="V2382" s="5"/>
      <c r="W2382" s="5"/>
      <c r="X2382" s="5"/>
      <c r="Y2382" s="9"/>
      <c r="Z2382" s="2"/>
    </row>
    <row r="2383" spans="1:26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3"/>
      <c r="M2383" s="6"/>
      <c r="N2383" s="6"/>
      <c r="O2383" s="6"/>
      <c r="P2383" s="5"/>
      <c r="Q2383" s="9"/>
      <c r="R2383" s="5"/>
      <c r="S2383" s="5"/>
      <c r="T2383" s="5"/>
      <c r="U2383" s="5"/>
      <c r="V2383" s="5"/>
      <c r="W2383" s="5"/>
      <c r="X2383" s="5"/>
      <c r="Y2383" s="9"/>
      <c r="Z2383" s="2"/>
    </row>
    <row r="2384" spans="1:26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3"/>
      <c r="M2384" s="6"/>
      <c r="N2384" s="6"/>
      <c r="O2384" s="6"/>
      <c r="P2384" s="5"/>
      <c r="Q2384" s="9"/>
      <c r="R2384" s="5"/>
      <c r="S2384" s="5"/>
      <c r="T2384" s="5"/>
      <c r="U2384" s="5"/>
      <c r="V2384" s="5"/>
      <c r="W2384" s="5"/>
      <c r="X2384" s="5"/>
      <c r="Y2384" s="9"/>
      <c r="Z2384" s="2"/>
    </row>
    <row r="2385" spans="1:26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3"/>
      <c r="M2385" s="6"/>
      <c r="N2385" s="6"/>
      <c r="O2385" s="6"/>
      <c r="P2385" s="5"/>
      <c r="Q2385" s="9"/>
      <c r="R2385" s="5"/>
      <c r="S2385" s="5"/>
      <c r="T2385" s="5"/>
      <c r="U2385" s="5"/>
      <c r="V2385" s="5"/>
      <c r="W2385" s="5"/>
      <c r="X2385" s="5"/>
      <c r="Y2385" s="9"/>
      <c r="Z2385" s="2"/>
    </row>
    <row r="2386" spans="1:26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3"/>
      <c r="M2386" s="6"/>
      <c r="N2386" s="6"/>
      <c r="O2386" s="6"/>
      <c r="P2386" s="5"/>
      <c r="Q2386" s="9"/>
      <c r="R2386" s="5"/>
      <c r="S2386" s="5"/>
      <c r="T2386" s="5"/>
      <c r="U2386" s="5"/>
      <c r="V2386" s="5"/>
      <c r="W2386" s="5"/>
      <c r="X2386" s="5"/>
      <c r="Y2386" s="9"/>
      <c r="Z2386" s="2"/>
    </row>
    <row r="2387" spans="1:26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3"/>
      <c r="M2387" s="6"/>
      <c r="N2387" s="6"/>
      <c r="O2387" s="6"/>
      <c r="P2387" s="5"/>
      <c r="Q2387" s="9"/>
      <c r="R2387" s="5"/>
      <c r="S2387" s="5"/>
      <c r="T2387" s="5"/>
      <c r="U2387" s="5"/>
      <c r="V2387" s="5"/>
      <c r="W2387" s="5"/>
      <c r="X2387" s="5"/>
      <c r="Y2387" s="9"/>
      <c r="Z2387" s="2"/>
    </row>
    <row r="2388" spans="1:26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3"/>
      <c r="M2388" s="6"/>
      <c r="N2388" s="6"/>
      <c r="O2388" s="6"/>
      <c r="P2388" s="5"/>
      <c r="Q2388" s="9"/>
      <c r="R2388" s="5"/>
      <c r="S2388" s="5"/>
      <c r="T2388" s="5"/>
      <c r="U2388" s="5"/>
      <c r="V2388" s="5"/>
      <c r="W2388" s="5"/>
      <c r="X2388" s="5"/>
      <c r="Y2388" s="9"/>
      <c r="Z2388" s="2"/>
    </row>
    <row r="2389" spans="1:26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3"/>
      <c r="M2389" s="6"/>
      <c r="N2389" s="6"/>
      <c r="O2389" s="6"/>
      <c r="P2389" s="5"/>
      <c r="Q2389" s="9"/>
      <c r="R2389" s="5"/>
      <c r="S2389" s="5"/>
      <c r="T2389" s="5"/>
      <c r="U2389" s="5"/>
      <c r="V2389" s="5"/>
      <c r="W2389" s="5"/>
      <c r="X2389" s="5"/>
      <c r="Y2389" s="9"/>
      <c r="Z2389" s="2"/>
    </row>
    <row r="2390" spans="1:26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3"/>
      <c r="M2390" s="6"/>
      <c r="N2390" s="6"/>
      <c r="O2390" s="6"/>
      <c r="P2390" s="5"/>
      <c r="Q2390" s="9"/>
      <c r="R2390" s="5"/>
      <c r="S2390" s="5"/>
      <c r="T2390" s="5"/>
      <c r="U2390" s="5"/>
      <c r="V2390" s="5"/>
      <c r="W2390" s="5"/>
      <c r="X2390" s="5"/>
      <c r="Y2390" s="9"/>
      <c r="Z2390" s="2"/>
    </row>
    <row r="2391" spans="1:26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3"/>
      <c r="M2391" s="6"/>
      <c r="N2391" s="6"/>
      <c r="O2391" s="6"/>
      <c r="P2391" s="5"/>
      <c r="Q2391" s="9"/>
      <c r="R2391" s="5"/>
      <c r="S2391" s="5"/>
      <c r="T2391" s="5"/>
      <c r="U2391" s="5"/>
      <c r="V2391" s="5"/>
      <c r="W2391" s="5"/>
      <c r="X2391" s="5"/>
      <c r="Y2391" s="9"/>
      <c r="Z2391" s="2"/>
    </row>
    <row r="2392" spans="1:26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3"/>
      <c r="M2392" s="6"/>
      <c r="N2392" s="6"/>
      <c r="O2392" s="6"/>
      <c r="P2392" s="5"/>
      <c r="Q2392" s="9"/>
      <c r="R2392" s="5"/>
      <c r="S2392" s="5"/>
      <c r="T2392" s="5"/>
      <c r="U2392" s="5"/>
      <c r="V2392" s="5"/>
      <c r="W2392" s="5"/>
      <c r="X2392" s="5"/>
      <c r="Y2392" s="9"/>
      <c r="Z2392" s="2"/>
    </row>
    <row r="2393" spans="1:26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3"/>
      <c r="M2393" s="6"/>
      <c r="N2393" s="6"/>
      <c r="O2393" s="6"/>
      <c r="P2393" s="5"/>
      <c r="Q2393" s="9"/>
      <c r="R2393" s="5"/>
      <c r="S2393" s="5"/>
      <c r="T2393" s="5"/>
      <c r="U2393" s="5"/>
      <c r="V2393" s="5"/>
      <c r="W2393" s="5"/>
      <c r="X2393" s="5"/>
      <c r="Y2393" s="9"/>
      <c r="Z2393" s="2"/>
    </row>
    <row r="2394" spans="1:26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3"/>
      <c r="M2394" s="6"/>
      <c r="N2394" s="6"/>
      <c r="O2394" s="6"/>
      <c r="P2394" s="5"/>
      <c r="Q2394" s="9"/>
      <c r="R2394" s="5"/>
      <c r="S2394" s="5"/>
      <c r="T2394" s="5"/>
      <c r="U2394" s="5"/>
      <c r="V2394" s="5"/>
      <c r="W2394" s="5"/>
      <c r="X2394" s="5"/>
      <c r="Y2394" s="9"/>
      <c r="Z2394" s="2"/>
    </row>
    <row r="2395" spans="1:26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3"/>
      <c r="M2395" s="6"/>
      <c r="N2395" s="6"/>
      <c r="O2395" s="6"/>
      <c r="P2395" s="5"/>
      <c r="Q2395" s="9"/>
      <c r="R2395" s="5"/>
      <c r="S2395" s="5"/>
      <c r="T2395" s="5"/>
      <c r="U2395" s="5"/>
      <c r="V2395" s="5"/>
      <c r="W2395" s="5"/>
      <c r="X2395" s="5"/>
      <c r="Y2395" s="9"/>
      <c r="Z2395" s="2"/>
    </row>
    <row r="2396" spans="1:26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3"/>
      <c r="M2396" s="6"/>
      <c r="N2396" s="6"/>
      <c r="O2396" s="6"/>
      <c r="P2396" s="5"/>
      <c r="Q2396" s="9"/>
      <c r="R2396" s="5"/>
      <c r="S2396" s="5"/>
      <c r="T2396" s="5"/>
      <c r="U2396" s="5"/>
      <c r="V2396" s="5"/>
      <c r="W2396" s="5"/>
      <c r="X2396" s="5"/>
      <c r="Y2396" s="9"/>
      <c r="Z2396" s="2"/>
    </row>
    <row r="2397" spans="1:26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3"/>
      <c r="M2397" s="6"/>
      <c r="N2397" s="6"/>
      <c r="O2397" s="6"/>
      <c r="P2397" s="5"/>
      <c r="Q2397" s="9"/>
      <c r="R2397" s="5"/>
      <c r="S2397" s="5"/>
      <c r="T2397" s="5"/>
      <c r="U2397" s="5"/>
      <c r="V2397" s="5"/>
      <c r="W2397" s="5"/>
      <c r="X2397" s="5"/>
      <c r="Y2397" s="9"/>
      <c r="Z2397" s="2"/>
    </row>
    <row r="2398" spans="1:26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3"/>
      <c r="M2398" s="6"/>
      <c r="N2398" s="6"/>
      <c r="O2398" s="6"/>
      <c r="P2398" s="5"/>
      <c r="Q2398" s="9"/>
      <c r="R2398" s="5"/>
      <c r="S2398" s="5"/>
      <c r="T2398" s="5"/>
      <c r="U2398" s="5"/>
      <c r="V2398" s="5"/>
      <c r="W2398" s="5"/>
      <c r="X2398" s="5"/>
      <c r="Y2398" s="9"/>
      <c r="Z2398" s="2"/>
    </row>
    <row r="2399" spans="1:26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3"/>
      <c r="M2399" s="6"/>
      <c r="N2399" s="6"/>
      <c r="O2399" s="6"/>
      <c r="P2399" s="5"/>
      <c r="Q2399" s="9"/>
      <c r="R2399" s="5"/>
      <c r="S2399" s="5"/>
      <c r="T2399" s="5"/>
      <c r="U2399" s="5"/>
      <c r="V2399" s="5"/>
      <c r="W2399" s="5"/>
      <c r="X2399" s="5"/>
      <c r="Y2399" s="9"/>
      <c r="Z2399" s="2"/>
    </row>
    <row r="2400" spans="1:26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3"/>
      <c r="M2400" s="6"/>
      <c r="N2400" s="6"/>
      <c r="O2400" s="6"/>
      <c r="P2400" s="5"/>
      <c r="Q2400" s="9"/>
      <c r="R2400" s="5"/>
      <c r="S2400" s="5"/>
      <c r="T2400" s="5"/>
      <c r="U2400" s="5"/>
      <c r="V2400" s="5"/>
      <c r="W2400" s="5"/>
      <c r="X2400" s="5"/>
      <c r="Y2400" s="9"/>
      <c r="Z2400" s="2"/>
    </row>
    <row r="2401" spans="1:26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3"/>
      <c r="M2401" s="6"/>
      <c r="N2401" s="6"/>
      <c r="O2401" s="6"/>
      <c r="P2401" s="5"/>
      <c r="Q2401" s="9"/>
      <c r="R2401" s="5"/>
      <c r="S2401" s="5"/>
      <c r="T2401" s="5"/>
      <c r="U2401" s="5"/>
      <c r="V2401" s="5"/>
      <c r="W2401" s="5"/>
      <c r="X2401" s="5"/>
      <c r="Y2401" s="9"/>
      <c r="Z2401" s="2"/>
    </row>
    <row r="2402" spans="1:26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3"/>
      <c r="M2402" s="6"/>
      <c r="N2402" s="6"/>
      <c r="O2402" s="6"/>
      <c r="P2402" s="5"/>
      <c r="Q2402" s="9"/>
      <c r="R2402" s="5"/>
      <c r="S2402" s="5"/>
      <c r="T2402" s="5"/>
      <c r="U2402" s="5"/>
      <c r="V2402" s="5"/>
      <c r="W2402" s="5"/>
      <c r="X2402" s="5"/>
      <c r="Y2402" s="9"/>
      <c r="Z2402" s="2"/>
    </row>
    <row r="2403" spans="1:26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3"/>
      <c r="M2403" s="6"/>
      <c r="N2403" s="6"/>
      <c r="O2403" s="6"/>
      <c r="P2403" s="5"/>
      <c r="Q2403" s="9"/>
      <c r="R2403" s="5"/>
      <c r="S2403" s="5"/>
      <c r="T2403" s="5"/>
      <c r="U2403" s="5"/>
      <c r="V2403" s="5"/>
      <c r="W2403" s="5"/>
      <c r="X2403" s="5"/>
      <c r="Y2403" s="9"/>
      <c r="Z2403" s="2"/>
    </row>
    <row r="2404" spans="1:26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3"/>
      <c r="M2404" s="6"/>
      <c r="N2404" s="6"/>
      <c r="O2404" s="6"/>
      <c r="P2404" s="5"/>
      <c r="Q2404" s="9"/>
      <c r="R2404" s="5"/>
      <c r="S2404" s="5"/>
      <c r="T2404" s="5"/>
      <c r="U2404" s="5"/>
      <c r="V2404" s="5"/>
      <c r="W2404" s="5"/>
      <c r="X2404" s="5"/>
      <c r="Y2404" s="9"/>
      <c r="Z2404" s="2"/>
    </row>
    <row r="2405" spans="1:26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3"/>
      <c r="M2405" s="6"/>
      <c r="N2405" s="6"/>
      <c r="O2405" s="6"/>
      <c r="P2405" s="5"/>
      <c r="Q2405" s="9"/>
      <c r="R2405" s="5"/>
      <c r="S2405" s="5"/>
      <c r="T2405" s="5"/>
      <c r="U2405" s="5"/>
      <c r="V2405" s="5"/>
      <c r="W2405" s="5"/>
      <c r="X2405" s="5"/>
      <c r="Y2405" s="9"/>
      <c r="Z2405" s="2"/>
    </row>
    <row r="2406" spans="1:26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3"/>
      <c r="M2406" s="6"/>
      <c r="N2406" s="6"/>
      <c r="O2406" s="6"/>
      <c r="P2406" s="5"/>
      <c r="Q2406" s="9"/>
      <c r="R2406" s="5"/>
      <c r="S2406" s="5"/>
      <c r="T2406" s="5"/>
      <c r="U2406" s="5"/>
      <c r="V2406" s="5"/>
      <c r="W2406" s="5"/>
      <c r="X2406" s="5"/>
      <c r="Y2406" s="9"/>
      <c r="Z2406" s="2"/>
    </row>
    <row r="2407" spans="1:26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3"/>
      <c r="M2407" s="6"/>
      <c r="N2407" s="6"/>
      <c r="O2407" s="6"/>
      <c r="P2407" s="5"/>
      <c r="Q2407" s="9"/>
      <c r="R2407" s="5"/>
      <c r="S2407" s="5"/>
      <c r="T2407" s="5"/>
      <c r="U2407" s="5"/>
      <c r="V2407" s="5"/>
      <c r="W2407" s="5"/>
      <c r="X2407" s="5"/>
      <c r="Y2407" s="9"/>
      <c r="Z2407" s="2"/>
    </row>
    <row r="2408" spans="1:26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3"/>
      <c r="M2408" s="6"/>
      <c r="N2408" s="6"/>
      <c r="O2408" s="6"/>
      <c r="P2408" s="5"/>
      <c r="Q2408" s="9"/>
      <c r="R2408" s="5"/>
      <c r="S2408" s="5"/>
      <c r="T2408" s="5"/>
      <c r="U2408" s="5"/>
      <c r="V2408" s="5"/>
      <c r="W2408" s="5"/>
      <c r="X2408" s="5"/>
      <c r="Y2408" s="9"/>
      <c r="Z2408" s="2"/>
    </row>
    <row r="2409" spans="1:26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3"/>
      <c r="M2409" s="6"/>
      <c r="N2409" s="6"/>
      <c r="O2409" s="6"/>
      <c r="P2409" s="5"/>
      <c r="Q2409" s="9"/>
      <c r="R2409" s="5"/>
      <c r="S2409" s="5"/>
      <c r="T2409" s="5"/>
      <c r="U2409" s="5"/>
      <c r="V2409" s="5"/>
      <c r="W2409" s="5"/>
      <c r="X2409" s="5"/>
      <c r="Y2409" s="9"/>
      <c r="Z2409" s="2"/>
    </row>
    <row r="2410" spans="1:26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3"/>
      <c r="M2410" s="6"/>
      <c r="N2410" s="6"/>
      <c r="O2410" s="6"/>
      <c r="P2410" s="5"/>
      <c r="Q2410" s="9"/>
      <c r="R2410" s="5"/>
      <c r="S2410" s="5"/>
      <c r="T2410" s="5"/>
      <c r="U2410" s="5"/>
      <c r="V2410" s="5"/>
      <c r="W2410" s="5"/>
      <c r="X2410" s="5"/>
      <c r="Y2410" s="9"/>
      <c r="Z2410" s="2"/>
    </row>
    <row r="2411" spans="1:26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3"/>
      <c r="M2411" s="6"/>
      <c r="N2411" s="6"/>
      <c r="O2411" s="6"/>
      <c r="P2411" s="5"/>
      <c r="Q2411" s="9"/>
      <c r="R2411" s="5"/>
      <c r="S2411" s="5"/>
      <c r="T2411" s="5"/>
      <c r="U2411" s="5"/>
      <c r="V2411" s="5"/>
      <c r="W2411" s="5"/>
      <c r="X2411" s="5"/>
      <c r="Y2411" s="9"/>
      <c r="Z2411" s="2"/>
    </row>
    <row r="2412" spans="1:26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3"/>
      <c r="M2412" s="6"/>
      <c r="N2412" s="6"/>
      <c r="O2412" s="6"/>
      <c r="P2412" s="5"/>
      <c r="Q2412" s="9"/>
      <c r="R2412" s="5"/>
      <c r="S2412" s="5"/>
      <c r="T2412" s="5"/>
      <c r="U2412" s="5"/>
      <c r="V2412" s="5"/>
      <c r="W2412" s="5"/>
      <c r="X2412" s="5"/>
      <c r="Y2412" s="9"/>
      <c r="Z2412" s="2"/>
    </row>
    <row r="2413" spans="1:26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3"/>
      <c r="M2413" s="6"/>
      <c r="N2413" s="6"/>
      <c r="O2413" s="6"/>
      <c r="P2413" s="5"/>
      <c r="Q2413" s="9"/>
      <c r="R2413" s="5"/>
      <c r="S2413" s="5"/>
      <c r="T2413" s="5"/>
      <c r="U2413" s="5"/>
      <c r="V2413" s="5"/>
      <c r="W2413" s="5"/>
      <c r="X2413" s="5"/>
      <c r="Y2413" s="9"/>
      <c r="Z2413" s="2"/>
    </row>
    <row r="2414" spans="1:26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3"/>
      <c r="M2414" s="6"/>
      <c r="N2414" s="6"/>
      <c r="O2414" s="6"/>
      <c r="P2414" s="5"/>
      <c r="Q2414" s="9"/>
      <c r="R2414" s="5"/>
      <c r="S2414" s="5"/>
      <c r="T2414" s="5"/>
      <c r="U2414" s="5"/>
      <c r="V2414" s="5"/>
      <c r="W2414" s="5"/>
      <c r="X2414" s="5"/>
      <c r="Y2414" s="9"/>
      <c r="Z2414" s="2"/>
    </row>
    <row r="2415" spans="1:26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3"/>
      <c r="M2415" s="6"/>
      <c r="N2415" s="6"/>
      <c r="O2415" s="6"/>
      <c r="P2415" s="5"/>
      <c r="Q2415" s="9"/>
      <c r="R2415" s="5"/>
      <c r="S2415" s="5"/>
      <c r="T2415" s="5"/>
      <c r="U2415" s="5"/>
      <c r="V2415" s="5"/>
      <c r="W2415" s="5"/>
      <c r="X2415" s="5"/>
      <c r="Y2415" s="9"/>
      <c r="Z2415" s="2"/>
    </row>
    <row r="2416" spans="1:26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3"/>
      <c r="M2416" s="6"/>
      <c r="N2416" s="6"/>
      <c r="O2416" s="6"/>
      <c r="P2416" s="5"/>
      <c r="Q2416" s="9"/>
      <c r="R2416" s="5"/>
      <c r="S2416" s="5"/>
      <c r="T2416" s="5"/>
      <c r="U2416" s="5"/>
      <c r="V2416" s="5"/>
      <c r="W2416" s="5"/>
      <c r="X2416" s="5"/>
      <c r="Y2416" s="9"/>
      <c r="Z2416" s="2"/>
    </row>
    <row r="2417" spans="1:26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3"/>
      <c r="M2417" s="6"/>
      <c r="N2417" s="6"/>
      <c r="O2417" s="6"/>
      <c r="P2417" s="5"/>
      <c r="Q2417" s="9"/>
      <c r="R2417" s="5"/>
      <c r="S2417" s="5"/>
      <c r="T2417" s="5"/>
      <c r="U2417" s="5"/>
      <c r="V2417" s="5"/>
      <c r="W2417" s="5"/>
      <c r="X2417" s="5"/>
      <c r="Y2417" s="9"/>
      <c r="Z2417" s="2"/>
    </row>
    <row r="2418" spans="1:26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3"/>
      <c r="M2418" s="6"/>
      <c r="N2418" s="6"/>
      <c r="O2418" s="6"/>
      <c r="P2418" s="5"/>
      <c r="Q2418" s="9"/>
      <c r="R2418" s="5"/>
      <c r="S2418" s="5"/>
      <c r="T2418" s="5"/>
      <c r="U2418" s="5"/>
      <c r="V2418" s="5"/>
      <c r="W2418" s="5"/>
      <c r="X2418" s="5"/>
      <c r="Y2418" s="9"/>
      <c r="Z2418" s="2"/>
    </row>
    <row r="2419" spans="1:26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3"/>
      <c r="M2419" s="6"/>
      <c r="N2419" s="6"/>
      <c r="O2419" s="6"/>
      <c r="P2419" s="5"/>
      <c r="Q2419" s="9"/>
      <c r="R2419" s="5"/>
      <c r="S2419" s="5"/>
      <c r="T2419" s="5"/>
      <c r="U2419" s="5"/>
      <c r="V2419" s="5"/>
      <c r="W2419" s="5"/>
      <c r="X2419" s="5"/>
      <c r="Y2419" s="9"/>
      <c r="Z2419" s="2"/>
    </row>
    <row r="2420" spans="1:26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3"/>
      <c r="M2420" s="6"/>
      <c r="N2420" s="6"/>
      <c r="O2420" s="6"/>
      <c r="P2420" s="5"/>
      <c r="Q2420" s="9"/>
      <c r="R2420" s="5"/>
      <c r="S2420" s="5"/>
      <c r="T2420" s="5"/>
      <c r="U2420" s="5"/>
      <c r="V2420" s="5"/>
      <c r="W2420" s="5"/>
      <c r="X2420" s="5"/>
      <c r="Y2420" s="9"/>
      <c r="Z2420" s="2"/>
    </row>
    <row r="2421" spans="1:26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3"/>
      <c r="M2421" s="6"/>
      <c r="N2421" s="6"/>
      <c r="O2421" s="6"/>
      <c r="P2421" s="5"/>
      <c r="Q2421" s="9"/>
      <c r="R2421" s="5"/>
      <c r="S2421" s="5"/>
      <c r="T2421" s="5"/>
      <c r="U2421" s="5"/>
      <c r="V2421" s="5"/>
      <c r="W2421" s="5"/>
      <c r="X2421" s="5"/>
      <c r="Y2421" s="9"/>
      <c r="Z2421" s="2"/>
    </row>
    <row r="2422" spans="1:26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3"/>
      <c r="M2422" s="6"/>
      <c r="N2422" s="6"/>
      <c r="O2422" s="6"/>
      <c r="P2422" s="5"/>
      <c r="Q2422" s="9"/>
      <c r="R2422" s="5"/>
      <c r="S2422" s="5"/>
      <c r="T2422" s="5"/>
      <c r="U2422" s="5"/>
      <c r="V2422" s="5"/>
      <c r="W2422" s="5"/>
      <c r="X2422" s="5"/>
      <c r="Y2422" s="9"/>
      <c r="Z2422" s="2"/>
    </row>
    <row r="2423" spans="1:26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3"/>
      <c r="M2423" s="6"/>
      <c r="N2423" s="6"/>
      <c r="O2423" s="6"/>
      <c r="P2423" s="5"/>
      <c r="Q2423" s="9"/>
      <c r="R2423" s="5"/>
      <c r="S2423" s="5"/>
      <c r="T2423" s="5"/>
      <c r="U2423" s="5"/>
      <c r="V2423" s="5"/>
      <c r="W2423" s="5"/>
      <c r="X2423" s="5"/>
      <c r="Y2423" s="9"/>
      <c r="Z2423" s="2"/>
    </row>
    <row r="2424" spans="1:26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3"/>
      <c r="M2424" s="6"/>
      <c r="N2424" s="6"/>
      <c r="O2424" s="6"/>
      <c r="P2424" s="5"/>
      <c r="Q2424" s="9"/>
      <c r="R2424" s="5"/>
      <c r="S2424" s="5"/>
      <c r="T2424" s="5"/>
      <c r="U2424" s="5"/>
      <c r="V2424" s="5"/>
      <c r="W2424" s="5"/>
      <c r="X2424" s="5"/>
      <c r="Y2424" s="9"/>
      <c r="Z2424" s="2"/>
    </row>
    <row r="2425" spans="1:26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3"/>
      <c r="M2425" s="6"/>
      <c r="N2425" s="6"/>
      <c r="O2425" s="6"/>
      <c r="P2425" s="5"/>
      <c r="Q2425" s="9"/>
      <c r="R2425" s="5"/>
      <c r="S2425" s="5"/>
      <c r="T2425" s="5"/>
      <c r="U2425" s="5"/>
      <c r="V2425" s="5"/>
      <c r="W2425" s="5"/>
      <c r="X2425" s="5"/>
      <c r="Y2425" s="9"/>
      <c r="Z2425" s="2"/>
    </row>
    <row r="2426" spans="1:26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3"/>
      <c r="M2426" s="6"/>
      <c r="N2426" s="6"/>
      <c r="O2426" s="6"/>
      <c r="P2426" s="5"/>
      <c r="Q2426" s="9"/>
      <c r="R2426" s="5"/>
      <c r="S2426" s="5"/>
      <c r="T2426" s="5"/>
      <c r="U2426" s="5"/>
      <c r="V2426" s="5"/>
      <c r="W2426" s="5"/>
      <c r="X2426" s="5"/>
      <c r="Y2426" s="9"/>
      <c r="Z2426" s="2"/>
    </row>
    <row r="2427" spans="1:26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3"/>
      <c r="M2427" s="6"/>
      <c r="N2427" s="6"/>
      <c r="O2427" s="6"/>
      <c r="P2427" s="5"/>
      <c r="Q2427" s="9"/>
      <c r="R2427" s="5"/>
      <c r="S2427" s="5"/>
      <c r="T2427" s="5"/>
      <c r="U2427" s="5"/>
      <c r="V2427" s="5"/>
      <c r="W2427" s="5"/>
      <c r="X2427" s="5"/>
      <c r="Y2427" s="9"/>
      <c r="Z2427" s="2"/>
    </row>
    <row r="2428" spans="1:26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3"/>
      <c r="M2428" s="6"/>
      <c r="N2428" s="6"/>
      <c r="O2428" s="6"/>
      <c r="P2428" s="5"/>
      <c r="Q2428" s="9"/>
      <c r="R2428" s="5"/>
      <c r="S2428" s="5"/>
      <c r="T2428" s="5"/>
      <c r="U2428" s="5"/>
      <c r="V2428" s="5"/>
      <c r="W2428" s="5"/>
      <c r="X2428" s="5"/>
      <c r="Y2428" s="9"/>
      <c r="Z2428" s="2"/>
    </row>
    <row r="2429" spans="1:26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3"/>
      <c r="M2429" s="6"/>
      <c r="N2429" s="6"/>
      <c r="O2429" s="6"/>
      <c r="P2429" s="5"/>
      <c r="Q2429" s="9"/>
      <c r="R2429" s="5"/>
      <c r="S2429" s="5"/>
      <c r="T2429" s="5"/>
      <c r="U2429" s="5"/>
      <c r="V2429" s="5"/>
      <c r="W2429" s="5"/>
      <c r="X2429" s="5"/>
      <c r="Y2429" s="9"/>
      <c r="Z2429" s="2"/>
    </row>
    <row r="2430" spans="1:26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3"/>
      <c r="M2430" s="6"/>
      <c r="N2430" s="6"/>
      <c r="O2430" s="6"/>
      <c r="P2430" s="5"/>
      <c r="Q2430" s="9"/>
      <c r="R2430" s="5"/>
      <c r="S2430" s="5"/>
      <c r="T2430" s="5"/>
      <c r="U2430" s="5"/>
      <c r="V2430" s="5"/>
      <c r="W2430" s="5"/>
      <c r="X2430" s="5"/>
      <c r="Y2430" s="9"/>
      <c r="Z2430" s="2"/>
    </row>
    <row r="2431" spans="1:26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3"/>
      <c r="M2431" s="6"/>
      <c r="N2431" s="6"/>
      <c r="O2431" s="6"/>
      <c r="P2431" s="5"/>
      <c r="Q2431" s="9"/>
      <c r="R2431" s="5"/>
      <c r="S2431" s="5"/>
      <c r="T2431" s="5"/>
      <c r="U2431" s="5"/>
      <c r="V2431" s="5"/>
      <c r="W2431" s="5"/>
      <c r="X2431" s="5"/>
      <c r="Y2431" s="9"/>
      <c r="Z2431" s="2"/>
    </row>
    <row r="2432" spans="1:26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3"/>
      <c r="M2432" s="6"/>
      <c r="N2432" s="6"/>
      <c r="O2432" s="6"/>
      <c r="P2432" s="5"/>
      <c r="Q2432" s="9"/>
      <c r="R2432" s="5"/>
      <c r="S2432" s="5"/>
      <c r="T2432" s="5"/>
      <c r="U2432" s="5"/>
      <c r="V2432" s="5"/>
      <c r="W2432" s="5"/>
      <c r="X2432" s="5"/>
      <c r="Y2432" s="9"/>
      <c r="Z2432" s="2"/>
    </row>
    <row r="2433" spans="1:26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3"/>
      <c r="M2433" s="6"/>
      <c r="N2433" s="6"/>
      <c r="O2433" s="6"/>
      <c r="P2433" s="5"/>
      <c r="Q2433" s="9"/>
      <c r="R2433" s="5"/>
      <c r="S2433" s="5"/>
      <c r="T2433" s="5"/>
      <c r="U2433" s="5"/>
      <c r="V2433" s="5"/>
      <c r="W2433" s="5"/>
      <c r="X2433" s="5"/>
      <c r="Y2433" s="9"/>
      <c r="Z2433" s="2"/>
    </row>
    <row r="2434" spans="1:26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3"/>
      <c r="M2434" s="6"/>
      <c r="N2434" s="6"/>
      <c r="O2434" s="6"/>
      <c r="P2434" s="5"/>
      <c r="Q2434" s="9"/>
      <c r="R2434" s="5"/>
      <c r="S2434" s="5"/>
      <c r="T2434" s="5"/>
      <c r="U2434" s="5"/>
      <c r="V2434" s="5"/>
      <c r="W2434" s="5"/>
      <c r="X2434" s="5"/>
      <c r="Y2434" s="9"/>
      <c r="Z2434" s="2"/>
    </row>
    <row r="2435" spans="1:26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3"/>
      <c r="M2435" s="6"/>
      <c r="N2435" s="6"/>
      <c r="O2435" s="6"/>
      <c r="P2435" s="5"/>
      <c r="Q2435" s="9"/>
      <c r="R2435" s="5"/>
      <c r="S2435" s="5"/>
      <c r="T2435" s="5"/>
      <c r="U2435" s="5"/>
      <c r="V2435" s="5"/>
      <c r="W2435" s="5"/>
      <c r="X2435" s="5"/>
      <c r="Y2435" s="9"/>
      <c r="Z2435" s="2"/>
    </row>
    <row r="2436" spans="1:26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3"/>
      <c r="M2436" s="6"/>
      <c r="N2436" s="6"/>
      <c r="O2436" s="6"/>
      <c r="P2436" s="5"/>
      <c r="Q2436" s="9"/>
      <c r="R2436" s="5"/>
      <c r="S2436" s="5"/>
      <c r="T2436" s="5"/>
      <c r="U2436" s="5"/>
      <c r="V2436" s="5"/>
      <c r="W2436" s="5"/>
      <c r="X2436" s="5"/>
      <c r="Y2436" s="9"/>
      <c r="Z2436" s="2"/>
    </row>
    <row r="2437" spans="1:26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3"/>
      <c r="M2437" s="6"/>
      <c r="N2437" s="6"/>
      <c r="O2437" s="6"/>
      <c r="P2437" s="5"/>
      <c r="Q2437" s="9"/>
      <c r="R2437" s="5"/>
      <c r="S2437" s="5"/>
      <c r="T2437" s="5"/>
      <c r="U2437" s="5"/>
      <c r="V2437" s="5"/>
      <c r="W2437" s="5"/>
      <c r="X2437" s="5"/>
      <c r="Y2437" s="9"/>
      <c r="Z2437" s="2"/>
    </row>
    <row r="2438" spans="1:26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3"/>
      <c r="M2438" s="6"/>
      <c r="N2438" s="6"/>
      <c r="O2438" s="6"/>
      <c r="P2438" s="5"/>
      <c r="Q2438" s="9"/>
      <c r="R2438" s="5"/>
      <c r="S2438" s="5"/>
      <c r="T2438" s="5"/>
      <c r="U2438" s="5"/>
      <c r="V2438" s="5"/>
      <c r="W2438" s="5"/>
      <c r="X2438" s="5"/>
      <c r="Y2438" s="9"/>
      <c r="Z2438" s="2"/>
    </row>
    <row r="2439" spans="1:26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3"/>
      <c r="M2439" s="6"/>
      <c r="N2439" s="6"/>
      <c r="O2439" s="6"/>
      <c r="P2439" s="5"/>
      <c r="Q2439" s="9"/>
      <c r="R2439" s="5"/>
      <c r="S2439" s="5"/>
      <c r="T2439" s="5"/>
      <c r="U2439" s="5"/>
      <c r="V2439" s="5"/>
      <c r="W2439" s="5"/>
      <c r="X2439" s="5"/>
      <c r="Y2439" s="9"/>
      <c r="Z2439" s="2"/>
    </row>
    <row r="2440" spans="1:26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3"/>
      <c r="M2440" s="6"/>
      <c r="N2440" s="6"/>
      <c r="O2440" s="6"/>
      <c r="P2440" s="5"/>
      <c r="Q2440" s="9"/>
      <c r="R2440" s="5"/>
      <c r="S2440" s="5"/>
      <c r="T2440" s="5"/>
      <c r="U2440" s="5"/>
      <c r="V2440" s="5"/>
      <c r="W2440" s="5"/>
      <c r="X2440" s="5"/>
      <c r="Y2440" s="9"/>
      <c r="Z2440" s="2"/>
    </row>
    <row r="2441" spans="1:26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3"/>
      <c r="M2441" s="6"/>
      <c r="N2441" s="6"/>
      <c r="O2441" s="6"/>
      <c r="P2441" s="5"/>
      <c r="Q2441" s="9"/>
      <c r="R2441" s="5"/>
      <c r="S2441" s="5"/>
      <c r="T2441" s="5"/>
      <c r="U2441" s="5"/>
      <c r="V2441" s="5"/>
      <c r="W2441" s="5"/>
      <c r="X2441" s="5"/>
      <c r="Y2441" s="9"/>
      <c r="Z2441" s="2"/>
    </row>
    <row r="2442" spans="1:26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3"/>
      <c r="M2442" s="6"/>
      <c r="N2442" s="6"/>
      <c r="O2442" s="6"/>
      <c r="P2442" s="5"/>
      <c r="Q2442" s="9"/>
      <c r="R2442" s="5"/>
      <c r="S2442" s="5"/>
      <c r="T2442" s="5"/>
      <c r="U2442" s="5"/>
      <c r="V2442" s="5"/>
      <c r="W2442" s="5"/>
      <c r="X2442" s="5"/>
      <c r="Y2442" s="9"/>
      <c r="Z2442" s="2"/>
    </row>
    <row r="2443" spans="1:26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3"/>
      <c r="M2443" s="6"/>
      <c r="N2443" s="6"/>
      <c r="O2443" s="6"/>
      <c r="P2443" s="5"/>
      <c r="Q2443" s="9"/>
      <c r="R2443" s="5"/>
      <c r="S2443" s="5"/>
      <c r="T2443" s="5"/>
      <c r="U2443" s="5"/>
      <c r="V2443" s="5"/>
      <c r="W2443" s="5"/>
      <c r="X2443" s="5"/>
      <c r="Y2443" s="9"/>
      <c r="Z2443" s="2"/>
    </row>
    <row r="2444" spans="1:26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3"/>
      <c r="M2444" s="6"/>
      <c r="N2444" s="6"/>
      <c r="O2444" s="6"/>
      <c r="P2444" s="5"/>
      <c r="Q2444" s="9"/>
      <c r="R2444" s="5"/>
      <c r="S2444" s="5"/>
      <c r="T2444" s="5"/>
      <c r="U2444" s="5"/>
      <c r="V2444" s="5"/>
      <c r="W2444" s="5"/>
      <c r="X2444" s="5"/>
      <c r="Y2444" s="9"/>
      <c r="Z2444" s="2"/>
    </row>
    <row r="2445" spans="1:26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3"/>
      <c r="M2445" s="6"/>
      <c r="N2445" s="6"/>
      <c r="O2445" s="6"/>
      <c r="P2445" s="5"/>
      <c r="Q2445" s="9"/>
      <c r="R2445" s="5"/>
      <c r="S2445" s="5"/>
      <c r="T2445" s="5"/>
      <c r="U2445" s="5"/>
      <c r="V2445" s="5"/>
      <c r="W2445" s="5"/>
      <c r="X2445" s="5"/>
      <c r="Y2445" s="9"/>
      <c r="Z2445" s="2"/>
    </row>
    <row r="2446" spans="1:26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3"/>
      <c r="M2446" s="6"/>
      <c r="N2446" s="6"/>
      <c r="O2446" s="6"/>
      <c r="P2446" s="5"/>
      <c r="Q2446" s="9"/>
      <c r="R2446" s="5"/>
      <c r="S2446" s="5"/>
      <c r="T2446" s="5"/>
      <c r="U2446" s="5"/>
      <c r="V2446" s="5"/>
      <c r="W2446" s="5"/>
      <c r="X2446" s="5"/>
      <c r="Y2446" s="9"/>
      <c r="Z2446" s="2"/>
    </row>
    <row r="2447" spans="1:26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3"/>
      <c r="M2447" s="6"/>
      <c r="N2447" s="6"/>
      <c r="O2447" s="6"/>
      <c r="P2447" s="5"/>
      <c r="Q2447" s="9"/>
      <c r="R2447" s="5"/>
      <c r="S2447" s="5"/>
      <c r="T2447" s="5"/>
      <c r="U2447" s="5"/>
      <c r="V2447" s="5"/>
      <c r="W2447" s="5"/>
      <c r="X2447" s="5"/>
      <c r="Y2447" s="9"/>
      <c r="Z2447" s="2"/>
    </row>
    <row r="2448" spans="1:26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3"/>
      <c r="M2448" s="6"/>
      <c r="N2448" s="6"/>
      <c r="O2448" s="6"/>
      <c r="P2448" s="5"/>
      <c r="Q2448" s="9"/>
      <c r="R2448" s="5"/>
      <c r="S2448" s="5"/>
      <c r="T2448" s="5"/>
      <c r="U2448" s="5"/>
      <c r="V2448" s="5"/>
      <c r="W2448" s="5"/>
      <c r="X2448" s="5"/>
      <c r="Y2448" s="9"/>
      <c r="Z2448" s="2"/>
    </row>
    <row r="2449" spans="1:26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3"/>
      <c r="M2449" s="6"/>
      <c r="N2449" s="6"/>
      <c r="O2449" s="6"/>
      <c r="P2449" s="5"/>
      <c r="Q2449" s="9"/>
      <c r="R2449" s="5"/>
      <c r="S2449" s="5"/>
      <c r="T2449" s="5"/>
      <c r="U2449" s="5"/>
      <c r="V2449" s="5"/>
      <c r="W2449" s="5"/>
      <c r="X2449" s="5"/>
      <c r="Y2449" s="9"/>
      <c r="Z2449" s="2"/>
    </row>
    <row r="2450" spans="1:26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3"/>
      <c r="M2450" s="6"/>
      <c r="N2450" s="6"/>
      <c r="O2450" s="6"/>
      <c r="P2450" s="5"/>
      <c r="Q2450" s="9"/>
      <c r="R2450" s="5"/>
      <c r="S2450" s="5"/>
      <c r="T2450" s="5"/>
      <c r="U2450" s="5"/>
      <c r="V2450" s="5"/>
      <c r="W2450" s="5"/>
      <c r="X2450" s="5"/>
      <c r="Y2450" s="9"/>
      <c r="Z2450" s="2"/>
    </row>
    <row r="2451" spans="1:26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3"/>
      <c r="M2451" s="6"/>
      <c r="N2451" s="6"/>
      <c r="O2451" s="6"/>
      <c r="P2451" s="5"/>
      <c r="Q2451" s="9"/>
      <c r="R2451" s="5"/>
      <c r="S2451" s="5"/>
      <c r="T2451" s="5"/>
      <c r="U2451" s="5"/>
      <c r="V2451" s="5"/>
      <c r="W2451" s="5"/>
      <c r="X2451" s="5"/>
      <c r="Y2451" s="9"/>
      <c r="Z2451" s="2"/>
    </row>
    <row r="2452" spans="1:26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3"/>
      <c r="M2452" s="6"/>
      <c r="N2452" s="6"/>
      <c r="O2452" s="6"/>
      <c r="P2452" s="5"/>
      <c r="Q2452" s="9"/>
      <c r="R2452" s="5"/>
      <c r="S2452" s="5"/>
      <c r="T2452" s="5"/>
      <c r="U2452" s="5"/>
      <c r="V2452" s="5"/>
      <c r="W2452" s="5"/>
      <c r="X2452" s="5"/>
      <c r="Y2452" s="9"/>
      <c r="Z2452" s="2"/>
    </row>
    <row r="2453" spans="1:26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3"/>
      <c r="M2453" s="6"/>
      <c r="N2453" s="6"/>
      <c r="O2453" s="6"/>
      <c r="P2453" s="5"/>
      <c r="Q2453" s="9"/>
      <c r="R2453" s="5"/>
      <c r="S2453" s="5"/>
      <c r="T2453" s="5"/>
      <c r="U2453" s="5"/>
      <c r="V2453" s="5"/>
      <c r="W2453" s="5"/>
      <c r="X2453" s="5"/>
      <c r="Y2453" s="9"/>
      <c r="Z2453" s="2"/>
    </row>
    <row r="2454" spans="1:26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3"/>
      <c r="M2454" s="6"/>
      <c r="N2454" s="6"/>
      <c r="O2454" s="6"/>
      <c r="P2454" s="5"/>
      <c r="Q2454" s="9"/>
      <c r="R2454" s="5"/>
      <c r="S2454" s="5"/>
      <c r="T2454" s="5"/>
      <c r="U2454" s="5"/>
      <c r="V2454" s="5"/>
      <c r="W2454" s="5"/>
      <c r="X2454" s="5"/>
      <c r="Y2454" s="9"/>
      <c r="Z2454" s="2"/>
    </row>
    <row r="2455" spans="1:26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3"/>
      <c r="M2455" s="6"/>
      <c r="N2455" s="6"/>
      <c r="O2455" s="6"/>
      <c r="P2455" s="5"/>
      <c r="Q2455" s="9"/>
      <c r="R2455" s="5"/>
      <c r="S2455" s="5"/>
      <c r="T2455" s="5"/>
      <c r="U2455" s="5"/>
      <c r="V2455" s="5"/>
      <c r="W2455" s="5"/>
      <c r="X2455" s="5"/>
      <c r="Y2455" s="9"/>
      <c r="Z2455" s="2"/>
    </row>
    <row r="2456" spans="1:26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3"/>
      <c r="M2456" s="6"/>
      <c r="N2456" s="6"/>
      <c r="O2456" s="6"/>
      <c r="P2456" s="5"/>
      <c r="Q2456" s="9"/>
      <c r="R2456" s="5"/>
      <c r="S2456" s="5"/>
      <c r="T2456" s="5"/>
      <c r="U2456" s="5"/>
      <c r="V2456" s="5"/>
      <c r="W2456" s="5"/>
      <c r="X2456" s="5"/>
      <c r="Y2456" s="9"/>
      <c r="Z2456" s="2"/>
    </row>
    <row r="2457" spans="1:26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3"/>
      <c r="M2457" s="6"/>
      <c r="N2457" s="6"/>
      <c r="O2457" s="6"/>
      <c r="P2457" s="5"/>
      <c r="Q2457" s="9"/>
      <c r="R2457" s="5"/>
      <c r="S2457" s="5"/>
      <c r="T2457" s="5"/>
      <c r="U2457" s="5"/>
      <c r="V2457" s="5"/>
      <c r="W2457" s="5"/>
      <c r="X2457" s="5"/>
      <c r="Y2457" s="9"/>
      <c r="Z2457" s="2"/>
    </row>
    <row r="2458" spans="1:26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3"/>
      <c r="M2458" s="6"/>
      <c r="N2458" s="6"/>
      <c r="O2458" s="6"/>
      <c r="P2458" s="5"/>
      <c r="Q2458" s="9"/>
      <c r="R2458" s="5"/>
      <c r="S2458" s="5"/>
      <c r="T2458" s="5"/>
      <c r="U2458" s="5"/>
      <c r="V2458" s="5"/>
      <c r="W2458" s="5"/>
      <c r="X2458" s="5"/>
      <c r="Y2458" s="9"/>
      <c r="Z2458" s="2"/>
    </row>
    <row r="2459" spans="1:26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3"/>
      <c r="M2459" s="6"/>
      <c r="N2459" s="6"/>
      <c r="O2459" s="6"/>
      <c r="P2459" s="5"/>
      <c r="Q2459" s="9"/>
      <c r="R2459" s="5"/>
      <c r="S2459" s="5"/>
      <c r="T2459" s="5"/>
      <c r="U2459" s="5"/>
      <c r="V2459" s="5"/>
      <c r="W2459" s="5"/>
      <c r="X2459" s="5"/>
      <c r="Y2459" s="9"/>
      <c r="Z2459" s="2"/>
    </row>
    <row r="2460" spans="1:26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3"/>
      <c r="M2460" s="6"/>
      <c r="N2460" s="6"/>
      <c r="O2460" s="6"/>
      <c r="P2460" s="5"/>
      <c r="Q2460" s="9"/>
      <c r="R2460" s="5"/>
      <c r="S2460" s="5"/>
      <c r="T2460" s="5"/>
      <c r="U2460" s="5"/>
      <c r="V2460" s="5"/>
      <c r="W2460" s="5"/>
      <c r="X2460" s="5"/>
      <c r="Y2460" s="9"/>
      <c r="Z2460" s="2"/>
    </row>
    <row r="2461" spans="1:26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3"/>
      <c r="M2461" s="6"/>
      <c r="N2461" s="6"/>
      <c r="O2461" s="6"/>
      <c r="P2461" s="5"/>
      <c r="Q2461" s="9"/>
      <c r="R2461" s="5"/>
      <c r="S2461" s="5"/>
      <c r="T2461" s="5"/>
      <c r="U2461" s="5"/>
      <c r="V2461" s="5"/>
      <c r="W2461" s="5"/>
      <c r="X2461" s="5"/>
      <c r="Y2461" s="9"/>
      <c r="Z2461" s="2"/>
    </row>
    <row r="2462" spans="1:26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3"/>
      <c r="M2462" s="6"/>
      <c r="N2462" s="6"/>
      <c r="O2462" s="6"/>
      <c r="P2462" s="5"/>
      <c r="Q2462" s="9"/>
      <c r="R2462" s="5"/>
      <c r="S2462" s="5"/>
      <c r="T2462" s="5"/>
      <c r="U2462" s="5"/>
      <c r="V2462" s="5"/>
      <c r="W2462" s="5"/>
      <c r="X2462" s="5"/>
      <c r="Y2462" s="9"/>
      <c r="Z2462" s="2"/>
    </row>
    <row r="2463" spans="1:26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3"/>
      <c r="M2463" s="6"/>
      <c r="N2463" s="6"/>
      <c r="O2463" s="6"/>
      <c r="P2463" s="5"/>
      <c r="Q2463" s="9"/>
      <c r="R2463" s="5"/>
      <c r="S2463" s="5"/>
      <c r="T2463" s="5"/>
      <c r="U2463" s="5"/>
      <c r="V2463" s="5"/>
      <c r="W2463" s="5"/>
      <c r="X2463" s="5"/>
      <c r="Y2463" s="9"/>
      <c r="Z2463" s="2"/>
    </row>
    <row r="2464" spans="1:26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3"/>
      <c r="M2464" s="6"/>
      <c r="N2464" s="6"/>
      <c r="O2464" s="6"/>
      <c r="P2464" s="5"/>
      <c r="Q2464" s="9"/>
      <c r="R2464" s="5"/>
      <c r="S2464" s="5"/>
      <c r="T2464" s="5"/>
      <c r="U2464" s="5"/>
      <c r="V2464" s="5"/>
      <c r="W2464" s="5"/>
      <c r="X2464" s="5"/>
      <c r="Y2464" s="9"/>
      <c r="Z2464" s="2"/>
    </row>
    <row r="2465" spans="1:26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3"/>
      <c r="M2465" s="6"/>
      <c r="N2465" s="6"/>
      <c r="O2465" s="6"/>
      <c r="P2465" s="5"/>
      <c r="Q2465" s="9"/>
      <c r="R2465" s="5"/>
      <c r="S2465" s="5"/>
      <c r="T2465" s="5"/>
      <c r="U2465" s="5"/>
      <c r="V2465" s="5"/>
      <c r="W2465" s="5"/>
      <c r="X2465" s="5"/>
      <c r="Y2465" s="9"/>
      <c r="Z2465" s="2"/>
    </row>
    <row r="2466" spans="1:26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3"/>
      <c r="M2466" s="6"/>
      <c r="N2466" s="6"/>
      <c r="O2466" s="6"/>
      <c r="P2466" s="5"/>
      <c r="Q2466" s="9"/>
      <c r="R2466" s="5"/>
      <c r="S2466" s="5"/>
      <c r="T2466" s="5"/>
      <c r="U2466" s="5"/>
      <c r="V2466" s="5"/>
      <c r="W2466" s="5"/>
      <c r="X2466" s="5"/>
      <c r="Y2466" s="9"/>
      <c r="Z2466" s="2"/>
    </row>
    <row r="2467" spans="1:26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3"/>
      <c r="M2467" s="6"/>
      <c r="N2467" s="6"/>
      <c r="O2467" s="6"/>
      <c r="P2467" s="5"/>
      <c r="Q2467" s="9"/>
      <c r="R2467" s="5"/>
      <c r="S2467" s="5"/>
      <c r="T2467" s="5"/>
      <c r="U2467" s="5"/>
      <c r="V2467" s="5"/>
      <c r="W2467" s="5"/>
      <c r="X2467" s="5"/>
      <c r="Y2467" s="9"/>
      <c r="Z2467" s="2"/>
    </row>
    <row r="2468" spans="1:26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3"/>
      <c r="M2468" s="6"/>
      <c r="N2468" s="6"/>
      <c r="O2468" s="6"/>
      <c r="P2468" s="5"/>
      <c r="Q2468" s="9"/>
      <c r="R2468" s="5"/>
      <c r="S2468" s="5"/>
      <c r="T2468" s="5"/>
      <c r="U2468" s="5"/>
      <c r="V2468" s="5"/>
      <c r="W2468" s="5"/>
      <c r="X2468" s="5"/>
      <c r="Y2468" s="9"/>
      <c r="Z2468" s="2"/>
    </row>
    <row r="2469" spans="1:26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3"/>
      <c r="M2469" s="6"/>
      <c r="N2469" s="6"/>
      <c r="O2469" s="6"/>
      <c r="P2469" s="5"/>
      <c r="Q2469" s="9"/>
      <c r="R2469" s="5"/>
      <c r="S2469" s="5"/>
      <c r="T2469" s="5"/>
      <c r="U2469" s="5"/>
      <c r="V2469" s="5"/>
      <c r="W2469" s="5"/>
      <c r="X2469" s="5"/>
      <c r="Y2469" s="9"/>
      <c r="Z2469" s="2"/>
    </row>
    <row r="2470" spans="1:26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3"/>
      <c r="M2470" s="6"/>
      <c r="N2470" s="6"/>
      <c r="O2470" s="6"/>
      <c r="P2470" s="5"/>
      <c r="Q2470" s="9"/>
      <c r="R2470" s="5"/>
      <c r="S2470" s="5"/>
      <c r="T2470" s="5"/>
      <c r="U2470" s="5"/>
      <c r="V2470" s="5"/>
      <c r="W2470" s="5"/>
      <c r="X2470" s="5"/>
      <c r="Y2470" s="9"/>
      <c r="Z2470" s="2"/>
    </row>
    <row r="2471" spans="1:26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3"/>
      <c r="M2471" s="6"/>
      <c r="N2471" s="6"/>
      <c r="O2471" s="6"/>
      <c r="P2471" s="5"/>
      <c r="Q2471" s="9"/>
      <c r="R2471" s="5"/>
      <c r="S2471" s="5"/>
      <c r="T2471" s="5"/>
      <c r="U2471" s="5"/>
      <c r="V2471" s="5"/>
      <c r="W2471" s="5"/>
      <c r="X2471" s="5"/>
      <c r="Y2471" s="9"/>
      <c r="Z2471" s="2"/>
    </row>
    <row r="2472" spans="1:26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3"/>
      <c r="M2472" s="6"/>
      <c r="N2472" s="6"/>
      <c r="O2472" s="6"/>
      <c r="P2472" s="5"/>
      <c r="Q2472" s="9"/>
      <c r="R2472" s="5"/>
      <c r="S2472" s="5"/>
      <c r="T2472" s="5"/>
      <c r="U2472" s="5"/>
      <c r="V2472" s="5"/>
      <c r="W2472" s="5"/>
      <c r="X2472" s="5"/>
      <c r="Y2472" s="9"/>
      <c r="Z2472" s="2"/>
    </row>
    <row r="2473" spans="1:26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3"/>
      <c r="M2473" s="6"/>
      <c r="N2473" s="6"/>
      <c r="O2473" s="6"/>
      <c r="P2473" s="5"/>
      <c r="Q2473" s="9"/>
      <c r="R2473" s="5"/>
      <c r="S2473" s="5"/>
      <c r="T2473" s="5"/>
      <c r="U2473" s="5"/>
      <c r="V2473" s="5"/>
      <c r="W2473" s="5"/>
      <c r="X2473" s="5"/>
      <c r="Y2473" s="9"/>
      <c r="Z2473" s="2"/>
    </row>
    <row r="2474" spans="1:26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3"/>
      <c r="M2474" s="6"/>
      <c r="N2474" s="6"/>
      <c r="O2474" s="6"/>
      <c r="P2474" s="5"/>
      <c r="Q2474" s="9"/>
      <c r="R2474" s="5"/>
      <c r="S2474" s="5"/>
      <c r="T2474" s="5"/>
      <c r="U2474" s="5"/>
      <c r="V2474" s="5"/>
      <c r="W2474" s="5"/>
      <c r="X2474" s="5"/>
      <c r="Y2474" s="9"/>
      <c r="Z2474" s="2"/>
    </row>
    <row r="2475" spans="1:26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3"/>
      <c r="M2475" s="6"/>
      <c r="N2475" s="6"/>
      <c r="O2475" s="6"/>
      <c r="P2475" s="5"/>
      <c r="Q2475" s="9"/>
      <c r="R2475" s="5"/>
      <c r="S2475" s="5"/>
      <c r="T2475" s="5"/>
      <c r="U2475" s="5"/>
      <c r="V2475" s="5"/>
      <c r="W2475" s="5"/>
      <c r="X2475" s="5"/>
      <c r="Y2475" s="9"/>
      <c r="Z2475" s="2"/>
    </row>
    <row r="2476" spans="1:26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3"/>
      <c r="M2476" s="6"/>
      <c r="N2476" s="6"/>
      <c r="O2476" s="6"/>
      <c r="P2476" s="5"/>
      <c r="Q2476" s="9"/>
      <c r="R2476" s="5"/>
      <c r="S2476" s="5"/>
      <c r="T2476" s="5"/>
      <c r="U2476" s="5"/>
      <c r="V2476" s="5"/>
      <c r="W2476" s="5"/>
      <c r="X2476" s="5"/>
      <c r="Y2476" s="9"/>
      <c r="Z2476" s="2"/>
    </row>
    <row r="2477" spans="1:26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3"/>
      <c r="M2477" s="6"/>
      <c r="N2477" s="6"/>
      <c r="O2477" s="6"/>
      <c r="P2477" s="5"/>
      <c r="Q2477" s="9"/>
      <c r="R2477" s="5"/>
      <c r="S2477" s="5"/>
      <c r="T2477" s="5"/>
      <c r="U2477" s="5"/>
      <c r="V2477" s="5"/>
      <c r="W2477" s="5"/>
      <c r="X2477" s="5"/>
      <c r="Y2477" s="9"/>
      <c r="Z2477" s="2"/>
    </row>
    <row r="2478" spans="1:26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3"/>
      <c r="M2478" s="6"/>
      <c r="N2478" s="6"/>
      <c r="O2478" s="6"/>
      <c r="P2478" s="5"/>
      <c r="Q2478" s="9"/>
      <c r="R2478" s="5"/>
      <c r="S2478" s="5"/>
      <c r="T2478" s="5"/>
      <c r="U2478" s="5"/>
      <c r="V2478" s="5"/>
      <c r="W2478" s="5"/>
      <c r="X2478" s="5"/>
      <c r="Y2478" s="9"/>
      <c r="Z2478" s="2"/>
    </row>
    <row r="2479" spans="1:26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3"/>
      <c r="M2479" s="6"/>
      <c r="N2479" s="6"/>
      <c r="O2479" s="6"/>
      <c r="P2479" s="5"/>
      <c r="Q2479" s="9"/>
      <c r="R2479" s="5"/>
      <c r="S2479" s="5"/>
      <c r="T2479" s="5"/>
      <c r="U2479" s="5"/>
      <c r="V2479" s="5"/>
      <c r="W2479" s="5"/>
      <c r="X2479" s="5"/>
      <c r="Y2479" s="9"/>
      <c r="Z2479" s="2"/>
    </row>
    <row r="2480" spans="1:26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3"/>
      <c r="M2480" s="6"/>
      <c r="N2480" s="6"/>
      <c r="O2480" s="6"/>
      <c r="P2480" s="5"/>
      <c r="Q2480" s="9"/>
      <c r="R2480" s="5"/>
      <c r="S2480" s="5"/>
      <c r="T2480" s="5"/>
      <c r="U2480" s="5"/>
      <c r="V2480" s="5"/>
      <c r="W2480" s="5"/>
      <c r="X2480" s="5"/>
      <c r="Y2480" s="9"/>
      <c r="Z2480" s="2"/>
    </row>
    <row r="2481" spans="1:26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3"/>
      <c r="M2481" s="6"/>
      <c r="N2481" s="6"/>
      <c r="O2481" s="6"/>
      <c r="P2481" s="5"/>
      <c r="Q2481" s="9"/>
      <c r="R2481" s="5"/>
      <c r="S2481" s="5"/>
      <c r="T2481" s="5"/>
      <c r="U2481" s="5"/>
      <c r="V2481" s="5"/>
      <c r="W2481" s="5"/>
      <c r="X2481" s="5"/>
      <c r="Y2481" s="9"/>
      <c r="Z2481" s="2"/>
    </row>
    <row r="2482" spans="1:26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3"/>
      <c r="M2482" s="6"/>
      <c r="N2482" s="6"/>
      <c r="O2482" s="6"/>
      <c r="P2482" s="5"/>
      <c r="Q2482" s="9"/>
      <c r="R2482" s="5"/>
      <c r="S2482" s="5"/>
      <c r="T2482" s="5"/>
      <c r="U2482" s="5"/>
      <c r="V2482" s="5"/>
      <c r="W2482" s="5"/>
      <c r="X2482" s="5"/>
      <c r="Y2482" s="9"/>
      <c r="Z2482" s="2"/>
    </row>
    <row r="2483" spans="1:26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3"/>
      <c r="M2483" s="6"/>
      <c r="N2483" s="6"/>
      <c r="O2483" s="6"/>
      <c r="P2483" s="5"/>
      <c r="Q2483" s="9"/>
      <c r="R2483" s="5"/>
      <c r="S2483" s="5"/>
      <c r="T2483" s="5"/>
      <c r="U2483" s="5"/>
      <c r="V2483" s="5"/>
      <c r="W2483" s="5"/>
      <c r="X2483" s="5"/>
      <c r="Y2483" s="9"/>
      <c r="Z2483" s="2"/>
    </row>
    <row r="2484" spans="1:26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3"/>
      <c r="M2484" s="6"/>
      <c r="N2484" s="6"/>
      <c r="O2484" s="6"/>
      <c r="P2484" s="5"/>
      <c r="Q2484" s="9"/>
      <c r="R2484" s="5"/>
      <c r="S2484" s="5"/>
      <c r="T2484" s="5"/>
      <c r="U2484" s="5"/>
      <c r="V2484" s="5"/>
      <c r="W2484" s="5"/>
      <c r="X2484" s="5"/>
      <c r="Y2484" s="9"/>
      <c r="Z2484" s="2"/>
    </row>
    <row r="2485" spans="1:26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3"/>
      <c r="M2485" s="6"/>
      <c r="N2485" s="6"/>
      <c r="O2485" s="6"/>
      <c r="P2485" s="5"/>
      <c r="Q2485" s="9"/>
      <c r="R2485" s="5"/>
      <c r="S2485" s="5"/>
      <c r="T2485" s="5"/>
      <c r="U2485" s="5"/>
      <c r="V2485" s="5"/>
      <c r="W2485" s="5"/>
      <c r="X2485" s="5"/>
      <c r="Y2485" s="9"/>
      <c r="Z2485" s="2"/>
    </row>
    <row r="2486" spans="1:26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3"/>
      <c r="M2486" s="6"/>
      <c r="N2486" s="6"/>
      <c r="O2486" s="6"/>
      <c r="P2486" s="5"/>
      <c r="Q2486" s="9"/>
      <c r="R2486" s="5"/>
      <c r="S2486" s="5"/>
      <c r="T2486" s="5"/>
      <c r="U2486" s="5"/>
      <c r="V2486" s="5"/>
      <c r="W2486" s="5"/>
      <c r="X2486" s="5"/>
      <c r="Y2486" s="9"/>
      <c r="Z2486" s="2"/>
    </row>
    <row r="2487" spans="1:26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3"/>
      <c r="M2487" s="6"/>
      <c r="N2487" s="6"/>
      <c r="O2487" s="6"/>
      <c r="P2487" s="5"/>
      <c r="Q2487" s="9"/>
      <c r="R2487" s="5"/>
      <c r="S2487" s="5"/>
      <c r="T2487" s="5"/>
      <c r="U2487" s="5"/>
      <c r="V2487" s="5"/>
      <c r="W2487" s="5"/>
      <c r="X2487" s="5"/>
      <c r="Y2487" s="9"/>
      <c r="Z2487" s="2"/>
    </row>
    <row r="2488" spans="1:26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3"/>
      <c r="M2488" s="6"/>
      <c r="N2488" s="6"/>
      <c r="O2488" s="6"/>
      <c r="P2488" s="5"/>
      <c r="Q2488" s="9"/>
      <c r="R2488" s="5"/>
      <c r="S2488" s="5"/>
      <c r="T2488" s="5"/>
      <c r="U2488" s="5"/>
      <c r="V2488" s="5"/>
      <c r="W2488" s="5"/>
      <c r="X2488" s="5"/>
      <c r="Y2488" s="9"/>
      <c r="Z2488" s="2"/>
    </row>
    <row r="2489" spans="1:26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3"/>
      <c r="M2489" s="6"/>
      <c r="N2489" s="6"/>
      <c r="O2489" s="6"/>
      <c r="P2489" s="5"/>
      <c r="Q2489" s="9"/>
      <c r="R2489" s="5"/>
      <c r="S2489" s="5"/>
      <c r="T2489" s="5"/>
      <c r="U2489" s="5"/>
      <c r="V2489" s="5"/>
      <c r="W2489" s="5"/>
      <c r="X2489" s="5"/>
      <c r="Y2489" s="9"/>
      <c r="Z2489" s="2"/>
    </row>
    <row r="2490" spans="1:26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3"/>
      <c r="M2490" s="6"/>
      <c r="N2490" s="6"/>
      <c r="O2490" s="6"/>
      <c r="P2490" s="5"/>
      <c r="Q2490" s="9"/>
      <c r="R2490" s="5"/>
      <c r="S2490" s="5"/>
      <c r="T2490" s="5"/>
      <c r="U2490" s="5"/>
      <c r="V2490" s="5"/>
      <c r="W2490" s="5"/>
      <c r="X2490" s="5"/>
      <c r="Y2490" s="9"/>
      <c r="Z2490" s="2"/>
    </row>
    <row r="2491" spans="1:26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3"/>
      <c r="M2491" s="6"/>
      <c r="N2491" s="6"/>
      <c r="O2491" s="6"/>
      <c r="P2491" s="5"/>
      <c r="Q2491" s="9"/>
      <c r="R2491" s="5"/>
      <c r="S2491" s="5"/>
      <c r="T2491" s="5"/>
      <c r="U2491" s="5"/>
      <c r="V2491" s="5"/>
      <c r="W2491" s="5"/>
      <c r="X2491" s="5"/>
      <c r="Y2491" s="9"/>
      <c r="Z2491" s="2"/>
    </row>
    <row r="2492" spans="1:26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3"/>
      <c r="M2492" s="6"/>
      <c r="N2492" s="6"/>
      <c r="O2492" s="6"/>
      <c r="P2492" s="5"/>
      <c r="Q2492" s="9"/>
      <c r="R2492" s="5"/>
      <c r="S2492" s="5"/>
      <c r="T2492" s="5"/>
      <c r="U2492" s="5"/>
      <c r="V2492" s="5"/>
      <c r="W2492" s="5"/>
      <c r="X2492" s="5"/>
      <c r="Y2492" s="9"/>
      <c r="Z2492" s="2"/>
    </row>
    <row r="2493" spans="1:26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3"/>
      <c r="M2493" s="6"/>
      <c r="N2493" s="6"/>
      <c r="O2493" s="6"/>
      <c r="P2493" s="5"/>
      <c r="Q2493" s="9"/>
      <c r="R2493" s="5"/>
      <c r="S2493" s="5"/>
      <c r="T2493" s="5"/>
      <c r="U2493" s="5"/>
      <c r="V2493" s="5"/>
      <c r="W2493" s="5"/>
      <c r="X2493" s="5"/>
      <c r="Y2493" s="9"/>
      <c r="Z2493" s="2"/>
    </row>
    <row r="2494" spans="1:26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3"/>
      <c r="M2494" s="6"/>
      <c r="N2494" s="6"/>
      <c r="O2494" s="6"/>
      <c r="P2494" s="5"/>
      <c r="Q2494" s="9"/>
      <c r="R2494" s="5"/>
      <c r="S2494" s="5"/>
      <c r="T2494" s="5"/>
      <c r="U2494" s="5"/>
      <c r="V2494" s="5"/>
      <c r="W2494" s="5"/>
      <c r="X2494" s="5"/>
      <c r="Y2494" s="9"/>
      <c r="Z2494" s="2"/>
    </row>
    <row r="2495" spans="1:26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3"/>
      <c r="M2495" s="6"/>
      <c r="N2495" s="6"/>
      <c r="O2495" s="6"/>
      <c r="P2495" s="5"/>
      <c r="Q2495" s="9"/>
      <c r="R2495" s="5"/>
      <c r="S2495" s="5"/>
      <c r="T2495" s="5"/>
      <c r="U2495" s="5"/>
      <c r="V2495" s="5"/>
      <c r="W2495" s="5"/>
      <c r="X2495" s="5"/>
      <c r="Y2495" s="9"/>
      <c r="Z2495" s="2"/>
    </row>
    <row r="2496" spans="1:26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3"/>
      <c r="M2496" s="6"/>
      <c r="N2496" s="6"/>
      <c r="O2496" s="6"/>
      <c r="P2496" s="5"/>
      <c r="Q2496" s="9"/>
      <c r="R2496" s="5"/>
      <c r="S2496" s="5"/>
      <c r="T2496" s="5"/>
      <c r="U2496" s="5"/>
      <c r="V2496" s="5"/>
      <c r="W2496" s="5"/>
      <c r="X2496" s="5"/>
      <c r="Y2496" s="9"/>
      <c r="Z2496" s="2"/>
    </row>
    <row r="2497" spans="1:26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3"/>
      <c r="M2497" s="6"/>
      <c r="N2497" s="6"/>
      <c r="O2497" s="6"/>
      <c r="P2497" s="5"/>
      <c r="Q2497" s="9"/>
      <c r="R2497" s="5"/>
      <c r="S2497" s="5"/>
      <c r="T2497" s="5"/>
      <c r="U2497" s="5"/>
      <c r="V2497" s="5"/>
      <c r="W2497" s="5"/>
      <c r="X2497" s="5"/>
      <c r="Y2497" s="9"/>
      <c r="Z2497" s="2"/>
    </row>
    <row r="2498" spans="1:26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3"/>
      <c r="M2498" s="6"/>
      <c r="N2498" s="6"/>
      <c r="O2498" s="6"/>
      <c r="P2498" s="5"/>
      <c r="Q2498" s="9"/>
      <c r="R2498" s="5"/>
      <c r="S2498" s="5"/>
      <c r="T2498" s="5"/>
      <c r="U2498" s="5"/>
      <c r="V2498" s="5"/>
      <c r="W2498" s="5"/>
      <c r="X2498" s="5"/>
      <c r="Y2498" s="9"/>
      <c r="Z2498" s="2"/>
    </row>
    <row r="2499" spans="1:26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3"/>
      <c r="M2499" s="6"/>
      <c r="N2499" s="6"/>
      <c r="O2499" s="6"/>
      <c r="P2499" s="5"/>
      <c r="Q2499" s="9"/>
      <c r="R2499" s="5"/>
      <c r="S2499" s="5"/>
      <c r="T2499" s="5"/>
      <c r="U2499" s="5"/>
      <c r="V2499" s="5"/>
      <c r="W2499" s="5"/>
      <c r="X2499" s="5"/>
      <c r="Y2499" s="9"/>
      <c r="Z2499" s="2"/>
    </row>
    <row r="2500" spans="1:26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3"/>
      <c r="M2500" s="6"/>
      <c r="N2500" s="6"/>
      <c r="O2500" s="6"/>
      <c r="P2500" s="5"/>
      <c r="Q2500" s="9"/>
      <c r="R2500" s="5"/>
      <c r="S2500" s="5"/>
      <c r="T2500" s="5"/>
      <c r="U2500" s="5"/>
      <c r="V2500" s="5"/>
      <c r="W2500" s="5"/>
      <c r="X2500" s="5"/>
      <c r="Y2500" s="9"/>
      <c r="Z2500" s="2"/>
    </row>
    <row r="2501" spans="1:26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3"/>
      <c r="M2501" s="6"/>
      <c r="N2501" s="6"/>
      <c r="O2501" s="6"/>
      <c r="P2501" s="5"/>
      <c r="Q2501" s="9"/>
      <c r="R2501" s="5"/>
      <c r="S2501" s="5"/>
      <c r="T2501" s="5"/>
      <c r="U2501" s="5"/>
      <c r="V2501" s="5"/>
      <c r="W2501" s="5"/>
      <c r="X2501" s="5"/>
      <c r="Y2501" s="9"/>
      <c r="Z2501" s="2"/>
    </row>
    <row r="2502" spans="1:26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3"/>
      <c r="M2502" s="6"/>
      <c r="N2502" s="6"/>
      <c r="O2502" s="6"/>
      <c r="P2502" s="5"/>
      <c r="Q2502" s="9"/>
      <c r="R2502" s="5"/>
      <c r="S2502" s="5"/>
      <c r="T2502" s="5"/>
      <c r="U2502" s="5"/>
      <c r="V2502" s="5"/>
      <c r="W2502" s="5"/>
      <c r="X2502" s="5"/>
      <c r="Y2502" s="9"/>
      <c r="Z2502" s="2"/>
    </row>
    <row r="2503" spans="1:26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3"/>
      <c r="M2503" s="6"/>
      <c r="N2503" s="6"/>
      <c r="O2503" s="6"/>
      <c r="P2503" s="5"/>
      <c r="Q2503" s="9"/>
      <c r="R2503" s="5"/>
      <c r="S2503" s="5"/>
      <c r="T2503" s="5"/>
      <c r="U2503" s="5"/>
      <c r="V2503" s="5"/>
      <c r="W2503" s="5"/>
      <c r="X2503" s="5"/>
      <c r="Y2503" s="9"/>
      <c r="Z2503" s="2"/>
    </row>
    <row r="2504" spans="1:26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3"/>
      <c r="M2504" s="6"/>
      <c r="N2504" s="6"/>
      <c r="O2504" s="6"/>
      <c r="P2504" s="5"/>
      <c r="Q2504" s="9"/>
      <c r="R2504" s="5"/>
      <c r="S2504" s="5"/>
      <c r="T2504" s="5"/>
      <c r="U2504" s="5"/>
      <c r="V2504" s="5"/>
      <c r="W2504" s="5"/>
      <c r="X2504" s="5"/>
      <c r="Y2504" s="9"/>
      <c r="Z2504" s="2"/>
    </row>
    <row r="2505" spans="1:26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3"/>
      <c r="M2505" s="6"/>
      <c r="N2505" s="6"/>
      <c r="O2505" s="6"/>
      <c r="P2505" s="5"/>
      <c r="Q2505" s="9"/>
      <c r="R2505" s="5"/>
      <c r="S2505" s="5"/>
      <c r="T2505" s="5"/>
      <c r="U2505" s="5"/>
      <c r="V2505" s="5"/>
      <c r="W2505" s="5"/>
      <c r="X2505" s="5"/>
      <c r="Y2505" s="9"/>
      <c r="Z2505" s="2"/>
    </row>
    <row r="2506" spans="1:26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3"/>
      <c r="M2506" s="6"/>
      <c r="N2506" s="6"/>
      <c r="O2506" s="6"/>
      <c r="P2506" s="5"/>
      <c r="Q2506" s="9"/>
      <c r="R2506" s="5"/>
      <c r="S2506" s="5"/>
      <c r="T2506" s="5"/>
      <c r="U2506" s="5"/>
      <c r="V2506" s="5"/>
      <c r="W2506" s="5"/>
      <c r="X2506" s="5"/>
      <c r="Y2506" s="9"/>
      <c r="Z2506" s="2"/>
    </row>
    <row r="2507" spans="1:26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3"/>
      <c r="M2507" s="6"/>
      <c r="N2507" s="6"/>
      <c r="O2507" s="6"/>
      <c r="P2507" s="5"/>
      <c r="Q2507" s="9"/>
      <c r="R2507" s="5"/>
      <c r="S2507" s="5"/>
      <c r="T2507" s="5"/>
      <c r="U2507" s="5"/>
      <c r="V2507" s="5"/>
      <c r="W2507" s="5"/>
      <c r="X2507" s="5"/>
      <c r="Y2507" s="9"/>
      <c r="Z2507" s="2"/>
    </row>
    <row r="2508" spans="1:26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3"/>
      <c r="M2508" s="6"/>
      <c r="N2508" s="6"/>
      <c r="O2508" s="6"/>
      <c r="P2508" s="5"/>
      <c r="Q2508" s="9"/>
      <c r="R2508" s="5"/>
      <c r="S2508" s="5"/>
      <c r="T2508" s="5"/>
      <c r="U2508" s="5"/>
      <c r="V2508" s="5"/>
      <c r="W2508" s="5"/>
      <c r="X2508" s="5"/>
      <c r="Y2508" s="9"/>
      <c r="Z2508" s="2"/>
    </row>
    <row r="2509" spans="1:26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3"/>
      <c r="M2509" s="6"/>
      <c r="N2509" s="6"/>
      <c r="O2509" s="6"/>
      <c r="P2509" s="5"/>
      <c r="Q2509" s="9"/>
      <c r="R2509" s="5"/>
      <c r="S2509" s="5"/>
      <c r="T2509" s="5"/>
      <c r="U2509" s="5"/>
      <c r="V2509" s="5"/>
      <c r="W2509" s="5"/>
      <c r="X2509" s="5"/>
      <c r="Y2509" s="9"/>
      <c r="Z2509" s="2"/>
    </row>
    <row r="2510" spans="1:26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3"/>
      <c r="M2510" s="6"/>
      <c r="N2510" s="6"/>
      <c r="O2510" s="6"/>
      <c r="P2510" s="5"/>
      <c r="Q2510" s="9"/>
      <c r="R2510" s="5"/>
      <c r="S2510" s="5"/>
      <c r="T2510" s="5"/>
      <c r="U2510" s="5"/>
      <c r="V2510" s="5"/>
      <c r="W2510" s="5"/>
      <c r="X2510" s="5"/>
      <c r="Y2510" s="9"/>
      <c r="Z2510" s="2"/>
    </row>
    <row r="2511" spans="1:26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3"/>
      <c r="M2511" s="6"/>
      <c r="N2511" s="6"/>
      <c r="O2511" s="6"/>
      <c r="P2511" s="5"/>
      <c r="Q2511" s="9"/>
      <c r="R2511" s="5"/>
      <c r="S2511" s="5"/>
      <c r="T2511" s="5"/>
      <c r="U2511" s="5"/>
      <c r="V2511" s="5"/>
      <c r="W2511" s="5"/>
      <c r="X2511" s="5"/>
      <c r="Y2511" s="9"/>
      <c r="Z2511" s="2"/>
    </row>
    <row r="2512" spans="1:26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3"/>
      <c r="M2512" s="6"/>
      <c r="N2512" s="6"/>
      <c r="O2512" s="6"/>
      <c r="P2512" s="5"/>
      <c r="Q2512" s="9"/>
      <c r="R2512" s="5"/>
      <c r="S2512" s="5"/>
      <c r="T2512" s="5"/>
      <c r="U2512" s="5"/>
      <c r="V2512" s="5"/>
      <c r="W2512" s="5"/>
      <c r="X2512" s="5"/>
      <c r="Y2512" s="9"/>
      <c r="Z2512" s="2"/>
    </row>
    <row r="2513" spans="1:26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3"/>
      <c r="M2513" s="6"/>
      <c r="N2513" s="6"/>
      <c r="O2513" s="6"/>
      <c r="P2513" s="5"/>
      <c r="Q2513" s="9"/>
      <c r="R2513" s="5"/>
      <c r="S2513" s="5"/>
      <c r="T2513" s="5"/>
      <c r="U2513" s="5"/>
      <c r="V2513" s="5"/>
      <c r="W2513" s="5"/>
      <c r="X2513" s="5"/>
      <c r="Y2513" s="9"/>
      <c r="Z2513" s="2"/>
    </row>
    <row r="2514" spans="1:26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3"/>
      <c r="M2514" s="6"/>
      <c r="N2514" s="6"/>
      <c r="O2514" s="6"/>
      <c r="P2514" s="5"/>
      <c r="Q2514" s="9"/>
      <c r="R2514" s="5"/>
      <c r="S2514" s="5"/>
      <c r="T2514" s="5"/>
      <c r="U2514" s="5"/>
      <c r="V2514" s="5"/>
      <c r="W2514" s="5"/>
      <c r="X2514" s="5"/>
      <c r="Y2514" s="9"/>
      <c r="Z2514" s="2"/>
    </row>
    <row r="2515" spans="1:26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3"/>
      <c r="M2515" s="6"/>
      <c r="N2515" s="6"/>
      <c r="O2515" s="6"/>
      <c r="P2515" s="5"/>
      <c r="Q2515" s="9"/>
      <c r="R2515" s="5"/>
      <c r="S2515" s="5"/>
      <c r="T2515" s="5"/>
      <c r="U2515" s="5"/>
      <c r="V2515" s="5"/>
      <c r="W2515" s="5"/>
      <c r="X2515" s="5"/>
      <c r="Y2515" s="9"/>
      <c r="Z2515" s="2"/>
    </row>
    <row r="2516" spans="1:26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3"/>
      <c r="M2516" s="6"/>
      <c r="N2516" s="6"/>
      <c r="O2516" s="6"/>
      <c r="P2516" s="5"/>
      <c r="Q2516" s="9"/>
      <c r="R2516" s="5"/>
      <c r="S2516" s="5"/>
      <c r="T2516" s="5"/>
      <c r="U2516" s="5"/>
      <c r="V2516" s="5"/>
      <c r="W2516" s="5"/>
      <c r="X2516" s="5"/>
      <c r="Y2516" s="9"/>
      <c r="Z2516" s="2"/>
    </row>
    <row r="2517" spans="1:26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3"/>
      <c r="M2517" s="6"/>
      <c r="N2517" s="6"/>
      <c r="O2517" s="6"/>
      <c r="P2517" s="5"/>
      <c r="Q2517" s="9"/>
      <c r="R2517" s="5"/>
      <c r="S2517" s="5"/>
      <c r="T2517" s="5"/>
      <c r="U2517" s="5"/>
      <c r="V2517" s="5"/>
      <c r="W2517" s="5"/>
      <c r="X2517" s="5"/>
      <c r="Y2517" s="9"/>
      <c r="Z2517" s="2"/>
    </row>
    <row r="2518" spans="1:26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3"/>
      <c r="M2518" s="6"/>
      <c r="N2518" s="6"/>
      <c r="O2518" s="6"/>
      <c r="P2518" s="5"/>
      <c r="Q2518" s="9"/>
      <c r="R2518" s="5"/>
      <c r="S2518" s="5"/>
      <c r="T2518" s="5"/>
      <c r="U2518" s="5"/>
      <c r="V2518" s="5"/>
      <c r="W2518" s="5"/>
      <c r="X2518" s="5"/>
      <c r="Y2518" s="9"/>
      <c r="Z2518" s="2"/>
    </row>
    <row r="2519" spans="1:26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3"/>
      <c r="M2519" s="6"/>
      <c r="N2519" s="6"/>
      <c r="O2519" s="6"/>
      <c r="P2519" s="5"/>
      <c r="Q2519" s="9"/>
      <c r="R2519" s="5"/>
      <c r="S2519" s="5"/>
      <c r="T2519" s="5"/>
      <c r="U2519" s="5"/>
      <c r="V2519" s="5"/>
      <c r="W2519" s="5"/>
      <c r="X2519" s="5"/>
      <c r="Y2519" s="9"/>
      <c r="Z2519" s="2"/>
    </row>
    <row r="2520" spans="1:26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3"/>
      <c r="M2520" s="6"/>
      <c r="N2520" s="6"/>
      <c r="O2520" s="6"/>
      <c r="P2520" s="5"/>
      <c r="Q2520" s="9"/>
      <c r="R2520" s="5"/>
      <c r="S2520" s="5"/>
      <c r="T2520" s="5"/>
      <c r="U2520" s="5"/>
      <c r="V2520" s="5"/>
      <c r="W2520" s="5"/>
      <c r="X2520" s="5"/>
      <c r="Y2520" s="9"/>
      <c r="Z2520" s="2"/>
    </row>
    <row r="2521" spans="1:26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3"/>
      <c r="M2521" s="6"/>
      <c r="N2521" s="6"/>
      <c r="O2521" s="6"/>
      <c r="P2521" s="5"/>
      <c r="Q2521" s="9"/>
      <c r="R2521" s="5"/>
      <c r="S2521" s="5"/>
      <c r="T2521" s="5"/>
      <c r="U2521" s="5"/>
      <c r="V2521" s="5"/>
      <c r="W2521" s="5"/>
      <c r="X2521" s="5"/>
      <c r="Y2521" s="9"/>
      <c r="Z2521" s="2"/>
    </row>
    <row r="2522" spans="1:26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3"/>
      <c r="M2522" s="6"/>
      <c r="N2522" s="6"/>
      <c r="O2522" s="6"/>
      <c r="P2522" s="5"/>
      <c r="Q2522" s="9"/>
      <c r="R2522" s="5"/>
      <c r="S2522" s="5"/>
      <c r="T2522" s="5"/>
      <c r="U2522" s="5"/>
      <c r="V2522" s="5"/>
      <c r="W2522" s="5"/>
      <c r="X2522" s="5"/>
      <c r="Y2522" s="9"/>
      <c r="Z2522" s="2"/>
    </row>
    <row r="2523" spans="1:26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3"/>
      <c r="M2523" s="6"/>
      <c r="N2523" s="6"/>
      <c r="O2523" s="6"/>
      <c r="P2523" s="5"/>
      <c r="Q2523" s="9"/>
      <c r="R2523" s="5"/>
      <c r="S2523" s="5"/>
      <c r="T2523" s="5"/>
      <c r="U2523" s="5"/>
      <c r="V2523" s="5"/>
      <c r="W2523" s="5"/>
      <c r="X2523" s="5"/>
      <c r="Y2523" s="9"/>
      <c r="Z2523" s="2"/>
    </row>
    <row r="2524" spans="1:26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3"/>
      <c r="M2524" s="6"/>
      <c r="N2524" s="6"/>
      <c r="O2524" s="6"/>
      <c r="P2524" s="5"/>
      <c r="Q2524" s="9"/>
      <c r="R2524" s="5"/>
      <c r="S2524" s="5"/>
      <c r="T2524" s="5"/>
      <c r="U2524" s="5"/>
      <c r="V2524" s="5"/>
      <c r="W2524" s="5"/>
      <c r="X2524" s="5"/>
      <c r="Y2524" s="9"/>
      <c r="Z2524" s="2"/>
    </row>
    <row r="2525" spans="1:26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3"/>
      <c r="M2525" s="6"/>
      <c r="N2525" s="6"/>
      <c r="O2525" s="6"/>
      <c r="P2525" s="5"/>
      <c r="Q2525" s="9"/>
      <c r="R2525" s="5"/>
      <c r="S2525" s="5"/>
      <c r="T2525" s="5"/>
      <c r="U2525" s="5"/>
      <c r="V2525" s="5"/>
      <c r="W2525" s="5"/>
      <c r="X2525" s="5"/>
      <c r="Y2525" s="9"/>
      <c r="Z2525" s="2"/>
    </row>
    <row r="2526" spans="1:26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3"/>
      <c r="M2526" s="6"/>
      <c r="N2526" s="6"/>
      <c r="O2526" s="6"/>
      <c r="P2526" s="5"/>
      <c r="Q2526" s="9"/>
      <c r="R2526" s="5"/>
      <c r="S2526" s="5"/>
      <c r="T2526" s="5"/>
      <c r="U2526" s="5"/>
      <c r="V2526" s="5"/>
      <c r="W2526" s="5"/>
      <c r="X2526" s="5"/>
      <c r="Y2526" s="9"/>
      <c r="Z2526" s="2"/>
    </row>
    <row r="2527" spans="1:26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3"/>
      <c r="M2527" s="6"/>
      <c r="N2527" s="6"/>
      <c r="O2527" s="6"/>
      <c r="P2527" s="5"/>
      <c r="Q2527" s="9"/>
      <c r="R2527" s="5"/>
      <c r="S2527" s="5"/>
      <c r="T2527" s="5"/>
      <c r="U2527" s="5"/>
      <c r="V2527" s="5"/>
      <c r="W2527" s="5"/>
      <c r="X2527" s="5"/>
      <c r="Y2527" s="9"/>
      <c r="Z2527" s="2"/>
    </row>
    <row r="2528" spans="1:26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3"/>
      <c r="M2528" s="6"/>
      <c r="N2528" s="6"/>
      <c r="O2528" s="6"/>
      <c r="P2528" s="5"/>
      <c r="Q2528" s="9"/>
      <c r="R2528" s="5"/>
      <c r="S2528" s="5"/>
      <c r="T2528" s="5"/>
      <c r="U2528" s="5"/>
      <c r="V2528" s="5"/>
      <c r="W2528" s="5"/>
      <c r="X2528" s="5"/>
      <c r="Y2528" s="9"/>
      <c r="Z2528" s="2"/>
    </row>
    <row r="2529" spans="1:26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3"/>
      <c r="M2529" s="6"/>
      <c r="N2529" s="6"/>
      <c r="O2529" s="6"/>
      <c r="P2529" s="5"/>
      <c r="Q2529" s="9"/>
      <c r="R2529" s="5"/>
      <c r="S2529" s="5"/>
      <c r="T2529" s="5"/>
      <c r="U2529" s="5"/>
      <c r="V2529" s="5"/>
      <c r="W2529" s="5"/>
      <c r="X2529" s="5"/>
      <c r="Y2529" s="9"/>
      <c r="Z2529" s="2"/>
    </row>
    <row r="2530" spans="1:26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3"/>
      <c r="M2530" s="6"/>
      <c r="N2530" s="6"/>
      <c r="O2530" s="6"/>
      <c r="P2530" s="5"/>
      <c r="Q2530" s="9"/>
      <c r="R2530" s="5"/>
      <c r="S2530" s="5"/>
      <c r="T2530" s="5"/>
      <c r="U2530" s="5"/>
      <c r="V2530" s="5"/>
      <c r="W2530" s="5"/>
      <c r="X2530" s="5"/>
      <c r="Y2530" s="9"/>
      <c r="Z2530" s="2"/>
    </row>
    <row r="2531" spans="1:26">
      <c r="A2531" s="4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3"/>
      <c r="M2531" s="6"/>
      <c r="N2531" s="6"/>
      <c r="O2531" s="6"/>
      <c r="P2531" s="5"/>
      <c r="Q2531" s="9"/>
      <c r="R2531" s="5"/>
      <c r="S2531" s="5"/>
      <c r="T2531" s="5"/>
      <c r="U2531" s="5"/>
      <c r="V2531" s="5"/>
      <c r="W2531" s="5"/>
      <c r="X2531" s="5"/>
      <c r="Y2531" s="9"/>
      <c r="Z2531" s="2"/>
    </row>
    <row r="2532" spans="1:26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3"/>
      <c r="M2532" s="6"/>
      <c r="N2532" s="6"/>
      <c r="O2532" s="6"/>
      <c r="P2532" s="5"/>
      <c r="Q2532" s="9"/>
      <c r="R2532" s="5"/>
      <c r="S2532" s="5"/>
      <c r="T2532" s="5"/>
      <c r="U2532" s="5"/>
      <c r="V2532" s="5"/>
      <c r="W2532" s="5"/>
      <c r="X2532" s="5"/>
      <c r="Y2532" s="9"/>
      <c r="Z2532" s="2"/>
    </row>
    <row r="2533" spans="1:26">
      <c r="A2533" s="4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3"/>
      <c r="M2533" s="6"/>
      <c r="N2533" s="6"/>
      <c r="O2533" s="6"/>
      <c r="P2533" s="5"/>
      <c r="Q2533" s="9"/>
      <c r="R2533" s="5"/>
      <c r="S2533" s="5"/>
      <c r="T2533" s="5"/>
      <c r="U2533" s="5"/>
      <c r="V2533" s="5"/>
      <c r="W2533" s="5"/>
      <c r="X2533" s="5"/>
      <c r="Y2533" s="9"/>
      <c r="Z2533" s="2"/>
    </row>
    <row r="2534" spans="1:26">
      <c r="A2534" s="4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3"/>
      <c r="M2534" s="6"/>
      <c r="N2534" s="6"/>
      <c r="O2534" s="6"/>
      <c r="P2534" s="5"/>
      <c r="Q2534" s="9"/>
      <c r="R2534" s="5"/>
      <c r="S2534" s="5"/>
      <c r="T2534" s="5"/>
      <c r="U2534" s="5"/>
      <c r="V2534" s="5"/>
      <c r="W2534" s="5"/>
      <c r="X2534" s="5"/>
      <c r="Y2534" s="9"/>
      <c r="Z2534" s="2"/>
    </row>
    <row r="2535" spans="1:26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3"/>
      <c r="M2535" s="6"/>
      <c r="N2535" s="6"/>
      <c r="O2535" s="6"/>
      <c r="P2535" s="5"/>
      <c r="Q2535" s="9"/>
      <c r="R2535" s="5"/>
      <c r="S2535" s="5"/>
      <c r="T2535" s="5"/>
      <c r="U2535" s="5"/>
      <c r="V2535" s="5"/>
      <c r="W2535" s="5"/>
      <c r="X2535" s="5"/>
      <c r="Y2535" s="9"/>
      <c r="Z2535" s="2"/>
    </row>
    <row r="2536" spans="1:26">
      <c r="A2536" s="4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3"/>
      <c r="M2536" s="6"/>
      <c r="N2536" s="6"/>
      <c r="O2536" s="6"/>
      <c r="P2536" s="5"/>
      <c r="Q2536" s="9"/>
      <c r="R2536" s="5"/>
      <c r="S2536" s="5"/>
      <c r="T2536" s="5"/>
      <c r="U2536" s="5"/>
      <c r="V2536" s="5"/>
      <c r="W2536" s="5"/>
      <c r="X2536" s="5"/>
      <c r="Y2536" s="9"/>
      <c r="Z2536" s="2"/>
    </row>
    <row r="2537" spans="1:26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3"/>
      <c r="M2537" s="6"/>
      <c r="N2537" s="6"/>
      <c r="O2537" s="6"/>
      <c r="P2537" s="5"/>
      <c r="Q2537" s="9"/>
      <c r="R2537" s="5"/>
      <c r="S2537" s="5"/>
      <c r="T2537" s="5"/>
      <c r="U2537" s="5"/>
      <c r="V2537" s="5"/>
      <c r="W2537" s="5"/>
      <c r="X2537" s="5"/>
      <c r="Y2537" s="9"/>
      <c r="Z2537" s="2"/>
    </row>
    <row r="2538" spans="1:26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3"/>
      <c r="M2538" s="6"/>
      <c r="N2538" s="6"/>
      <c r="O2538" s="6"/>
      <c r="P2538" s="5"/>
      <c r="Q2538" s="9"/>
      <c r="R2538" s="5"/>
      <c r="S2538" s="5"/>
      <c r="T2538" s="5"/>
      <c r="U2538" s="5"/>
      <c r="V2538" s="5"/>
      <c r="W2538" s="5"/>
      <c r="X2538" s="5"/>
      <c r="Y2538" s="9"/>
      <c r="Z2538" s="2"/>
    </row>
    <row r="2539" spans="1:26">
      <c r="A2539" s="4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3"/>
      <c r="M2539" s="6"/>
      <c r="N2539" s="6"/>
      <c r="O2539" s="6"/>
      <c r="P2539" s="5"/>
      <c r="Q2539" s="9"/>
      <c r="R2539" s="5"/>
      <c r="S2539" s="5"/>
      <c r="T2539" s="5"/>
      <c r="U2539" s="5"/>
      <c r="V2539" s="5"/>
      <c r="W2539" s="5"/>
      <c r="X2539" s="5"/>
      <c r="Y2539" s="9"/>
      <c r="Z2539" s="2"/>
    </row>
    <row r="2540" spans="1:26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3"/>
      <c r="M2540" s="6"/>
      <c r="N2540" s="6"/>
      <c r="O2540" s="6"/>
      <c r="P2540" s="5"/>
      <c r="Q2540" s="9"/>
      <c r="R2540" s="5"/>
      <c r="S2540" s="5"/>
      <c r="T2540" s="5"/>
      <c r="U2540" s="5"/>
      <c r="V2540" s="5"/>
      <c r="W2540" s="5"/>
      <c r="X2540" s="5"/>
      <c r="Y2540" s="9"/>
      <c r="Z2540" s="2"/>
    </row>
    <row r="2541" spans="1:26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3"/>
      <c r="M2541" s="6"/>
      <c r="N2541" s="6"/>
      <c r="O2541" s="6"/>
      <c r="P2541" s="5"/>
      <c r="Q2541" s="9"/>
      <c r="R2541" s="5"/>
      <c r="S2541" s="5"/>
      <c r="T2541" s="5"/>
      <c r="U2541" s="5"/>
      <c r="V2541" s="5"/>
      <c r="W2541" s="5"/>
      <c r="X2541" s="5"/>
      <c r="Y2541" s="9"/>
      <c r="Z2541" s="2"/>
    </row>
    <row r="2542" spans="1:26">
      <c r="A2542" s="4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3"/>
      <c r="M2542" s="6"/>
      <c r="N2542" s="6"/>
      <c r="O2542" s="6"/>
      <c r="P2542" s="5"/>
      <c r="Q2542" s="9"/>
      <c r="R2542" s="5"/>
      <c r="S2542" s="5"/>
      <c r="T2542" s="5"/>
      <c r="U2542" s="5"/>
      <c r="V2542" s="5"/>
      <c r="W2542" s="5"/>
      <c r="X2542" s="5"/>
      <c r="Y2542" s="9"/>
      <c r="Z2542" s="2"/>
    </row>
    <row r="2543" spans="1:26">
      <c r="A2543" s="4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3"/>
      <c r="M2543" s="6"/>
      <c r="N2543" s="6"/>
      <c r="O2543" s="6"/>
      <c r="P2543" s="5"/>
      <c r="Q2543" s="9"/>
      <c r="R2543" s="5"/>
      <c r="S2543" s="5"/>
      <c r="T2543" s="5"/>
      <c r="U2543" s="5"/>
      <c r="V2543" s="5"/>
      <c r="W2543" s="5"/>
      <c r="X2543" s="5"/>
      <c r="Y2543" s="9"/>
      <c r="Z2543" s="2"/>
    </row>
    <row r="2544" spans="1:26">
      <c r="A2544" s="4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3"/>
      <c r="M2544" s="6"/>
      <c r="N2544" s="6"/>
      <c r="O2544" s="6"/>
      <c r="P2544" s="5"/>
      <c r="Q2544" s="9"/>
      <c r="R2544" s="5"/>
      <c r="S2544" s="5"/>
      <c r="T2544" s="5"/>
      <c r="U2544" s="5"/>
      <c r="V2544" s="5"/>
      <c r="W2544" s="5"/>
      <c r="X2544" s="5"/>
      <c r="Y2544" s="9"/>
      <c r="Z2544" s="2"/>
    </row>
    <row r="2545" spans="1:26">
      <c r="A2545" s="4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3"/>
      <c r="M2545" s="6"/>
      <c r="N2545" s="6"/>
      <c r="O2545" s="6"/>
      <c r="P2545" s="5"/>
      <c r="Q2545" s="9"/>
      <c r="R2545" s="5"/>
      <c r="S2545" s="5"/>
      <c r="T2545" s="5"/>
      <c r="U2545" s="5"/>
      <c r="V2545" s="5"/>
      <c r="W2545" s="5"/>
      <c r="X2545" s="5"/>
      <c r="Y2545" s="9"/>
      <c r="Z2545" s="2"/>
    </row>
    <row r="2546" spans="1:26">
      <c r="A2546" s="4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3"/>
      <c r="M2546" s="6"/>
      <c r="N2546" s="6"/>
      <c r="O2546" s="6"/>
      <c r="P2546" s="5"/>
      <c r="Q2546" s="9"/>
      <c r="R2546" s="5"/>
      <c r="S2546" s="5"/>
      <c r="T2546" s="5"/>
      <c r="U2546" s="5"/>
      <c r="V2546" s="5"/>
      <c r="W2546" s="5"/>
      <c r="X2546" s="5"/>
      <c r="Y2546" s="9"/>
      <c r="Z2546" s="2"/>
    </row>
    <row r="2547" spans="1:26">
      <c r="A2547" s="4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3"/>
      <c r="M2547" s="6"/>
      <c r="N2547" s="6"/>
      <c r="O2547" s="6"/>
      <c r="P2547" s="5"/>
      <c r="Q2547" s="9"/>
      <c r="R2547" s="5"/>
      <c r="S2547" s="5"/>
      <c r="T2547" s="5"/>
      <c r="U2547" s="5"/>
      <c r="V2547" s="5"/>
      <c r="W2547" s="5"/>
      <c r="X2547" s="5"/>
      <c r="Y2547" s="9"/>
      <c r="Z2547" s="2"/>
    </row>
    <row r="2548" spans="1:26">
      <c r="A2548" s="4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3"/>
      <c r="M2548" s="6"/>
      <c r="N2548" s="6"/>
      <c r="O2548" s="6"/>
      <c r="P2548" s="5"/>
      <c r="Q2548" s="9"/>
      <c r="R2548" s="5"/>
      <c r="S2548" s="5"/>
      <c r="T2548" s="5"/>
      <c r="U2548" s="5"/>
      <c r="V2548" s="5"/>
      <c r="W2548" s="5"/>
      <c r="X2548" s="5"/>
      <c r="Y2548" s="9"/>
      <c r="Z2548" s="2"/>
    </row>
    <row r="2549" spans="1:26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3"/>
      <c r="M2549" s="6"/>
      <c r="N2549" s="6"/>
      <c r="O2549" s="6"/>
      <c r="P2549" s="5"/>
      <c r="Q2549" s="9"/>
      <c r="R2549" s="5"/>
      <c r="S2549" s="5"/>
      <c r="T2549" s="5"/>
      <c r="U2549" s="5"/>
      <c r="V2549" s="5"/>
      <c r="W2549" s="5"/>
      <c r="X2549" s="5"/>
      <c r="Y2549" s="9"/>
      <c r="Z2549" s="2"/>
    </row>
    <row r="2550" spans="1:26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3"/>
      <c r="M2550" s="6"/>
      <c r="N2550" s="6"/>
      <c r="O2550" s="6"/>
      <c r="P2550" s="5"/>
      <c r="Q2550" s="9"/>
      <c r="R2550" s="5"/>
      <c r="S2550" s="5"/>
      <c r="T2550" s="5"/>
      <c r="U2550" s="5"/>
      <c r="V2550" s="5"/>
      <c r="W2550" s="5"/>
      <c r="X2550" s="5"/>
      <c r="Y2550" s="9"/>
      <c r="Z2550" s="2"/>
    </row>
    <row r="2551" spans="1:26">
      <c r="A2551" s="4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3"/>
      <c r="M2551" s="6"/>
      <c r="N2551" s="6"/>
      <c r="O2551" s="6"/>
      <c r="P2551" s="5"/>
      <c r="Q2551" s="9"/>
      <c r="R2551" s="5"/>
      <c r="S2551" s="5"/>
      <c r="T2551" s="5"/>
      <c r="U2551" s="5"/>
      <c r="V2551" s="5"/>
      <c r="W2551" s="5"/>
      <c r="X2551" s="5"/>
      <c r="Y2551" s="9"/>
      <c r="Z2551" s="2"/>
    </row>
    <row r="2552" spans="1:26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3"/>
      <c r="M2552" s="6"/>
      <c r="N2552" s="6"/>
      <c r="O2552" s="6"/>
      <c r="P2552" s="5"/>
      <c r="Q2552" s="9"/>
      <c r="R2552" s="5"/>
      <c r="S2552" s="5"/>
      <c r="T2552" s="5"/>
      <c r="U2552" s="5"/>
      <c r="V2552" s="5"/>
      <c r="W2552" s="5"/>
      <c r="X2552" s="5"/>
      <c r="Y2552" s="9"/>
      <c r="Z2552" s="2"/>
    </row>
    <row r="2553" spans="1:26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3"/>
      <c r="M2553" s="6"/>
      <c r="N2553" s="6"/>
      <c r="O2553" s="6"/>
      <c r="P2553" s="5"/>
      <c r="Q2553" s="9"/>
      <c r="R2553" s="5"/>
      <c r="S2553" s="5"/>
      <c r="T2553" s="5"/>
      <c r="U2553" s="5"/>
      <c r="V2553" s="5"/>
      <c r="W2553" s="5"/>
      <c r="X2553" s="5"/>
      <c r="Y2553" s="9"/>
      <c r="Z2553" s="2"/>
    </row>
    <row r="2554" spans="1:26">
      <c r="A2554" s="4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3"/>
      <c r="M2554" s="6"/>
      <c r="N2554" s="6"/>
      <c r="O2554" s="6"/>
      <c r="P2554" s="5"/>
      <c r="Q2554" s="9"/>
      <c r="R2554" s="5"/>
      <c r="S2554" s="5"/>
      <c r="T2554" s="5"/>
      <c r="U2554" s="5"/>
      <c r="V2554" s="5"/>
      <c r="W2554" s="5"/>
      <c r="X2554" s="5"/>
      <c r="Y2554" s="9"/>
      <c r="Z2554" s="2"/>
    </row>
    <row r="2555" spans="1:26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3"/>
      <c r="M2555" s="6"/>
      <c r="N2555" s="6"/>
      <c r="O2555" s="6"/>
      <c r="P2555" s="5"/>
      <c r="Q2555" s="9"/>
      <c r="R2555" s="5"/>
      <c r="S2555" s="5"/>
      <c r="T2555" s="5"/>
      <c r="U2555" s="5"/>
      <c r="V2555" s="5"/>
      <c r="W2555" s="5"/>
      <c r="X2555" s="5"/>
      <c r="Y2555" s="9"/>
      <c r="Z2555" s="2"/>
    </row>
    <row r="2556" spans="1:26">
      <c r="A2556" s="4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3"/>
      <c r="M2556" s="6"/>
      <c r="N2556" s="6"/>
      <c r="O2556" s="6"/>
      <c r="P2556" s="5"/>
      <c r="Q2556" s="9"/>
      <c r="R2556" s="5"/>
      <c r="S2556" s="5"/>
      <c r="T2556" s="5"/>
      <c r="U2556" s="5"/>
      <c r="V2556" s="5"/>
      <c r="W2556" s="5"/>
      <c r="X2556" s="5"/>
      <c r="Y2556" s="9"/>
      <c r="Z2556" s="2"/>
    </row>
    <row r="2557" spans="1:26">
      <c r="A2557" s="4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3"/>
      <c r="M2557" s="6"/>
      <c r="N2557" s="6"/>
      <c r="O2557" s="6"/>
      <c r="P2557" s="5"/>
      <c r="Q2557" s="9"/>
      <c r="R2557" s="5"/>
      <c r="S2557" s="5"/>
      <c r="T2557" s="5"/>
      <c r="U2557" s="5"/>
      <c r="V2557" s="5"/>
      <c r="W2557" s="5"/>
      <c r="X2557" s="5"/>
      <c r="Y2557" s="9"/>
      <c r="Z2557" s="2"/>
    </row>
    <row r="2558" spans="1:26">
      <c r="A2558" s="4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3"/>
      <c r="M2558" s="6"/>
      <c r="N2558" s="6"/>
      <c r="O2558" s="6"/>
      <c r="P2558" s="5"/>
      <c r="Q2558" s="9"/>
      <c r="R2558" s="5"/>
      <c r="S2558" s="5"/>
      <c r="T2558" s="5"/>
      <c r="U2558" s="5"/>
      <c r="V2558" s="5"/>
      <c r="W2558" s="5"/>
      <c r="X2558" s="5"/>
      <c r="Y2558" s="9"/>
      <c r="Z2558" s="2"/>
    </row>
    <row r="2559" spans="1:26">
      <c r="A2559" s="4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3"/>
      <c r="M2559" s="6"/>
      <c r="N2559" s="6"/>
      <c r="O2559" s="6"/>
      <c r="P2559" s="5"/>
      <c r="Q2559" s="9"/>
      <c r="R2559" s="5"/>
      <c r="S2559" s="5"/>
      <c r="T2559" s="5"/>
      <c r="U2559" s="5"/>
      <c r="V2559" s="5"/>
      <c r="W2559" s="5"/>
      <c r="X2559" s="5"/>
      <c r="Y2559" s="9"/>
      <c r="Z2559" s="2"/>
    </row>
    <row r="2560" spans="1:26">
      <c r="A2560" s="4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3"/>
      <c r="M2560" s="6"/>
      <c r="N2560" s="6"/>
      <c r="O2560" s="6"/>
      <c r="P2560" s="5"/>
      <c r="Q2560" s="9"/>
      <c r="R2560" s="5"/>
      <c r="S2560" s="5"/>
      <c r="T2560" s="5"/>
      <c r="U2560" s="5"/>
      <c r="V2560" s="5"/>
      <c r="W2560" s="5"/>
      <c r="X2560" s="5"/>
      <c r="Y2560" s="9"/>
      <c r="Z2560" s="2"/>
    </row>
    <row r="2561" spans="1:26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3"/>
      <c r="M2561" s="6"/>
      <c r="N2561" s="6"/>
      <c r="O2561" s="6"/>
      <c r="P2561" s="5"/>
      <c r="Q2561" s="9"/>
      <c r="R2561" s="5"/>
      <c r="S2561" s="5"/>
      <c r="T2561" s="5"/>
      <c r="U2561" s="5"/>
      <c r="V2561" s="5"/>
      <c r="W2561" s="5"/>
      <c r="X2561" s="5"/>
      <c r="Y2561" s="9"/>
      <c r="Z2561" s="2"/>
    </row>
    <row r="2562" spans="1:26">
      <c r="A2562" s="4"/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3"/>
      <c r="M2562" s="6"/>
      <c r="N2562" s="6"/>
      <c r="O2562" s="6"/>
      <c r="P2562" s="5"/>
      <c r="Q2562" s="9"/>
      <c r="R2562" s="5"/>
      <c r="S2562" s="5"/>
      <c r="T2562" s="5"/>
      <c r="U2562" s="5"/>
      <c r="V2562" s="5"/>
      <c r="W2562" s="5"/>
      <c r="X2562" s="5"/>
      <c r="Y2562" s="9"/>
      <c r="Z2562" s="2"/>
    </row>
    <row r="2563" spans="1:26">
      <c r="A2563" s="4"/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3"/>
      <c r="M2563" s="6"/>
      <c r="N2563" s="6"/>
      <c r="O2563" s="6"/>
      <c r="P2563" s="5"/>
      <c r="Q2563" s="9"/>
      <c r="R2563" s="5"/>
      <c r="S2563" s="5"/>
      <c r="T2563" s="5"/>
      <c r="U2563" s="5"/>
      <c r="V2563" s="5"/>
      <c r="W2563" s="5"/>
      <c r="X2563" s="5"/>
      <c r="Y2563" s="9"/>
      <c r="Z2563" s="2"/>
    </row>
    <row r="2564" spans="1:26">
      <c r="A2564" s="4"/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3"/>
      <c r="M2564" s="6"/>
      <c r="N2564" s="6"/>
      <c r="O2564" s="6"/>
      <c r="P2564" s="5"/>
      <c r="Q2564" s="9"/>
      <c r="R2564" s="5"/>
      <c r="S2564" s="5"/>
      <c r="T2564" s="5"/>
      <c r="U2564" s="5"/>
      <c r="V2564" s="5"/>
      <c r="W2564" s="5"/>
      <c r="X2564" s="5"/>
      <c r="Y2564" s="9"/>
      <c r="Z2564" s="2"/>
    </row>
    <row r="2565" spans="1:26">
      <c r="A2565" s="4"/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3"/>
      <c r="M2565" s="6"/>
      <c r="N2565" s="6"/>
      <c r="O2565" s="6"/>
      <c r="P2565" s="5"/>
      <c r="Q2565" s="9"/>
      <c r="R2565" s="5"/>
      <c r="S2565" s="5"/>
      <c r="T2565" s="5"/>
      <c r="U2565" s="5"/>
      <c r="V2565" s="5"/>
      <c r="W2565" s="5"/>
      <c r="X2565" s="5"/>
      <c r="Y2565" s="9"/>
      <c r="Z2565" s="2"/>
    </row>
    <row r="2566" spans="1:26">
      <c r="A2566" s="4"/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3"/>
      <c r="M2566" s="6"/>
      <c r="N2566" s="6"/>
      <c r="O2566" s="6"/>
      <c r="P2566" s="5"/>
      <c r="Q2566" s="9"/>
      <c r="R2566" s="5"/>
      <c r="S2566" s="5"/>
      <c r="T2566" s="5"/>
      <c r="U2566" s="5"/>
      <c r="V2566" s="5"/>
      <c r="W2566" s="5"/>
      <c r="X2566" s="5"/>
      <c r="Y2566" s="9"/>
      <c r="Z2566" s="2"/>
    </row>
    <row r="2567" spans="1:26">
      <c r="A2567" s="4"/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3"/>
      <c r="M2567" s="6"/>
      <c r="N2567" s="6"/>
      <c r="O2567" s="6"/>
      <c r="P2567" s="5"/>
      <c r="Q2567" s="9"/>
      <c r="R2567" s="5"/>
      <c r="S2567" s="5"/>
      <c r="T2567" s="5"/>
      <c r="U2567" s="5"/>
      <c r="V2567" s="5"/>
      <c r="W2567" s="5"/>
      <c r="X2567" s="5"/>
      <c r="Y2567" s="9"/>
      <c r="Z2567" s="2"/>
    </row>
    <row r="2568" spans="1:26">
      <c r="A2568" s="4"/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3"/>
      <c r="M2568" s="6"/>
      <c r="N2568" s="6"/>
      <c r="O2568" s="6"/>
      <c r="P2568" s="5"/>
      <c r="Q2568" s="9"/>
      <c r="R2568" s="5"/>
      <c r="S2568" s="5"/>
      <c r="T2568" s="5"/>
      <c r="U2568" s="5"/>
      <c r="V2568" s="5"/>
      <c r="W2568" s="5"/>
      <c r="X2568" s="5"/>
      <c r="Y2568" s="9"/>
      <c r="Z2568" s="2"/>
    </row>
    <row r="2569" spans="1:26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3"/>
      <c r="M2569" s="6"/>
      <c r="N2569" s="6"/>
      <c r="O2569" s="6"/>
      <c r="P2569" s="5"/>
      <c r="Q2569" s="9"/>
      <c r="R2569" s="5"/>
      <c r="S2569" s="5"/>
      <c r="T2569" s="5"/>
      <c r="U2569" s="5"/>
      <c r="V2569" s="5"/>
      <c r="W2569" s="5"/>
      <c r="X2569" s="5"/>
      <c r="Y2569" s="9"/>
      <c r="Z2569" s="2"/>
    </row>
    <row r="2570" spans="1:26">
      <c r="A2570" s="4"/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3"/>
      <c r="M2570" s="6"/>
      <c r="N2570" s="6"/>
      <c r="O2570" s="6"/>
      <c r="P2570" s="5"/>
      <c r="Q2570" s="9"/>
      <c r="R2570" s="5"/>
      <c r="S2570" s="5"/>
      <c r="T2570" s="5"/>
      <c r="U2570" s="5"/>
      <c r="V2570" s="5"/>
      <c r="W2570" s="5"/>
      <c r="X2570" s="5"/>
      <c r="Y2570" s="9"/>
      <c r="Z2570" s="2"/>
    </row>
    <row r="2571" spans="1:26">
      <c r="A2571" s="4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3"/>
      <c r="M2571" s="6"/>
      <c r="N2571" s="6"/>
      <c r="O2571" s="6"/>
      <c r="P2571" s="5"/>
      <c r="Q2571" s="9"/>
      <c r="R2571" s="5"/>
      <c r="S2571" s="5"/>
      <c r="T2571" s="5"/>
      <c r="U2571" s="5"/>
      <c r="V2571" s="5"/>
      <c r="W2571" s="5"/>
      <c r="X2571" s="5"/>
      <c r="Y2571" s="9"/>
      <c r="Z2571" s="2"/>
    </row>
    <row r="2572" spans="1:26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3"/>
      <c r="M2572" s="6"/>
      <c r="N2572" s="6"/>
      <c r="O2572" s="6"/>
      <c r="P2572" s="5"/>
      <c r="Q2572" s="9"/>
      <c r="R2572" s="5"/>
      <c r="S2572" s="5"/>
      <c r="T2572" s="5"/>
      <c r="U2572" s="5"/>
      <c r="V2572" s="5"/>
      <c r="W2572" s="5"/>
      <c r="X2572" s="5"/>
      <c r="Y2572" s="9"/>
      <c r="Z2572" s="2"/>
    </row>
    <row r="2573" spans="1:26">
      <c r="A2573" s="4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3"/>
      <c r="M2573" s="6"/>
      <c r="N2573" s="6"/>
      <c r="O2573" s="6"/>
      <c r="P2573" s="5"/>
      <c r="Q2573" s="9"/>
      <c r="R2573" s="5"/>
      <c r="S2573" s="5"/>
      <c r="T2573" s="5"/>
      <c r="U2573" s="5"/>
      <c r="V2573" s="5"/>
      <c r="W2573" s="5"/>
      <c r="X2573" s="5"/>
      <c r="Y2573" s="9"/>
      <c r="Z2573" s="2"/>
    </row>
    <row r="2574" spans="1:26">
      <c r="A2574" s="4"/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3"/>
      <c r="M2574" s="6"/>
      <c r="N2574" s="6"/>
      <c r="O2574" s="6"/>
      <c r="P2574" s="5"/>
      <c r="Q2574" s="9"/>
      <c r="R2574" s="5"/>
      <c r="S2574" s="5"/>
      <c r="T2574" s="5"/>
      <c r="U2574" s="5"/>
      <c r="V2574" s="5"/>
      <c r="W2574" s="5"/>
      <c r="X2574" s="5"/>
      <c r="Y2574" s="9"/>
      <c r="Z2574" s="2"/>
    </row>
    <row r="2575" spans="1:26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3"/>
      <c r="M2575" s="6"/>
      <c r="N2575" s="6"/>
      <c r="O2575" s="6"/>
      <c r="P2575" s="5"/>
      <c r="Q2575" s="9"/>
      <c r="R2575" s="5"/>
      <c r="S2575" s="5"/>
      <c r="T2575" s="5"/>
      <c r="U2575" s="5"/>
      <c r="V2575" s="5"/>
      <c r="W2575" s="5"/>
      <c r="X2575" s="5"/>
      <c r="Y2575" s="9"/>
      <c r="Z2575" s="2"/>
    </row>
    <row r="2576" spans="1:26">
      <c r="A2576" s="4"/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3"/>
      <c r="M2576" s="6"/>
      <c r="N2576" s="6"/>
      <c r="O2576" s="6"/>
      <c r="P2576" s="5"/>
      <c r="Q2576" s="9"/>
      <c r="R2576" s="5"/>
      <c r="S2576" s="5"/>
      <c r="T2576" s="5"/>
      <c r="U2576" s="5"/>
      <c r="V2576" s="5"/>
      <c r="W2576" s="5"/>
      <c r="X2576" s="5"/>
      <c r="Y2576" s="9"/>
      <c r="Z2576" s="2"/>
    </row>
    <row r="2577" spans="1:26">
      <c r="A2577" s="4"/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3"/>
      <c r="M2577" s="6"/>
      <c r="N2577" s="6"/>
      <c r="O2577" s="6"/>
      <c r="P2577" s="5"/>
      <c r="Q2577" s="9"/>
      <c r="R2577" s="5"/>
      <c r="S2577" s="5"/>
      <c r="T2577" s="5"/>
      <c r="U2577" s="5"/>
      <c r="V2577" s="5"/>
      <c r="W2577" s="5"/>
      <c r="X2577" s="5"/>
      <c r="Y2577" s="9"/>
      <c r="Z2577" s="2"/>
    </row>
    <row r="2578" spans="1:26">
      <c r="A2578" s="4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3"/>
      <c r="M2578" s="6"/>
      <c r="N2578" s="6"/>
      <c r="O2578" s="6"/>
      <c r="P2578" s="5"/>
      <c r="Q2578" s="9"/>
      <c r="R2578" s="5"/>
      <c r="S2578" s="5"/>
      <c r="T2578" s="5"/>
      <c r="U2578" s="5"/>
      <c r="V2578" s="5"/>
      <c r="W2578" s="5"/>
      <c r="X2578" s="5"/>
      <c r="Y2578" s="9"/>
      <c r="Z2578" s="2"/>
    </row>
    <row r="2579" spans="1:26">
      <c r="A2579" s="4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3"/>
      <c r="M2579" s="6"/>
      <c r="N2579" s="6"/>
      <c r="O2579" s="6"/>
      <c r="P2579" s="5"/>
      <c r="Q2579" s="9"/>
      <c r="R2579" s="5"/>
      <c r="S2579" s="5"/>
      <c r="T2579" s="5"/>
      <c r="U2579" s="5"/>
      <c r="V2579" s="5"/>
      <c r="W2579" s="5"/>
      <c r="X2579" s="5"/>
      <c r="Y2579" s="9"/>
      <c r="Z2579" s="2"/>
    </row>
    <row r="2580" spans="1:26">
      <c r="A2580" s="4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3"/>
      <c r="M2580" s="6"/>
      <c r="N2580" s="6"/>
      <c r="O2580" s="6"/>
      <c r="P2580" s="5"/>
      <c r="Q2580" s="9"/>
      <c r="R2580" s="5"/>
      <c r="S2580" s="5"/>
      <c r="T2580" s="5"/>
      <c r="U2580" s="5"/>
      <c r="V2580" s="5"/>
      <c r="W2580" s="5"/>
      <c r="X2580" s="5"/>
      <c r="Y2580" s="9"/>
      <c r="Z2580" s="2"/>
    </row>
    <row r="2581" spans="1:26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3"/>
      <c r="M2581" s="6"/>
      <c r="N2581" s="6"/>
      <c r="O2581" s="6"/>
      <c r="P2581" s="5"/>
      <c r="Q2581" s="9"/>
      <c r="R2581" s="5"/>
      <c r="S2581" s="5"/>
      <c r="T2581" s="5"/>
      <c r="U2581" s="5"/>
      <c r="V2581" s="5"/>
      <c r="W2581" s="5"/>
      <c r="X2581" s="5"/>
      <c r="Y2581" s="9"/>
      <c r="Z2581" s="2"/>
    </row>
    <row r="2582" spans="1:26">
      <c r="A2582" s="4"/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3"/>
      <c r="M2582" s="6"/>
      <c r="N2582" s="6"/>
      <c r="O2582" s="6"/>
      <c r="P2582" s="5"/>
      <c r="Q2582" s="9"/>
      <c r="R2582" s="5"/>
      <c r="S2582" s="5"/>
      <c r="T2582" s="5"/>
      <c r="U2582" s="5"/>
      <c r="V2582" s="5"/>
      <c r="W2582" s="5"/>
      <c r="X2582" s="5"/>
      <c r="Y2582" s="9"/>
      <c r="Z2582" s="2"/>
    </row>
    <row r="2583" spans="1:26">
      <c r="A2583" s="4"/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3"/>
      <c r="M2583" s="6"/>
      <c r="N2583" s="6"/>
      <c r="O2583" s="6"/>
      <c r="P2583" s="5"/>
      <c r="Q2583" s="9"/>
      <c r="R2583" s="5"/>
      <c r="S2583" s="5"/>
      <c r="T2583" s="5"/>
      <c r="U2583" s="5"/>
      <c r="V2583" s="5"/>
      <c r="W2583" s="5"/>
      <c r="X2583" s="5"/>
      <c r="Y2583" s="9"/>
      <c r="Z2583" s="2"/>
    </row>
    <row r="2584" spans="1:26">
      <c r="A2584" s="4"/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3"/>
      <c r="M2584" s="6"/>
      <c r="N2584" s="6"/>
      <c r="O2584" s="6"/>
      <c r="P2584" s="5"/>
      <c r="Q2584" s="9"/>
      <c r="R2584" s="5"/>
      <c r="S2584" s="5"/>
      <c r="T2584" s="5"/>
      <c r="U2584" s="5"/>
      <c r="V2584" s="5"/>
      <c r="W2584" s="5"/>
      <c r="X2584" s="5"/>
      <c r="Y2584" s="9"/>
      <c r="Z2584" s="2"/>
    </row>
    <row r="2585" spans="1:26">
      <c r="A2585" s="4"/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3"/>
      <c r="M2585" s="6"/>
      <c r="N2585" s="6"/>
      <c r="O2585" s="6"/>
      <c r="P2585" s="5"/>
      <c r="Q2585" s="9"/>
      <c r="R2585" s="5"/>
      <c r="S2585" s="5"/>
      <c r="T2585" s="5"/>
      <c r="U2585" s="5"/>
      <c r="V2585" s="5"/>
      <c r="W2585" s="5"/>
      <c r="X2585" s="5"/>
      <c r="Y2585" s="9"/>
      <c r="Z2585" s="2"/>
    </row>
    <row r="2586" spans="1:26">
      <c r="A2586" s="4"/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3"/>
      <c r="M2586" s="6"/>
      <c r="N2586" s="6"/>
      <c r="O2586" s="6"/>
      <c r="P2586" s="5"/>
      <c r="Q2586" s="9"/>
      <c r="R2586" s="5"/>
      <c r="S2586" s="5"/>
      <c r="T2586" s="5"/>
      <c r="U2586" s="5"/>
      <c r="V2586" s="5"/>
      <c r="W2586" s="5"/>
      <c r="X2586" s="5"/>
      <c r="Y2586" s="9"/>
      <c r="Z2586" s="2"/>
    </row>
    <row r="2587" spans="1:26">
      <c r="A2587" s="4"/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3"/>
      <c r="M2587" s="6"/>
      <c r="N2587" s="6"/>
      <c r="O2587" s="6"/>
      <c r="P2587" s="5"/>
      <c r="Q2587" s="9"/>
      <c r="R2587" s="5"/>
      <c r="S2587" s="5"/>
      <c r="T2587" s="5"/>
      <c r="U2587" s="5"/>
      <c r="V2587" s="5"/>
      <c r="W2587" s="5"/>
      <c r="X2587" s="5"/>
      <c r="Y2587" s="9"/>
      <c r="Z2587" s="2"/>
    </row>
    <row r="2588" spans="1:26">
      <c r="A2588" s="4"/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3"/>
      <c r="M2588" s="6"/>
      <c r="N2588" s="6"/>
      <c r="O2588" s="6"/>
      <c r="P2588" s="5"/>
      <c r="Q2588" s="9"/>
      <c r="R2588" s="5"/>
      <c r="S2588" s="5"/>
      <c r="T2588" s="5"/>
      <c r="U2588" s="5"/>
      <c r="V2588" s="5"/>
      <c r="W2588" s="5"/>
      <c r="X2588" s="5"/>
      <c r="Y2588" s="9"/>
      <c r="Z2588" s="2"/>
    </row>
    <row r="2589" spans="1:26">
      <c r="A2589" s="4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3"/>
      <c r="M2589" s="6"/>
      <c r="N2589" s="6"/>
      <c r="O2589" s="6"/>
      <c r="P2589" s="5"/>
      <c r="Q2589" s="9"/>
      <c r="R2589" s="5"/>
      <c r="S2589" s="5"/>
      <c r="T2589" s="5"/>
      <c r="U2589" s="5"/>
      <c r="V2589" s="5"/>
      <c r="W2589" s="5"/>
      <c r="X2589" s="5"/>
      <c r="Y2589" s="9"/>
      <c r="Z2589" s="2"/>
    </row>
    <row r="2590" spans="1:26">
      <c r="A2590" s="4"/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3"/>
      <c r="M2590" s="6"/>
      <c r="N2590" s="6"/>
      <c r="O2590" s="6"/>
      <c r="P2590" s="5"/>
      <c r="Q2590" s="9"/>
      <c r="R2590" s="5"/>
      <c r="S2590" s="5"/>
      <c r="T2590" s="5"/>
      <c r="U2590" s="5"/>
      <c r="V2590" s="5"/>
      <c r="W2590" s="5"/>
      <c r="X2590" s="5"/>
      <c r="Y2590" s="9"/>
      <c r="Z2590" s="2"/>
    </row>
    <row r="2591" spans="1:26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3"/>
      <c r="M2591" s="6"/>
      <c r="N2591" s="6"/>
      <c r="O2591" s="6"/>
      <c r="P2591" s="5"/>
      <c r="Q2591" s="9"/>
      <c r="R2591" s="5"/>
      <c r="S2591" s="5"/>
      <c r="T2591" s="5"/>
      <c r="U2591" s="5"/>
      <c r="V2591" s="5"/>
      <c r="W2591" s="5"/>
      <c r="X2591" s="5"/>
      <c r="Y2591" s="9"/>
      <c r="Z2591" s="2"/>
    </row>
    <row r="2592" spans="1:26">
      <c r="A2592" s="4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3"/>
      <c r="M2592" s="6"/>
      <c r="N2592" s="6"/>
      <c r="O2592" s="6"/>
      <c r="P2592" s="5"/>
      <c r="Q2592" s="9"/>
      <c r="R2592" s="5"/>
      <c r="S2592" s="5"/>
      <c r="T2592" s="5"/>
      <c r="U2592" s="5"/>
      <c r="V2592" s="5"/>
      <c r="W2592" s="5"/>
      <c r="X2592" s="5"/>
      <c r="Y2592" s="9"/>
      <c r="Z2592" s="2"/>
    </row>
    <row r="2593" spans="1:26">
      <c r="A2593" s="4"/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3"/>
      <c r="M2593" s="6"/>
      <c r="N2593" s="6"/>
      <c r="O2593" s="6"/>
      <c r="P2593" s="5"/>
      <c r="Q2593" s="9"/>
      <c r="R2593" s="5"/>
      <c r="S2593" s="5"/>
      <c r="T2593" s="5"/>
      <c r="U2593" s="5"/>
      <c r="V2593" s="5"/>
      <c r="W2593" s="5"/>
      <c r="X2593" s="5"/>
      <c r="Y2593" s="9"/>
      <c r="Z2593" s="2"/>
    </row>
    <row r="2594" spans="1:26">
      <c r="A2594" s="4"/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3"/>
      <c r="M2594" s="6"/>
      <c r="N2594" s="6"/>
      <c r="O2594" s="6"/>
      <c r="P2594" s="5"/>
      <c r="Q2594" s="9"/>
      <c r="R2594" s="5"/>
      <c r="S2594" s="5"/>
      <c r="T2594" s="5"/>
      <c r="U2594" s="5"/>
      <c r="V2594" s="5"/>
      <c r="W2594" s="5"/>
      <c r="X2594" s="5"/>
      <c r="Y2594" s="9"/>
      <c r="Z2594" s="2"/>
    </row>
    <row r="2595" spans="1:26">
      <c r="A2595" s="4"/>
      <c r="B2595" s="4"/>
      <c r="C2595" s="4"/>
      <c r="D2595" s="4"/>
      <c r="E2595" s="4"/>
      <c r="F2595" s="4"/>
      <c r="G2595" s="4"/>
      <c r="H2595" s="4"/>
      <c r="I2595" s="4"/>
      <c r="J2595" s="4"/>
      <c r="K2595" s="4"/>
      <c r="L2595" s="3"/>
      <c r="M2595" s="6"/>
      <c r="N2595" s="6"/>
      <c r="O2595" s="6"/>
      <c r="P2595" s="5"/>
      <c r="Q2595" s="9"/>
      <c r="R2595" s="5"/>
      <c r="S2595" s="5"/>
      <c r="T2595" s="5"/>
      <c r="U2595" s="5"/>
      <c r="V2595" s="5"/>
      <c r="W2595" s="5"/>
      <c r="X2595" s="5"/>
      <c r="Y2595" s="9"/>
      <c r="Z2595" s="2"/>
    </row>
    <row r="2596" spans="1:26">
      <c r="A2596" s="4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3"/>
      <c r="M2596" s="6"/>
      <c r="N2596" s="6"/>
      <c r="O2596" s="6"/>
      <c r="P2596" s="5"/>
      <c r="Q2596" s="9"/>
      <c r="R2596" s="5"/>
      <c r="S2596" s="5"/>
      <c r="T2596" s="5"/>
      <c r="U2596" s="5"/>
      <c r="V2596" s="5"/>
      <c r="W2596" s="5"/>
      <c r="X2596" s="5"/>
      <c r="Y2596" s="9"/>
      <c r="Z2596" s="2"/>
    </row>
    <row r="2597" spans="1:26">
      <c r="A2597" s="4"/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3"/>
      <c r="M2597" s="6"/>
      <c r="N2597" s="6"/>
      <c r="O2597" s="6"/>
      <c r="P2597" s="5"/>
      <c r="Q2597" s="9"/>
      <c r="R2597" s="5"/>
      <c r="S2597" s="5"/>
      <c r="T2597" s="5"/>
      <c r="U2597" s="5"/>
      <c r="V2597" s="5"/>
      <c r="W2597" s="5"/>
      <c r="X2597" s="5"/>
      <c r="Y2597" s="9"/>
      <c r="Z2597" s="2"/>
    </row>
    <row r="2598" spans="1:26">
      <c r="A2598" s="4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3"/>
      <c r="M2598" s="6"/>
      <c r="N2598" s="6"/>
      <c r="O2598" s="6"/>
      <c r="P2598" s="5"/>
      <c r="Q2598" s="9"/>
      <c r="R2598" s="5"/>
      <c r="S2598" s="5"/>
      <c r="T2598" s="5"/>
      <c r="U2598" s="5"/>
      <c r="V2598" s="5"/>
      <c r="W2598" s="5"/>
      <c r="X2598" s="5"/>
      <c r="Y2598" s="9"/>
      <c r="Z2598" s="2"/>
    </row>
    <row r="2599" spans="1:26">
      <c r="A2599" s="4"/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3"/>
      <c r="M2599" s="6"/>
      <c r="N2599" s="6"/>
      <c r="O2599" s="6"/>
      <c r="P2599" s="5"/>
      <c r="Q2599" s="9"/>
      <c r="R2599" s="5"/>
      <c r="S2599" s="5"/>
      <c r="T2599" s="5"/>
      <c r="U2599" s="5"/>
      <c r="V2599" s="5"/>
      <c r="W2599" s="5"/>
      <c r="X2599" s="5"/>
      <c r="Y2599" s="9"/>
      <c r="Z2599" s="2"/>
    </row>
    <row r="2600" spans="1:26">
      <c r="A2600" s="4"/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3"/>
      <c r="M2600" s="6"/>
      <c r="N2600" s="6"/>
      <c r="O2600" s="6"/>
      <c r="P2600" s="5"/>
      <c r="Q2600" s="9"/>
      <c r="R2600" s="5"/>
      <c r="S2600" s="5"/>
      <c r="T2600" s="5"/>
      <c r="U2600" s="5"/>
      <c r="V2600" s="5"/>
      <c r="W2600" s="5"/>
      <c r="X2600" s="5"/>
      <c r="Y2600" s="9"/>
      <c r="Z2600" s="2"/>
    </row>
    <row r="2601" spans="1:26">
      <c r="A2601" s="4"/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3"/>
      <c r="M2601" s="6"/>
      <c r="N2601" s="6"/>
      <c r="O2601" s="6"/>
      <c r="P2601" s="5"/>
      <c r="Q2601" s="9"/>
      <c r="R2601" s="5"/>
      <c r="S2601" s="5"/>
      <c r="T2601" s="5"/>
      <c r="U2601" s="5"/>
      <c r="V2601" s="5"/>
      <c r="W2601" s="5"/>
      <c r="X2601" s="5"/>
      <c r="Y2601" s="9"/>
      <c r="Z2601" s="2"/>
    </row>
    <row r="2602" spans="1:26">
      <c r="A2602" s="4"/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3"/>
      <c r="M2602" s="6"/>
      <c r="N2602" s="6"/>
      <c r="O2602" s="6"/>
      <c r="P2602" s="5"/>
      <c r="Q2602" s="9"/>
      <c r="R2602" s="5"/>
      <c r="S2602" s="5"/>
      <c r="T2602" s="5"/>
      <c r="U2602" s="5"/>
      <c r="V2602" s="5"/>
      <c r="W2602" s="5"/>
      <c r="X2602" s="5"/>
      <c r="Y2602" s="9"/>
      <c r="Z2602" s="2"/>
    </row>
    <row r="2603" spans="1:26">
      <c r="A2603" s="4"/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3"/>
      <c r="M2603" s="6"/>
      <c r="N2603" s="6"/>
      <c r="O2603" s="6"/>
      <c r="P2603" s="5"/>
      <c r="Q2603" s="9"/>
      <c r="R2603" s="5"/>
      <c r="S2603" s="5"/>
      <c r="T2603" s="5"/>
      <c r="U2603" s="5"/>
      <c r="V2603" s="5"/>
      <c r="W2603" s="5"/>
      <c r="X2603" s="5"/>
      <c r="Y2603" s="9"/>
      <c r="Z2603" s="2"/>
    </row>
    <row r="2604" spans="1:26">
      <c r="A2604" s="4"/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3"/>
      <c r="M2604" s="6"/>
      <c r="N2604" s="6"/>
      <c r="O2604" s="6"/>
      <c r="P2604" s="5"/>
      <c r="Q2604" s="9"/>
      <c r="R2604" s="5"/>
      <c r="S2604" s="5"/>
      <c r="T2604" s="5"/>
      <c r="U2604" s="5"/>
      <c r="V2604" s="5"/>
      <c r="W2604" s="5"/>
      <c r="X2604" s="5"/>
      <c r="Y2604" s="9"/>
      <c r="Z2604" s="2"/>
    </row>
    <row r="2605" spans="1:26">
      <c r="A2605" s="4"/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3"/>
      <c r="M2605" s="6"/>
      <c r="N2605" s="6"/>
      <c r="O2605" s="6"/>
      <c r="P2605" s="5"/>
      <c r="Q2605" s="9"/>
      <c r="R2605" s="5"/>
      <c r="S2605" s="5"/>
      <c r="T2605" s="5"/>
      <c r="U2605" s="5"/>
      <c r="V2605" s="5"/>
      <c r="W2605" s="5"/>
      <c r="X2605" s="5"/>
      <c r="Y2605" s="9"/>
      <c r="Z2605" s="2"/>
    </row>
    <row r="2606" spans="1:26">
      <c r="A2606" s="4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3"/>
      <c r="M2606" s="6"/>
      <c r="N2606" s="6"/>
      <c r="O2606" s="6"/>
      <c r="P2606" s="5"/>
      <c r="Q2606" s="9"/>
      <c r="R2606" s="5"/>
      <c r="S2606" s="5"/>
      <c r="T2606" s="5"/>
      <c r="U2606" s="5"/>
      <c r="V2606" s="5"/>
      <c r="W2606" s="5"/>
      <c r="X2606" s="5"/>
      <c r="Y2606" s="9"/>
      <c r="Z2606" s="2"/>
    </row>
    <row r="2607" spans="1:26">
      <c r="A2607" s="4"/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3"/>
      <c r="M2607" s="6"/>
      <c r="N2607" s="6"/>
      <c r="O2607" s="6"/>
      <c r="P2607" s="5"/>
      <c r="Q2607" s="9"/>
      <c r="R2607" s="5"/>
      <c r="S2607" s="5"/>
      <c r="T2607" s="5"/>
      <c r="U2607" s="5"/>
      <c r="V2607" s="5"/>
      <c r="W2607" s="5"/>
      <c r="X2607" s="5"/>
      <c r="Y2607" s="9"/>
      <c r="Z2607" s="2"/>
    </row>
    <row r="2608" spans="1:26">
      <c r="A2608" s="4"/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3"/>
      <c r="M2608" s="6"/>
      <c r="N2608" s="6"/>
      <c r="O2608" s="6"/>
      <c r="P2608" s="5"/>
      <c r="Q2608" s="9"/>
      <c r="R2608" s="5"/>
      <c r="S2608" s="5"/>
      <c r="T2608" s="5"/>
      <c r="U2608" s="5"/>
      <c r="V2608" s="5"/>
      <c r="W2608" s="5"/>
      <c r="X2608" s="5"/>
      <c r="Y2608" s="9"/>
      <c r="Z2608" s="2"/>
    </row>
    <row r="2609" spans="1:26">
      <c r="A2609" s="4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3"/>
      <c r="M2609" s="6"/>
      <c r="N2609" s="6"/>
      <c r="O2609" s="6"/>
      <c r="P2609" s="5"/>
      <c r="Q2609" s="9"/>
      <c r="R2609" s="5"/>
      <c r="S2609" s="5"/>
      <c r="T2609" s="5"/>
      <c r="U2609" s="5"/>
      <c r="V2609" s="5"/>
      <c r="W2609" s="5"/>
      <c r="X2609" s="5"/>
      <c r="Y2609" s="9"/>
      <c r="Z2609" s="2"/>
    </row>
    <row r="2610" spans="1:26">
      <c r="A2610" s="4"/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3"/>
      <c r="M2610" s="6"/>
      <c r="N2610" s="6"/>
      <c r="O2610" s="6"/>
      <c r="P2610" s="5"/>
      <c r="Q2610" s="9"/>
      <c r="R2610" s="5"/>
      <c r="S2610" s="5"/>
      <c r="T2610" s="5"/>
      <c r="U2610" s="5"/>
      <c r="V2610" s="5"/>
      <c r="W2610" s="5"/>
      <c r="X2610" s="5"/>
      <c r="Y2610" s="9"/>
      <c r="Z2610" s="2"/>
    </row>
    <row r="2611" spans="1:26">
      <c r="A2611" s="4"/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3"/>
      <c r="M2611" s="6"/>
      <c r="N2611" s="6"/>
      <c r="O2611" s="6"/>
      <c r="P2611" s="5"/>
      <c r="Q2611" s="9"/>
      <c r="R2611" s="5"/>
      <c r="S2611" s="5"/>
      <c r="T2611" s="5"/>
      <c r="U2611" s="5"/>
      <c r="V2611" s="5"/>
      <c r="W2611" s="5"/>
      <c r="X2611" s="5"/>
      <c r="Y2611" s="9"/>
      <c r="Z2611" s="2"/>
    </row>
    <row r="2612" spans="1:26">
      <c r="A2612" s="4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3"/>
      <c r="M2612" s="6"/>
      <c r="N2612" s="6"/>
      <c r="O2612" s="6"/>
      <c r="P2612" s="5"/>
      <c r="Q2612" s="9"/>
      <c r="R2612" s="5"/>
      <c r="S2612" s="5"/>
      <c r="T2612" s="5"/>
      <c r="U2612" s="5"/>
      <c r="V2612" s="5"/>
      <c r="W2612" s="5"/>
      <c r="X2612" s="5"/>
      <c r="Y2612" s="9"/>
      <c r="Z2612" s="2"/>
    </row>
    <row r="2613" spans="1:26">
      <c r="A2613" s="4"/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3"/>
      <c r="M2613" s="6"/>
      <c r="N2613" s="6"/>
      <c r="O2613" s="6"/>
      <c r="P2613" s="5"/>
      <c r="Q2613" s="9"/>
      <c r="R2613" s="5"/>
      <c r="S2613" s="5"/>
      <c r="T2613" s="5"/>
      <c r="U2613" s="5"/>
      <c r="V2613" s="5"/>
      <c r="W2613" s="5"/>
      <c r="X2613" s="5"/>
      <c r="Y2613" s="9"/>
      <c r="Z2613" s="2"/>
    </row>
    <row r="2614" spans="1:26">
      <c r="A2614" s="4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3"/>
      <c r="M2614" s="6"/>
      <c r="N2614" s="6"/>
      <c r="O2614" s="6"/>
      <c r="P2614" s="5"/>
      <c r="Q2614" s="9"/>
      <c r="R2614" s="5"/>
      <c r="S2614" s="5"/>
      <c r="T2614" s="5"/>
      <c r="U2614" s="5"/>
      <c r="V2614" s="5"/>
      <c r="W2614" s="5"/>
      <c r="X2614" s="5"/>
      <c r="Y2614" s="9"/>
      <c r="Z2614" s="2"/>
    </row>
    <row r="2615" spans="1:26">
      <c r="A2615" s="4"/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3"/>
      <c r="M2615" s="6"/>
      <c r="N2615" s="6"/>
      <c r="O2615" s="6"/>
      <c r="P2615" s="5"/>
      <c r="Q2615" s="9"/>
      <c r="R2615" s="5"/>
      <c r="S2615" s="5"/>
      <c r="T2615" s="5"/>
      <c r="U2615" s="5"/>
      <c r="V2615" s="5"/>
      <c r="W2615" s="5"/>
      <c r="X2615" s="5"/>
      <c r="Y2615" s="9"/>
      <c r="Z2615" s="2"/>
    </row>
    <row r="2616" spans="1:26">
      <c r="A2616" s="4"/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3"/>
      <c r="M2616" s="6"/>
      <c r="N2616" s="6"/>
      <c r="O2616" s="6"/>
      <c r="P2616" s="5"/>
      <c r="Q2616" s="9"/>
      <c r="R2616" s="5"/>
      <c r="S2616" s="5"/>
      <c r="T2616" s="5"/>
      <c r="U2616" s="5"/>
      <c r="V2616" s="5"/>
      <c r="W2616" s="5"/>
      <c r="X2616" s="5"/>
      <c r="Y2616" s="9"/>
      <c r="Z2616" s="2"/>
    </row>
    <row r="2617" spans="1:26">
      <c r="A2617" s="4"/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3"/>
      <c r="M2617" s="6"/>
      <c r="N2617" s="6"/>
      <c r="O2617" s="6"/>
      <c r="P2617" s="5"/>
      <c r="Q2617" s="9"/>
      <c r="R2617" s="5"/>
      <c r="S2617" s="5"/>
      <c r="T2617" s="5"/>
      <c r="U2617" s="5"/>
      <c r="V2617" s="5"/>
      <c r="W2617" s="5"/>
      <c r="X2617" s="5"/>
      <c r="Y2617" s="9"/>
      <c r="Z2617" s="2"/>
    </row>
    <row r="2618" spans="1:26">
      <c r="A2618" s="4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3"/>
      <c r="M2618" s="6"/>
      <c r="N2618" s="6"/>
      <c r="O2618" s="6"/>
      <c r="P2618" s="5"/>
      <c r="Q2618" s="9"/>
      <c r="R2618" s="5"/>
      <c r="S2618" s="5"/>
      <c r="T2618" s="5"/>
      <c r="U2618" s="5"/>
      <c r="V2618" s="5"/>
      <c r="W2618" s="5"/>
      <c r="X2618" s="5"/>
      <c r="Y2618" s="9"/>
      <c r="Z2618" s="2"/>
    </row>
    <row r="2619" spans="1:26">
      <c r="A2619" s="4"/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3"/>
      <c r="M2619" s="6"/>
      <c r="N2619" s="6"/>
      <c r="O2619" s="6"/>
      <c r="P2619" s="5"/>
      <c r="Q2619" s="9"/>
      <c r="R2619" s="5"/>
      <c r="S2619" s="5"/>
      <c r="T2619" s="5"/>
      <c r="U2619" s="5"/>
      <c r="V2619" s="5"/>
      <c r="W2619" s="5"/>
      <c r="X2619" s="5"/>
      <c r="Y2619" s="9"/>
      <c r="Z2619" s="2"/>
    </row>
    <row r="2620" spans="1:26">
      <c r="A2620" s="4"/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3"/>
      <c r="M2620" s="6"/>
      <c r="N2620" s="6"/>
      <c r="O2620" s="6"/>
      <c r="P2620" s="5"/>
      <c r="Q2620" s="9"/>
      <c r="R2620" s="5"/>
      <c r="S2620" s="5"/>
      <c r="T2620" s="5"/>
      <c r="U2620" s="5"/>
      <c r="V2620" s="5"/>
      <c r="W2620" s="5"/>
      <c r="X2620" s="5"/>
      <c r="Y2620" s="9"/>
      <c r="Z2620" s="2"/>
    </row>
    <row r="2621" spans="1:26">
      <c r="A2621" s="4"/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3"/>
      <c r="M2621" s="6"/>
      <c r="N2621" s="6"/>
      <c r="O2621" s="6"/>
      <c r="P2621" s="5"/>
      <c r="Q2621" s="9"/>
      <c r="R2621" s="5"/>
      <c r="S2621" s="5"/>
      <c r="T2621" s="5"/>
      <c r="U2621" s="5"/>
      <c r="V2621" s="5"/>
      <c r="W2621" s="5"/>
      <c r="X2621" s="5"/>
      <c r="Y2621" s="9"/>
      <c r="Z2621" s="2"/>
    </row>
    <row r="2622" spans="1:26">
      <c r="A2622" s="4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3"/>
      <c r="M2622" s="6"/>
      <c r="N2622" s="6"/>
      <c r="O2622" s="6"/>
      <c r="P2622" s="5"/>
      <c r="Q2622" s="9"/>
      <c r="R2622" s="5"/>
      <c r="S2622" s="5"/>
      <c r="T2622" s="5"/>
      <c r="U2622" s="5"/>
      <c r="V2622" s="5"/>
      <c r="W2622" s="5"/>
      <c r="X2622" s="5"/>
      <c r="Y2622" s="9"/>
      <c r="Z2622" s="2"/>
    </row>
    <row r="2623" spans="1:26">
      <c r="A2623" s="4"/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3"/>
      <c r="M2623" s="6"/>
      <c r="N2623" s="6"/>
      <c r="O2623" s="6"/>
      <c r="P2623" s="5"/>
      <c r="Q2623" s="9"/>
      <c r="R2623" s="5"/>
      <c r="S2623" s="5"/>
      <c r="T2623" s="5"/>
      <c r="U2623" s="5"/>
      <c r="V2623" s="5"/>
      <c r="W2623" s="5"/>
      <c r="X2623" s="5"/>
      <c r="Y2623" s="9"/>
      <c r="Z2623" s="2"/>
    </row>
    <row r="2624" spans="1:26">
      <c r="A2624" s="4"/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3"/>
      <c r="M2624" s="6"/>
      <c r="N2624" s="6"/>
      <c r="O2624" s="6"/>
      <c r="P2624" s="5"/>
      <c r="Q2624" s="9"/>
      <c r="R2624" s="5"/>
      <c r="S2624" s="5"/>
      <c r="T2624" s="5"/>
      <c r="U2624" s="5"/>
      <c r="V2624" s="5"/>
      <c r="W2624" s="5"/>
      <c r="X2624" s="5"/>
      <c r="Y2624" s="9"/>
      <c r="Z2624" s="2"/>
    </row>
    <row r="2625" spans="1:26">
      <c r="A2625" s="4"/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3"/>
      <c r="M2625" s="6"/>
      <c r="N2625" s="6"/>
      <c r="O2625" s="6"/>
      <c r="P2625" s="5"/>
      <c r="Q2625" s="9"/>
      <c r="R2625" s="5"/>
      <c r="S2625" s="5"/>
      <c r="T2625" s="5"/>
      <c r="U2625" s="5"/>
      <c r="V2625" s="5"/>
      <c r="W2625" s="5"/>
      <c r="X2625" s="5"/>
      <c r="Y2625" s="9"/>
      <c r="Z2625" s="2"/>
    </row>
    <row r="2626" spans="1:26">
      <c r="A2626" s="4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3"/>
      <c r="M2626" s="6"/>
      <c r="N2626" s="6"/>
      <c r="O2626" s="6"/>
      <c r="P2626" s="5"/>
      <c r="Q2626" s="9"/>
      <c r="R2626" s="5"/>
      <c r="S2626" s="5"/>
      <c r="T2626" s="5"/>
      <c r="U2626" s="5"/>
      <c r="V2626" s="5"/>
      <c r="W2626" s="5"/>
      <c r="X2626" s="5"/>
      <c r="Y2626" s="9"/>
      <c r="Z2626" s="2"/>
    </row>
    <row r="2627" spans="1:26">
      <c r="A2627" s="4"/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3"/>
      <c r="M2627" s="6"/>
      <c r="N2627" s="6"/>
      <c r="O2627" s="6"/>
      <c r="P2627" s="5"/>
      <c r="Q2627" s="9"/>
      <c r="R2627" s="5"/>
      <c r="S2627" s="5"/>
      <c r="T2627" s="5"/>
      <c r="U2627" s="5"/>
      <c r="V2627" s="5"/>
      <c r="W2627" s="5"/>
      <c r="X2627" s="5"/>
      <c r="Y2627" s="9"/>
      <c r="Z2627" s="2"/>
    </row>
    <row r="2628" spans="1:26">
      <c r="A2628" s="4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3"/>
      <c r="M2628" s="6"/>
      <c r="N2628" s="6"/>
      <c r="O2628" s="6"/>
      <c r="P2628" s="5"/>
      <c r="Q2628" s="9"/>
      <c r="R2628" s="5"/>
      <c r="S2628" s="5"/>
      <c r="T2628" s="5"/>
      <c r="U2628" s="5"/>
      <c r="V2628" s="5"/>
      <c r="W2628" s="5"/>
      <c r="X2628" s="5"/>
      <c r="Y2628" s="9"/>
      <c r="Z2628" s="2"/>
    </row>
    <row r="2629" spans="1:26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3"/>
      <c r="M2629" s="6"/>
      <c r="N2629" s="6"/>
      <c r="O2629" s="6"/>
      <c r="P2629" s="5"/>
      <c r="Q2629" s="9"/>
      <c r="R2629" s="5"/>
      <c r="S2629" s="5"/>
      <c r="T2629" s="5"/>
      <c r="U2629" s="5"/>
      <c r="V2629" s="5"/>
      <c r="W2629" s="5"/>
      <c r="X2629" s="5"/>
      <c r="Y2629" s="9"/>
      <c r="Z2629" s="2"/>
    </row>
    <row r="2630" spans="1:26">
      <c r="A2630" s="4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3"/>
      <c r="M2630" s="6"/>
      <c r="N2630" s="6"/>
      <c r="O2630" s="6"/>
      <c r="P2630" s="5"/>
      <c r="Q2630" s="9"/>
      <c r="R2630" s="5"/>
      <c r="S2630" s="5"/>
      <c r="T2630" s="5"/>
      <c r="U2630" s="5"/>
      <c r="V2630" s="5"/>
      <c r="W2630" s="5"/>
      <c r="X2630" s="5"/>
      <c r="Y2630" s="9"/>
      <c r="Z2630" s="2"/>
    </row>
    <row r="2631" spans="1:26">
      <c r="A2631" s="4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3"/>
      <c r="M2631" s="6"/>
      <c r="N2631" s="6"/>
      <c r="O2631" s="6"/>
      <c r="P2631" s="5"/>
      <c r="Q2631" s="9"/>
      <c r="R2631" s="5"/>
      <c r="S2631" s="5"/>
      <c r="T2631" s="5"/>
      <c r="U2631" s="5"/>
      <c r="V2631" s="5"/>
      <c r="W2631" s="5"/>
      <c r="X2631" s="5"/>
      <c r="Y2631" s="9"/>
      <c r="Z2631" s="2"/>
    </row>
    <row r="2632" spans="1:26">
      <c r="A2632" s="4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3"/>
      <c r="M2632" s="6"/>
      <c r="N2632" s="6"/>
      <c r="O2632" s="6"/>
      <c r="P2632" s="5"/>
      <c r="Q2632" s="9"/>
      <c r="R2632" s="5"/>
      <c r="S2632" s="5"/>
      <c r="T2632" s="5"/>
      <c r="U2632" s="5"/>
      <c r="V2632" s="5"/>
      <c r="W2632" s="5"/>
      <c r="X2632" s="5"/>
      <c r="Y2632" s="9"/>
      <c r="Z2632" s="2"/>
    </row>
    <row r="2633" spans="1:26">
      <c r="A2633" s="4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3"/>
      <c r="M2633" s="6"/>
      <c r="N2633" s="6"/>
      <c r="O2633" s="6"/>
      <c r="P2633" s="5"/>
      <c r="Q2633" s="9"/>
      <c r="R2633" s="5"/>
      <c r="S2633" s="5"/>
      <c r="T2633" s="5"/>
      <c r="U2633" s="5"/>
      <c r="V2633" s="5"/>
      <c r="W2633" s="5"/>
      <c r="X2633" s="5"/>
      <c r="Y2633" s="9"/>
      <c r="Z2633" s="2"/>
    </row>
    <row r="2634" spans="1:26">
      <c r="A2634" s="4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3"/>
      <c r="M2634" s="6"/>
      <c r="N2634" s="6"/>
      <c r="O2634" s="6"/>
      <c r="P2634" s="5"/>
      <c r="Q2634" s="9"/>
      <c r="R2634" s="5"/>
      <c r="S2634" s="5"/>
      <c r="T2634" s="5"/>
      <c r="U2634" s="5"/>
      <c r="V2634" s="5"/>
      <c r="W2634" s="5"/>
      <c r="X2634" s="5"/>
      <c r="Y2634" s="9"/>
      <c r="Z2634" s="2"/>
    </row>
    <row r="2635" spans="1:26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3"/>
      <c r="M2635" s="6"/>
      <c r="N2635" s="6"/>
      <c r="O2635" s="6"/>
      <c r="P2635" s="5"/>
      <c r="Q2635" s="9"/>
      <c r="R2635" s="5"/>
      <c r="S2635" s="5"/>
      <c r="T2635" s="5"/>
      <c r="U2635" s="5"/>
      <c r="V2635" s="5"/>
      <c r="W2635" s="5"/>
      <c r="X2635" s="5"/>
      <c r="Y2635" s="9"/>
      <c r="Z2635" s="2"/>
    </row>
    <row r="2636" spans="1:26">
      <c r="A2636" s="4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3"/>
      <c r="M2636" s="6"/>
      <c r="N2636" s="6"/>
      <c r="O2636" s="6"/>
      <c r="P2636" s="5"/>
      <c r="Q2636" s="9"/>
      <c r="R2636" s="5"/>
      <c r="S2636" s="5"/>
      <c r="T2636" s="5"/>
      <c r="U2636" s="5"/>
      <c r="V2636" s="5"/>
      <c r="W2636" s="5"/>
      <c r="X2636" s="5"/>
      <c r="Y2636" s="9"/>
      <c r="Z2636" s="2"/>
    </row>
    <row r="2637" spans="1:26">
      <c r="A2637" s="4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3"/>
      <c r="M2637" s="6"/>
      <c r="N2637" s="6"/>
      <c r="O2637" s="6"/>
      <c r="P2637" s="5"/>
      <c r="Q2637" s="9"/>
      <c r="R2637" s="5"/>
      <c r="S2637" s="5"/>
      <c r="T2637" s="5"/>
      <c r="U2637" s="5"/>
      <c r="V2637" s="5"/>
      <c r="W2637" s="5"/>
      <c r="X2637" s="5"/>
      <c r="Y2637" s="9"/>
      <c r="Z2637" s="2"/>
    </row>
    <row r="2638" spans="1:26">
      <c r="A2638" s="4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3"/>
      <c r="M2638" s="6"/>
      <c r="N2638" s="6"/>
      <c r="O2638" s="6"/>
      <c r="P2638" s="5"/>
      <c r="Q2638" s="9"/>
      <c r="R2638" s="5"/>
      <c r="S2638" s="5"/>
      <c r="T2638" s="5"/>
      <c r="U2638" s="5"/>
      <c r="V2638" s="5"/>
      <c r="W2638" s="5"/>
      <c r="X2638" s="5"/>
      <c r="Y2638" s="9"/>
      <c r="Z2638" s="2"/>
    </row>
    <row r="2639" spans="1:26">
      <c r="A2639" s="4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3"/>
      <c r="M2639" s="6"/>
      <c r="N2639" s="6"/>
      <c r="O2639" s="6"/>
      <c r="P2639" s="5"/>
      <c r="Q2639" s="9"/>
      <c r="R2639" s="5"/>
      <c r="S2639" s="5"/>
      <c r="T2639" s="5"/>
      <c r="U2639" s="5"/>
      <c r="V2639" s="5"/>
      <c r="W2639" s="5"/>
      <c r="X2639" s="5"/>
      <c r="Y2639" s="9"/>
      <c r="Z2639" s="2"/>
    </row>
    <row r="2640" spans="1:26">
      <c r="A2640" s="4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3"/>
      <c r="M2640" s="6"/>
      <c r="N2640" s="6"/>
      <c r="O2640" s="6"/>
      <c r="P2640" s="5"/>
      <c r="Q2640" s="9"/>
      <c r="R2640" s="5"/>
      <c r="S2640" s="5"/>
      <c r="T2640" s="5"/>
      <c r="U2640" s="5"/>
      <c r="V2640" s="5"/>
      <c r="W2640" s="5"/>
      <c r="X2640" s="5"/>
      <c r="Y2640" s="9"/>
      <c r="Z2640" s="2"/>
    </row>
    <row r="2641" spans="1:26">
      <c r="A2641" s="4"/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3"/>
      <c r="M2641" s="6"/>
      <c r="N2641" s="6"/>
      <c r="O2641" s="6"/>
      <c r="P2641" s="5"/>
      <c r="Q2641" s="9"/>
      <c r="R2641" s="5"/>
      <c r="S2641" s="5"/>
      <c r="T2641" s="5"/>
      <c r="U2641" s="5"/>
      <c r="V2641" s="5"/>
      <c r="W2641" s="5"/>
      <c r="X2641" s="5"/>
      <c r="Y2641" s="9"/>
      <c r="Z2641" s="2"/>
    </row>
    <row r="2642" spans="1:26">
      <c r="A2642" s="4"/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3"/>
      <c r="M2642" s="6"/>
      <c r="N2642" s="6"/>
      <c r="O2642" s="6"/>
      <c r="P2642" s="5"/>
      <c r="Q2642" s="9"/>
      <c r="R2642" s="5"/>
      <c r="S2642" s="5"/>
      <c r="T2642" s="5"/>
      <c r="U2642" s="5"/>
      <c r="V2642" s="5"/>
      <c r="W2642" s="5"/>
      <c r="X2642" s="5"/>
      <c r="Y2642" s="9"/>
      <c r="Z2642" s="2"/>
    </row>
    <row r="2643" spans="1:26">
      <c r="A2643" s="4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3"/>
      <c r="M2643" s="6"/>
      <c r="N2643" s="6"/>
      <c r="O2643" s="6"/>
      <c r="P2643" s="5"/>
      <c r="Q2643" s="9"/>
      <c r="R2643" s="5"/>
      <c r="S2643" s="5"/>
      <c r="T2643" s="5"/>
      <c r="U2643" s="5"/>
      <c r="V2643" s="5"/>
      <c r="W2643" s="5"/>
      <c r="X2643" s="5"/>
      <c r="Y2643" s="9"/>
      <c r="Z2643" s="2"/>
    </row>
    <row r="2644" spans="1:26">
      <c r="A2644" s="4"/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3"/>
      <c r="M2644" s="6"/>
      <c r="N2644" s="6"/>
      <c r="O2644" s="6"/>
      <c r="P2644" s="5"/>
      <c r="Q2644" s="9"/>
      <c r="R2644" s="5"/>
      <c r="S2644" s="5"/>
      <c r="T2644" s="5"/>
      <c r="U2644" s="5"/>
      <c r="V2644" s="5"/>
      <c r="W2644" s="5"/>
      <c r="X2644" s="5"/>
      <c r="Y2644" s="9"/>
      <c r="Z2644" s="2"/>
    </row>
    <row r="2645" spans="1:26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3"/>
      <c r="M2645" s="6"/>
      <c r="N2645" s="6"/>
      <c r="O2645" s="6"/>
      <c r="P2645" s="5"/>
      <c r="Q2645" s="9"/>
      <c r="R2645" s="5"/>
      <c r="S2645" s="5"/>
      <c r="T2645" s="5"/>
      <c r="U2645" s="5"/>
      <c r="V2645" s="5"/>
      <c r="W2645" s="5"/>
      <c r="X2645" s="5"/>
      <c r="Y2645" s="9"/>
      <c r="Z2645" s="2"/>
    </row>
    <row r="2646" spans="1:26">
      <c r="A2646" s="4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3"/>
      <c r="M2646" s="6"/>
      <c r="N2646" s="6"/>
      <c r="O2646" s="6"/>
      <c r="P2646" s="5"/>
      <c r="Q2646" s="9"/>
      <c r="R2646" s="5"/>
      <c r="S2646" s="5"/>
      <c r="T2646" s="5"/>
      <c r="U2646" s="5"/>
      <c r="V2646" s="5"/>
      <c r="W2646" s="5"/>
      <c r="X2646" s="5"/>
      <c r="Y2646" s="9"/>
      <c r="Z2646" s="2"/>
    </row>
    <row r="2647" spans="1:26">
      <c r="A2647" s="4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3"/>
      <c r="M2647" s="6"/>
      <c r="N2647" s="6"/>
      <c r="O2647" s="6"/>
      <c r="P2647" s="5"/>
      <c r="Q2647" s="9"/>
      <c r="R2647" s="5"/>
      <c r="S2647" s="5"/>
      <c r="T2647" s="5"/>
      <c r="U2647" s="5"/>
      <c r="V2647" s="5"/>
      <c r="W2647" s="5"/>
      <c r="X2647" s="5"/>
      <c r="Y2647" s="9"/>
      <c r="Z2647" s="2"/>
    </row>
    <row r="2648" spans="1:26">
      <c r="A2648" s="4"/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3"/>
      <c r="M2648" s="6"/>
      <c r="N2648" s="6"/>
      <c r="O2648" s="6"/>
      <c r="P2648" s="5"/>
      <c r="Q2648" s="9"/>
      <c r="R2648" s="5"/>
      <c r="S2648" s="5"/>
      <c r="T2648" s="5"/>
      <c r="U2648" s="5"/>
      <c r="V2648" s="5"/>
      <c r="W2648" s="5"/>
      <c r="X2648" s="5"/>
      <c r="Y2648" s="9"/>
      <c r="Z2648" s="2"/>
    </row>
    <row r="2649" spans="1:26">
      <c r="A2649" s="4"/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3"/>
      <c r="M2649" s="6"/>
      <c r="N2649" s="6"/>
      <c r="O2649" s="6"/>
      <c r="P2649" s="5"/>
      <c r="Q2649" s="9"/>
      <c r="R2649" s="5"/>
      <c r="S2649" s="5"/>
      <c r="T2649" s="5"/>
      <c r="U2649" s="5"/>
      <c r="V2649" s="5"/>
      <c r="W2649" s="5"/>
      <c r="X2649" s="5"/>
      <c r="Y2649" s="9"/>
      <c r="Z2649" s="2"/>
    </row>
    <row r="2650" spans="1:26">
      <c r="A2650" s="4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3"/>
      <c r="M2650" s="6"/>
      <c r="N2650" s="6"/>
      <c r="O2650" s="6"/>
      <c r="P2650" s="5"/>
      <c r="Q2650" s="9"/>
      <c r="R2650" s="5"/>
      <c r="S2650" s="5"/>
      <c r="T2650" s="5"/>
      <c r="U2650" s="5"/>
      <c r="V2650" s="5"/>
      <c r="W2650" s="5"/>
      <c r="X2650" s="5"/>
      <c r="Y2650" s="9"/>
      <c r="Z2650" s="2"/>
    </row>
    <row r="2651" spans="1:26">
      <c r="A2651" s="4"/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3"/>
      <c r="M2651" s="6"/>
      <c r="N2651" s="6"/>
      <c r="O2651" s="6"/>
      <c r="P2651" s="5"/>
      <c r="Q2651" s="9"/>
      <c r="R2651" s="5"/>
      <c r="S2651" s="5"/>
      <c r="T2651" s="5"/>
      <c r="U2651" s="5"/>
      <c r="V2651" s="5"/>
      <c r="W2651" s="5"/>
      <c r="X2651" s="5"/>
      <c r="Y2651" s="9"/>
      <c r="Z2651" s="2"/>
    </row>
    <row r="2652" spans="1:26">
      <c r="A2652" s="4"/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3"/>
      <c r="M2652" s="6"/>
      <c r="N2652" s="6"/>
      <c r="O2652" s="6"/>
      <c r="P2652" s="5"/>
      <c r="Q2652" s="9"/>
      <c r="R2652" s="5"/>
      <c r="S2652" s="5"/>
      <c r="T2652" s="5"/>
      <c r="U2652" s="5"/>
      <c r="V2652" s="5"/>
      <c r="W2652" s="5"/>
      <c r="X2652" s="5"/>
      <c r="Y2652" s="9"/>
      <c r="Z2652" s="2"/>
    </row>
    <row r="2653" spans="1:26">
      <c r="A2653" s="4"/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3"/>
      <c r="M2653" s="6"/>
      <c r="N2653" s="6"/>
      <c r="O2653" s="6"/>
      <c r="P2653" s="5"/>
      <c r="Q2653" s="9"/>
      <c r="R2653" s="5"/>
      <c r="S2653" s="5"/>
      <c r="T2653" s="5"/>
      <c r="U2653" s="5"/>
      <c r="V2653" s="5"/>
      <c r="W2653" s="5"/>
      <c r="X2653" s="5"/>
      <c r="Y2653" s="9"/>
      <c r="Z2653" s="2"/>
    </row>
    <row r="2654" spans="1:26">
      <c r="A2654" s="4"/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3"/>
      <c r="M2654" s="6"/>
      <c r="N2654" s="6"/>
      <c r="O2654" s="6"/>
      <c r="P2654" s="5"/>
      <c r="Q2654" s="9"/>
      <c r="R2654" s="5"/>
      <c r="S2654" s="5"/>
      <c r="T2654" s="5"/>
      <c r="U2654" s="5"/>
      <c r="V2654" s="5"/>
      <c r="W2654" s="5"/>
      <c r="X2654" s="5"/>
      <c r="Y2654" s="9"/>
      <c r="Z2654" s="2"/>
    </row>
    <row r="2655" spans="1:26">
      <c r="A2655" s="4"/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3"/>
      <c r="M2655" s="6"/>
      <c r="N2655" s="6"/>
      <c r="O2655" s="6"/>
      <c r="P2655" s="5"/>
      <c r="Q2655" s="9"/>
      <c r="R2655" s="5"/>
      <c r="S2655" s="5"/>
      <c r="T2655" s="5"/>
      <c r="U2655" s="5"/>
      <c r="V2655" s="5"/>
      <c r="W2655" s="5"/>
      <c r="X2655" s="5"/>
      <c r="Y2655" s="9"/>
      <c r="Z2655" s="2"/>
    </row>
    <row r="2656" spans="1:26">
      <c r="A2656" s="4"/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3"/>
      <c r="M2656" s="6"/>
      <c r="N2656" s="6"/>
      <c r="O2656" s="6"/>
      <c r="P2656" s="5"/>
      <c r="Q2656" s="9"/>
      <c r="R2656" s="5"/>
      <c r="S2656" s="5"/>
      <c r="T2656" s="5"/>
      <c r="U2656" s="5"/>
      <c r="V2656" s="5"/>
      <c r="W2656" s="5"/>
      <c r="X2656" s="5"/>
      <c r="Y2656" s="9"/>
      <c r="Z2656" s="2"/>
    </row>
    <row r="2657" spans="1:26">
      <c r="A2657" s="4"/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3"/>
      <c r="M2657" s="6"/>
      <c r="N2657" s="6"/>
      <c r="O2657" s="6"/>
      <c r="P2657" s="5"/>
      <c r="Q2657" s="9"/>
      <c r="R2657" s="5"/>
      <c r="S2657" s="5"/>
      <c r="T2657" s="5"/>
      <c r="U2657" s="5"/>
      <c r="V2657" s="5"/>
      <c r="W2657" s="5"/>
      <c r="X2657" s="5"/>
      <c r="Y2657" s="9"/>
      <c r="Z2657" s="2"/>
    </row>
    <row r="2658" spans="1:26">
      <c r="A2658" s="4"/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3"/>
      <c r="M2658" s="6"/>
      <c r="N2658" s="6"/>
      <c r="O2658" s="6"/>
      <c r="P2658" s="5"/>
      <c r="Q2658" s="9"/>
      <c r="R2658" s="5"/>
      <c r="S2658" s="5"/>
      <c r="T2658" s="5"/>
      <c r="U2658" s="5"/>
      <c r="V2658" s="5"/>
      <c r="W2658" s="5"/>
      <c r="X2658" s="5"/>
      <c r="Y2658" s="9"/>
      <c r="Z2658" s="2"/>
    </row>
    <row r="2659" spans="1:26">
      <c r="A2659" s="4"/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3"/>
      <c r="M2659" s="6"/>
      <c r="N2659" s="6"/>
      <c r="O2659" s="6"/>
      <c r="P2659" s="5"/>
      <c r="Q2659" s="9"/>
      <c r="R2659" s="5"/>
      <c r="S2659" s="5"/>
      <c r="T2659" s="5"/>
      <c r="U2659" s="5"/>
      <c r="V2659" s="5"/>
      <c r="W2659" s="5"/>
      <c r="X2659" s="5"/>
      <c r="Y2659" s="9"/>
      <c r="Z2659" s="2"/>
    </row>
    <row r="2660" spans="1:26">
      <c r="A2660" s="4"/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3"/>
      <c r="M2660" s="6"/>
      <c r="N2660" s="6"/>
      <c r="O2660" s="6"/>
      <c r="P2660" s="5"/>
      <c r="Q2660" s="9"/>
      <c r="R2660" s="5"/>
      <c r="S2660" s="5"/>
      <c r="T2660" s="5"/>
      <c r="U2660" s="5"/>
      <c r="V2660" s="5"/>
      <c r="W2660" s="5"/>
      <c r="X2660" s="5"/>
      <c r="Y2660" s="9"/>
      <c r="Z2660" s="2"/>
    </row>
    <row r="2661" spans="1:26">
      <c r="A2661" s="4"/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3"/>
      <c r="M2661" s="6"/>
      <c r="N2661" s="6"/>
      <c r="O2661" s="6"/>
      <c r="P2661" s="5"/>
      <c r="Q2661" s="9"/>
      <c r="R2661" s="5"/>
      <c r="S2661" s="5"/>
      <c r="T2661" s="5"/>
      <c r="U2661" s="5"/>
      <c r="V2661" s="5"/>
      <c r="W2661" s="5"/>
      <c r="X2661" s="5"/>
      <c r="Y2661" s="9"/>
      <c r="Z2661" s="2"/>
    </row>
    <row r="2662" spans="1:26">
      <c r="A2662" s="4"/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3"/>
      <c r="M2662" s="6"/>
      <c r="N2662" s="6"/>
      <c r="O2662" s="6"/>
      <c r="P2662" s="5"/>
      <c r="Q2662" s="9"/>
      <c r="R2662" s="5"/>
      <c r="S2662" s="5"/>
      <c r="T2662" s="5"/>
      <c r="U2662" s="5"/>
      <c r="V2662" s="5"/>
      <c r="W2662" s="5"/>
      <c r="X2662" s="5"/>
      <c r="Y2662" s="9"/>
      <c r="Z2662" s="2"/>
    </row>
    <row r="2663" spans="1:26">
      <c r="A2663" s="4"/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3"/>
      <c r="M2663" s="6"/>
      <c r="N2663" s="6"/>
      <c r="O2663" s="6"/>
      <c r="P2663" s="5"/>
      <c r="Q2663" s="9"/>
      <c r="R2663" s="5"/>
      <c r="S2663" s="5"/>
      <c r="T2663" s="5"/>
      <c r="U2663" s="5"/>
      <c r="V2663" s="5"/>
      <c r="W2663" s="5"/>
      <c r="X2663" s="5"/>
      <c r="Y2663" s="9"/>
      <c r="Z2663" s="2"/>
    </row>
    <row r="2664" spans="1:26">
      <c r="A2664" s="4"/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3"/>
      <c r="M2664" s="6"/>
      <c r="N2664" s="6"/>
      <c r="O2664" s="6"/>
      <c r="P2664" s="5"/>
      <c r="Q2664" s="9"/>
      <c r="R2664" s="5"/>
      <c r="S2664" s="5"/>
      <c r="T2664" s="5"/>
      <c r="U2664" s="5"/>
      <c r="V2664" s="5"/>
      <c r="W2664" s="5"/>
      <c r="X2664" s="5"/>
      <c r="Y2664" s="9"/>
      <c r="Z2664" s="2"/>
    </row>
    <row r="2665" spans="1:26">
      <c r="A2665" s="4"/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3"/>
      <c r="M2665" s="6"/>
      <c r="N2665" s="6"/>
      <c r="O2665" s="6"/>
      <c r="P2665" s="5"/>
      <c r="Q2665" s="9"/>
      <c r="R2665" s="5"/>
      <c r="S2665" s="5"/>
      <c r="T2665" s="5"/>
      <c r="U2665" s="5"/>
      <c r="V2665" s="5"/>
      <c r="W2665" s="5"/>
      <c r="X2665" s="5"/>
      <c r="Y2665" s="9"/>
      <c r="Z2665" s="2"/>
    </row>
    <row r="2666" spans="1:26">
      <c r="A2666" s="4"/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3"/>
      <c r="M2666" s="6"/>
      <c r="N2666" s="6"/>
      <c r="O2666" s="6"/>
      <c r="P2666" s="5"/>
      <c r="Q2666" s="9"/>
      <c r="R2666" s="5"/>
      <c r="S2666" s="5"/>
      <c r="T2666" s="5"/>
      <c r="U2666" s="5"/>
      <c r="V2666" s="5"/>
      <c r="W2666" s="5"/>
      <c r="X2666" s="5"/>
      <c r="Y2666" s="9"/>
      <c r="Z2666" s="2"/>
    </row>
    <row r="2667" spans="1:26">
      <c r="A2667" s="4"/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3"/>
      <c r="M2667" s="6"/>
      <c r="N2667" s="6"/>
      <c r="O2667" s="6"/>
      <c r="P2667" s="5"/>
      <c r="Q2667" s="9"/>
      <c r="R2667" s="5"/>
      <c r="S2667" s="5"/>
      <c r="T2667" s="5"/>
      <c r="U2667" s="5"/>
      <c r="V2667" s="5"/>
      <c r="W2667" s="5"/>
      <c r="X2667" s="5"/>
      <c r="Y2667" s="9"/>
      <c r="Z2667" s="2"/>
    </row>
    <row r="2668" spans="1:26">
      <c r="A2668" s="4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3"/>
      <c r="M2668" s="6"/>
      <c r="N2668" s="6"/>
      <c r="O2668" s="6"/>
      <c r="P2668" s="5"/>
      <c r="Q2668" s="9"/>
      <c r="R2668" s="5"/>
      <c r="S2668" s="5"/>
      <c r="T2668" s="5"/>
      <c r="U2668" s="5"/>
      <c r="V2668" s="5"/>
      <c r="W2668" s="5"/>
      <c r="X2668" s="5"/>
      <c r="Y2668" s="9"/>
      <c r="Z2668" s="2"/>
    </row>
    <row r="2669" spans="1:26">
      <c r="A2669" s="4"/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3"/>
      <c r="M2669" s="6"/>
      <c r="N2669" s="6"/>
      <c r="O2669" s="6"/>
      <c r="P2669" s="5"/>
      <c r="Q2669" s="9"/>
      <c r="R2669" s="5"/>
      <c r="S2669" s="5"/>
      <c r="T2669" s="5"/>
      <c r="U2669" s="5"/>
      <c r="V2669" s="5"/>
      <c r="W2669" s="5"/>
      <c r="X2669" s="5"/>
      <c r="Y2669" s="9"/>
      <c r="Z2669" s="2"/>
    </row>
    <row r="2670" spans="1:26">
      <c r="A2670" s="4"/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3"/>
      <c r="M2670" s="6"/>
      <c r="N2670" s="6"/>
      <c r="O2670" s="6"/>
      <c r="P2670" s="5"/>
      <c r="Q2670" s="9"/>
      <c r="R2670" s="5"/>
      <c r="S2670" s="5"/>
      <c r="T2670" s="5"/>
      <c r="U2670" s="5"/>
      <c r="V2670" s="5"/>
      <c r="W2670" s="5"/>
      <c r="X2670" s="5"/>
      <c r="Y2670" s="9"/>
      <c r="Z2670" s="2"/>
    </row>
    <row r="2671" spans="1:26">
      <c r="A2671" s="4"/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3"/>
      <c r="M2671" s="6"/>
      <c r="N2671" s="6"/>
      <c r="O2671" s="6"/>
      <c r="P2671" s="5"/>
      <c r="Q2671" s="9"/>
      <c r="R2671" s="5"/>
      <c r="S2671" s="5"/>
      <c r="T2671" s="5"/>
      <c r="U2671" s="5"/>
      <c r="V2671" s="5"/>
      <c r="W2671" s="5"/>
      <c r="X2671" s="5"/>
      <c r="Y2671" s="9"/>
      <c r="Z2671" s="2"/>
    </row>
    <row r="2672" spans="1:26">
      <c r="A2672" s="4"/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3"/>
      <c r="M2672" s="6"/>
      <c r="N2672" s="6"/>
      <c r="O2672" s="6"/>
      <c r="P2672" s="5"/>
      <c r="Q2672" s="9"/>
      <c r="R2672" s="5"/>
      <c r="S2672" s="5"/>
      <c r="T2672" s="5"/>
      <c r="U2672" s="5"/>
      <c r="V2672" s="5"/>
      <c r="W2672" s="5"/>
      <c r="X2672" s="5"/>
      <c r="Y2672" s="9"/>
      <c r="Z2672" s="2"/>
    </row>
    <row r="2673" spans="1:26">
      <c r="A2673" s="4"/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3"/>
      <c r="M2673" s="6"/>
      <c r="N2673" s="6"/>
      <c r="O2673" s="6"/>
      <c r="P2673" s="5"/>
      <c r="Q2673" s="9"/>
      <c r="R2673" s="5"/>
      <c r="S2673" s="5"/>
      <c r="T2673" s="5"/>
      <c r="U2673" s="5"/>
      <c r="V2673" s="5"/>
      <c r="W2673" s="5"/>
      <c r="X2673" s="5"/>
      <c r="Y2673" s="9"/>
      <c r="Z2673" s="2"/>
    </row>
    <row r="2674" spans="1:26">
      <c r="A2674" s="4"/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3"/>
      <c r="M2674" s="6"/>
      <c r="N2674" s="6"/>
      <c r="O2674" s="6"/>
      <c r="P2674" s="5"/>
      <c r="Q2674" s="9"/>
      <c r="R2674" s="5"/>
      <c r="S2674" s="5"/>
      <c r="T2674" s="5"/>
      <c r="U2674" s="5"/>
      <c r="V2674" s="5"/>
      <c r="W2674" s="5"/>
      <c r="X2674" s="5"/>
      <c r="Y2674" s="9"/>
      <c r="Z2674" s="2"/>
    </row>
    <row r="2675" spans="1:26">
      <c r="A2675" s="4"/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3"/>
      <c r="M2675" s="6"/>
      <c r="N2675" s="6"/>
      <c r="O2675" s="6"/>
      <c r="P2675" s="5"/>
      <c r="Q2675" s="9"/>
      <c r="R2675" s="5"/>
      <c r="S2675" s="5"/>
      <c r="T2675" s="5"/>
      <c r="U2675" s="5"/>
      <c r="V2675" s="5"/>
      <c r="W2675" s="5"/>
      <c r="X2675" s="5"/>
      <c r="Y2675" s="9"/>
      <c r="Z2675" s="2"/>
    </row>
    <row r="2676" spans="1:26">
      <c r="A2676" s="4"/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3"/>
      <c r="M2676" s="6"/>
      <c r="N2676" s="6"/>
      <c r="O2676" s="6"/>
      <c r="P2676" s="5"/>
      <c r="Q2676" s="9"/>
      <c r="R2676" s="5"/>
      <c r="S2676" s="5"/>
      <c r="T2676" s="5"/>
      <c r="U2676" s="5"/>
      <c r="V2676" s="5"/>
      <c r="W2676" s="5"/>
      <c r="X2676" s="5"/>
      <c r="Y2676" s="9"/>
      <c r="Z2676" s="2"/>
    </row>
    <row r="2677" spans="1:26">
      <c r="A2677" s="4"/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3"/>
      <c r="M2677" s="6"/>
      <c r="N2677" s="6"/>
      <c r="O2677" s="6"/>
      <c r="P2677" s="5"/>
      <c r="Q2677" s="9"/>
      <c r="R2677" s="5"/>
      <c r="S2677" s="5"/>
      <c r="T2677" s="5"/>
      <c r="U2677" s="5"/>
      <c r="V2677" s="5"/>
      <c r="W2677" s="5"/>
      <c r="X2677" s="5"/>
      <c r="Y2677" s="9"/>
      <c r="Z2677" s="2"/>
    </row>
    <row r="2678" spans="1:26">
      <c r="A2678" s="4"/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3"/>
      <c r="M2678" s="6"/>
      <c r="N2678" s="6"/>
      <c r="O2678" s="6"/>
      <c r="P2678" s="5"/>
      <c r="Q2678" s="9"/>
      <c r="R2678" s="5"/>
      <c r="S2678" s="5"/>
      <c r="T2678" s="5"/>
      <c r="U2678" s="5"/>
      <c r="V2678" s="5"/>
      <c r="W2678" s="5"/>
      <c r="X2678" s="5"/>
      <c r="Y2678" s="9"/>
      <c r="Z2678" s="2"/>
    </row>
    <row r="2679" spans="1:26">
      <c r="A2679" s="4"/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3"/>
      <c r="M2679" s="6"/>
      <c r="N2679" s="6"/>
      <c r="O2679" s="6"/>
      <c r="P2679" s="5"/>
      <c r="Q2679" s="9"/>
      <c r="R2679" s="5"/>
      <c r="S2679" s="5"/>
      <c r="T2679" s="5"/>
      <c r="U2679" s="5"/>
      <c r="V2679" s="5"/>
      <c r="W2679" s="5"/>
      <c r="X2679" s="5"/>
      <c r="Y2679" s="9"/>
      <c r="Z2679" s="2"/>
    </row>
    <row r="2680" spans="1:26">
      <c r="A2680" s="4"/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3"/>
      <c r="M2680" s="6"/>
      <c r="N2680" s="6"/>
      <c r="O2680" s="6"/>
      <c r="P2680" s="5"/>
      <c r="Q2680" s="9"/>
      <c r="R2680" s="5"/>
      <c r="S2680" s="5"/>
      <c r="T2680" s="5"/>
      <c r="U2680" s="5"/>
      <c r="V2680" s="5"/>
      <c r="W2680" s="5"/>
      <c r="X2680" s="5"/>
      <c r="Y2680" s="9"/>
      <c r="Z2680" s="2"/>
    </row>
    <row r="2681" spans="1:26">
      <c r="A2681" s="4"/>
      <c r="B2681" s="4"/>
      <c r="C2681" s="4"/>
      <c r="D2681" s="4"/>
      <c r="E2681" s="4"/>
      <c r="F2681" s="4"/>
      <c r="G2681" s="4"/>
      <c r="H2681" s="4"/>
      <c r="I2681" s="4"/>
      <c r="J2681" s="4"/>
      <c r="K2681" s="4"/>
      <c r="L2681" s="3"/>
      <c r="M2681" s="6"/>
      <c r="N2681" s="6"/>
      <c r="O2681" s="6"/>
      <c r="P2681" s="5"/>
      <c r="Q2681" s="9"/>
      <c r="R2681" s="5"/>
      <c r="S2681" s="5"/>
      <c r="T2681" s="5"/>
      <c r="U2681" s="5"/>
      <c r="V2681" s="5"/>
      <c r="W2681" s="5"/>
      <c r="X2681" s="5"/>
      <c r="Y2681" s="9"/>
      <c r="Z2681" s="2"/>
    </row>
    <row r="2682" spans="1:26">
      <c r="A2682" s="4"/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3"/>
      <c r="M2682" s="6"/>
      <c r="N2682" s="6"/>
      <c r="O2682" s="6"/>
      <c r="P2682" s="5"/>
      <c r="Q2682" s="9"/>
      <c r="R2682" s="5"/>
      <c r="S2682" s="5"/>
      <c r="T2682" s="5"/>
      <c r="U2682" s="5"/>
      <c r="V2682" s="5"/>
      <c r="W2682" s="5"/>
      <c r="X2682" s="5"/>
      <c r="Y2682" s="9"/>
      <c r="Z2682" s="2"/>
    </row>
    <row r="2683" spans="1:26">
      <c r="A2683" s="4"/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3"/>
      <c r="M2683" s="6"/>
      <c r="N2683" s="6"/>
      <c r="O2683" s="6"/>
      <c r="P2683" s="5"/>
      <c r="Q2683" s="9"/>
      <c r="R2683" s="5"/>
      <c r="S2683" s="5"/>
      <c r="T2683" s="5"/>
      <c r="U2683" s="5"/>
      <c r="V2683" s="5"/>
      <c r="W2683" s="5"/>
      <c r="X2683" s="5"/>
      <c r="Y2683" s="9"/>
      <c r="Z2683" s="2"/>
    </row>
    <row r="2684" spans="1:26">
      <c r="A2684" s="4"/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3"/>
      <c r="M2684" s="6"/>
      <c r="N2684" s="6"/>
      <c r="O2684" s="6"/>
      <c r="P2684" s="5"/>
      <c r="Q2684" s="9"/>
      <c r="R2684" s="5"/>
      <c r="S2684" s="5"/>
      <c r="T2684" s="5"/>
      <c r="U2684" s="5"/>
      <c r="V2684" s="5"/>
      <c r="W2684" s="5"/>
      <c r="X2684" s="5"/>
      <c r="Y2684" s="9"/>
      <c r="Z2684" s="2"/>
    </row>
    <row r="2685" spans="1:26">
      <c r="A2685" s="4"/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3"/>
      <c r="M2685" s="6"/>
      <c r="N2685" s="6"/>
      <c r="O2685" s="6"/>
      <c r="P2685" s="5"/>
      <c r="Q2685" s="9"/>
      <c r="R2685" s="5"/>
      <c r="S2685" s="5"/>
      <c r="T2685" s="5"/>
      <c r="U2685" s="5"/>
      <c r="V2685" s="5"/>
      <c r="W2685" s="5"/>
      <c r="X2685" s="5"/>
      <c r="Y2685" s="9"/>
      <c r="Z2685" s="2"/>
    </row>
    <row r="2686" spans="1:26">
      <c r="A2686" s="4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3"/>
      <c r="M2686" s="6"/>
      <c r="N2686" s="6"/>
      <c r="O2686" s="6"/>
      <c r="P2686" s="5"/>
      <c r="Q2686" s="9"/>
      <c r="R2686" s="5"/>
      <c r="S2686" s="5"/>
      <c r="T2686" s="5"/>
      <c r="U2686" s="5"/>
      <c r="V2686" s="5"/>
      <c r="W2686" s="5"/>
      <c r="X2686" s="5"/>
      <c r="Y2686" s="9"/>
      <c r="Z2686" s="2"/>
    </row>
    <row r="2687" spans="1:26">
      <c r="A2687" s="4"/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3"/>
      <c r="M2687" s="6"/>
      <c r="N2687" s="6"/>
      <c r="O2687" s="6"/>
      <c r="P2687" s="5"/>
      <c r="Q2687" s="9"/>
      <c r="R2687" s="5"/>
      <c r="S2687" s="5"/>
      <c r="T2687" s="5"/>
      <c r="U2687" s="5"/>
      <c r="V2687" s="5"/>
      <c r="W2687" s="5"/>
      <c r="X2687" s="5"/>
      <c r="Y2687" s="9"/>
      <c r="Z2687" s="2"/>
    </row>
    <row r="2688" spans="1:26">
      <c r="A2688" s="4"/>
      <c r="B2688" s="4"/>
      <c r="C2688" s="4"/>
      <c r="D2688" s="4"/>
      <c r="E2688" s="4"/>
      <c r="F2688" s="4"/>
      <c r="G2688" s="4"/>
      <c r="H2688" s="4"/>
      <c r="I2688" s="4"/>
      <c r="J2688" s="4"/>
      <c r="K2688" s="4"/>
      <c r="L2688" s="3"/>
      <c r="M2688" s="6"/>
      <c r="N2688" s="6"/>
      <c r="O2688" s="6"/>
      <c r="P2688" s="5"/>
      <c r="Q2688" s="9"/>
      <c r="R2688" s="5"/>
      <c r="S2688" s="5"/>
      <c r="T2688" s="5"/>
      <c r="U2688" s="5"/>
      <c r="V2688" s="5"/>
      <c r="W2688" s="5"/>
      <c r="X2688" s="5"/>
      <c r="Y2688" s="9"/>
      <c r="Z2688" s="2"/>
    </row>
    <row r="2689" spans="1:26">
      <c r="A2689" s="4"/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3"/>
      <c r="M2689" s="6"/>
      <c r="N2689" s="6"/>
      <c r="O2689" s="6"/>
      <c r="P2689" s="5"/>
      <c r="Q2689" s="9"/>
      <c r="R2689" s="5"/>
      <c r="S2689" s="5"/>
      <c r="T2689" s="5"/>
      <c r="U2689" s="5"/>
      <c r="V2689" s="5"/>
      <c r="W2689" s="5"/>
      <c r="X2689" s="5"/>
      <c r="Y2689" s="9"/>
      <c r="Z2689" s="2"/>
    </row>
    <row r="2690" spans="1:26">
      <c r="A2690" s="4"/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3"/>
      <c r="M2690" s="6"/>
      <c r="N2690" s="6"/>
      <c r="O2690" s="6"/>
      <c r="P2690" s="5"/>
      <c r="Q2690" s="9"/>
      <c r="R2690" s="5"/>
      <c r="S2690" s="5"/>
      <c r="T2690" s="5"/>
      <c r="U2690" s="5"/>
      <c r="V2690" s="5"/>
      <c r="W2690" s="5"/>
      <c r="X2690" s="5"/>
      <c r="Y2690" s="9"/>
      <c r="Z2690" s="2"/>
    </row>
    <row r="2691" spans="1:26">
      <c r="A2691" s="4"/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3"/>
      <c r="M2691" s="6"/>
      <c r="N2691" s="6"/>
      <c r="O2691" s="6"/>
      <c r="P2691" s="5"/>
      <c r="Q2691" s="9"/>
      <c r="R2691" s="5"/>
      <c r="S2691" s="5"/>
      <c r="T2691" s="5"/>
      <c r="U2691" s="5"/>
      <c r="V2691" s="5"/>
      <c r="W2691" s="5"/>
      <c r="X2691" s="5"/>
      <c r="Y2691" s="9"/>
      <c r="Z2691" s="2"/>
    </row>
    <row r="2692" spans="1:26">
      <c r="A2692" s="4"/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3"/>
      <c r="M2692" s="6"/>
      <c r="N2692" s="6"/>
      <c r="O2692" s="6"/>
      <c r="P2692" s="5"/>
      <c r="Q2692" s="9"/>
      <c r="R2692" s="5"/>
      <c r="S2692" s="5"/>
      <c r="T2692" s="5"/>
      <c r="U2692" s="5"/>
      <c r="V2692" s="5"/>
      <c r="W2692" s="5"/>
      <c r="X2692" s="5"/>
      <c r="Y2692" s="9"/>
      <c r="Z2692" s="2"/>
    </row>
    <row r="2693" spans="1:26">
      <c r="A2693" s="4"/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3"/>
      <c r="M2693" s="6"/>
      <c r="N2693" s="6"/>
      <c r="O2693" s="6"/>
      <c r="P2693" s="5"/>
      <c r="Q2693" s="9"/>
      <c r="R2693" s="5"/>
      <c r="S2693" s="5"/>
      <c r="T2693" s="5"/>
      <c r="U2693" s="5"/>
      <c r="V2693" s="5"/>
      <c r="W2693" s="5"/>
      <c r="X2693" s="5"/>
      <c r="Y2693" s="9"/>
      <c r="Z2693" s="2"/>
    </row>
    <row r="2694" spans="1:26">
      <c r="A2694" s="4"/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3"/>
      <c r="M2694" s="6"/>
      <c r="N2694" s="6"/>
      <c r="O2694" s="6"/>
      <c r="P2694" s="5"/>
      <c r="Q2694" s="9"/>
      <c r="R2694" s="5"/>
      <c r="S2694" s="5"/>
      <c r="T2694" s="5"/>
      <c r="U2694" s="5"/>
      <c r="V2694" s="5"/>
      <c r="W2694" s="5"/>
      <c r="X2694" s="5"/>
      <c r="Y2694" s="9"/>
      <c r="Z2694" s="2"/>
    </row>
    <row r="2695" spans="1:26">
      <c r="A2695" s="4"/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3"/>
      <c r="M2695" s="6"/>
      <c r="N2695" s="6"/>
      <c r="O2695" s="6"/>
      <c r="P2695" s="5"/>
      <c r="Q2695" s="9"/>
      <c r="R2695" s="5"/>
      <c r="S2695" s="5"/>
      <c r="T2695" s="5"/>
      <c r="U2695" s="5"/>
      <c r="V2695" s="5"/>
      <c r="W2695" s="5"/>
      <c r="X2695" s="5"/>
      <c r="Y2695" s="9"/>
      <c r="Z2695" s="2"/>
    </row>
    <row r="2696" spans="1:26">
      <c r="A2696" s="4"/>
      <c r="B2696" s="4"/>
      <c r="C2696" s="4"/>
      <c r="D2696" s="4"/>
      <c r="E2696" s="4"/>
      <c r="F2696" s="4"/>
      <c r="G2696" s="4"/>
      <c r="H2696" s="4"/>
      <c r="I2696" s="4"/>
      <c r="J2696" s="4"/>
      <c r="K2696" s="4"/>
      <c r="L2696" s="3"/>
      <c r="M2696" s="6"/>
      <c r="N2696" s="6"/>
      <c r="O2696" s="6"/>
      <c r="P2696" s="5"/>
      <c r="Q2696" s="9"/>
      <c r="R2696" s="5"/>
      <c r="S2696" s="5"/>
      <c r="T2696" s="5"/>
      <c r="U2696" s="5"/>
      <c r="V2696" s="5"/>
      <c r="W2696" s="5"/>
      <c r="X2696" s="5"/>
      <c r="Y2696" s="9"/>
      <c r="Z2696" s="2"/>
    </row>
    <row r="2697" spans="1:26">
      <c r="A2697" s="4"/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3"/>
      <c r="M2697" s="6"/>
      <c r="N2697" s="6"/>
      <c r="O2697" s="6"/>
      <c r="P2697" s="5"/>
      <c r="Q2697" s="9"/>
      <c r="R2697" s="5"/>
      <c r="S2697" s="5"/>
      <c r="T2697" s="5"/>
      <c r="U2697" s="5"/>
      <c r="V2697" s="5"/>
      <c r="W2697" s="5"/>
      <c r="X2697" s="5"/>
      <c r="Y2697" s="9"/>
      <c r="Z2697" s="2"/>
    </row>
    <row r="2698" spans="1:26">
      <c r="A2698" s="4"/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3"/>
      <c r="M2698" s="6"/>
      <c r="N2698" s="6"/>
      <c r="O2698" s="6"/>
      <c r="P2698" s="5"/>
      <c r="Q2698" s="9"/>
      <c r="R2698" s="5"/>
      <c r="S2698" s="5"/>
      <c r="T2698" s="5"/>
      <c r="U2698" s="5"/>
      <c r="V2698" s="5"/>
      <c r="W2698" s="5"/>
      <c r="X2698" s="5"/>
      <c r="Y2698" s="9"/>
      <c r="Z2698" s="2"/>
    </row>
    <row r="2699" spans="1:26">
      <c r="A2699" s="4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3"/>
      <c r="M2699" s="6"/>
      <c r="N2699" s="6"/>
      <c r="O2699" s="6"/>
      <c r="P2699" s="5"/>
      <c r="Q2699" s="9"/>
      <c r="R2699" s="5"/>
      <c r="S2699" s="5"/>
      <c r="T2699" s="5"/>
      <c r="U2699" s="5"/>
      <c r="V2699" s="5"/>
      <c r="W2699" s="5"/>
      <c r="X2699" s="5"/>
      <c r="Y2699" s="9"/>
      <c r="Z2699" s="2"/>
    </row>
    <row r="2700" spans="1:26">
      <c r="A2700" s="4"/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3"/>
      <c r="M2700" s="6"/>
      <c r="N2700" s="6"/>
      <c r="O2700" s="6"/>
      <c r="P2700" s="5"/>
      <c r="Q2700" s="9"/>
      <c r="R2700" s="5"/>
      <c r="S2700" s="5"/>
      <c r="T2700" s="5"/>
      <c r="U2700" s="5"/>
      <c r="V2700" s="5"/>
      <c r="W2700" s="5"/>
      <c r="X2700" s="5"/>
      <c r="Y2700" s="9"/>
      <c r="Z2700" s="2"/>
    </row>
    <row r="2701" spans="1:26">
      <c r="A2701" s="4"/>
      <c r="B2701" s="4"/>
      <c r="C2701" s="4"/>
      <c r="D2701" s="4"/>
      <c r="E2701" s="4"/>
      <c r="F2701" s="4"/>
      <c r="G2701" s="4"/>
      <c r="H2701" s="4"/>
      <c r="I2701" s="4"/>
      <c r="J2701" s="4"/>
      <c r="K2701" s="4"/>
      <c r="L2701" s="3"/>
      <c r="M2701" s="6"/>
      <c r="N2701" s="6"/>
      <c r="O2701" s="6"/>
      <c r="P2701" s="5"/>
      <c r="Q2701" s="9"/>
      <c r="R2701" s="5"/>
      <c r="S2701" s="5"/>
      <c r="T2701" s="5"/>
      <c r="U2701" s="5"/>
      <c r="V2701" s="5"/>
      <c r="W2701" s="5"/>
      <c r="X2701" s="5"/>
      <c r="Y2701" s="9"/>
      <c r="Z2701" s="2"/>
    </row>
    <row r="2702" spans="1:26">
      <c r="A2702" s="4"/>
      <c r="B2702" s="4"/>
      <c r="C2702" s="4"/>
      <c r="D2702" s="4"/>
      <c r="E2702" s="4"/>
      <c r="F2702" s="4"/>
      <c r="G2702" s="4"/>
      <c r="H2702" s="4"/>
      <c r="I2702" s="4"/>
      <c r="J2702" s="4"/>
      <c r="K2702" s="4"/>
      <c r="L2702" s="3"/>
      <c r="M2702" s="6"/>
      <c r="N2702" s="6"/>
      <c r="O2702" s="6"/>
      <c r="P2702" s="5"/>
      <c r="Q2702" s="9"/>
      <c r="R2702" s="5"/>
      <c r="S2702" s="5"/>
      <c r="T2702" s="5"/>
      <c r="U2702" s="5"/>
      <c r="V2702" s="5"/>
      <c r="W2702" s="5"/>
      <c r="X2702" s="5"/>
      <c r="Y2702" s="9"/>
      <c r="Z2702" s="2"/>
    </row>
    <row r="2703" spans="1:26">
      <c r="A2703" s="4"/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3"/>
      <c r="M2703" s="6"/>
      <c r="N2703" s="6"/>
      <c r="O2703" s="6"/>
      <c r="P2703" s="5"/>
      <c r="Q2703" s="9"/>
      <c r="R2703" s="5"/>
      <c r="S2703" s="5"/>
      <c r="T2703" s="5"/>
      <c r="U2703" s="5"/>
      <c r="V2703" s="5"/>
      <c r="W2703" s="5"/>
      <c r="X2703" s="5"/>
      <c r="Y2703" s="9"/>
      <c r="Z2703" s="2"/>
    </row>
    <row r="2704" spans="1:26">
      <c r="A2704" s="4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3"/>
      <c r="M2704" s="6"/>
      <c r="N2704" s="6"/>
      <c r="O2704" s="6"/>
      <c r="P2704" s="5"/>
      <c r="Q2704" s="9"/>
      <c r="R2704" s="5"/>
      <c r="S2704" s="5"/>
      <c r="T2704" s="5"/>
      <c r="U2704" s="5"/>
      <c r="V2704" s="5"/>
      <c r="W2704" s="5"/>
      <c r="X2704" s="5"/>
      <c r="Y2704" s="9"/>
      <c r="Z2704" s="2"/>
    </row>
    <row r="2705" spans="1:26">
      <c r="A2705" s="4"/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3"/>
      <c r="M2705" s="6"/>
      <c r="N2705" s="6"/>
      <c r="O2705" s="6"/>
      <c r="P2705" s="5"/>
      <c r="Q2705" s="9"/>
      <c r="R2705" s="5"/>
      <c r="S2705" s="5"/>
      <c r="T2705" s="5"/>
      <c r="U2705" s="5"/>
      <c r="V2705" s="5"/>
      <c r="W2705" s="5"/>
      <c r="X2705" s="5"/>
      <c r="Y2705" s="9"/>
      <c r="Z2705" s="2"/>
    </row>
    <row r="2706" spans="1:26">
      <c r="A2706" s="4"/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3"/>
      <c r="M2706" s="6"/>
      <c r="N2706" s="6"/>
      <c r="O2706" s="6"/>
      <c r="P2706" s="5"/>
      <c r="Q2706" s="9"/>
      <c r="R2706" s="5"/>
      <c r="S2706" s="5"/>
      <c r="T2706" s="5"/>
      <c r="U2706" s="5"/>
      <c r="V2706" s="5"/>
      <c r="W2706" s="5"/>
      <c r="X2706" s="5"/>
      <c r="Y2706" s="9"/>
      <c r="Z2706" s="2"/>
    </row>
    <row r="2707" spans="1:26">
      <c r="A2707" s="4"/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3"/>
      <c r="M2707" s="6"/>
      <c r="N2707" s="6"/>
      <c r="O2707" s="6"/>
      <c r="P2707" s="5"/>
      <c r="Q2707" s="9"/>
      <c r="R2707" s="5"/>
      <c r="S2707" s="5"/>
      <c r="T2707" s="5"/>
      <c r="U2707" s="5"/>
      <c r="V2707" s="5"/>
      <c r="W2707" s="5"/>
      <c r="X2707" s="5"/>
      <c r="Y2707" s="9"/>
      <c r="Z2707" s="2"/>
    </row>
    <row r="2708" spans="1:26">
      <c r="A2708" s="4"/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3"/>
      <c r="M2708" s="6"/>
      <c r="N2708" s="6"/>
      <c r="O2708" s="6"/>
      <c r="P2708" s="5"/>
      <c r="Q2708" s="9"/>
      <c r="R2708" s="5"/>
      <c r="S2708" s="5"/>
      <c r="T2708" s="5"/>
      <c r="U2708" s="5"/>
      <c r="V2708" s="5"/>
      <c r="W2708" s="5"/>
      <c r="X2708" s="5"/>
      <c r="Y2708" s="9"/>
      <c r="Z2708" s="2"/>
    </row>
    <row r="2709" spans="1:26">
      <c r="A2709" s="4"/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3"/>
      <c r="M2709" s="6"/>
      <c r="N2709" s="6"/>
      <c r="O2709" s="6"/>
      <c r="P2709" s="5"/>
      <c r="Q2709" s="9"/>
      <c r="R2709" s="5"/>
      <c r="S2709" s="5"/>
      <c r="T2709" s="5"/>
      <c r="U2709" s="5"/>
      <c r="V2709" s="5"/>
      <c r="W2709" s="5"/>
      <c r="X2709" s="5"/>
      <c r="Y2709" s="9"/>
      <c r="Z2709" s="2"/>
    </row>
    <row r="2710" spans="1:26">
      <c r="A2710" s="4"/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3"/>
      <c r="M2710" s="6"/>
      <c r="N2710" s="6"/>
      <c r="O2710" s="6"/>
      <c r="P2710" s="5"/>
      <c r="Q2710" s="9"/>
      <c r="R2710" s="5"/>
      <c r="S2710" s="5"/>
      <c r="T2710" s="5"/>
      <c r="U2710" s="5"/>
      <c r="V2710" s="5"/>
      <c r="W2710" s="5"/>
      <c r="X2710" s="5"/>
      <c r="Y2710" s="9"/>
      <c r="Z2710" s="2"/>
    </row>
    <row r="2711" spans="1:26">
      <c r="A2711" s="4"/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3"/>
      <c r="M2711" s="6"/>
      <c r="N2711" s="6"/>
      <c r="O2711" s="6"/>
      <c r="P2711" s="5"/>
      <c r="Q2711" s="9"/>
      <c r="R2711" s="5"/>
      <c r="S2711" s="5"/>
      <c r="T2711" s="5"/>
      <c r="U2711" s="5"/>
      <c r="V2711" s="5"/>
      <c r="W2711" s="5"/>
      <c r="X2711" s="5"/>
      <c r="Y2711" s="9"/>
      <c r="Z2711" s="2"/>
    </row>
    <row r="2712" spans="1:26">
      <c r="A2712" s="4"/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3"/>
      <c r="M2712" s="6"/>
      <c r="N2712" s="6"/>
      <c r="O2712" s="6"/>
      <c r="P2712" s="5"/>
      <c r="Q2712" s="9"/>
      <c r="R2712" s="5"/>
      <c r="S2712" s="5"/>
      <c r="T2712" s="5"/>
      <c r="U2712" s="5"/>
      <c r="V2712" s="5"/>
      <c r="W2712" s="5"/>
      <c r="X2712" s="5"/>
      <c r="Y2712" s="9"/>
      <c r="Z2712" s="2"/>
    </row>
    <row r="2713" spans="1:26">
      <c r="A2713" s="4"/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3"/>
      <c r="M2713" s="6"/>
      <c r="N2713" s="6"/>
      <c r="O2713" s="6"/>
      <c r="P2713" s="5"/>
      <c r="Q2713" s="9"/>
      <c r="R2713" s="5"/>
      <c r="S2713" s="5"/>
      <c r="T2713" s="5"/>
      <c r="U2713" s="5"/>
      <c r="V2713" s="5"/>
      <c r="W2713" s="5"/>
      <c r="X2713" s="5"/>
      <c r="Y2713" s="9"/>
      <c r="Z2713" s="2"/>
    </row>
    <row r="2714" spans="1:26">
      <c r="A2714" s="4"/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3"/>
      <c r="M2714" s="6"/>
      <c r="N2714" s="6"/>
      <c r="O2714" s="6"/>
      <c r="P2714" s="5"/>
      <c r="Q2714" s="9"/>
      <c r="R2714" s="5"/>
      <c r="S2714" s="5"/>
      <c r="T2714" s="5"/>
      <c r="U2714" s="5"/>
      <c r="V2714" s="5"/>
      <c r="W2714" s="5"/>
      <c r="X2714" s="5"/>
      <c r="Y2714" s="9"/>
      <c r="Z2714" s="2"/>
    </row>
    <row r="2715" spans="1:26">
      <c r="A2715" s="4"/>
      <c r="B2715" s="4"/>
      <c r="C2715" s="4"/>
      <c r="D2715" s="4"/>
      <c r="E2715" s="4"/>
      <c r="F2715" s="4"/>
      <c r="G2715" s="4"/>
      <c r="H2715" s="4"/>
      <c r="I2715" s="4"/>
      <c r="J2715" s="4"/>
      <c r="K2715" s="4"/>
      <c r="L2715" s="3"/>
      <c r="M2715" s="6"/>
      <c r="N2715" s="6"/>
      <c r="O2715" s="6"/>
      <c r="P2715" s="5"/>
      <c r="Q2715" s="9"/>
      <c r="R2715" s="5"/>
      <c r="S2715" s="5"/>
      <c r="T2715" s="5"/>
      <c r="U2715" s="5"/>
      <c r="V2715" s="5"/>
      <c r="W2715" s="5"/>
      <c r="X2715" s="5"/>
      <c r="Y2715" s="9"/>
      <c r="Z2715" s="2"/>
    </row>
    <row r="2716" spans="1:26">
      <c r="A2716" s="4"/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3"/>
      <c r="M2716" s="6"/>
      <c r="N2716" s="6"/>
      <c r="O2716" s="6"/>
      <c r="P2716" s="5"/>
      <c r="Q2716" s="9"/>
      <c r="R2716" s="5"/>
      <c r="S2716" s="5"/>
      <c r="T2716" s="5"/>
      <c r="U2716" s="5"/>
      <c r="V2716" s="5"/>
      <c r="W2716" s="5"/>
      <c r="X2716" s="5"/>
      <c r="Y2716" s="9"/>
      <c r="Z2716" s="2"/>
    </row>
    <row r="2717" spans="1:26">
      <c r="A2717" s="4"/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3"/>
      <c r="M2717" s="6"/>
      <c r="N2717" s="6"/>
      <c r="O2717" s="6"/>
      <c r="P2717" s="5"/>
      <c r="Q2717" s="9"/>
      <c r="R2717" s="5"/>
      <c r="S2717" s="5"/>
      <c r="T2717" s="5"/>
      <c r="U2717" s="5"/>
      <c r="V2717" s="5"/>
      <c r="W2717" s="5"/>
      <c r="X2717" s="5"/>
      <c r="Y2717" s="9"/>
      <c r="Z2717" s="2"/>
    </row>
    <row r="2718" spans="1:26">
      <c r="A2718" s="4"/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3"/>
      <c r="M2718" s="6"/>
      <c r="N2718" s="6"/>
      <c r="O2718" s="6"/>
      <c r="P2718" s="5"/>
      <c r="Q2718" s="9"/>
      <c r="R2718" s="5"/>
      <c r="S2718" s="5"/>
      <c r="T2718" s="5"/>
      <c r="U2718" s="5"/>
      <c r="V2718" s="5"/>
      <c r="W2718" s="5"/>
      <c r="X2718" s="5"/>
      <c r="Y2718" s="9"/>
      <c r="Z2718" s="2"/>
    </row>
    <row r="2719" spans="1:26">
      <c r="A2719" s="4"/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3"/>
      <c r="M2719" s="6"/>
      <c r="N2719" s="6"/>
      <c r="O2719" s="6"/>
      <c r="P2719" s="5"/>
      <c r="Q2719" s="9"/>
      <c r="R2719" s="5"/>
      <c r="S2719" s="5"/>
      <c r="T2719" s="5"/>
      <c r="U2719" s="5"/>
      <c r="V2719" s="5"/>
      <c r="W2719" s="5"/>
      <c r="X2719" s="5"/>
      <c r="Y2719" s="9"/>
      <c r="Z2719" s="2"/>
    </row>
    <row r="2720" spans="1:26">
      <c r="A2720" s="4"/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3"/>
      <c r="M2720" s="6"/>
      <c r="N2720" s="6"/>
      <c r="O2720" s="6"/>
      <c r="P2720" s="5"/>
      <c r="Q2720" s="9"/>
      <c r="R2720" s="5"/>
      <c r="S2720" s="5"/>
      <c r="T2720" s="5"/>
      <c r="U2720" s="5"/>
      <c r="V2720" s="5"/>
      <c r="W2720" s="5"/>
      <c r="X2720" s="5"/>
      <c r="Y2720" s="9"/>
      <c r="Z2720" s="2"/>
    </row>
    <row r="2721" spans="1:26">
      <c r="A2721" s="4"/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3"/>
      <c r="M2721" s="6"/>
      <c r="N2721" s="6"/>
      <c r="O2721" s="6"/>
      <c r="P2721" s="5"/>
      <c r="Q2721" s="9"/>
      <c r="R2721" s="5"/>
      <c r="S2721" s="5"/>
      <c r="T2721" s="5"/>
      <c r="U2721" s="5"/>
      <c r="V2721" s="5"/>
      <c r="W2721" s="5"/>
      <c r="X2721" s="5"/>
      <c r="Y2721" s="9"/>
      <c r="Z2721" s="2"/>
    </row>
    <row r="2722" spans="1:26">
      <c r="A2722" s="4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3"/>
      <c r="M2722" s="6"/>
      <c r="N2722" s="6"/>
      <c r="O2722" s="6"/>
      <c r="P2722" s="5"/>
      <c r="Q2722" s="9"/>
      <c r="R2722" s="5"/>
      <c r="S2722" s="5"/>
      <c r="T2722" s="5"/>
      <c r="U2722" s="5"/>
      <c r="V2722" s="5"/>
      <c r="W2722" s="5"/>
      <c r="X2722" s="5"/>
      <c r="Y2722" s="9"/>
      <c r="Z2722" s="2"/>
    </row>
    <row r="2723" spans="1:26">
      <c r="A2723" s="4"/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3"/>
      <c r="M2723" s="6"/>
      <c r="N2723" s="6"/>
      <c r="O2723" s="6"/>
      <c r="P2723" s="5"/>
      <c r="Q2723" s="9"/>
      <c r="R2723" s="5"/>
      <c r="S2723" s="5"/>
      <c r="T2723" s="5"/>
      <c r="U2723" s="5"/>
      <c r="V2723" s="5"/>
      <c r="W2723" s="5"/>
      <c r="X2723" s="5"/>
      <c r="Y2723" s="9"/>
      <c r="Z2723" s="2"/>
    </row>
    <row r="2724" spans="1:26">
      <c r="A2724" s="4"/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3"/>
      <c r="M2724" s="6"/>
      <c r="N2724" s="6"/>
      <c r="O2724" s="6"/>
      <c r="P2724" s="5"/>
      <c r="Q2724" s="9"/>
      <c r="R2724" s="5"/>
      <c r="S2724" s="5"/>
      <c r="T2724" s="5"/>
      <c r="U2724" s="5"/>
      <c r="V2724" s="5"/>
      <c r="W2724" s="5"/>
      <c r="X2724" s="5"/>
      <c r="Y2724" s="9"/>
      <c r="Z2724" s="2"/>
    </row>
    <row r="2725" spans="1:26">
      <c r="A2725" s="4"/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3"/>
      <c r="M2725" s="6"/>
      <c r="N2725" s="6"/>
      <c r="O2725" s="6"/>
      <c r="P2725" s="5"/>
      <c r="Q2725" s="9"/>
      <c r="R2725" s="5"/>
      <c r="S2725" s="5"/>
      <c r="T2725" s="5"/>
      <c r="U2725" s="5"/>
      <c r="V2725" s="5"/>
      <c r="W2725" s="5"/>
      <c r="X2725" s="5"/>
      <c r="Y2725" s="9"/>
      <c r="Z2725" s="2"/>
    </row>
    <row r="2726" spans="1:26">
      <c r="A2726" s="4"/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3"/>
      <c r="M2726" s="6"/>
      <c r="N2726" s="6"/>
      <c r="O2726" s="6"/>
      <c r="P2726" s="5"/>
      <c r="Q2726" s="9"/>
      <c r="R2726" s="5"/>
      <c r="S2726" s="5"/>
      <c r="T2726" s="5"/>
      <c r="U2726" s="5"/>
      <c r="V2726" s="5"/>
      <c r="W2726" s="5"/>
      <c r="X2726" s="5"/>
      <c r="Y2726" s="9"/>
      <c r="Z2726" s="2"/>
    </row>
    <row r="2727" spans="1:26">
      <c r="A2727" s="4"/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3"/>
      <c r="M2727" s="6"/>
      <c r="N2727" s="6"/>
      <c r="O2727" s="6"/>
      <c r="P2727" s="5"/>
      <c r="Q2727" s="9"/>
      <c r="R2727" s="5"/>
      <c r="S2727" s="5"/>
      <c r="T2727" s="5"/>
      <c r="U2727" s="5"/>
      <c r="V2727" s="5"/>
      <c r="W2727" s="5"/>
      <c r="X2727" s="5"/>
      <c r="Y2727" s="9"/>
      <c r="Z2727" s="2"/>
    </row>
    <row r="2728" spans="1:26">
      <c r="A2728" s="4"/>
      <c r="B2728" s="4"/>
      <c r="C2728" s="4"/>
      <c r="D2728" s="4"/>
      <c r="E2728" s="4"/>
      <c r="F2728" s="4"/>
      <c r="G2728" s="4"/>
      <c r="H2728" s="4"/>
      <c r="I2728" s="4"/>
      <c r="J2728" s="4"/>
      <c r="K2728" s="4"/>
      <c r="L2728" s="3"/>
      <c r="M2728" s="6"/>
      <c r="N2728" s="6"/>
      <c r="O2728" s="6"/>
      <c r="P2728" s="5"/>
      <c r="Q2728" s="9"/>
      <c r="R2728" s="5"/>
      <c r="S2728" s="5"/>
      <c r="T2728" s="5"/>
      <c r="U2728" s="5"/>
      <c r="V2728" s="5"/>
      <c r="W2728" s="5"/>
      <c r="X2728" s="5"/>
      <c r="Y2728" s="9"/>
      <c r="Z2728" s="2"/>
    </row>
    <row r="2729" spans="1:26">
      <c r="A2729" s="4"/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3"/>
      <c r="M2729" s="6"/>
      <c r="N2729" s="6"/>
      <c r="O2729" s="6"/>
      <c r="P2729" s="5"/>
      <c r="Q2729" s="9"/>
      <c r="R2729" s="5"/>
      <c r="S2729" s="5"/>
      <c r="T2729" s="5"/>
      <c r="U2729" s="5"/>
      <c r="V2729" s="5"/>
      <c r="W2729" s="5"/>
      <c r="X2729" s="5"/>
      <c r="Y2729" s="9"/>
      <c r="Z2729" s="2"/>
    </row>
    <row r="2730" spans="1:26">
      <c r="A2730" s="4"/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3"/>
      <c r="M2730" s="6"/>
      <c r="N2730" s="6"/>
      <c r="O2730" s="6"/>
      <c r="P2730" s="5"/>
      <c r="Q2730" s="9"/>
      <c r="R2730" s="5"/>
      <c r="S2730" s="5"/>
      <c r="T2730" s="5"/>
      <c r="U2730" s="5"/>
      <c r="V2730" s="5"/>
      <c r="W2730" s="5"/>
      <c r="X2730" s="5"/>
      <c r="Y2730" s="9"/>
      <c r="Z2730" s="2"/>
    </row>
    <row r="2731" spans="1:26">
      <c r="A2731" s="4"/>
      <c r="B2731" s="4"/>
      <c r="C2731" s="4"/>
      <c r="D2731" s="4"/>
      <c r="E2731" s="4"/>
      <c r="F2731" s="4"/>
      <c r="G2731" s="4"/>
      <c r="H2731" s="4"/>
      <c r="I2731" s="4"/>
      <c r="J2731" s="4"/>
      <c r="K2731" s="4"/>
      <c r="L2731" s="3"/>
      <c r="M2731" s="6"/>
      <c r="N2731" s="6"/>
      <c r="O2731" s="6"/>
      <c r="P2731" s="5"/>
      <c r="Q2731" s="9"/>
      <c r="R2731" s="5"/>
      <c r="S2731" s="5"/>
      <c r="T2731" s="5"/>
      <c r="U2731" s="5"/>
      <c r="V2731" s="5"/>
      <c r="W2731" s="5"/>
      <c r="X2731" s="5"/>
      <c r="Y2731" s="9"/>
      <c r="Z2731" s="2"/>
    </row>
    <row r="2732" spans="1:26">
      <c r="A2732" s="4"/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3"/>
      <c r="M2732" s="6"/>
      <c r="N2732" s="6"/>
      <c r="O2732" s="6"/>
      <c r="P2732" s="5"/>
      <c r="Q2732" s="9"/>
      <c r="R2732" s="5"/>
      <c r="S2732" s="5"/>
      <c r="T2732" s="5"/>
      <c r="U2732" s="5"/>
      <c r="V2732" s="5"/>
      <c r="W2732" s="5"/>
      <c r="X2732" s="5"/>
      <c r="Y2732" s="9"/>
      <c r="Z2732" s="2"/>
    </row>
    <row r="2733" spans="1:26">
      <c r="A2733" s="4"/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3"/>
      <c r="M2733" s="6"/>
      <c r="N2733" s="6"/>
      <c r="O2733" s="6"/>
      <c r="P2733" s="5"/>
      <c r="Q2733" s="9"/>
      <c r="R2733" s="5"/>
      <c r="S2733" s="5"/>
      <c r="T2733" s="5"/>
      <c r="U2733" s="5"/>
      <c r="V2733" s="5"/>
      <c r="W2733" s="5"/>
      <c r="X2733" s="5"/>
      <c r="Y2733" s="9"/>
      <c r="Z2733" s="2"/>
    </row>
    <row r="2734" spans="1:26">
      <c r="A2734" s="4"/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3"/>
      <c r="M2734" s="6"/>
      <c r="N2734" s="6"/>
      <c r="O2734" s="6"/>
      <c r="P2734" s="5"/>
      <c r="Q2734" s="9"/>
      <c r="R2734" s="5"/>
      <c r="S2734" s="5"/>
      <c r="T2734" s="5"/>
      <c r="U2734" s="5"/>
      <c r="V2734" s="5"/>
      <c r="W2734" s="5"/>
      <c r="X2734" s="5"/>
      <c r="Y2734" s="9"/>
      <c r="Z2734" s="2"/>
    </row>
    <row r="2735" spans="1:26">
      <c r="A2735" s="4"/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3"/>
      <c r="M2735" s="6"/>
      <c r="N2735" s="6"/>
      <c r="O2735" s="6"/>
      <c r="P2735" s="5"/>
      <c r="Q2735" s="9"/>
      <c r="R2735" s="5"/>
      <c r="S2735" s="5"/>
      <c r="T2735" s="5"/>
      <c r="U2735" s="5"/>
      <c r="V2735" s="5"/>
      <c r="W2735" s="5"/>
      <c r="X2735" s="5"/>
      <c r="Y2735" s="9"/>
      <c r="Z2735" s="2"/>
    </row>
    <row r="2736" spans="1:26">
      <c r="A2736" s="4"/>
      <c r="B2736" s="4"/>
      <c r="C2736" s="4"/>
      <c r="D2736" s="4"/>
      <c r="E2736" s="4"/>
      <c r="F2736" s="4"/>
      <c r="G2736" s="4"/>
      <c r="H2736" s="4"/>
      <c r="I2736" s="4"/>
      <c r="J2736" s="4"/>
      <c r="K2736" s="4"/>
      <c r="L2736" s="3"/>
      <c r="M2736" s="6"/>
      <c r="N2736" s="6"/>
      <c r="O2736" s="6"/>
      <c r="P2736" s="5"/>
      <c r="Q2736" s="9"/>
      <c r="R2736" s="5"/>
      <c r="S2736" s="5"/>
      <c r="T2736" s="5"/>
      <c r="U2736" s="5"/>
      <c r="V2736" s="5"/>
      <c r="W2736" s="5"/>
      <c r="X2736" s="5"/>
      <c r="Y2736" s="9"/>
      <c r="Z2736" s="2"/>
    </row>
    <row r="2737" spans="1:26">
      <c r="A2737" s="4"/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3"/>
      <c r="M2737" s="6"/>
      <c r="N2737" s="6"/>
      <c r="O2737" s="6"/>
      <c r="P2737" s="5"/>
      <c r="Q2737" s="9"/>
      <c r="R2737" s="5"/>
      <c r="S2737" s="5"/>
      <c r="T2737" s="5"/>
      <c r="U2737" s="5"/>
      <c r="V2737" s="5"/>
      <c r="W2737" s="5"/>
      <c r="X2737" s="5"/>
      <c r="Y2737" s="9"/>
      <c r="Z2737" s="2"/>
    </row>
    <row r="2738" spans="1:26">
      <c r="A2738" s="4"/>
      <c r="B2738" s="4"/>
      <c r="C2738" s="4"/>
      <c r="D2738" s="4"/>
      <c r="E2738" s="4"/>
      <c r="F2738" s="4"/>
      <c r="G2738" s="4"/>
      <c r="H2738" s="4"/>
      <c r="I2738" s="4"/>
      <c r="J2738" s="4"/>
      <c r="K2738" s="4"/>
      <c r="L2738" s="3"/>
      <c r="M2738" s="6"/>
      <c r="N2738" s="6"/>
      <c r="O2738" s="6"/>
      <c r="P2738" s="5"/>
      <c r="Q2738" s="9"/>
      <c r="R2738" s="5"/>
      <c r="S2738" s="5"/>
      <c r="T2738" s="5"/>
      <c r="U2738" s="5"/>
      <c r="V2738" s="5"/>
      <c r="W2738" s="5"/>
      <c r="X2738" s="5"/>
      <c r="Y2738" s="9"/>
      <c r="Z2738" s="2"/>
    </row>
    <row r="2739" spans="1:26">
      <c r="A2739" s="4"/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3"/>
      <c r="M2739" s="6"/>
      <c r="N2739" s="6"/>
      <c r="O2739" s="6"/>
      <c r="P2739" s="5"/>
      <c r="Q2739" s="9"/>
      <c r="R2739" s="5"/>
      <c r="S2739" s="5"/>
      <c r="T2739" s="5"/>
      <c r="U2739" s="5"/>
      <c r="V2739" s="5"/>
      <c r="W2739" s="5"/>
      <c r="X2739" s="5"/>
      <c r="Y2739" s="9"/>
      <c r="Z2739" s="2"/>
    </row>
    <row r="2740" spans="1:26">
      <c r="A2740" s="4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3"/>
      <c r="M2740" s="6"/>
      <c r="N2740" s="6"/>
      <c r="O2740" s="6"/>
      <c r="P2740" s="5"/>
      <c r="Q2740" s="9"/>
      <c r="R2740" s="5"/>
      <c r="S2740" s="5"/>
      <c r="T2740" s="5"/>
      <c r="U2740" s="5"/>
      <c r="V2740" s="5"/>
      <c r="W2740" s="5"/>
      <c r="X2740" s="5"/>
      <c r="Y2740" s="9"/>
      <c r="Z2740" s="2"/>
    </row>
    <row r="2741" spans="1:26">
      <c r="A2741" s="4"/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3"/>
      <c r="M2741" s="6"/>
      <c r="N2741" s="6"/>
      <c r="O2741" s="6"/>
      <c r="P2741" s="5"/>
      <c r="Q2741" s="9"/>
      <c r="R2741" s="5"/>
      <c r="S2741" s="5"/>
      <c r="T2741" s="5"/>
      <c r="U2741" s="5"/>
      <c r="V2741" s="5"/>
      <c r="W2741" s="5"/>
      <c r="X2741" s="5"/>
      <c r="Y2741" s="9"/>
      <c r="Z2741" s="2"/>
    </row>
    <row r="2742" spans="1:26">
      <c r="A2742" s="4"/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3"/>
      <c r="M2742" s="6"/>
      <c r="N2742" s="6"/>
      <c r="O2742" s="6"/>
      <c r="P2742" s="5"/>
      <c r="Q2742" s="9"/>
      <c r="R2742" s="5"/>
      <c r="S2742" s="5"/>
      <c r="T2742" s="5"/>
      <c r="U2742" s="5"/>
      <c r="V2742" s="5"/>
      <c r="W2742" s="5"/>
      <c r="X2742" s="5"/>
      <c r="Y2742" s="9"/>
      <c r="Z2742" s="2"/>
    </row>
    <row r="2743" spans="1:26">
      <c r="A2743" s="4"/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3"/>
      <c r="M2743" s="6"/>
      <c r="N2743" s="6"/>
      <c r="O2743" s="6"/>
      <c r="P2743" s="5"/>
      <c r="Q2743" s="9"/>
      <c r="R2743" s="5"/>
      <c r="S2743" s="5"/>
      <c r="T2743" s="5"/>
      <c r="U2743" s="5"/>
      <c r="V2743" s="5"/>
      <c r="W2743" s="5"/>
      <c r="X2743" s="5"/>
      <c r="Y2743" s="9"/>
      <c r="Z2743" s="2"/>
    </row>
    <row r="2744" spans="1:26">
      <c r="A2744" s="4"/>
      <c r="B2744" s="4"/>
      <c r="C2744" s="4"/>
      <c r="D2744" s="4"/>
      <c r="E2744" s="4"/>
      <c r="F2744" s="4"/>
      <c r="G2744" s="4"/>
      <c r="H2744" s="4"/>
      <c r="I2744" s="4"/>
      <c r="J2744" s="4"/>
      <c r="K2744" s="4"/>
      <c r="L2744" s="3"/>
      <c r="M2744" s="6"/>
      <c r="N2744" s="6"/>
      <c r="O2744" s="6"/>
      <c r="P2744" s="5"/>
      <c r="Q2744" s="9"/>
      <c r="R2744" s="5"/>
      <c r="S2744" s="5"/>
      <c r="T2744" s="5"/>
      <c r="U2744" s="5"/>
      <c r="V2744" s="5"/>
      <c r="W2744" s="5"/>
      <c r="X2744" s="5"/>
      <c r="Y2744" s="9"/>
      <c r="Z2744" s="2"/>
    </row>
    <row r="2745" spans="1:26">
      <c r="A2745" s="4"/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3"/>
      <c r="M2745" s="6"/>
      <c r="N2745" s="6"/>
      <c r="O2745" s="6"/>
      <c r="P2745" s="5"/>
      <c r="Q2745" s="9"/>
      <c r="R2745" s="5"/>
      <c r="S2745" s="5"/>
      <c r="T2745" s="5"/>
      <c r="U2745" s="5"/>
      <c r="V2745" s="5"/>
      <c r="W2745" s="5"/>
      <c r="X2745" s="5"/>
      <c r="Y2745" s="9"/>
      <c r="Z2745" s="2"/>
    </row>
    <row r="2746" spans="1:26">
      <c r="A2746" s="4"/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3"/>
      <c r="M2746" s="6"/>
      <c r="N2746" s="6"/>
      <c r="O2746" s="6"/>
      <c r="P2746" s="5"/>
      <c r="Q2746" s="9"/>
      <c r="R2746" s="5"/>
      <c r="S2746" s="5"/>
      <c r="T2746" s="5"/>
      <c r="U2746" s="5"/>
      <c r="V2746" s="5"/>
      <c r="W2746" s="5"/>
      <c r="X2746" s="5"/>
      <c r="Y2746" s="9"/>
      <c r="Z2746" s="2"/>
    </row>
    <row r="2747" spans="1:26">
      <c r="A2747" s="4"/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3"/>
      <c r="M2747" s="6"/>
      <c r="N2747" s="6"/>
      <c r="O2747" s="6"/>
      <c r="P2747" s="5"/>
      <c r="Q2747" s="9"/>
      <c r="R2747" s="5"/>
      <c r="S2747" s="5"/>
      <c r="T2747" s="5"/>
      <c r="U2747" s="5"/>
      <c r="V2747" s="5"/>
      <c r="W2747" s="5"/>
      <c r="X2747" s="5"/>
      <c r="Y2747" s="9"/>
      <c r="Z2747" s="2"/>
    </row>
    <row r="2748" spans="1:26">
      <c r="A2748" s="4"/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3"/>
      <c r="M2748" s="6"/>
      <c r="N2748" s="6"/>
      <c r="O2748" s="6"/>
      <c r="P2748" s="5"/>
      <c r="Q2748" s="9"/>
      <c r="R2748" s="5"/>
      <c r="S2748" s="5"/>
      <c r="T2748" s="5"/>
      <c r="U2748" s="5"/>
      <c r="V2748" s="5"/>
      <c r="W2748" s="5"/>
      <c r="X2748" s="5"/>
      <c r="Y2748" s="9"/>
      <c r="Z2748" s="2"/>
    </row>
    <row r="2749" spans="1:26">
      <c r="A2749" s="4"/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3"/>
      <c r="M2749" s="6"/>
      <c r="N2749" s="6"/>
      <c r="O2749" s="6"/>
      <c r="P2749" s="5"/>
      <c r="Q2749" s="9"/>
      <c r="R2749" s="5"/>
      <c r="S2749" s="5"/>
      <c r="T2749" s="5"/>
      <c r="U2749" s="5"/>
      <c r="V2749" s="5"/>
      <c r="W2749" s="5"/>
      <c r="X2749" s="5"/>
      <c r="Y2749" s="9"/>
      <c r="Z2749" s="2"/>
    </row>
    <row r="2750" spans="1:26">
      <c r="A2750" s="4"/>
      <c r="B2750" s="4"/>
      <c r="C2750" s="4"/>
      <c r="D2750" s="4"/>
      <c r="E2750" s="4"/>
      <c r="F2750" s="4"/>
      <c r="G2750" s="4"/>
      <c r="H2750" s="4"/>
      <c r="I2750" s="4"/>
      <c r="J2750" s="4"/>
      <c r="K2750" s="4"/>
      <c r="L2750" s="3"/>
      <c r="M2750" s="6"/>
      <c r="N2750" s="6"/>
      <c r="O2750" s="6"/>
      <c r="P2750" s="5"/>
      <c r="Q2750" s="9"/>
      <c r="R2750" s="5"/>
      <c r="S2750" s="5"/>
      <c r="T2750" s="5"/>
      <c r="U2750" s="5"/>
      <c r="V2750" s="5"/>
      <c r="W2750" s="5"/>
      <c r="X2750" s="5"/>
      <c r="Y2750" s="9"/>
      <c r="Z2750" s="2"/>
    </row>
    <row r="2751" spans="1:26">
      <c r="A2751" s="4"/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3"/>
      <c r="M2751" s="6"/>
      <c r="N2751" s="6"/>
      <c r="O2751" s="6"/>
      <c r="P2751" s="5"/>
      <c r="Q2751" s="9"/>
      <c r="R2751" s="5"/>
      <c r="S2751" s="5"/>
      <c r="T2751" s="5"/>
      <c r="U2751" s="5"/>
      <c r="V2751" s="5"/>
      <c r="W2751" s="5"/>
      <c r="X2751" s="5"/>
      <c r="Y2751" s="9"/>
      <c r="Z2751" s="2"/>
    </row>
    <row r="2752" spans="1:26">
      <c r="A2752" s="4"/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3"/>
      <c r="M2752" s="6"/>
      <c r="N2752" s="6"/>
      <c r="O2752" s="6"/>
      <c r="P2752" s="5"/>
      <c r="Q2752" s="9"/>
      <c r="R2752" s="5"/>
      <c r="S2752" s="5"/>
      <c r="T2752" s="5"/>
      <c r="U2752" s="5"/>
      <c r="V2752" s="5"/>
      <c r="W2752" s="5"/>
      <c r="X2752" s="5"/>
      <c r="Y2752" s="9"/>
      <c r="Z2752" s="2"/>
    </row>
    <row r="2753" spans="1:26">
      <c r="A2753" s="4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3"/>
      <c r="M2753" s="6"/>
      <c r="N2753" s="6"/>
      <c r="O2753" s="6"/>
      <c r="P2753" s="5"/>
      <c r="Q2753" s="9"/>
      <c r="R2753" s="5"/>
      <c r="S2753" s="5"/>
      <c r="T2753" s="5"/>
      <c r="U2753" s="5"/>
      <c r="V2753" s="5"/>
      <c r="W2753" s="5"/>
      <c r="X2753" s="5"/>
      <c r="Y2753" s="9"/>
      <c r="Z2753" s="2"/>
    </row>
    <row r="2754" spans="1:26">
      <c r="A2754" s="4"/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3"/>
      <c r="M2754" s="6"/>
      <c r="N2754" s="6"/>
      <c r="O2754" s="6"/>
      <c r="P2754" s="5"/>
      <c r="Q2754" s="9"/>
      <c r="R2754" s="5"/>
      <c r="S2754" s="5"/>
      <c r="T2754" s="5"/>
      <c r="U2754" s="5"/>
      <c r="V2754" s="5"/>
      <c r="W2754" s="5"/>
      <c r="X2754" s="5"/>
      <c r="Y2754" s="9"/>
      <c r="Z2754" s="2"/>
    </row>
    <row r="2755" spans="1:26">
      <c r="A2755" s="4"/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3"/>
      <c r="M2755" s="6"/>
      <c r="N2755" s="6"/>
      <c r="O2755" s="6"/>
      <c r="P2755" s="5"/>
      <c r="Q2755" s="9"/>
      <c r="R2755" s="5"/>
      <c r="S2755" s="5"/>
      <c r="T2755" s="5"/>
      <c r="U2755" s="5"/>
      <c r="V2755" s="5"/>
      <c r="W2755" s="5"/>
      <c r="X2755" s="5"/>
      <c r="Y2755" s="9"/>
      <c r="Z2755" s="2"/>
    </row>
    <row r="2756" spans="1:26">
      <c r="A2756" s="4"/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3"/>
      <c r="M2756" s="6"/>
      <c r="N2756" s="6"/>
      <c r="O2756" s="6"/>
      <c r="P2756" s="5"/>
      <c r="Q2756" s="9"/>
      <c r="R2756" s="5"/>
      <c r="S2756" s="5"/>
      <c r="T2756" s="5"/>
      <c r="U2756" s="5"/>
      <c r="V2756" s="5"/>
      <c r="W2756" s="5"/>
      <c r="X2756" s="5"/>
      <c r="Y2756" s="9"/>
      <c r="Z2756" s="2"/>
    </row>
    <row r="2757" spans="1:26">
      <c r="A2757" s="4"/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3"/>
      <c r="M2757" s="6"/>
      <c r="N2757" s="6"/>
      <c r="O2757" s="6"/>
      <c r="P2757" s="5"/>
      <c r="Q2757" s="9"/>
      <c r="R2757" s="5"/>
      <c r="S2757" s="5"/>
      <c r="T2757" s="5"/>
      <c r="U2757" s="5"/>
      <c r="V2757" s="5"/>
      <c r="W2757" s="5"/>
      <c r="X2757" s="5"/>
      <c r="Y2757" s="9"/>
      <c r="Z2757" s="2"/>
    </row>
    <row r="2758" spans="1:26">
      <c r="A2758" s="4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3"/>
      <c r="M2758" s="6"/>
      <c r="N2758" s="6"/>
      <c r="O2758" s="6"/>
      <c r="P2758" s="5"/>
      <c r="Q2758" s="9"/>
      <c r="R2758" s="5"/>
      <c r="S2758" s="5"/>
      <c r="T2758" s="5"/>
      <c r="U2758" s="5"/>
      <c r="V2758" s="5"/>
      <c r="W2758" s="5"/>
      <c r="X2758" s="5"/>
      <c r="Y2758" s="9"/>
      <c r="Z2758" s="2"/>
    </row>
    <row r="2759" spans="1:26">
      <c r="A2759" s="4"/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3"/>
      <c r="M2759" s="6"/>
      <c r="N2759" s="6"/>
      <c r="O2759" s="6"/>
      <c r="P2759" s="5"/>
      <c r="Q2759" s="9"/>
      <c r="R2759" s="5"/>
      <c r="S2759" s="5"/>
      <c r="T2759" s="5"/>
      <c r="U2759" s="5"/>
      <c r="V2759" s="5"/>
      <c r="W2759" s="5"/>
      <c r="X2759" s="5"/>
      <c r="Y2759" s="9"/>
      <c r="Z2759" s="2"/>
    </row>
    <row r="2760" spans="1:26">
      <c r="A2760" s="4"/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3"/>
      <c r="M2760" s="6"/>
      <c r="N2760" s="6"/>
      <c r="O2760" s="6"/>
      <c r="P2760" s="5"/>
      <c r="Q2760" s="9"/>
      <c r="R2760" s="5"/>
      <c r="S2760" s="5"/>
      <c r="T2760" s="5"/>
      <c r="U2760" s="5"/>
      <c r="V2760" s="5"/>
      <c r="W2760" s="5"/>
      <c r="X2760" s="5"/>
      <c r="Y2760" s="9"/>
      <c r="Z2760" s="2"/>
    </row>
    <row r="2761" spans="1:26">
      <c r="A2761" s="4"/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3"/>
      <c r="M2761" s="6"/>
      <c r="N2761" s="6"/>
      <c r="O2761" s="6"/>
      <c r="P2761" s="5"/>
      <c r="Q2761" s="9"/>
      <c r="R2761" s="5"/>
      <c r="S2761" s="5"/>
      <c r="T2761" s="5"/>
      <c r="U2761" s="5"/>
      <c r="V2761" s="5"/>
      <c r="W2761" s="5"/>
      <c r="X2761" s="5"/>
      <c r="Y2761" s="9"/>
      <c r="Z2761" s="2"/>
    </row>
    <row r="2762" spans="1:26">
      <c r="A2762" s="4"/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3"/>
      <c r="M2762" s="6"/>
      <c r="N2762" s="6"/>
      <c r="O2762" s="6"/>
      <c r="P2762" s="5"/>
      <c r="Q2762" s="9"/>
      <c r="R2762" s="5"/>
      <c r="S2762" s="5"/>
      <c r="T2762" s="5"/>
      <c r="U2762" s="5"/>
      <c r="V2762" s="5"/>
      <c r="W2762" s="5"/>
      <c r="X2762" s="5"/>
      <c r="Y2762" s="9"/>
      <c r="Z2762" s="2"/>
    </row>
    <row r="2763" spans="1:26">
      <c r="A2763" s="4"/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3"/>
      <c r="M2763" s="6"/>
      <c r="N2763" s="6"/>
      <c r="O2763" s="6"/>
      <c r="P2763" s="5"/>
      <c r="Q2763" s="9"/>
      <c r="R2763" s="5"/>
      <c r="S2763" s="5"/>
      <c r="T2763" s="5"/>
      <c r="U2763" s="5"/>
      <c r="V2763" s="5"/>
      <c r="W2763" s="5"/>
      <c r="X2763" s="5"/>
      <c r="Y2763" s="9"/>
      <c r="Z2763" s="2"/>
    </row>
    <row r="2764" spans="1:26">
      <c r="A2764" s="4"/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3"/>
      <c r="M2764" s="6"/>
      <c r="N2764" s="6"/>
      <c r="O2764" s="6"/>
      <c r="P2764" s="5"/>
      <c r="Q2764" s="9"/>
      <c r="R2764" s="5"/>
      <c r="S2764" s="5"/>
      <c r="T2764" s="5"/>
      <c r="U2764" s="5"/>
      <c r="V2764" s="5"/>
      <c r="W2764" s="5"/>
      <c r="X2764" s="5"/>
      <c r="Y2764" s="9"/>
      <c r="Z2764" s="2"/>
    </row>
    <row r="2765" spans="1:26">
      <c r="A2765" s="4"/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3"/>
      <c r="M2765" s="6"/>
      <c r="N2765" s="6"/>
      <c r="O2765" s="6"/>
      <c r="P2765" s="5"/>
      <c r="Q2765" s="9"/>
      <c r="R2765" s="5"/>
      <c r="S2765" s="5"/>
      <c r="T2765" s="5"/>
      <c r="U2765" s="5"/>
      <c r="V2765" s="5"/>
      <c r="W2765" s="5"/>
      <c r="X2765" s="5"/>
      <c r="Y2765" s="9"/>
      <c r="Z2765" s="2"/>
    </row>
    <row r="2766" spans="1:26">
      <c r="A2766" s="4"/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3"/>
      <c r="M2766" s="6"/>
      <c r="N2766" s="6"/>
      <c r="O2766" s="6"/>
      <c r="P2766" s="5"/>
      <c r="Q2766" s="9"/>
      <c r="R2766" s="5"/>
      <c r="S2766" s="5"/>
      <c r="T2766" s="5"/>
      <c r="U2766" s="5"/>
      <c r="V2766" s="5"/>
      <c r="W2766" s="5"/>
      <c r="X2766" s="5"/>
      <c r="Y2766" s="9"/>
      <c r="Z2766" s="2"/>
    </row>
    <row r="2767" spans="1:26">
      <c r="A2767" s="4"/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3"/>
      <c r="M2767" s="6"/>
      <c r="N2767" s="6"/>
      <c r="O2767" s="6"/>
      <c r="P2767" s="5"/>
      <c r="Q2767" s="9"/>
      <c r="R2767" s="5"/>
      <c r="S2767" s="5"/>
      <c r="T2767" s="5"/>
      <c r="U2767" s="5"/>
      <c r="V2767" s="5"/>
      <c r="W2767" s="5"/>
      <c r="X2767" s="5"/>
      <c r="Y2767" s="9"/>
      <c r="Z2767" s="2"/>
    </row>
    <row r="2768" spans="1:26">
      <c r="A2768" s="4"/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3"/>
      <c r="M2768" s="6"/>
      <c r="N2768" s="6"/>
      <c r="O2768" s="6"/>
      <c r="P2768" s="5"/>
      <c r="Q2768" s="9"/>
      <c r="R2768" s="5"/>
      <c r="S2768" s="5"/>
      <c r="T2768" s="5"/>
      <c r="U2768" s="5"/>
      <c r="V2768" s="5"/>
      <c r="W2768" s="5"/>
      <c r="X2768" s="5"/>
      <c r="Y2768" s="9"/>
      <c r="Z2768" s="2"/>
    </row>
    <row r="2769" spans="1:26">
      <c r="A2769" s="4"/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3"/>
      <c r="M2769" s="6"/>
      <c r="N2769" s="6"/>
      <c r="O2769" s="6"/>
      <c r="P2769" s="5"/>
      <c r="Q2769" s="9"/>
      <c r="R2769" s="5"/>
      <c r="S2769" s="5"/>
      <c r="T2769" s="5"/>
      <c r="U2769" s="5"/>
      <c r="V2769" s="5"/>
      <c r="W2769" s="5"/>
      <c r="X2769" s="5"/>
      <c r="Y2769" s="9"/>
      <c r="Z2769" s="2"/>
    </row>
    <row r="2770" spans="1:26">
      <c r="A2770" s="4"/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3"/>
      <c r="M2770" s="6"/>
      <c r="N2770" s="6"/>
      <c r="O2770" s="6"/>
      <c r="P2770" s="5"/>
      <c r="Q2770" s="9"/>
      <c r="R2770" s="5"/>
      <c r="S2770" s="5"/>
      <c r="T2770" s="5"/>
      <c r="U2770" s="5"/>
      <c r="V2770" s="5"/>
      <c r="W2770" s="5"/>
      <c r="X2770" s="5"/>
      <c r="Y2770" s="9"/>
      <c r="Z2770" s="2"/>
    </row>
    <row r="2771" spans="1:26">
      <c r="A2771" s="4"/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3"/>
      <c r="M2771" s="6"/>
      <c r="N2771" s="6"/>
      <c r="O2771" s="6"/>
      <c r="P2771" s="5"/>
      <c r="Q2771" s="9"/>
      <c r="R2771" s="5"/>
      <c r="S2771" s="5"/>
      <c r="T2771" s="5"/>
      <c r="U2771" s="5"/>
      <c r="V2771" s="5"/>
      <c r="W2771" s="5"/>
      <c r="X2771" s="5"/>
      <c r="Y2771" s="9"/>
      <c r="Z2771" s="2"/>
    </row>
    <row r="2772" spans="1:26">
      <c r="A2772" s="4"/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3"/>
      <c r="M2772" s="6"/>
      <c r="N2772" s="6"/>
      <c r="O2772" s="6"/>
      <c r="P2772" s="5"/>
      <c r="Q2772" s="9"/>
      <c r="R2772" s="5"/>
      <c r="S2772" s="5"/>
      <c r="T2772" s="5"/>
      <c r="U2772" s="5"/>
      <c r="V2772" s="5"/>
      <c r="W2772" s="5"/>
      <c r="X2772" s="5"/>
      <c r="Y2772" s="9"/>
      <c r="Z2772" s="2"/>
    </row>
    <row r="2773" spans="1:26">
      <c r="A2773" s="4"/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3"/>
      <c r="M2773" s="6"/>
      <c r="N2773" s="6"/>
      <c r="O2773" s="6"/>
      <c r="P2773" s="5"/>
      <c r="Q2773" s="9"/>
      <c r="R2773" s="5"/>
      <c r="S2773" s="5"/>
      <c r="T2773" s="5"/>
      <c r="U2773" s="5"/>
      <c r="V2773" s="5"/>
      <c r="W2773" s="5"/>
      <c r="X2773" s="5"/>
      <c r="Y2773" s="9"/>
      <c r="Z2773" s="2"/>
    </row>
    <row r="2774" spans="1:26">
      <c r="A2774" s="4"/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3"/>
      <c r="M2774" s="6"/>
      <c r="N2774" s="6"/>
      <c r="O2774" s="6"/>
      <c r="P2774" s="5"/>
      <c r="Q2774" s="9"/>
      <c r="R2774" s="5"/>
      <c r="S2774" s="5"/>
      <c r="T2774" s="5"/>
      <c r="U2774" s="5"/>
      <c r="V2774" s="5"/>
      <c r="W2774" s="5"/>
      <c r="X2774" s="5"/>
      <c r="Y2774" s="9"/>
      <c r="Z2774" s="2"/>
    </row>
    <row r="2775" spans="1:26">
      <c r="A2775" s="4"/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3"/>
      <c r="M2775" s="6"/>
      <c r="N2775" s="6"/>
      <c r="O2775" s="6"/>
      <c r="P2775" s="5"/>
      <c r="Q2775" s="9"/>
      <c r="R2775" s="5"/>
      <c r="S2775" s="5"/>
      <c r="T2775" s="5"/>
      <c r="U2775" s="5"/>
      <c r="V2775" s="5"/>
      <c r="W2775" s="5"/>
      <c r="X2775" s="5"/>
      <c r="Y2775" s="9"/>
      <c r="Z2775" s="2"/>
    </row>
    <row r="2776" spans="1:26">
      <c r="A2776" s="4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3"/>
      <c r="M2776" s="6"/>
      <c r="N2776" s="6"/>
      <c r="O2776" s="6"/>
      <c r="P2776" s="5"/>
      <c r="Q2776" s="9"/>
      <c r="R2776" s="5"/>
      <c r="S2776" s="5"/>
      <c r="T2776" s="5"/>
      <c r="U2776" s="5"/>
      <c r="V2776" s="5"/>
      <c r="W2776" s="5"/>
      <c r="X2776" s="5"/>
      <c r="Y2776" s="9"/>
      <c r="Z2776" s="2"/>
    </row>
    <row r="2777" spans="1:26">
      <c r="A2777" s="4"/>
      <c r="B2777" s="4"/>
      <c r="C2777" s="4"/>
      <c r="D2777" s="4"/>
      <c r="E2777" s="4"/>
      <c r="F2777" s="4"/>
      <c r="G2777" s="4"/>
      <c r="H2777" s="4"/>
      <c r="I2777" s="4"/>
      <c r="J2777" s="4"/>
      <c r="K2777" s="4"/>
      <c r="L2777" s="3"/>
      <c r="M2777" s="6"/>
      <c r="N2777" s="6"/>
      <c r="O2777" s="6"/>
      <c r="P2777" s="5"/>
      <c r="Q2777" s="9"/>
      <c r="R2777" s="5"/>
      <c r="S2777" s="5"/>
      <c r="T2777" s="5"/>
      <c r="U2777" s="5"/>
      <c r="V2777" s="5"/>
      <c r="W2777" s="5"/>
      <c r="X2777" s="5"/>
      <c r="Y2777" s="9"/>
      <c r="Z2777" s="2"/>
    </row>
    <row r="2778" spans="1:26">
      <c r="A2778" s="4"/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3"/>
      <c r="M2778" s="6"/>
      <c r="N2778" s="6"/>
      <c r="O2778" s="6"/>
      <c r="P2778" s="5"/>
      <c r="Q2778" s="9"/>
      <c r="R2778" s="5"/>
      <c r="S2778" s="5"/>
      <c r="T2778" s="5"/>
      <c r="U2778" s="5"/>
      <c r="V2778" s="5"/>
      <c r="W2778" s="5"/>
      <c r="X2778" s="5"/>
      <c r="Y2778" s="9"/>
      <c r="Z2778" s="2"/>
    </row>
    <row r="2779" spans="1:26">
      <c r="A2779" s="4"/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3"/>
      <c r="M2779" s="6"/>
      <c r="N2779" s="6"/>
      <c r="O2779" s="6"/>
      <c r="P2779" s="5"/>
      <c r="Q2779" s="9"/>
      <c r="R2779" s="5"/>
      <c r="S2779" s="5"/>
      <c r="T2779" s="5"/>
      <c r="U2779" s="5"/>
      <c r="V2779" s="5"/>
      <c r="W2779" s="5"/>
      <c r="X2779" s="5"/>
      <c r="Y2779" s="9"/>
      <c r="Z2779" s="2"/>
    </row>
    <row r="2780" spans="1:26">
      <c r="A2780" s="4"/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3"/>
      <c r="M2780" s="6"/>
      <c r="N2780" s="6"/>
      <c r="O2780" s="6"/>
      <c r="P2780" s="5"/>
      <c r="Q2780" s="9"/>
      <c r="R2780" s="5"/>
      <c r="S2780" s="5"/>
      <c r="T2780" s="5"/>
      <c r="U2780" s="5"/>
      <c r="V2780" s="5"/>
      <c r="W2780" s="5"/>
      <c r="X2780" s="5"/>
      <c r="Y2780" s="9"/>
      <c r="Z2780" s="2"/>
    </row>
    <row r="2781" spans="1:26">
      <c r="A2781" s="4"/>
      <c r="B2781" s="4"/>
      <c r="C2781" s="4"/>
      <c r="D2781" s="4"/>
      <c r="E2781" s="4"/>
      <c r="F2781" s="4"/>
      <c r="G2781" s="4"/>
      <c r="H2781" s="4"/>
      <c r="I2781" s="4"/>
      <c r="J2781" s="4"/>
      <c r="K2781" s="4"/>
      <c r="L2781" s="3"/>
      <c r="M2781" s="6"/>
      <c r="N2781" s="6"/>
      <c r="O2781" s="6"/>
      <c r="P2781" s="5"/>
      <c r="Q2781" s="9"/>
      <c r="R2781" s="5"/>
      <c r="S2781" s="5"/>
      <c r="T2781" s="5"/>
      <c r="U2781" s="5"/>
      <c r="V2781" s="5"/>
      <c r="W2781" s="5"/>
      <c r="X2781" s="5"/>
      <c r="Y2781" s="9"/>
      <c r="Z2781" s="2"/>
    </row>
    <row r="2782" spans="1:26">
      <c r="A2782" s="4"/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3"/>
      <c r="M2782" s="6"/>
      <c r="N2782" s="6"/>
      <c r="O2782" s="6"/>
      <c r="P2782" s="5"/>
      <c r="Q2782" s="9"/>
      <c r="R2782" s="5"/>
      <c r="S2782" s="5"/>
      <c r="T2782" s="5"/>
      <c r="U2782" s="5"/>
      <c r="V2782" s="5"/>
      <c r="W2782" s="5"/>
      <c r="X2782" s="5"/>
      <c r="Y2782" s="9"/>
      <c r="Z2782" s="2"/>
    </row>
    <row r="2783" spans="1:26">
      <c r="A2783" s="4"/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3"/>
      <c r="M2783" s="6"/>
      <c r="N2783" s="6"/>
      <c r="O2783" s="6"/>
      <c r="P2783" s="5"/>
      <c r="Q2783" s="9"/>
      <c r="R2783" s="5"/>
      <c r="S2783" s="5"/>
      <c r="T2783" s="5"/>
      <c r="U2783" s="5"/>
      <c r="V2783" s="5"/>
      <c r="W2783" s="5"/>
      <c r="X2783" s="5"/>
      <c r="Y2783" s="9"/>
      <c r="Z2783" s="2"/>
    </row>
    <row r="2784" spans="1:26">
      <c r="A2784" s="4"/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3"/>
      <c r="M2784" s="6"/>
      <c r="N2784" s="6"/>
      <c r="O2784" s="6"/>
      <c r="P2784" s="5"/>
      <c r="Q2784" s="9"/>
      <c r="R2784" s="5"/>
      <c r="S2784" s="5"/>
      <c r="T2784" s="5"/>
      <c r="U2784" s="5"/>
      <c r="V2784" s="5"/>
      <c r="W2784" s="5"/>
      <c r="X2784" s="5"/>
      <c r="Y2784" s="9"/>
      <c r="Z2784" s="2"/>
    </row>
    <row r="2785" spans="1:26">
      <c r="A2785" s="4"/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3"/>
      <c r="M2785" s="6"/>
      <c r="N2785" s="6"/>
      <c r="O2785" s="6"/>
      <c r="P2785" s="5"/>
      <c r="Q2785" s="9"/>
      <c r="R2785" s="5"/>
      <c r="S2785" s="5"/>
      <c r="T2785" s="5"/>
      <c r="U2785" s="5"/>
      <c r="V2785" s="5"/>
      <c r="W2785" s="5"/>
      <c r="X2785" s="5"/>
      <c r="Y2785" s="9"/>
      <c r="Z2785" s="2"/>
    </row>
    <row r="2786" spans="1:26">
      <c r="A2786" s="4"/>
      <c r="B2786" s="4"/>
      <c r="C2786" s="4"/>
      <c r="D2786" s="4"/>
      <c r="E2786" s="4"/>
      <c r="F2786" s="4"/>
      <c r="G2786" s="4"/>
      <c r="H2786" s="4"/>
      <c r="I2786" s="4"/>
      <c r="J2786" s="4"/>
      <c r="K2786" s="4"/>
      <c r="L2786" s="3"/>
      <c r="M2786" s="6"/>
      <c r="N2786" s="6"/>
      <c r="O2786" s="6"/>
      <c r="P2786" s="5"/>
      <c r="Q2786" s="9"/>
      <c r="R2786" s="5"/>
      <c r="S2786" s="5"/>
      <c r="T2786" s="5"/>
      <c r="U2786" s="5"/>
      <c r="V2786" s="5"/>
      <c r="W2786" s="5"/>
      <c r="X2786" s="5"/>
      <c r="Y2786" s="9"/>
      <c r="Z2786" s="2"/>
    </row>
    <row r="2787" spans="1:26">
      <c r="A2787" s="4"/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3"/>
      <c r="M2787" s="6"/>
      <c r="N2787" s="6"/>
      <c r="O2787" s="6"/>
      <c r="P2787" s="5"/>
      <c r="Q2787" s="9"/>
      <c r="R2787" s="5"/>
      <c r="S2787" s="5"/>
      <c r="T2787" s="5"/>
      <c r="U2787" s="5"/>
      <c r="V2787" s="5"/>
      <c r="W2787" s="5"/>
      <c r="X2787" s="5"/>
      <c r="Y2787" s="9"/>
      <c r="Z2787" s="2"/>
    </row>
    <row r="2788" spans="1:26">
      <c r="A2788" s="4"/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3"/>
      <c r="M2788" s="6"/>
      <c r="N2788" s="6"/>
      <c r="O2788" s="6"/>
      <c r="P2788" s="5"/>
      <c r="Q2788" s="9"/>
      <c r="R2788" s="5"/>
      <c r="S2788" s="5"/>
      <c r="T2788" s="5"/>
      <c r="U2788" s="5"/>
      <c r="V2788" s="5"/>
      <c r="W2788" s="5"/>
      <c r="X2788" s="5"/>
      <c r="Y2788" s="9"/>
      <c r="Z2788" s="2"/>
    </row>
    <row r="2789" spans="1:26">
      <c r="A2789" s="4"/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3"/>
      <c r="M2789" s="6"/>
      <c r="N2789" s="6"/>
      <c r="O2789" s="6"/>
      <c r="P2789" s="5"/>
      <c r="Q2789" s="9"/>
      <c r="R2789" s="5"/>
      <c r="S2789" s="5"/>
      <c r="T2789" s="5"/>
      <c r="U2789" s="5"/>
      <c r="V2789" s="5"/>
      <c r="W2789" s="5"/>
      <c r="X2789" s="5"/>
      <c r="Y2789" s="9"/>
      <c r="Z2789" s="2"/>
    </row>
    <row r="2790" spans="1:26">
      <c r="A2790" s="4"/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3"/>
      <c r="M2790" s="6"/>
      <c r="N2790" s="6"/>
      <c r="O2790" s="6"/>
      <c r="P2790" s="5"/>
      <c r="Q2790" s="9"/>
      <c r="R2790" s="5"/>
      <c r="S2790" s="5"/>
      <c r="T2790" s="5"/>
      <c r="U2790" s="5"/>
      <c r="V2790" s="5"/>
      <c r="W2790" s="5"/>
      <c r="X2790" s="5"/>
      <c r="Y2790" s="9"/>
      <c r="Z2790" s="2"/>
    </row>
    <row r="2791" spans="1:26">
      <c r="A2791" s="4"/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3"/>
      <c r="M2791" s="6"/>
      <c r="N2791" s="6"/>
      <c r="O2791" s="6"/>
      <c r="P2791" s="5"/>
      <c r="Q2791" s="9"/>
      <c r="R2791" s="5"/>
      <c r="S2791" s="5"/>
      <c r="T2791" s="5"/>
      <c r="U2791" s="5"/>
      <c r="V2791" s="5"/>
      <c r="W2791" s="5"/>
      <c r="X2791" s="5"/>
      <c r="Y2791" s="9"/>
      <c r="Z2791" s="2"/>
    </row>
    <row r="2792" spans="1:26">
      <c r="A2792" s="4"/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3"/>
      <c r="M2792" s="6"/>
      <c r="N2792" s="6"/>
      <c r="O2792" s="6"/>
      <c r="P2792" s="5"/>
      <c r="Q2792" s="9"/>
      <c r="R2792" s="5"/>
      <c r="S2792" s="5"/>
      <c r="T2792" s="5"/>
      <c r="U2792" s="5"/>
      <c r="V2792" s="5"/>
      <c r="W2792" s="5"/>
      <c r="X2792" s="5"/>
      <c r="Y2792" s="9"/>
      <c r="Z2792" s="2"/>
    </row>
    <row r="2793" spans="1:26">
      <c r="A2793" s="4"/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3"/>
      <c r="M2793" s="6"/>
      <c r="N2793" s="6"/>
      <c r="O2793" s="6"/>
      <c r="P2793" s="5"/>
      <c r="Q2793" s="9"/>
      <c r="R2793" s="5"/>
      <c r="S2793" s="5"/>
      <c r="T2793" s="5"/>
      <c r="U2793" s="5"/>
      <c r="V2793" s="5"/>
      <c r="W2793" s="5"/>
      <c r="X2793" s="5"/>
      <c r="Y2793" s="9"/>
      <c r="Z2793" s="2"/>
    </row>
    <row r="2794" spans="1:26">
      <c r="A2794" s="4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3"/>
      <c r="M2794" s="6"/>
      <c r="N2794" s="6"/>
      <c r="O2794" s="6"/>
      <c r="P2794" s="5"/>
      <c r="Q2794" s="9"/>
      <c r="R2794" s="5"/>
      <c r="S2794" s="5"/>
      <c r="T2794" s="5"/>
      <c r="U2794" s="5"/>
      <c r="V2794" s="5"/>
      <c r="W2794" s="5"/>
      <c r="X2794" s="5"/>
      <c r="Y2794" s="9"/>
      <c r="Z2794" s="2"/>
    </row>
    <row r="2795" spans="1:26">
      <c r="A2795" s="4"/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3"/>
      <c r="M2795" s="6"/>
      <c r="N2795" s="6"/>
      <c r="O2795" s="6"/>
      <c r="P2795" s="5"/>
      <c r="Q2795" s="9"/>
      <c r="R2795" s="5"/>
      <c r="S2795" s="5"/>
      <c r="T2795" s="5"/>
      <c r="U2795" s="5"/>
      <c r="V2795" s="5"/>
      <c r="W2795" s="5"/>
      <c r="X2795" s="5"/>
      <c r="Y2795" s="9"/>
      <c r="Z2795" s="2"/>
    </row>
    <row r="2796" spans="1:26">
      <c r="A2796" s="4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3"/>
      <c r="M2796" s="6"/>
      <c r="N2796" s="6"/>
      <c r="O2796" s="6"/>
      <c r="P2796" s="5"/>
      <c r="Q2796" s="9"/>
      <c r="R2796" s="5"/>
      <c r="S2796" s="5"/>
      <c r="T2796" s="5"/>
      <c r="U2796" s="5"/>
      <c r="V2796" s="5"/>
      <c r="W2796" s="5"/>
      <c r="X2796" s="5"/>
      <c r="Y2796" s="9"/>
      <c r="Z2796" s="2"/>
    </row>
    <row r="2797" spans="1:26">
      <c r="A2797" s="4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3"/>
      <c r="M2797" s="6"/>
      <c r="N2797" s="6"/>
      <c r="O2797" s="6"/>
      <c r="P2797" s="5"/>
      <c r="Q2797" s="9"/>
      <c r="R2797" s="5"/>
      <c r="S2797" s="5"/>
      <c r="T2797" s="5"/>
      <c r="U2797" s="5"/>
      <c r="V2797" s="5"/>
      <c r="W2797" s="5"/>
      <c r="X2797" s="5"/>
      <c r="Y2797" s="9"/>
      <c r="Z2797" s="2"/>
    </row>
    <row r="2798" spans="1:26">
      <c r="A2798" s="4"/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3"/>
      <c r="M2798" s="6"/>
      <c r="N2798" s="6"/>
      <c r="O2798" s="6"/>
      <c r="P2798" s="5"/>
      <c r="Q2798" s="9"/>
      <c r="R2798" s="5"/>
      <c r="S2798" s="5"/>
      <c r="T2798" s="5"/>
      <c r="U2798" s="5"/>
      <c r="V2798" s="5"/>
      <c r="W2798" s="5"/>
      <c r="X2798" s="5"/>
      <c r="Y2798" s="9"/>
      <c r="Z2798" s="2"/>
    </row>
    <row r="2799" spans="1:26">
      <c r="A2799" s="4"/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3"/>
      <c r="M2799" s="6"/>
      <c r="N2799" s="6"/>
      <c r="O2799" s="6"/>
      <c r="P2799" s="5"/>
      <c r="Q2799" s="9"/>
      <c r="R2799" s="5"/>
      <c r="S2799" s="5"/>
      <c r="T2799" s="5"/>
      <c r="U2799" s="5"/>
      <c r="V2799" s="5"/>
      <c r="W2799" s="5"/>
      <c r="X2799" s="5"/>
      <c r="Y2799" s="9"/>
      <c r="Z2799" s="2"/>
    </row>
    <row r="2800" spans="1:26">
      <c r="A2800" s="4"/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3"/>
      <c r="M2800" s="6"/>
      <c r="N2800" s="6"/>
      <c r="O2800" s="6"/>
      <c r="P2800" s="5"/>
      <c r="Q2800" s="9"/>
      <c r="R2800" s="5"/>
      <c r="S2800" s="5"/>
      <c r="T2800" s="5"/>
      <c r="U2800" s="5"/>
      <c r="V2800" s="5"/>
      <c r="W2800" s="5"/>
      <c r="X2800" s="5"/>
      <c r="Y2800" s="9"/>
      <c r="Z2800" s="2"/>
    </row>
    <row r="2801" spans="1:26">
      <c r="A2801" s="4"/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3"/>
      <c r="M2801" s="6"/>
      <c r="N2801" s="6"/>
      <c r="O2801" s="6"/>
      <c r="P2801" s="5"/>
      <c r="Q2801" s="9"/>
      <c r="R2801" s="5"/>
      <c r="S2801" s="5"/>
      <c r="T2801" s="5"/>
      <c r="U2801" s="5"/>
      <c r="V2801" s="5"/>
      <c r="W2801" s="5"/>
      <c r="X2801" s="5"/>
      <c r="Y2801" s="9"/>
      <c r="Z2801" s="2"/>
    </row>
    <row r="2802" spans="1:26">
      <c r="A2802" s="4"/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3"/>
      <c r="M2802" s="6"/>
      <c r="N2802" s="6"/>
      <c r="O2802" s="6"/>
      <c r="P2802" s="5"/>
      <c r="Q2802" s="9"/>
      <c r="R2802" s="5"/>
      <c r="S2802" s="5"/>
      <c r="T2802" s="5"/>
      <c r="U2802" s="5"/>
      <c r="V2802" s="5"/>
      <c r="W2802" s="5"/>
      <c r="X2802" s="5"/>
      <c r="Y2802" s="9"/>
      <c r="Z2802" s="2"/>
    </row>
    <row r="2803" spans="1:26">
      <c r="A2803" s="4"/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3"/>
      <c r="M2803" s="6"/>
      <c r="N2803" s="6"/>
      <c r="O2803" s="6"/>
      <c r="P2803" s="5"/>
      <c r="Q2803" s="9"/>
      <c r="R2803" s="5"/>
      <c r="S2803" s="5"/>
      <c r="T2803" s="5"/>
      <c r="U2803" s="5"/>
      <c r="V2803" s="5"/>
      <c r="W2803" s="5"/>
      <c r="X2803" s="5"/>
      <c r="Y2803" s="9"/>
      <c r="Z2803" s="2"/>
    </row>
    <row r="2804" spans="1:26">
      <c r="A2804" s="4"/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3"/>
      <c r="M2804" s="6"/>
      <c r="N2804" s="6"/>
      <c r="O2804" s="6"/>
      <c r="P2804" s="5"/>
      <c r="Q2804" s="9"/>
      <c r="R2804" s="5"/>
      <c r="S2804" s="5"/>
      <c r="T2804" s="5"/>
      <c r="U2804" s="5"/>
      <c r="V2804" s="5"/>
      <c r="W2804" s="5"/>
      <c r="X2804" s="5"/>
      <c r="Y2804" s="9"/>
      <c r="Z2804" s="2"/>
    </row>
    <row r="2805" spans="1:26">
      <c r="A2805" s="4"/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3"/>
      <c r="M2805" s="6"/>
      <c r="N2805" s="6"/>
      <c r="O2805" s="6"/>
      <c r="P2805" s="5"/>
      <c r="Q2805" s="9"/>
      <c r="R2805" s="5"/>
      <c r="S2805" s="5"/>
      <c r="T2805" s="5"/>
      <c r="U2805" s="5"/>
      <c r="V2805" s="5"/>
      <c r="W2805" s="5"/>
      <c r="X2805" s="5"/>
      <c r="Y2805" s="9"/>
      <c r="Z2805" s="2"/>
    </row>
    <row r="2806" spans="1:26">
      <c r="A2806" s="4"/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3"/>
      <c r="M2806" s="6"/>
      <c r="N2806" s="6"/>
      <c r="O2806" s="6"/>
      <c r="P2806" s="5"/>
      <c r="Q2806" s="9"/>
      <c r="R2806" s="5"/>
      <c r="S2806" s="5"/>
      <c r="T2806" s="5"/>
      <c r="U2806" s="5"/>
      <c r="V2806" s="5"/>
      <c r="W2806" s="5"/>
      <c r="X2806" s="5"/>
      <c r="Y2806" s="9"/>
      <c r="Z2806" s="2"/>
    </row>
    <row r="2807" spans="1:26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3"/>
      <c r="M2807" s="6"/>
      <c r="N2807" s="6"/>
      <c r="O2807" s="6"/>
      <c r="P2807" s="5"/>
      <c r="Q2807" s="9"/>
      <c r="R2807" s="5"/>
      <c r="S2807" s="5"/>
      <c r="T2807" s="5"/>
      <c r="U2807" s="5"/>
      <c r="V2807" s="5"/>
      <c r="W2807" s="5"/>
      <c r="X2807" s="5"/>
      <c r="Y2807" s="9"/>
      <c r="Z2807" s="2"/>
    </row>
    <row r="2808" spans="1:26">
      <c r="A2808" s="4"/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3"/>
      <c r="M2808" s="6"/>
      <c r="N2808" s="6"/>
      <c r="O2808" s="6"/>
      <c r="P2808" s="5"/>
      <c r="Q2808" s="9"/>
      <c r="R2808" s="5"/>
      <c r="S2808" s="5"/>
      <c r="T2808" s="5"/>
      <c r="U2808" s="5"/>
      <c r="V2808" s="5"/>
      <c r="W2808" s="5"/>
      <c r="X2808" s="5"/>
      <c r="Y2808" s="9"/>
      <c r="Z2808" s="2"/>
    </row>
    <row r="2809" spans="1:26">
      <c r="A2809" s="4"/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3"/>
      <c r="M2809" s="6"/>
      <c r="N2809" s="6"/>
      <c r="O2809" s="6"/>
      <c r="P2809" s="5"/>
      <c r="Q2809" s="9"/>
      <c r="R2809" s="5"/>
      <c r="S2809" s="5"/>
      <c r="T2809" s="5"/>
      <c r="U2809" s="5"/>
      <c r="V2809" s="5"/>
      <c r="W2809" s="5"/>
      <c r="X2809" s="5"/>
      <c r="Y2809" s="9"/>
      <c r="Z2809" s="2"/>
    </row>
    <row r="2810" spans="1:26">
      <c r="A2810" s="4"/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3"/>
      <c r="M2810" s="6"/>
      <c r="N2810" s="6"/>
      <c r="O2810" s="6"/>
      <c r="P2810" s="5"/>
      <c r="Q2810" s="9"/>
      <c r="R2810" s="5"/>
      <c r="S2810" s="5"/>
      <c r="T2810" s="5"/>
      <c r="U2810" s="5"/>
      <c r="V2810" s="5"/>
      <c r="W2810" s="5"/>
      <c r="X2810" s="5"/>
      <c r="Y2810" s="9"/>
      <c r="Z2810" s="2"/>
    </row>
    <row r="2811" spans="1:26">
      <c r="A2811" s="4"/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3"/>
      <c r="M2811" s="6"/>
      <c r="N2811" s="6"/>
      <c r="O2811" s="6"/>
      <c r="P2811" s="5"/>
      <c r="Q2811" s="9"/>
      <c r="R2811" s="5"/>
      <c r="S2811" s="5"/>
      <c r="T2811" s="5"/>
      <c r="U2811" s="5"/>
      <c r="V2811" s="5"/>
      <c r="W2811" s="5"/>
      <c r="X2811" s="5"/>
      <c r="Y2811" s="9"/>
      <c r="Z2811" s="2"/>
    </row>
    <row r="2812" spans="1:26">
      <c r="A2812" s="4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3"/>
      <c r="M2812" s="6"/>
      <c r="N2812" s="6"/>
      <c r="O2812" s="6"/>
      <c r="P2812" s="5"/>
      <c r="Q2812" s="9"/>
      <c r="R2812" s="5"/>
      <c r="S2812" s="5"/>
      <c r="T2812" s="5"/>
      <c r="U2812" s="5"/>
      <c r="V2812" s="5"/>
      <c r="W2812" s="5"/>
      <c r="X2812" s="5"/>
      <c r="Y2812" s="9"/>
      <c r="Z2812" s="2"/>
    </row>
    <row r="2813" spans="1:26">
      <c r="A2813" s="4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3"/>
      <c r="M2813" s="6"/>
      <c r="N2813" s="6"/>
      <c r="O2813" s="6"/>
      <c r="P2813" s="5"/>
      <c r="Q2813" s="9"/>
      <c r="R2813" s="5"/>
      <c r="S2813" s="5"/>
      <c r="T2813" s="5"/>
      <c r="U2813" s="5"/>
      <c r="V2813" s="5"/>
      <c r="W2813" s="5"/>
      <c r="X2813" s="5"/>
      <c r="Y2813" s="9"/>
      <c r="Z2813" s="2"/>
    </row>
    <row r="2814" spans="1:26">
      <c r="A2814" s="4"/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3"/>
      <c r="M2814" s="6"/>
      <c r="N2814" s="6"/>
      <c r="O2814" s="6"/>
      <c r="P2814" s="5"/>
      <c r="Q2814" s="9"/>
      <c r="R2814" s="5"/>
      <c r="S2814" s="5"/>
      <c r="T2814" s="5"/>
      <c r="U2814" s="5"/>
      <c r="V2814" s="5"/>
      <c r="W2814" s="5"/>
      <c r="X2814" s="5"/>
      <c r="Y2814" s="9"/>
      <c r="Z2814" s="2"/>
    </row>
    <row r="2815" spans="1:26">
      <c r="A2815" s="4"/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3"/>
      <c r="M2815" s="6"/>
      <c r="N2815" s="6"/>
      <c r="O2815" s="6"/>
      <c r="P2815" s="5"/>
      <c r="Q2815" s="9"/>
      <c r="R2815" s="5"/>
      <c r="S2815" s="5"/>
      <c r="T2815" s="5"/>
      <c r="U2815" s="5"/>
      <c r="V2815" s="5"/>
      <c r="W2815" s="5"/>
      <c r="X2815" s="5"/>
      <c r="Y2815" s="9"/>
      <c r="Z2815" s="2"/>
    </row>
    <row r="2816" spans="1:26">
      <c r="A2816" s="4"/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3"/>
      <c r="M2816" s="6"/>
      <c r="N2816" s="6"/>
      <c r="O2816" s="6"/>
      <c r="P2816" s="5"/>
      <c r="Q2816" s="9"/>
      <c r="R2816" s="5"/>
      <c r="S2816" s="5"/>
      <c r="T2816" s="5"/>
      <c r="U2816" s="5"/>
      <c r="V2816" s="5"/>
      <c r="W2816" s="5"/>
      <c r="X2816" s="5"/>
      <c r="Y2816" s="9"/>
      <c r="Z2816" s="2"/>
    </row>
    <row r="2817" spans="1:26">
      <c r="A2817" s="4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3"/>
      <c r="M2817" s="6"/>
      <c r="N2817" s="6"/>
      <c r="O2817" s="6"/>
      <c r="P2817" s="5"/>
      <c r="Q2817" s="9"/>
      <c r="R2817" s="5"/>
      <c r="S2817" s="5"/>
      <c r="T2817" s="5"/>
      <c r="U2817" s="5"/>
      <c r="V2817" s="5"/>
      <c r="W2817" s="5"/>
      <c r="X2817" s="5"/>
      <c r="Y2817" s="9"/>
      <c r="Z2817" s="2"/>
    </row>
    <row r="2818" spans="1:26">
      <c r="A2818" s="4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3"/>
      <c r="M2818" s="6"/>
      <c r="N2818" s="6"/>
      <c r="O2818" s="6"/>
      <c r="P2818" s="5"/>
      <c r="Q2818" s="9"/>
      <c r="R2818" s="5"/>
      <c r="S2818" s="5"/>
      <c r="T2818" s="5"/>
      <c r="U2818" s="5"/>
      <c r="V2818" s="5"/>
      <c r="W2818" s="5"/>
      <c r="X2818" s="5"/>
      <c r="Y2818" s="9"/>
      <c r="Z2818" s="2"/>
    </row>
    <row r="2819" spans="1:26">
      <c r="A2819" s="4"/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3"/>
      <c r="M2819" s="6"/>
      <c r="N2819" s="6"/>
      <c r="O2819" s="6"/>
      <c r="P2819" s="5"/>
      <c r="Q2819" s="9"/>
      <c r="R2819" s="5"/>
      <c r="S2819" s="5"/>
      <c r="T2819" s="5"/>
      <c r="U2819" s="5"/>
      <c r="V2819" s="5"/>
      <c r="W2819" s="5"/>
      <c r="X2819" s="5"/>
      <c r="Y2819" s="9"/>
      <c r="Z2819" s="2"/>
    </row>
    <row r="2820" spans="1:26">
      <c r="A2820" s="4"/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3"/>
      <c r="M2820" s="6"/>
      <c r="N2820" s="6"/>
      <c r="O2820" s="6"/>
      <c r="P2820" s="5"/>
      <c r="Q2820" s="9"/>
      <c r="R2820" s="5"/>
      <c r="S2820" s="5"/>
      <c r="T2820" s="5"/>
      <c r="U2820" s="5"/>
      <c r="V2820" s="5"/>
      <c r="W2820" s="5"/>
      <c r="X2820" s="5"/>
      <c r="Y2820" s="9"/>
      <c r="Z2820" s="2"/>
    </row>
    <row r="2821" spans="1:26">
      <c r="A2821" s="4"/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3"/>
      <c r="M2821" s="6"/>
      <c r="N2821" s="6"/>
      <c r="O2821" s="6"/>
      <c r="P2821" s="5"/>
      <c r="Q2821" s="9"/>
      <c r="R2821" s="5"/>
      <c r="S2821" s="5"/>
      <c r="T2821" s="5"/>
      <c r="U2821" s="5"/>
      <c r="V2821" s="5"/>
      <c r="W2821" s="5"/>
      <c r="X2821" s="5"/>
      <c r="Y2821" s="9"/>
      <c r="Z2821" s="2"/>
    </row>
    <row r="2822" spans="1:26">
      <c r="A2822" s="4"/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3"/>
      <c r="M2822" s="6"/>
      <c r="N2822" s="6"/>
      <c r="O2822" s="6"/>
      <c r="P2822" s="5"/>
      <c r="Q2822" s="9"/>
      <c r="R2822" s="5"/>
      <c r="S2822" s="5"/>
      <c r="T2822" s="5"/>
      <c r="U2822" s="5"/>
      <c r="V2822" s="5"/>
      <c r="W2822" s="5"/>
      <c r="X2822" s="5"/>
      <c r="Y2822" s="9"/>
      <c r="Z2822" s="2"/>
    </row>
    <row r="2823" spans="1:26">
      <c r="A2823" s="4"/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3"/>
      <c r="M2823" s="6"/>
      <c r="N2823" s="6"/>
      <c r="O2823" s="6"/>
      <c r="P2823" s="5"/>
      <c r="Q2823" s="9"/>
      <c r="R2823" s="5"/>
      <c r="S2823" s="5"/>
      <c r="T2823" s="5"/>
      <c r="U2823" s="5"/>
      <c r="V2823" s="5"/>
      <c r="W2823" s="5"/>
      <c r="X2823" s="5"/>
      <c r="Y2823" s="9"/>
      <c r="Z2823" s="2"/>
    </row>
    <row r="2824" spans="1:26">
      <c r="A2824" s="4"/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3"/>
      <c r="M2824" s="6"/>
      <c r="N2824" s="6"/>
      <c r="O2824" s="6"/>
      <c r="P2824" s="5"/>
      <c r="Q2824" s="9"/>
      <c r="R2824" s="5"/>
      <c r="S2824" s="5"/>
      <c r="T2824" s="5"/>
      <c r="U2824" s="5"/>
      <c r="V2824" s="5"/>
      <c r="W2824" s="5"/>
      <c r="X2824" s="5"/>
      <c r="Y2824" s="9"/>
      <c r="Z2824" s="2"/>
    </row>
    <row r="2825" spans="1:26">
      <c r="A2825" s="4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3"/>
      <c r="M2825" s="6"/>
      <c r="N2825" s="6"/>
      <c r="O2825" s="6"/>
      <c r="P2825" s="5"/>
      <c r="Q2825" s="9"/>
      <c r="R2825" s="5"/>
      <c r="S2825" s="5"/>
      <c r="T2825" s="5"/>
      <c r="U2825" s="5"/>
      <c r="V2825" s="5"/>
      <c r="W2825" s="5"/>
      <c r="X2825" s="5"/>
      <c r="Y2825" s="9"/>
      <c r="Z2825" s="2"/>
    </row>
    <row r="2826" spans="1:26">
      <c r="A2826" s="4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3"/>
      <c r="M2826" s="6"/>
      <c r="N2826" s="6"/>
      <c r="O2826" s="6"/>
      <c r="P2826" s="5"/>
      <c r="Q2826" s="9"/>
      <c r="R2826" s="5"/>
      <c r="S2826" s="5"/>
      <c r="T2826" s="5"/>
      <c r="U2826" s="5"/>
      <c r="V2826" s="5"/>
      <c r="W2826" s="5"/>
      <c r="X2826" s="5"/>
      <c r="Y2826" s="9"/>
      <c r="Z2826" s="2"/>
    </row>
    <row r="2827" spans="1:26">
      <c r="A2827" s="4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3"/>
      <c r="M2827" s="6"/>
      <c r="N2827" s="6"/>
      <c r="O2827" s="6"/>
      <c r="P2827" s="5"/>
      <c r="Q2827" s="9"/>
      <c r="R2827" s="5"/>
      <c r="S2827" s="5"/>
      <c r="T2827" s="5"/>
      <c r="U2827" s="5"/>
      <c r="V2827" s="5"/>
      <c r="W2827" s="5"/>
      <c r="X2827" s="5"/>
      <c r="Y2827" s="9"/>
      <c r="Z2827" s="2"/>
    </row>
    <row r="2828" spans="1:26">
      <c r="A2828" s="4"/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3"/>
      <c r="M2828" s="6"/>
      <c r="N2828" s="6"/>
      <c r="O2828" s="6"/>
      <c r="P2828" s="5"/>
      <c r="Q2828" s="9"/>
      <c r="R2828" s="5"/>
      <c r="S2828" s="5"/>
      <c r="T2828" s="5"/>
      <c r="U2828" s="5"/>
      <c r="V2828" s="5"/>
      <c r="W2828" s="5"/>
      <c r="X2828" s="5"/>
      <c r="Y2828" s="9"/>
      <c r="Z2828" s="2"/>
    </row>
    <row r="2829" spans="1:26">
      <c r="A2829" s="4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3"/>
      <c r="M2829" s="6"/>
      <c r="N2829" s="6"/>
      <c r="O2829" s="6"/>
      <c r="P2829" s="5"/>
      <c r="Q2829" s="9"/>
      <c r="R2829" s="5"/>
      <c r="S2829" s="5"/>
      <c r="T2829" s="5"/>
      <c r="U2829" s="5"/>
      <c r="V2829" s="5"/>
      <c r="W2829" s="5"/>
      <c r="X2829" s="5"/>
      <c r="Y2829" s="9"/>
      <c r="Z2829" s="2"/>
    </row>
    <row r="2830" spans="1:26">
      <c r="A2830" s="4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3"/>
      <c r="M2830" s="6"/>
      <c r="N2830" s="6"/>
      <c r="O2830" s="6"/>
      <c r="P2830" s="5"/>
      <c r="Q2830" s="9"/>
      <c r="R2830" s="5"/>
      <c r="S2830" s="5"/>
      <c r="T2830" s="5"/>
      <c r="U2830" s="5"/>
      <c r="V2830" s="5"/>
      <c r="W2830" s="5"/>
      <c r="X2830" s="5"/>
      <c r="Y2830" s="9"/>
      <c r="Z2830" s="2"/>
    </row>
    <row r="2831" spans="1:26">
      <c r="A2831" s="4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3"/>
      <c r="M2831" s="6"/>
      <c r="N2831" s="6"/>
      <c r="O2831" s="6"/>
      <c r="P2831" s="5"/>
      <c r="Q2831" s="9"/>
      <c r="R2831" s="5"/>
      <c r="S2831" s="5"/>
      <c r="T2831" s="5"/>
      <c r="U2831" s="5"/>
      <c r="V2831" s="5"/>
      <c r="W2831" s="5"/>
      <c r="X2831" s="5"/>
      <c r="Y2831" s="9"/>
      <c r="Z2831" s="2"/>
    </row>
    <row r="2832" spans="1:26">
      <c r="A2832" s="4"/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3"/>
      <c r="M2832" s="6"/>
      <c r="N2832" s="6"/>
      <c r="O2832" s="6"/>
      <c r="P2832" s="5"/>
      <c r="Q2832" s="9"/>
      <c r="R2832" s="5"/>
      <c r="S2832" s="5"/>
      <c r="T2832" s="5"/>
      <c r="U2832" s="5"/>
      <c r="V2832" s="5"/>
      <c r="W2832" s="5"/>
      <c r="X2832" s="5"/>
      <c r="Y2832" s="9"/>
      <c r="Z2832" s="2"/>
    </row>
    <row r="2833" spans="1:26">
      <c r="A2833" s="4"/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3"/>
      <c r="M2833" s="6"/>
      <c r="N2833" s="6"/>
      <c r="O2833" s="6"/>
      <c r="P2833" s="5"/>
      <c r="Q2833" s="9"/>
      <c r="R2833" s="5"/>
      <c r="S2833" s="5"/>
      <c r="T2833" s="5"/>
      <c r="U2833" s="5"/>
      <c r="V2833" s="5"/>
      <c r="W2833" s="5"/>
      <c r="X2833" s="5"/>
      <c r="Y2833" s="9"/>
      <c r="Z2833" s="2"/>
    </row>
    <row r="2834" spans="1:26">
      <c r="A2834" s="4"/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3"/>
      <c r="M2834" s="6"/>
      <c r="N2834" s="6"/>
      <c r="O2834" s="6"/>
      <c r="P2834" s="5"/>
      <c r="Q2834" s="9"/>
      <c r="R2834" s="5"/>
      <c r="S2834" s="5"/>
      <c r="T2834" s="5"/>
      <c r="U2834" s="5"/>
      <c r="V2834" s="5"/>
      <c r="W2834" s="5"/>
      <c r="X2834" s="5"/>
      <c r="Y2834" s="9"/>
      <c r="Z2834" s="2"/>
    </row>
    <row r="2835" spans="1:26">
      <c r="A2835" s="4"/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3"/>
      <c r="M2835" s="6"/>
      <c r="N2835" s="6"/>
      <c r="O2835" s="6"/>
      <c r="P2835" s="5"/>
      <c r="Q2835" s="9"/>
      <c r="R2835" s="5"/>
      <c r="S2835" s="5"/>
      <c r="T2835" s="5"/>
      <c r="U2835" s="5"/>
      <c r="V2835" s="5"/>
      <c r="W2835" s="5"/>
      <c r="X2835" s="5"/>
      <c r="Y2835" s="9"/>
      <c r="Z2835" s="2"/>
    </row>
    <row r="2836" spans="1:26">
      <c r="A2836" s="4"/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3"/>
      <c r="M2836" s="6"/>
      <c r="N2836" s="6"/>
      <c r="O2836" s="6"/>
      <c r="P2836" s="5"/>
      <c r="Q2836" s="9"/>
      <c r="R2836" s="5"/>
      <c r="S2836" s="5"/>
      <c r="T2836" s="5"/>
      <c r="U2836" s="5"/>
      <c r="V2836" s="5"/>
      <c r="W2836" s="5"/>
      <c r="X2836" s="5"/>
      <c r="Y2836" s="9"/>
      <c r="Z2836" s="2"/>
    </row>
    <row r="2837" spans="1:26">
      <c r="A2837" s="4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3"/>
      <c r="M2837" s="6"/>
      <c r="N2837" s="6"/>
      <c r="O2837" s="6"/>
      <c r="P2837" s="5"/>
      <c r="Q2837" s="9"/>
      <c r="R2837" s="5"/>
      <c r="S2837" s="5"/>
      <c r="T2837" s="5"/>
      <c r="U2837" s="5"/>
      <c r="V2837" s="5"/>
      <c r="W2837" s="5"/>
      <c r="X2837" s="5"/>
      <c r="Y2837" s="9"/>
      <c r="Z2837" s="2"/>
    </row>
    <row r="2838" spans="1:26">
      <c r="A2838" s="4"/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3"/>
      <c r="M2838" s="6"/>
      <c r="N2838" s="6"/>
      <c r="O2838" s="6"/>
      <c r="P2838" s="5"/>
      <c r="Q2838" s="9"/>
      <c r="R2838" s="5"/>
      <c r="S2838" s="5"/>
      <c r="T2838" s="5"/>
      <c r="U2838" s="5"/>
      <c r="V2838" s="5"/>
      <c r="W2838" s="5"/>
      <c r="X2838" s="5"/>
      <c r="Y2838" s="9"/>
      <c r="Z2838" s="2"/>
    </row>
    <row r="2839" spans="1:26">
      <c r="A2839" s="4"/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3"/>
      <c r="M2839" s="6"/>
      <c r="N2839" s="6"/>
      <c r="O2839" s="6"/>
      <c r="P2839" s="5"/>
      <c r="Q2839" s="9"/>
      <c r="R2839" s="5"/>
      <c r="S2839" s="5"/>
      <c r="T2839" s="5"/>
      <c r="U2839" s="5"/>
      <c r="V2839" s="5"/>
      <c r="W2839" s="5"/>
      <c r="X2839" s="5"/>
      <c r="Y2839" s="9"/>
      <c r="Z2839" s="2"/>
    </row>
    <row r="2840" spans="1:26">
      <c r="A2840" s="4"/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3"/>
      <c r="M2840" s="6"/>
      <c r="N2840" s="6"/>
      <c r="O2840" s="6"/>
      <c r="P2840" s="5"/>
      <c r="Q2840" s="9"/>
      <c r="R2840" s="5"/>
      <c r="S2840" s="5"/>
      <c r="T2840" s="5"/>
      <c r="U2840" s="5"/>
      <c r="V2840" s="5"/>
      <c r="W2840" s="5"/>
      <c r="X2840" s="5"/>
      <c r="Y2840" s="9"/>
      <c r="Z2840" s="2"/>
    </row>
    <row r="2841" spans="1:26">
      <c r="A2841" s="4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3"/>
      <c r="M2841" s="6"/>
      <c r="N2841" s="6"/>
      <c r="O2841" s="6"/>
      <c r="P2841" s="5"/>
      <c r="Q2841" s="9"/>
      <c r="R2841" s="5"/>
      <c r="S2841" s="5"/>
      <c r="T2841" s="5"/>
      <c r="U2841" s="5"/>
      <c r="V2841" s="5"/>
      <c r="W2841" s="5"/>
      <c r="X2841" s="5"/>
      <c r="Y2841" s="9"/>
      <c r="Z2841" s="2"/>
    </row>
    <row r="2842" spans="1:26">
      <c r="A2842" s="4"/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3"/>
      <c r="M2842" s="6"/>
      <c r="N2842" s="6"/>
      <c r="O2842" s="6"/>
      <c r="P2842" s="5"/>
      <c r="Q2842" s="9"/>
      <c r="R2842" s="5"/>
      <c r="S2842" s="5"/>
      <c r="T2842" s="5"/>
      <c r="U2842" s="5"/>
      <c r="V2842" s="5"/>
      <c r="W2842" s="5"/>
      <c r="X2842" s="5"/>
      <c r="Y2842" s="9"/>
      <c r="Z2842" s="2"/>
    </row>
    <row r="2843" spans="1:26">
      <c r="A2843" s="4"/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3"/>
      <c r="M2843" s="6"/>
      <c r="N2843" s="6"/>
      <c r="O2843" s="6"/>
      <c r="P2843" s="5"/>
      <c r="Q2843" s="9"/>
      <c r="R2843" s="5"/>
      <c r="S2843" s="5"/>
      <c r="T2843" s="5"/>
      <c r="U2843" s="5"/>
      <c r="V2843" s="5"/>
      <c r="W2843" s="5"/>
      <c r="X2843" s="5"/>
      <c r="Y2843" s="9"/>
      <c r="Z2843" s="2"/>
    </row>
    <row r="2844" spans="1:26">
      <c r="A2844" s="4"/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3"/>
      <c r="M2844" s="6"/>
      <c r="N2844" s="6"/>
      <c r="O2844" s="6"/>
      <c r="P2844" s="5"/>
      <c r="Q2844" s="9"/>
      <c r="R2844" s="5"/>
      <c r="S2844" s="5"/>
      <c r="T2844" s="5"/>
      <c r="U2844" s="5"/>
      <c r="V2844" s="5"/>
      <c r="W2844" s="5"/>
      <c r="X2844" s="5"/>
      <c r="Y2844" s="9"/>
      <c r="Z2844" s="2"/>
    </row>
    <row r="2845" spans="1:26">
      <c r="A2845" s="4"/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3"/>
      <c r="M2845" s="6"/>
      <c r="N2845" s="6"/>
      <c r="O2845" s="6"/>
      <c r="P2845" s="5"/>
      <c r="Q2845" s="9"/>
      <c r="R2845" s="5"/>
      <c r="S2845" s="5"/>
      <c r="T2845" s="5"/>
      <c r="U2845" s="5"/>
      <c r="V2845" s="5"/>
      <c r="W2845" s="5"/>
      <c r="X2845" s="5"/>
      <c r="Y2845" s="9"/>
      <c r="Z2845" s="2"/>
    </row>
    <row r="2846" spans="1:26">
      <c r="A2846" s="4"/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3"/>
      <c r="M2846" s="6"/>
      <c r="N2846" s="6"/>
      <c r="O2846" s="6"/>
      <c r="P2846" s="5"/>
      <c r="Q2846" s="9"/>
      <c r="R2846" s="5"/>
      <c r="S2846" s="5"/>
      <c r="T2846" s="5"/>
      <c r="U2846" s="5"/>
      <c r="V2846" s="5"/>
      <c r="W2846" s="5"/>
      <c r="X2846" s="5"/>
      <c r="Y2846" s="9"/>
      <c r="Z2846" s="2"/>
    </row>
    <row r="2847" spans="1:26">
      <c r="A2847" s="4"/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3"/>
      <c r="M2847" s="6"/>
      <c r="N2847" s="6"/>
      <c r="O2847" s="6"/>
      <c r="P2847" s="5"/>
      <c r="Q2847" s="9"/>
      <c r="R2847" s="5"/>
      <c r="S2847" s="5"/>
      <c r="T2847" s="5"/>
      <c r="U2847" s="5"/>
      <c r="V2847" s="5"/>
      <c r="W2847" s="5"/>
      <c r="X2847" s="5"/>
      <c r="Y2847" s="9"/>
      <c r="Z2847" s="2"/>
    </row>
    <row r="2848" spans="1:26">
      <c r="A2848" s="4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3"/>
      <c r="M2848" s="6"/>
      <c r="N2848" s="6"/>
      <c r="O2848" s="6"/>
      <c r="P2848" s="5"/>
      <c r="Q2848" s="9"/>
      <c r="R2848" s="5"/>
      <c r="S2848" s="5"/>
      <c r="T2848" s="5"/>
      <c r="U2848" s="5"/>
      <c r="V2848" s="5"/>
      <c r="W2848" s="5"/>
      <c r="X2848" s="5"/>
      <c r="Y2848" s="9"/>
      <c r="Z2848" s="2"/>
    </row>
    <row r="2849" spans="1:26">
      <c r="A2849" s="4"/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3"/>
      <c r="M2849" s="6"/>
      <c r="N2849" s="6"/>
      <c r="O2849" s="6"/>
      <c r="P2849" s="5"/>
      <c r="Q2849" s="9"/>
      <c r="R2849" s="5"/>
      <c r="S2849" s="5"/>
      <c r="T2849" s="5"/>
      <c r="U2849" s="5"/>
      <c r="V2849" s="5"/>
      <c r="W2849" s="5"/>
      <c r="X2849" s="5"/>
      <c r="Y2849" s="9"/>
      <c r="Z2849" s="2"/>
    </row>
    <row r="2850" spans="1:26">
      <c r="A2850" s="4"/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3"/>
      <c r="M2850" s="6"/>
      <c r="N2850" s="6"/>
      <c r="O2850" s="6"/>
      <c r="P2850" s="5"/>
      <c r="Q2850" s="9"/>
      <c r="R2850" s="5"/>
      <c r="S2850" s="5"/>
      <c r="T2850" s="5"/>
      <c r="U2850" s="5"/>
      <c r="V2850" s="5"/>
      <c r="W2850" s="5"/>
      <c r="X2850" s="5"/>
      <c r="Y2850" s="9"/>
      <c r="Z2850" s="2"/>
    </row>
    <row r="2851" spans="1:26">
      <c r="A2851" s="4"/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3"/>
      <c r="M2851" s="6"/>
      <c r="N2851" s="6"/>
      <c r="O2851" s="6"/>
      <c r="P2851" s="5"/>
      <c r="Q2851" s="9"/>
      <c r="R2851" s="5"/>
      <c r="S2851" s="5"/>
      <c r="T2851" s="5"/>
      <c r="U2851" s="5"/>
      <c r="V2851" s="5"/>
      <c r="W2851" s="5"/>
      <c r="X2851" s="5"/>
      <c r="Y2851" s="9"/>
      <c r="Z2851" s="2"/>
    </row>
    <row r="2852" spans="1:26">
      <c r="A2852" s="4"/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3"/>
      <c r="M2852" s="6"/>
      <c r="N2852" s="6"/>
      <c r="O2852" s="6"/>
      <c r="P2852" s="5"/>
      <c r="Q2852" s="9"/>
      <c r="R2852" s="5"/>
      <c r="S2852" s="5"/>
      <c r="T2852" s="5"/>
      <c r="U2852" s="5"/>
      <c r="V2852" s="5"/>
      <c r="W2852" s="5"/>
      <c r="X2852" s="5"/>
      <c r="Y2852" s="9"/>
      <c r="Z2852" s="2"/>
    </row>
    <row r="2853" spans="1:26">
      <c r="A2853" s="4"/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3"/>
      <c r="M2853" s="6"/>
      <c r="N2853" s="6"/>
      <c r="O2853" s="6"/>
      <c r="P2853" s="5"/>
      <c r="Q2853" s="9"/>
      <c r="R2853" s="5"/>
      <c r="S2853" s="5"/>
      <c r="T2853" s="5"/>
      <c r="U2853" s="5"/>
      <c r="V2853" s="5"/>
      <c r="W2853" s="5"/>
      <c r="X2853" s="5"/>
      <c r="Y2853" s="9"/>
      <c r="Z2853" s="2"/>
    </row>
    <row r="2854" spans="1:26">
      <c r="A2854" s="4"/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3"/>
      <c r="M2854" s="6"/>
      <c r="N2854" s="6"/>
      <c r="O2854" s="6"/>
      <c r="P2854" s="5"/>
      <c r="Q2854" s="9"/>
      <c r="R2854" s="5"/>
      <c r="S2854" s="5"/>
      <c r="T2854" s="5"/>
      <c r="U2854" s="5"/>
      <c r="V2854" s="5"/>
      <c r="W2854" s="5"/>
      <c r="X2854" s="5"/>
      <c r="Y2854" s="9"/>
      <c r="Z2854" s="2"/>
    </row>
    <row r="2855" spans="1:26">
      <c r="A2855" s="4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3"/>
      <c r="M2855" s="6"/>
      <c r="N2855" s="6"/>
      <c r="O2855" s="6"/>
      <c r="P2855" s="5"/>
      <c r="Q2855" s="9"/>
      <c r="R2855" s="5"/>
      <c r="S2855" s="5"/>
      <c r="T2855" s="5"/>
      <c r="U2855" s="5"/>
      <c r="V2855" s="5"/>
      <c r="W2855" s="5"/>
      <c r="X2855" s="5"/>
      <c r="Y2855" s="9"/>
      <c r="Z2855" s="2"/>
    </row>
    <row r="2856" spans="1:26">
      <c r="A2856" s="4"/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3"/>
      <c r="M2856" s="6"/>
      <c r="N2856" s="6"/>
      <c r="O2856" s="6"/>
      <c r="P2856" s="5"/>
      <c r="Q2856" s="9"/>
      <c r="R2856" s="5"/>
      <c r="S2856" s="5"/>
      <c r="T2856" s="5"/>
      <c r="U2856" s="5"/>
      <c r="V2856" s="5"/>
      <c r="W2856" s="5"/>
      <c r="X2856" s="5"/>
      <c r="Y2856" s="9"/>
      <c r="Z2856" s="2"/>
    </row>
    <row r="2857" spans="1:26">
      <c r="A2857" s="4"/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3"/>
      <c r="M2857" s="6"/>
      <c r="N2857" s="6"/>
      <c r="O2857" s="6"/>
      <c r="P2857" s="5"/>
      <c r="Q2857" s="9"/>
      <c r="R2857" s="5"/>
      <c r="S2857" s="5"/>
      <c r="T2857" s="5"/>
      <c r="U2857" s="5"/>
      <c r="V2857" s="5"/>
      <c r="W2857" s="5"/>
      <c r="X2857" s="5"/>
      <c r="Y2857" s="9"/>
      <c r="Z2857" s="2"/>
    </row>
    <row r="2858" spans="1:26">
      <c r="A2858" s="4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3"/>
      <c r="M2858" s="6"/>
      <c r="N2858" s="6"/>
      <c r="O2858" s="6"/>
      <c r="P2858" s="5"/>
      <c r="Q2858" s="9"/>
      <c r="R2858" s="5"/>
      <c r="S2858" s="5"/>
      <c r="T2858" s="5"/>
      <c r="U2858" s="5"/>
      <c r="V2858" s="5"/>
      <c r="W2858" s="5"/>
      <c r="X2858" s="5"/>
      <c r="Y2858" s="9"/>
      <c r="Z2858" s="2"/>
    </row>
    <row r="2859" spans="1:26">
      <c r="A2859" s="4"/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3"/>
      <c r="M2859" s="6"/>
      <c r="N2859" s="6"/>
      <c r="O2859" s="6"/>
      <c r="P2859" s="5"/>
      <c r="Q2859" s="9"/>
      <c r="R2859" s="5"/>
      <c r="S2859" s="5"/>
      <c r="T2859" s="5"/>
      <c r="U2859" s="5"/>
      <c r="V2859" s="5"/>
      <c r="W2859" s="5"/>
      <c r="X2859" s="5"/>
      <c r="Y2859" s="9"/>
      <c r="Z2859" s="2"/>
    </row>
    <row r="2860" spans="1:26">
      <c r="A2860" s="4"/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3"/>
      <c r="M2860" s="6"/>
      <c r="N2860" s="6"/>
      <c r="O2860" s="6"/>
      <c r="P2860" s="5"/>
      <c r="Q2860" s="9"/>
      <c r="R2860" s="5"/>
      <c r="S2860" s="5"/>
      <c r="T2860" s="5"/>
      <c r="U2860" s="5"/>
      <c r="V2860" s="5"/>
      <c r="W2860" s="5"/>
      <c r="X2860" s="5"/>
      <c r="Y2860" s="9"/>
      <c r="Z2860" s="2"/>
    </row>
    <row r="2861" spans="1:26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3"/>
      <c r="M2861" s="6"/>
      <c r="N2861" s="6"/>
      <c r="O2861" s="6"/>
      <c r="P2861" s="5"/>
      <c r="Q2861" s="9"/>
      <c r="R2861" s="5"/>
      <c r="S2861" s="5"/>
      <c r="T2861" s="5"/>
      <c r="U2861" s="5"/>
      <c r="V2861" s="5"/>
      <c r="W2861" s="5"/>
      <c r="X2861" s="5"/>
      <c r="Y2861" s="9"/>
      <c r="Z2861" s="2"/>
    </row>
    <row r="2862" spans="1:26">
      <c r="A2862" s="4"/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3"/>
      <c r="M2862" s="6"/>
      <c r="N2862" s="6"/>
      <c r="O2862" s="6"/>
      <c r="P2862" s="5"/>
      <c r="Q2862" s="9"/>
      <c r="R2862" s="5"/>
      <c r="S2862" s="5"/>
      <c r="T2862" s="5"/>
      <c r="U2862" s="5"/>
      <c r="V2862" s="5"/>
      <c r="W2862" s="5"/>
      <c r="X2862" s="5"/>
      <c r="Y2862" s="9"/>
      <c r="Z2862" s="2"/>
    </row>
    <row r="2863" spans="1:26">
      <c r="A2863" s="4"/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3"/>
      <c r="M2863" s="6"/>
      <c r="N2863" s="6"/>
      <c r="O2863" s="6"/>
      <c r="P2863" s="5"/>
      <c r="Q2863" s="9"/>
      <c r="R2863" s="5"/>
      <c r="S2863" s="5"/>
      <c r="T2863" s="5"/>
      <c r="U2863" s="5"/>
      <c r="V2863" s="5"/>
      <c r="W2863" s="5"/>
      <c r="X2863" s="5"/>
      <c r="Y2863" s="9"/>
      <c r="Z2863" s="2"/>
    </row>
    <row r="2864" spans="1:26">
      <c r="A2864" s="4"/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3"/>
      <c r="M2864" s="6"/>
      <c r="N2864" s="6"/>
      <c r="O2864" s="6"/>
      <c r="P2864" s="5"/>
      <c r="Q2864" s="9"/>
      <c r="R2864" s="5"/>
      <c r="S2864" s="5"/>
      <c r="T2864" s="5"/>
      <c r="U2864" s="5"/>
      <c r="V2864" s="5"/>
      <c r="W2864" s="5"/>
      <c r="X2864" s="5"/>
      <c r="Y2864" s="9"/>
      <c r="Z2864" s="2"/>
    </row>
    <row r="2865" spans="1:26">
      <c r="A2865" s="4"/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3"/>
      <c r="M2865" s="6"/>
      <c r="N2865" s="6"/>
      <c r="O2865" s="6"/>
      <c r="P2865" s="5"/>
      <c r="Q2865" s="9"/>
      <c r="R2865" s="5"/>
      <c r="S2865" s="5"/>
      <c r="T2865" s="5"/>
      <c r="U2865" s="5"/>
      <c r="V2865" s="5"/>
      <c r="W2865" s="5"/>
      <c r="X2865" s="5"/>
      <c r="Y2865" s="9"/>
      <c r="Z2865" s="2"/>
    </row>
    <row r="2866" spans="1:26">
      <c r="A2866" s="4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3"/>
      <c r="M2866" s="6"/>
      <c r="N2866" s="6"/>
      <c r="O2866" s="6"/>
      <c r="P2866" s="5"/>
      <c r="Q2866" s="9"/>
      <c r="R2866" s="5"/>
      <c r="S2866" s="5"/>
      <c r="T2866" s="5"/>
      <c r="U2866" s="5"/>
      <c r="V2866" s="5"/>
      <c r="W2866" s="5"/>
      <c r="X2866" s="5"/>
      <c r="Y2866" s="9"/>
      <c r="Z2866" s="2"/>
    </row>
    <row r="2867" spans="1:26">
      <c r="A2867" s="4"/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3"/>
      <c r="M2867" s="6"/>
      <c r="N2867" s="6"/>
      <c r="O2867" s="6"/>
      <c r="P2867" s="5"/>
      <c r="Q2867" s="9"/>
      <c r="R2867" s="5"/>
      <c r="S2867" s="5"/>
      <c r="T2867" s="5"/>
      <c r="U2867" s="5"/>
      <c r="V2867" s="5"/>
      <c r="W2867" s="5"/>
      <c r="X2867" s="5"/>
      <c r="Y2867" s="9"/>
      <c r="Z2867" s="2"/>
    </row>
    <row r="2868" spans="1:26">
      <c r="A2868" s="4"/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3"/>
      <c r="M2868" s="6"/>
      <c r="N2868" s="6"/>
      <c r="O2868" s="6"/>
      <c r="P2868" s="5"/>
      <c r="Q2868" s="9"/>
      <c r="R2868" s="5"/>
      <c r="S2868" s="5"/>
      <c r="T2868" s="5"/>
      <c r="U2868" s="5"/>
      <c r="V2868" s="5"/>
      <c r="W2868" s="5"/>
      <c r="X2868" s="5"/>
      <c r="Y2868" s="9"/>
      <c r="Z2868" s="2"/>
    </row>
    <row r="2869" spans="1:26">
      <c r="A2869" s="4"/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3"/>
      <c r="M2869" s="6"/>
      <c r="N2869" s="6"/>
      <c r="O2869" s="6"/>
      <c r="P2869" s="5"/>
      <c r="Q2869" s="9"/>
      <c r="R2869" s="5"/>
      <c r="S2869" s="5"/>
      <c r="T2869" s="5"/>
      <c r="U2869" s="5"/>
      <c r="V2869" s="5"/>
      <c r="W2869" s="5"/>
      <c r="X2869" s="5"/>
      <c r="Y2869" s="9"/>
      <c r="Z2869" s="2"/>
    </row>
    <row r="2870" spans="1:26">
      <c r="A2870" s="4"/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3"/>
      <c r="M2870" s="6"/>
      <c r="N2870" s="6"/>
      <c r="O2870" s="6"/>
      <c r="P2870" s="5"/>
      <c r="Q2870" s="9"/>
      <c r="R2870" s="5"/>
      <c r="S2870" s="5"/>
      <c r="T2870" s="5"/>
      <c r="U2870" s="5"/>
      <c r="V2870" s="5"/>
      <c r="W2870" s="5"/>
      <c r="X2870" s="5"/>
      <c r="Y2870" s="9"/>
      <c r="Z2870" s="2"/>
    </row>
    <row r="2871" spans="1:26">
      <c r="A2871" s="4"/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3"/>
      <c r="M2871" s="6"/>
      <c r="N2871" s="6"/>
      <c r="O2871" s="6"/>
      <c r="P2871" s="5"/>
      <c r="Q2871" s="9"/>
      <c r="R2871" s="5"/>
      <c r="S2871" s="5"/>
      <c r="T2871" s="5"/>
      <c r="U2871" s="5"/>
      <c r="V2871" s="5"/>
      <c r="W2871" s="5"/>
      <c r="X2871" s="5"/>
      <c r="Y2871" s="9"/>
      <c r="Z2871" s="2"/>
    </row>
    <row r="2872" spans="1:26">
      <c r="A2872" s="4"/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3"/>
      <c r="M2872" s="6"/>
      <c r="N2872" s="6"/>
      <c r="O2872" s="6"/>
      <c r="P2872" s="5"/>
      <c r="Q2872" s="9"/>
      <c r="R2872" s="5"/>
      <c r="S2872" s="5"/>
      <c r="T2872" s="5"/>
      <c r="U2872" s="5"/>
      <c r="V2872" s="5"/>
      <c r="W2872" s="5"/>
      <c r="X2872" s="5"/>
      <c r="Y2872" s="9"/>
      <c r="Z2872" s="2"/>
    </row>
    <row r="2873" spans="1:26">
      <c r="A2873" s="4"/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3"/>
      <c r="M2873" s="6"/>
      <c r="N2873" s="6"/>
      <c r="O2873" s="6"/>
      <c r="P2873" s="5"/>
      <c r="Q2873" s="9"/>
      <c r="R2873" s="5"/>
      <c r="S2873" s="5"/>
      <c r="T2873" s="5"/>
      <c r="U2873" s="5"/>
      <c r="V2873" s="5"/>
      <c r="W2873" s="5"/>
      <c r="X2873" s="5"/>
      <c r="Y2873" s="9"/>
      <c r="Z2873" s="2"/>
    </row>
    <row r="2874" spans="1:26">
      <c r="A2874" s="4"/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3"/>
      <c r="M2874" s="6"/>
      <c r="N2874" s="6"/>
      <c r="O2874" s="6"/>
      <c r="P2874" s="5"/>
      <c r="Q2874" s="9"/>
      <c r="R2874" s="5"/>
      <c r="S2874" s="5"/>
      <c r="T2874" s="5"/>
      <c r="U2874" s="5"/>
      <c r="V2874" s="5"/>
      <c r="W2874" s="5"/>
      <c r="X2874" s="5"/>
      <c r="Y2874" s="9"/>
      <c r="Z2874" s="2"/>
    </row>
    <row r="2875" spans="1:26">
      <c r="A2875" s="4"/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3"/>
      <c r="M2875" s="6"/>
      <c r="N2875" s="6"/>
      <c r="O2875" s="6"/>
      <c r="P2875" s="5"/>
      <c r="Q2875" s="9"/>
      <c r="R2875" s="5"/>
      <c r="S2875" s="5"/>
      <c r="T2875" s="5"/>
      <c r="U2875" s="5"/>
      <c r="V2875" s="5"/>
      <c r="W2875" s="5"/>
      <c r="X2875" s="5"/>
      <c r="Y2875" s="9"/>
      <c r="Z2875" s="2"/>
    </row>
    <row r="2876" spans="1:26">
      <c r="A2876" s="4"/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3"/>
      <c r="M2876" s="6"/>
      <c r="N2876" s="6"/>
      <c r="O2876" s="6"/>
      <c r="P2876" s="5"/>
      <c r="Q2876" s="9"/>
      <c r="R2876" s="5"/>
      <c r="S2876" s="5"/>
      <c r="T2876" s="5"/>
      <c r="U2876" s="5"/>
      <c r="V2876" s="5"/>
      <c r="W2876" s="5"/>
      <c r="X2876" s="5"/>
      <c r="Y2876" s="9"/>
      <c r="Z2876" s="2"/>
    </row>
    <row r="2877" spans="1:26">
      <c r="A2877" s="4"/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3"/>
      <c r="M2877" s="6"/>
      <c r="N2877" s="6"/>
      <c r="O2877" s="6"/>
      <c r="P2877" s="5"/>
      <c r="Q2877" s="9"/>
      <c r="R2877" s="5"/>
      <c r="S2877" s="5"/>
      <c r="T2877" s="5"/>
      <c r="U2877" s="5"/>
      <c r="V2877" s="5"/>
      <c r="W2877" s="5"/>
      <c r="X2877" s="5"/>
      <c r="Y2877" s="9"/>
      <c r="Z2877" s="2"/>
    </row>
    <row r="2878" spans="1:26">
      <c r="A2878" s="4"/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3"/>
      <c r="M2878" s="6"/>
      <c r="N2878" s="6"/>
      <c r="O2878" s="6"/>
      <c r="P2878" s="5"/>
      <c r="Q2878" s="9"/>
      <c r="R2878" s="5"/>
      <c r="S2878" s="5"/>
      <c r="T2878" s="5"/>
      <c r="U2878" s="5"/>
      <c r="V2878" s="5"/>
      <c r="W2878" s="5"/>
      <c r="X2878" s="5"/>
      <c r="Y2878" s="9"/>
      <c r="Z2878" s="2"/>
    </row>
    <row r="2879" spans="1:26">
      <c r="A2879" s="4"/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3"/>
      <c r="M2879" s="6"/>
      <c r="N2879" s="6"/>
      <c r="O2879" s="6"/>
      <c r="P2879" s="5"/>
      <c r="Q2879" s="9"/>
      <c r="R2879" s="5"/>
      <c r="S2879" s="5"/>
      <c r="T2879" s="5"/>
      <c r="U2879" s="5"/>
      <c r="V2879" s="5"/>
      <c r="W2879" s="5"/>
      <c r="X2879" s="5"/>
      <c r="Y2879" s="9"/>
      <c r="Z2879" s="2"/>
    </row>
    <row r="2880" spans="1:26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3"/>
      <c r="M2880" s="6"/>
      <c r="N2880" s="6"/>
      <c r="O2880" s="6"/>
      <c r="P2880" s="5"/>
      <c r="Q2880" s="9"/>
      <c r="R2880" s="5"/>
      <c r="S2880" s="5"/>
      <c r="T2880" s="5"/>
      <c r="U2880" s="5"/>
      <c r="V2880" s="5"/>
      <c r="W2880" s="5"/>
      <c r="X2880" s="5"/>
      <c r="Y2880" s="9"/>
      <c r="Z2880" s="2"/>
    </row>
    <row r="2881" spans="1:26">
      <c r="A2881" s="4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3"/>
      <c r="M2881" s="6"/>
      <c r="N2881" s="6"/>
      <c r="O2881" s="6"/>
      <c r="P2881" s="5"/>
      <c r="Q2881" s="9"/>
      <c r="R2881" s="5"/>
      <c r="S2881" s="5"/>
      <c r="T2881" s="5"/>
      <c r="U2881" s="5"/>
      <c r="V2881" s="5"/>
      <c r="W2881" s="5"/>
      <c r="X2881" s="5"/>
      <c r="Y2881" s="9"/>
      <c r="Z2881" s="2"/>
    </row>
    <row r="2882" spans="1:26">
      <c r="A2882" s="4"/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3"/>
      <c r="M2882" s="6"/>
      <c r="N2882" s="6"/>
      <c r="O2882" s="6"/>
      <c r="P2882" s="5"/>
      <c r="Q2882" s="9"/>
      <c r="R2882" s="5"/>
      <c r="S2882" s="5"/>
      <c r="T2882" s="5"/>
      <c r="U2882" s="5"/>
      <c r="V2882" s="5"/>
      <c r="W2882" s="5"/>
      <c r="X2882" s="5"/>
      <c r="Y2882" s="9"/>
      <c r="Z2882" s="2"/>
    </row>
    <row r="2883" spans="1:26">
      <c r="A2883" s="4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3"/>
      <c r="M2883" s="6"/>
      <c r="N2883" s="6"/>
      <c r="O2883" s="6"/>
      <c r="P2883" s="5"/>
      <c r="Q2883" s="9"/>
      <c r="R2883" s="5"/>
      <c r="S2883" s="5"/>
      <c r="T2883" s="5"/>
      <c r="U2883" s="5"/>
      <c r="V2883" s="5"/>
      <c r="W2883" s="5"/>
      <c r="X2883" s="5"/>
      <c r="Y2883" s="9"/>
      <c r="Z2883" s="2"/>
    </row>
    <row r="2884" spans="1:26">
      <c r="A2884" s="4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3"/>
      <c r="M2884" s="6"/>
      <c r="N2884" s="6"/>
      <c r="O2884" s="6"/>
      <c r="P2884" s="5"/>
      <c r="Q2884" s="9"/>
      <c r="R2884" s="5"/>
      <c r="S2884" s="5"/>
      <c r="T2884" s="5"/>
      <c r="U2884" s="5"/>
      <c r="V2884" s="5"/>
      <c r="W2884" s="5"/>
      <c r="X2884" s="5"/>
      <c r="Y2884" s="9"/>
      <c r="Z2884" s="2"/>
    </row>
    <row r="2885" spans="1:26">
      <c r="A2885" s="4"/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3"/>
      <c r="M2885" s="6"/>
      <c r="N2885" s="6"/>
      <c r="O2885" s="6"/>
      <c r="P2885" s="5"/>
      <c r="Q2885" s="9"/>
      <c r="R2885" s="5"/>
      <c r="S2885" s="5"/>
      <c r="T2885" s="5"/>
      <c r="U2885" s="5"/>
      <c r="V2885" s="5"/>
      <c r="W2885" s="5"/>
      <c r="X2885" s="5"/>
      <c r="Y2885" s="9"/>
      <c r="Z2885" s="2"/>
    </row>
    <row r="2886" spans="1:26">
      <c r="A2886" s="4"/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3"/>
      <c r="M2886" s="6"/>
      <c r="N2886" s="6"/>
      <c r="O2886" s="6"/>
      <c r="P2886" s="5"/>
      <c r="Q2886" s="9"/>
      <c r="R2886" s="5"/>
      <c r="S2886" s="5"/>
      <c r="T2886" s="5"/>
      <c r="U2886" s="5"/>
      <c r="V2886" s="5"/>
      <c r="W2886" s="5"/>
      <c r="X2886" s="5"/>
      <c r="Y2886" s="9"/>
      <c r="Z2886" s="2"/>
    </row>
    <row r="2887" spans="1:26">
      <c r="A2887" s="4"/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3"/>
      <c r="M2887" s="6"/>
      <c r="N2887" s="6"/>
      <c r="O2887" s="6"/>
      <c r="P2887" s="5"/>
      <c r="Q2887" s="9"/>
      <c r="R2887" s="5"/>
      <c r="S2887" s="5"/>
      <c r="T2887" s="5"/>
      <c r="U2887" s="5"/>
      <c r="V2887" s="5"/>
      <c r="W2887" s="5"/>
      <c r="X2887" s="5"/>
      <c r="Y2887" s="9"/>
      <c r="Z2887" s="2"/>
    </row>
    <row r="2888" spans="1:26">
      <c r="A2888" s="4"/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3"/>
      <c r="M2888" s="6"/>
      <c r="N2888" s="6"/>
      <c r="O2888" s="6"/>
      <c r="P2888" s="5"/>
      <c r="Q2888" s="9"/>
      <c r="R2888" s="5"/>
      <c r="S2888" s="5"/>
      <c r="T2888" s="5"/>
      <c r="U2888" s="5"/>
      <c r="V2888" s="5"/>
      <c r="W2888" s="5"/>
      <c r="X2888" s="5"/>
      <c r="Y2888" s="9"/>
      <c r="Z2888" s="2"/>
    </row>
    <row r="2889" spans="1:26">
      <c r="A2889" s="4"/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3"/>
      <c r="M2889" s="6"/>
      <c r="N2889" s="6"/>
      <c r="O2889" s="6"/>
      <c r="P2889" s="5"/>
      <c r="Q2889" s="9"/>
      <c r="R2889" s="5"/>
      <c r="S2889" s="5"/>
      <c r="T2889" s="5"/>
      <c r="U2889" s="5"/>
      <c r="V2889" s="5"/>
      <c r="W2889" s="5"/>
      <c r="X2889" s="5"/>
      <c r="Y2889" s="9"/>
      <c r="Z2889" s="2"/>
    </row>
    <row r="2890" spans="1:26">
      <c r="A2890" s="4"/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3"/>
      <c r="M2890" s="6"/>
      <c r="N2890" s="6"/>
      <c r="O2890" s="6"/>
      <c r="P2890" s="5"/>
      <c r="Q2890" s="9"/>
      <c r="R2890" s="5"/>
      <c r="S2890" s="5"/>
      <c r="T2890" s="5"/>
      <c r="U2890" s="5"/>
      <c r="V2890" s="5"/>
      <c r="W2890" s="5"/>
      <c r="X2890" s="5"/>
      <c r="Y2890" s="9"/>
      <c r="Z2890" s="2"/>
    </row>
    <row r="2891" spans="1:26">
      <c r="A2891" s="4"/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3"/>
      <c r="M2891" s="6"/>
      <c r="N2891" s="6"/>
      <c r="O2891" s="6"/>
      <c r="P2891" s="5"/>
      <c r="Q2891" s="9"/>
      <c r="R2891" s="5"/>
      <c r="S2891" s="5"/>
      <c r="T2891" s="5"/>
      <c r="U2891" s="5"/>
      <c r="V2891" s="5"/>
      <c r="W2891" s="5"/>
      <c r="X2891" s="5"/>
      <c r="Y2891" s="9"/>
      <c r="Z2891" s="2"/>
    </row>
    <row r="2892" spans="1:26">
      <c r="A2892" s="4"/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3"/>
      <c r="M2892" s="6"/>
      <c r="N2892" s="6"/>
      <c r="O2892" s="6"/>
      <c r="P2892" s="5"/>
      <c r="Q2892" s="9"/>
      <c r="R2892" s="5"/>
      <c r="S2892" s="5"/>
      <c r="T2892" s="5"/>
      <c r="U2892" s="5"/>
      <c r="V2892" s="5"/>
      <c r="W2892" s="5"/>
      <c r="X2892" s="5"/>
      <c r="Y2892" s="9"/>
      <c r="Z2892" s="2"/>
    </row>
    <row r="2893" spans="1:26">
      <c r="A2893" s="4"/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3"/>
      <c r="M2893" s="6"/>
      <c r="N2893" s="6"/>
      <c r="O2893" s="6"/>
      <c r="P2893" s="5"/>
      <c r="Q2893" s="9"/>
      <c r="R2893" s="5"/>
      <c r="S2893" s="5"/>
      <c r="T2893" s="5"/>
      <c r="U2893" s="5"/>
      <c r="V2893" s="5"/>
      <c r="W2893" s="5"/>
      <c r="X2893" s="5"/>
      <c r="Y2893" s="9"/>
      <c r="Z2893" s="2"/>
    </row>
    <row r="2894" spans="1:26">
      <c r="A2894" s="4"/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3"/>
      <c r="M2894" s="6"/>
      <c r="N2894" s="6"/>
      <c r="O2894" s="6"/>
      <c r="P2894" s="5"/>
      <c r="Q2894" s="9"/>
      <c r="R2894" s="5"/>
      <c r="S2894" s="5"/>
      <c r="T2894" s="5"/>
      <c r="U2894" s="5"/>
      <c r="V2894" s="5"/>
      <c r="W2894" s="5"/>
      <c r="X2894" s="5"/>
      <c r="Y2894" s="9"/>
      <c r="Z2894" s="2"/>
    </row>
    <row r="2895" spans="1:26">
      <c r="A2895" s="4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3"/>
      <c r="M2895" s="6"/>
      <c r="N2895" s="6"/>
      <c r="O2895" s="6"/>
      <c r="P2895" s="5"/>
      <c r="Q2895" s="9"/>
      <c r="R2895" s="5"/>
      <c r="S2895" s="5"/>
      <c r="T2895" s="5"/>
      <c r="U2895" s="5"/>
      <c r="V2895" s="5"/>
      <c r="W2895" s="5"/>
      <c r="X2895" s="5"/>
      <c r="Y2895" s="9"/>
      <c r="Z2895" s="2"/>
    </row>
    <row r="2896" spans="1:26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3"/>
      <c r="M2896" s="6"/>
      <c r="N2896" s="6"/>
      <c r="O2896" s="6"/>
      <c r="P2896" s="5"/>
      <c r="Q2896" s="9"/>
      <c r="R2896" s="5"/>
      <c r="S2896" s="5"/>
      <c r="T2896" s="5"/>
      <c r="U2896" s="5"/>
      <c r="V2896" s="5"/>
      <c r="W2896" s="5"/>
      <c r="X2896" s="5"/>
      <c r="Y2896" s="9"/>
      <c r="Z2896" s="2"/>
    </row>
    <row r="2897" spans="1:26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3"/>
      <c r="M2897" s="6"/>
      <c r="N2897" s="6"/>
      <c r="O2897" s="6"/>
      <c r="P2897" s="5"/>
      <c r="Q2897" s="9"/>
      <c r="R2897" s="5"/>
      <c r="S2897" s="5"/>
      <c r="T2897" s="5"/>
      <c r="U2897" s="5"/>
      <c r="V2897" s="5"/>
      <c r="W2897" s="5"/>
      <c r="X2897" s="5"/>
      <c r="Y2897" s="9"/>
      <c r="Z2897" s="2"/>
    </row>
    <row r="2898" spans="1:26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3"/>
      <c r="M2898" s="6"/>
      <c r="N2898" s="6"/>
      <c r="O2898" s="6"/>
      <c r="P2898" s="5"/>
      <c r="Q2898" s="9"/>
      <c r="R2898" s="5"/>
      <c r="S2898" s="5"/>
      <c r="T2898" s="5"/>
      <c r="U2898" s="5"/>
      <c r="V2898" s="5"/>
      <c r="W2898" s="5"/>
      <c r="X2898" s="5"/>
      <c r="Y2898" s="9"/>
      <c r="Z2898" s="2"/>
    </row>
    <row r="2899" spans="1:26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3"/>
      <c r="M2899" s="6"/>
      <c r="N2899" s="6"/>
      <c r="O2899" s="6"/>
      <c r="P2899" s="5"/>
      <c r="Q2899" s="9"/>
      <c r="R2899" s="5"/>
      <c r="S2899" s="5"/>
      <c r="T2899" s="5"/>
      <c r="U2899" s="5"/>
      <c r="V2899" s="5"/>
      <c r="W2899" s="5"/>
      <c r="X2899" s="5"/>
      <c r="Y2899" s="9"/>
      <c r="Z2899" s="2"/>
    </row>
    <row r="2900" spans="1:26">
      <c r="A2900" s="4"/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3"/>
      <c r="M2900" s="6"/>
      <c r="N2900" s="6"/>
      <c r="O2900" s="6"/>
      <c r="P2900" s="5"/>
      <c r="Q2900" s="9"/>
      <c r="R2900" s="5"/>
      <c r="S2900" s="5"/>
      <c r="T2900" s="5"/>
      <c r="U2900" s="5"/>
      <c r="V2900" s="5"/>
      <c r="W2900" s="5"/>
      <c r="X2900" s="5"/>
      <c r="Y2900" s="9"/>
      <c r="Z2900" s="2"/>
    </row>
    <row r="2901" spans="1:26">
      <c r="A2901" s="4"/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3"/>
      <c r="M2901" s="6"/>
      <c r="N2901" s="6"/>
      <c r="O2901" s="6"/>
      <c r="P2901" s="5"/>
      <c r="Q2901" s="9"/>
      <c r="R2901" s="5"/>
      <c r="S2901" s="5"/>
      <c r="T2901" s="5"/>
      <c r="U2901" s="5"/>
      <c r="V2901" s="5"/>
      <c r="W2901" s="5"/>
      <c r="X2901" s="5"/>
      <c r="Y2901" s="9"/>
      <c r="Z2901" s="2"/>
    </row>
    <row r="2902" spans="1:26">
      <c r="A2902" s="4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3"/>
      <c r="M2902" s="6"/>
      <c r="N2902" s="6"/>
      <c r="O2902" s="6"/>
      <c r="P2902" s="5"/>
      <c r="Q2902" s="9"/>
      <c r="R2902" s="5"/>
      <c r="S2902" s="5"/>
      <c r="T2902" s="5"/>
      <c r="U2902" s="5"/>
      <c r="V2902" s="5"/>
      <c r="W2902" s="5"/>
      <c r="X2902" s="5"/>
      <c r="Y2902" s="9"/>
      <c r="Z2902" s="2"/>
    </row>
    <row r="2903" spans="1:26">
      <c r="A2903" s="4"/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3"/>
      <c r="M2903" s="6"/>
      <c r="N2903" s="6"/>
      <c r="O2903" s="6"/>
      <c r="P2903" s="5"/>
      <c r="Q2903" s="9"/>
      <c r="R2903" s="5"/>
      <c r="S2903" s="5"/>
      <c r="T2903" s="5"/>
      <c r="U2903" s="5"/>
      <c r="V2903" s="5"/>
      <c r="W2903" s="5"/>
      <c r="X2903" s="5"/>
      <c r="Y2903" s="9"/>
      <c r="Z2903" s="2"/>
    </row>
    <row r="2904" spans="1:26">
      <c r="A2904" s="4"/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3"/>
      <c r="M2904" s="6"/>
      <c r="N2904" s="6"/>
      <c r="O2904" s="6"/>
      <c r="P2904" s="5"/>
      <c r="Q2904" s="9"/>
      <c r="R2904" s="5"/>
      <c r="S2904" s="5"/>
      <c r="T2904" s="5"/>
      <c r="U2904" s="5"/>
      <c r="V2904" s="5"/>
      <c r="W2904" s="5"/>
      <c r="X2904" s="5"/>
      <c r="Y2904" s="9"/>
      <c r="Z2904" s="2"/>
    </row>
    <row r="2905" spans="1:26">
      <c r="A2905" s="4"/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3"/>
      <c r="M2905" s="6"/>
      <c r="N2905" s="6"/>
      <c r="O2905" s="6"/>
      <c r="P2905" s="5"/>
      <c r="Q2905" s="9"/>
      <c r="R2905" s="5"/>
      <c r="S2905" s="5"/>
      <c r="T2905" s="5"/>
      <c r="U2905" s="5"/>
      <c r="V2905" s="5"/>
      <c r="W2905" s="5"/>
      <c r="X2905" s="5"/>
      <c r="Y2905" s="9"/>
      <c r="Z2905" s="2"/>
    </row>
    <row r="2906" spans="1:26">
      <c r="A2906" s="4"/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3"/>
      <c r="M2906" s="6"/>
      <c r="N2906" s="6"/>
      <c r="O2906" s="6"/>
      <c r="P2906" s="5"/>
      <c r="Q2906" s="9"/>
      <c r="R2906" s="5"/>
      <c r="S2906" s="5"/>
      <c r="T2906" s="5"/>
      <c r="U2906" s="5"/>
      <c r="V2906" s="5"/>
      <c r="W2906" s="5"/>
      <c r="X2906" s="5"/>
      <c r="Y2906" s="9"/>
      <c r="Z2906" s="2"/>
    </row>
    <row r="2907" spans="1:26">
      <c r="A2907" s="4"/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3"/>
      <c r="M2907" s="6"/>
      <c r="N2907" s="6"/>
      <c r="O2907" s="6"/>
      <c r="P2907" s="5"/>
      <c r="Q2907" s="9"/>
      <c r="R2907" s="5"/>
      <c r="S2907" s="5"/>
      <c r="T2907" s="5"/>
      <c r="U2907" s="5"/>
      <c r="V2907" s="5"/>
      <c r="W2907" s="5"/>
      <c r="X2907" s="5"/>
      <c r="Y2907" s="9"/>
      <c r="Z2907" s="2"/>
    </row>
    <row r="2908" spans="1:26">
      <c r="A2908" s="4"/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3"/>
      <c r="M2908" s="6"/>
      <c r="N2908" s="6"/>
      <c r="O2908" s="6"/>
      <c r="P2908" s="5"/>
      <c r="Q2908" s="9"/>
      <c r="R2908" s="5"/>
      <c r="S2908" s="5"/>
      <c r="T2908" s="5"/>
      <c r="U2908" s="5"/>
      <c r="V2908" s="5"/>
      <c r="W2908" s="5"/>
      <c r="X2908" s="5"/>
      <c r="Y2908" s="9"/>
      <c r="Z2908" s="2"/>
    </row>
    <row r="2909" spans="1:26">
      <c r="A2909" s="4"/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3"/>
      <c r="M2909" s="6"/>
      <c r="N2909" s="6"/>
      <c r="O2909" s="6"/>
      <c r="P2909" s="5"/>
      <c r="Q2909" s="9"/>
      <c r="R2909" s="5"/>
      <c r="S2909" s="5"/>
      <c r="T2909" s="5"/>
      <c r="U2909" s="5"/>
      <c r="V2909" s="5"/>
      <c r="W2909" s="5"/>
      <c r="X2909" s="5"/>
      <c r="Y2909" s="9"/>
      <c r="Z2909" s="2"/>
    </row>
    <row r="2910" spans="1:26">
      <c r="A2910" s="4"/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3"/>
      <c r="M2910" s="6"/>
      <c r="N2910" s="6"/>
      <c r="O2910" s="6"/>
      <c r="P2910" s="5"/>
      <c r="Q2910" s="9"/>
      <c r="R2910" s="5"/>
      <c r="S2910" s="5"/>
      <c r="T2910" s="5"/>
      <c r="U2910" s="5"/>
      <c r="V2910" s="5"/>
      <c r="W2910" s="5"/>
      <c r="X2910" s="5"/>
      <c r="Y2910" s="9"/>
      <c r="Z2910" s="2"/>
    </row>
    <row r="2911" spans="1:26">
      <c r="A2911" s="4"/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3"/>
      <c r="M2911" s="6"/>
      <c r="N2911" s="6"/>
      <c r="O2911" s="6"/>
      <c r="P2911" s="5"/>
      <c r="Q2911" s="9"/>
      <c r="R2911" s="5"/>
      <c r="S2911" s="5"/>
      <c r="T2911" s="5"/>
      <c r="U2911" s="5"/>
      <c r="V2911" s="5"/>
      <c r="W2911" s="5"/>
      <c r="X2911" s="5"/>
      <c r="Y2911" s="9"/>
      <c r="Z2911" s="2"/>
    </row>
    <row r="2912" spans="1:26">
      <c r="A2912" s="4"/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3"/>
      <c r="M2912" s="6"/>
      <c r="N2912" s="6"/>
      <c r="O2912" s="6"/>
      <c r="P2912" s="5"/>
      <c r="Q2912" s="9"/>
      <c r="R2912" s="5"/>
      <c r="S2912" s="5"/>
      <c r="T2912" s="5"/>
      <c r="U2912" s="5"/>
      <c r="V2912" s="5"/>
      <c r="W2912" s="5"/>
      <c r="X2912" s="5"/>
      <c r="Y2912" s="9"/>
      <c r="Z2912" s="2"/>
    </row>
    <row r="2913" spans="1:26">
      <c r="A2913" s="4"/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3"/>
      <c r="M2913" s="6"/>
      <c r="N2913" s="6"/>
      <c r="O2913" s="6"/>
      <c r="P2913" s="5"/>
      <c r="Q2913" s="9"/>
      <c r="R2913" s="5"/>
      <c r="S2913" s="5"/>
      <c r="T2913" s="5"/>
      <c r="U2913" s="5"/>
      <c r="V2913" s="5"/>
      <c r="W2913" s="5"/>
      <c r="X2913" s="5"/>
      <c r="Y2913" s="9"/>
      <c r="Z2913" s="2"/>
    </row>
    <row r="2914" spans="1:26">
      <c r="A2914" s="4"/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3"/>
      <c r="M2914" s="6"/>
      <c r="N2914" s="6"/>
      <c r="O2914" s="6"/>
      <c r="P2914" s="5"/>
      <c r="Q2914" s="9"/>
      <c r="R2914" s="5"/>
      <c r="S2914" s="5"/>
      <c r="T2914" s="5"/>
      <c r="U2914" s="5"/>
      <c r="V2914" s="5"/>
      <c r="W2914" s="5"/>
      <c r="X2914" s="5"/>
      <c r="Y2914" s="9"/>
      <c r="Z2914" s="2"/>
    </row>
    <row r="2915" spans="1:26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3"/>
      <c r="M2915" s="6"/>
      <c r="N2915" s="6"/>
      <c r="O2915" s="6"/>
      <c r="P2915" s="5"/>
      <c r="Q2915" s="9"/>
      <c r="R2915" s="5"/>
      <c r="S2915" s="5"/>
      <c r="T2915" s="5"/>
      <c r="U2915" s="5"/>
      <c r="V2915" s="5"/>
      <c r="W2915" s="5"/>
      <c r="X2915" s="5"/>
      <c r="Y2915" s="9"/>
      <c r="Z2915" s="2"/>
    </row>
    <row r="2916" spans="1:26">
      <c r="A2916" s="4"/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3"/>
      <c r="M2916" s="6"/>
      <c r="N2916" s="6"/>
      <c r="O2916" s="6"/>
      <c r="P2916" s="5"/>
      <c r="Q2916" s="9"/>
      <c r="R2916" s="5"/>
      <c r="S2916" s="5"/>
      <c r="T2916" s="5"/>
      <c r="U2916" s="5"/>
      <c r="V2916" s="5"/>
      <c r="W2916" s="5"/>
      <c r="X2916" s="5"/>
      <c r="Y2916" s="9"/>
      <c r="Z2916" s="2"/>
    </row>
    <row r="2917" spans="1:26">
      <c r="A2917" s="4"/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3"/>
      <c r="M2917" s="6"/>
      <c r="N2917" s="6"/>
      <c r="O2917" s="6"/>
      <c r="P2917" s="5"/>
      <c r="Q2917" s="9"/>
      <c r="R2917" s="5"/>
      <c r="S2917" s="5"/>
      <c r="T2917" s="5"/>
      <c r="U2917" s="5"/>
      <c r="V2917" s="5"/>
      <c r="W2917" s="5"/>
      <c r="X2917" s="5"/>
      <c r="Y2917" s="9"/>
      <c r="Z2917" s="2"/>
    </row>
    <row r="2918" spans="1:26">
      <c r="A2918" s="4"/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3"/>
      <c r="M2918" s="6"/>
      <c r="N2918" s="6"/>
      <c r="O2918" s="6"/>
      <c r="P2918" s="5"/>
      <c r="Q2918" s="9"/>
      <c r="R2918" s="5"/>
      <c r="S2918" s="5"/>
      <c r="T2918" s="5"/>
      <c r="U2918" s="5"/>
      <c r="V2918" s="5"/>
      <c r="W2918" s="5"/>
      <c r="X2918" s="5"/>
      <c r="Y2918" s="9"/>
      <c r="Z2918" s="2"/>
    </row>
    <row r="2919" spans="1:26">
      <c r="A2919" s="4"/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3"/>
      <c r="M2919" s="6"/>
      <c r="N2919" s="6"/>
      <c r="O2919" s="6"/>
      <c r="P2919" s="5"/>
      <c r="Q2919" s="9"/>
      <c r="R2919" s="5"/>
      <c r="S2919" s="5"/>
      <c r="T2919" s="5"/>
      <c r="U2919" s="5"/>
      <c r="V2919" s="5"/>
      <c r="W2919" s="5"/>
      <c r="X2919" s="5"/>
      <c r="Y2919" s="9"/>
      <c r="Z2919" s="2"/>
    </row>
    <row r="2920" spans="1:26">
      <c r="A2920" s="4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3"/>
      <c r="M2920" s="6"/>
      <c r="N2920" s="6"/>
      <c r="O2920" s="6"/>
      <c r="P2920" s="5"/>
      <c r="Q2920" s="9"/>
      <c r="R2920" s="5"/>
      <c r="S2920" s="5"/>
      <c r="T2920" s="5"/>
      <c r="U2920" s="5"/>
      <c r="V2920" s="5"/>
      <c r="W2920" s="5"/>
      <c r="X2920" s="5"/>
      <c r="Y2920" s="9"/>
      <c r="Z2920" s="2"/>
    </row>
    <row r="2921" spans="1:26">
      <c r="A2921" s="4"/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3"/>
      <c r="M2921" s="6"/>
      <c r="N2921" s="6"/>
      <c r="O2921" s="6"/>
      <c r="P2921" s="5"/>
      <c r="Q2921" s="9"/>
      <c r="R2921" s="5"/>
      <c r="S2921" s="5"/>
      <c r="T2921" s="5"/>
      <c r="U2921" s="5"/>
      <c r="V2921" s="5"/>
      <c r="W2921" s="5"/>
      <c r="X2921" s="5"/>
      <c r="Y2921" s="9"/>
      <c r="Z2921" s="2"/>
    </row>
    <row r="2922" spans="1:26">
      <c r="A2922" s="4"/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3"/>
      <c r="M2922" s="6"/>
      <c r="N2922" s="6"/>
      <c r="O2922" s="6"/>
      <c r="P2922" s="5"/>
      <c r="Q2922" s="9"/>
      <c r="R2922" s="5"/>
      <c r="S2922" s="5"/>
      <c r="T2922" s="5"/>
      <c r="U2922" s="5"/>
      <c r="V2922" s="5"/>
      <c r="W2922" s="5"/>
      <c r="X2922" s="5"/>
      <c r="Y2922" s="9"/>
      <c r="Z2922" s="2"/>
    </row>
    <row r="2923" spans="1:26">
      <c r="A2923" s="4"/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3"/>
      <c r="M2923" s="6"/>
      <c r="N2923" s="6"/>
      <c r="O2923" s="6"/>
      <c r="P2923" s="5"/>
      <c r="Q2923" s="9"/>
      <c r="R2923" s="5"/>
      <c r="S2923" s="5"/>
      <c r="T2923" s="5"/>
      <c r="U2923" s="5"/>
      <c r="V2923" s="5"/>
      <c r="W2923" s="5"/>
      <c r="X2923" s="5"/>
      <c r="Y2923" s="9"/>
      <c r="Z2923" s="2"/>
    </row>
    <row r="2924" spans="1:26">
      <c r="A2924" s="4"/>
      <c r="B2924" s="4"/>
      <c r="C2924" s="4"/>
      <c r="D2924" s="4"/>
      <c r="E2924" s="4"/>
      <c r="F2924" s="4"/>
      <c r="G2924" s="4"/>
      <c r="H2924" s="4"/>
      <c r="I2924" s="4"/>
      <c r="J2924" s="4"/>
      <c r="K2924" s="4"/>
      <c r="L2924" s="3"/>
      <c r="M2924" s="6"/>
      <c r="N2924" s="6"/>
      <c r="O2924" s="6"/>
      <c r="P2924" s="5"/>
      <c r="Q2924" s="9"/>
      <c r="R2924" s="5"/>
      <c r="S2924" s="5"/>
      <c r="T2924" s="5"/>
      <c r="U2924" s="5"/>
      <c r="V2924" s="5"/>
      <c r="W2924" s="5"/>
      <c r="X2924" s="5"/>
      <c r="Y2924" s="9"/>
      <c r="Z2924" s="2"/>
    </row>
    <row r="2925" spans="1:26">
      <c r="A2925" s="4"/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3"/>
      <c r="M2925" s="6"/>
      <c r="N2925" s="6"/>
      <c r="O2925" s="6"/>
      <c r="P2925" s="5"/>
      <c r="Q2925" s="9"/>
      <c r="R2925" s="5"/>
      <c r="S2925" s="5"/>
      <c r="T2925" s="5"/>
      <c r="U2925" s="5"/>
      <c r="V2925" s="5"/>
      <c r="W2925" s="5"/>
      <c r="X2925" s="5"/>
      <c r="Y2925" s="9"/>
      <c r="Z2925" s="2"/>
    </row>
    <row r="2926" spans="1:26">
      <c r="A2926" s="4"/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3"/>
      <c r="M2926" s="6"/>
      <c r="N2926" s="6"/>
      <c r="O2926" s="6"/>
      <c r="P2926" s="5"/>
      <c r="Q2926" s="9"/>
      <c r="R2926" s="5"/>
      <c r="S2926" s="5"/>
      <c r="T2926" s="5"/>
      <c r="U2926" s="5"/>
      <c r="V2926" s="5"/>
      <c r="W2926" s="5"/>
      <c r="X2926" s="5"/>
      <c r="Y2926" s="9"/>
      <c r="Z2926" s="2"/>
    </row>
    <row r="2927" spans="1:26">
      <c r="A2927" s="4"/>
      <c r="B2927" s="4"/>
      <c r="C2927" s="4"/>
      <c r="D2927" s="4"/>
      <c r="E2927" s="4"/>
      <c r="F2927" s="4"/>
      <c r="G2927" s="4"/>
      <c r="H2927" s="4"/>
      <c r="I2927" s="4"/>
      <c r="J2927" s="4"/>
      <c r="K2927" s="4"/>
      <c r="L2927" s="3"/>
      <c r="M2927" s="6"/>
      <c r="N2927" s="6"/>
      <c r="O2927" s="6"/>
      <c r="P2927" s="5"/>
      <c r="Q2927" s="9"/>
      <c r="R2927" s="5"/>
      <c r="S2927" s="5"/>
      <c r="T2927" s="5"/>
      <c r="U2927" s="5"/>
      <c r="V2927" s="5"/>
      <c r="W2927" s="5"/>
      <c r="X2927" s="5"/>
      <c r="Y2927" s="9"/>
      <c r="Z2927" s="2"/>
    </row>
    <row r="2928" spans="1:26">
      <c r="A2928" s="4"/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3"/>
      <c r="M2928" s="6"/>
      <c r="N2928" s="6"/>
      <c r="O2928" s="6"/>
      <c r="P2928" s="5"/>
      <c r="Q2928" s="9"/>
      <c r="R2928" s="5"/>
      <c r="S2928" s="5"/>
      <c r="T2928" s="5"/>
      <c r="U2928" s="5"/>
      <c r="V2928" s="5"/>
      <c r="W2928" s="5"/>
      <c r="X2928" s="5"/>
      <c r="Y2928" s="9"/>
      <c r="Z2928" s="2"/>
    </row>
    <row r="2929" spans="1:26">
      <c r="A2929" s="4"/>
      <c r="B2929" s="4"/>
      <c r="C2929" s="4"/>
      <c r="D2929" s="4"/>
      <c r="E2929" s="4"/>
      <c r="F2929" s="4"/>
      <c r="G2929" s="4"/>
      <c r="H2929" s="4"/>
      <c r="I2929" s="4"/>
      <c r="J2929" s="4"/>
      <c r="K2929" s="4"/>
      <c r="L2929" s="3"/>
      <c r="M2929" s="6"/>
      <c r="N2929" s="6"/>
      <c r="O2929" s="6"/>
      <c r="P2929" s="5"/>
      <c r="Q2929" s="9"/>
      <c r="R2929" s="5"/>
      <c r="S2929" s="5"/>
      <c r="T2929" s="5"/>
      <c r="U2929" s="5"/>
      <c r="V2929" s="5"/>
      <c r="W2929" s="5"/>
      <c r="X2929" s="5"/>
      <c r="Y2929" s="9"/>
      <c r="Z2929" s="2"/>
    </row>
    <row r="2930" spans="1:26">
      <c r="A2930" s="4"/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3"/>
      <c r="M2930" s="6"/>
      <c r="N2930" s="6"/>
      <c r="O2930" s="6"/>
      <c r="P2930" s="5"/>
      <c r="Q2930" s="9"/>
      <c r="R2930" s="5"/>
      <c r="S2930" s="5"/>
      <c r="T2930" s="5"/>
      <c r="U2930" s="5"/>
      <c r="V2930" s="5"/>
      <c r="W2930" s="5"/>
      <c r="X2930" s="5"/>
      <c r="Y2930" s="9"/>
      <c r="Z2930" s="2"/>
    </row>
    <row r="2931" spans="1:26">
      <c r="A2931" s="4"/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3"/>
      <c r="M2931" s="6"/>
      <c r="N2931" s="6"/>
      <c r="O2931" s="6"/>
      <c r="P2931" s="5"/>
      <c r="Q2931" s="9"/>
      <c r="R2931" s="5"/>
      <c r="S2931" s="5"/>
      <c r="T2931" s="5"/>
      <c r="U2931" s="5"/>
      <c r="V2931" s="5"/>
      <c r="W2931" s="5"/>
      <c r="X2931" s="5"/>
      <c r="Y2931" s="9"/>
      <c r="Z2931" s="2"/>
    </row>
    <row r="2932" spans="1:26">
      <c r="A2932" s="4"/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3"/>
      <c r="M2932" s="6"/>
      <c r="N2932" s="6"/>
      <c r="O2932" s="6"/>
      <c r="P2932" s="5"/>
      <c r="Q2932" s="9"/>
      <c r="R2932" s="5"/>
      <c r="S2932" s="5"/>
      <c r="T2932" s="5"/>
      <c r="U2932" s="5"/>
      <c r="V2932" s="5"/>
      <c r="W2932" s="5"/>
      <c r="X2932" s="5"/>
      <c r="Y2932" s="9"/>
      <c r="Z2932" s="2"/>
    </row>
    <row r="2933" spans="1:26">
      <c r="A2933" s="4"/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3"/>
      <c r="M2933" s="6"/>
      <c r="N2933" s="6"/>
      <c r="O2933" s="6"/>
      <c r="P2933" s="5"/>
      <c r="Q2933" s="9"/>
      <c r="R2933" s="5"/>
      <c r="S2933" s="5"/>
      <c r="T2933" s="5"/>
      <c r="U2933" s="5"/>
      <c r="V2933" s="5"/>
      <c r="W2933" s="5"/>
      <c r="X2933" s="5"/>
      <c r="Y2933" s="9"/>
      <c r="Z2933" s="2"/>
    </row>
    <row r="2934" spans="1:26">
      <c r="A2934" s="4"/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3"/>
      <c r="M2934" s="6"/>
      <c r="N2934" s="6"/>
      <c r="O2934" s="6"/>
      <c r="P2934" s="5"/>
      <c r="Q2934" s="9"/>
      <c r="R2934" s="5"/>
      <c r="S2934" s="5"/>
      <c r="T2934" s="5"/>
      <c r="U2934" s="5"/>
      <c r="V2934" s="5"/>
      <c r="W2934" s="5"/>
      <c r="X2934" s="5"/>
      <c r="Y2934" s="9"/>
      <c r="Z2934" s="2"/>
    </row>
    <row r="2935" spans="1:26">
      <c r="A2935" s="4"/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3"/>
      <c r="M2935" s="6"/>
      <c r="N2935" s="6"/>
      <c r="O2935" s="6"/>
      <c r="P2935" s="5"/>
      <c r="Q2935" s="9"/>
      <c r="R2935" s="5"/>
      <c r="S2935" s="5"/>
      <c r="T2935" s="5"/>
      <c r="U2935" s="5"/>
      <c r="V2935" s="5"/>
      <c r="W2935" s="5"/>
      <c r="X2935" s="5"/>
      <c r="Y2935" s="9"/>
      <c r="Z2935" s="2"/>
    </row>
    <row r="2936" spans="1:26">
      <c r="A2936" s="4"/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3"/>
      <c r="M2936" s="6"/>
      <c r="N2936" s="6"/>
      <c r="O2936" s="6"/>
      <c r="P2936" s="5"/>
      <c r="Q2936" s="9"/>
      <c r="R2936" s="5"/>
      <c r="S2936" s="5"/>
      <c r="T2936" s="5"/>
      <c r="U2936" s="5"/>
      <c r="V2936" s="5"/>
      <c r="W2936" s="5"/>
      <c r="X2936" s="5"/>
      <c r="Y2936" s="9"/>
      <c r="Z2936" s="2"/>
    </row>
    <row r="2937" spans="1:26">
      <c r="A2937" s="4"/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3"/>
      <c r="M2937" s="6"/>
      <c r="N2937" s="6"/>
      <c r="O2937" s="6"/>
      <c r="P2937" s="5"/>
      <c r="Q2937" s="9"/>
      <c r="R2937" s="5"/>
      <c r="S2937" s="5"/>
      <c r="T2937" s="5"/>
      <c r="U2937" s="5"/>
      <c r="V2937" s="5"/>
      <c r="W2937" s="5"/>
      <c r="X2937" s="5"/>
      <c r="Y2937" s="9"/>
      <c r="Z2937" s="2"/>
    </row>
    <row r="2938" spans="1:26">
      <c r="A2938" s="4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3"/>
      <c r="M2938" s="6"/>
      <c r="N2938" s="6"/>
      <c r="O2938" s="6"/>
      <c r="P2938" s="5"/>
      <c r="Q2938" s="9"/>
      <c r="R2938" s="5"/>
      <c r="S2938" s="5"/>
      <c r="T2938" s="5"/>
      <c r="U2938" s="5"/>
      <c r="V2938" s="5"/>
      <c r="W2938" s="5"/>
      <c r="X2938" s="5"/>
      <c r="Y2938" s="9"/>
      <c r="Z2938" s="2"/>
    </row>
    <row r="2939" spans="1:26">
      <c r="A2939" s="4"/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3"/>
      <c r="M2939" s="6"/>
      <c r="N2939" s="6"/>
      <c r="O2939" s="6"/>
      <c r="P2939" s="5"/>
      <c r="Q2939" s="9"/>
      <c r="R2939" s="5"/>
      <c r="S2939" s="5"/>
      <c r="T2939" s="5"/>
      <c r="U2939" s="5"/>
      <c r="V2939" s="5"/>
      <c r="W2939" s="5"/>
      <c r="X2939" s="5"/>
      <c r="Y2939" s="9"/>
      <c r="Z2939" s="2"/>
    </row>
    <row r="2940" spans="1:26">
      <c r="A2940" s="4"/>
      <c r="B2940" s="4"/>
      <c r="C2940" s="4"/>
      <c r="D2940" s="4"/>
      <c r="E2940" s="4"/>
      <c r="F2940" s="4"/>
      <c r="G2940" s="4"/>
      <c r="H2940" s="4"/>
      <c r="I2940" s="4"/>
      <c r="J2940" s="4"/>
      <c r="K2940" s="4"/>
      <c r="L2940" s="3"/>
      <c r="M2940" s="6"/>
      <c r="N2940" s="6"/>
      <c r="O2940" s="6"/>
      <c r="P2940" s="5"/>
      <c r="Q2940" s="9"/>
      <c r="R2940" s="5"/>
      <c r="S2940" s="5"/>
      <c r="T2940" s="5"/>
      <c r="U2940" s="5"/>
      <c r="V2940" s="5"/>
      <c r="W2940" s="5"/>
      <c r="X2940" s="5"/>
      <c r="Y2940" s="9"/>
      <c r="Z2940" s="2"/>
    </row>
    <row r="2941" spans="1:26">
      <c r="A2941" s="4"/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3"/>
      <c r="M2941" s="6"/>
      <c r="N2941" s="6"/>
      <c r="O2941" s="6"/>
      <c r="P2941" s="5"/>
      <c r="Q2941" s="9"/>
      <c r="R2941" s="5"/>
      <c r="S2941" s="5"/>
      <c r="T2941" s="5"/>
      <c r="U2941" s="5"/>
      <c r="V2941" s="5"/>
      <c r="W2941" s="5"/>
      <c r="X2941" s="5"/>
      <c r="Y2941" s="9"/>
      <c r="Z2941" s="2"/>
    </row>
    <row r="2942" spans="1:26">
      <c r="A2942" s="4"/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3"/>
      <c r="M2942" s="6"/>
      <c r="N2942" s="6"/>
      <c r="O2942" s="6"/>
      <c r="P2942" s="5"/>
      <c r="Q2942" s="9"/>
      <c r="R2942" s="5"/>
      <c r="S2942" s="5"/>
      <c r="T2942" s="5"/>
      <c r="U2942" s="5"/>
      <c r="V2942" s="5"/>
      <c r="W2942" s="5"/>
      <c r="X2942" s="5"/>
      <c r="Y2942" s="9"/>
      <c r="Z2942" s="2"/>
    </row>
    <row r="2943" spans="1:26">
      <c r="A2943" s="4"/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3"/>
      <c r="M2943" s="6"/>
      <c r="N2943" s="6"/>
      <c r="O2943" s="6"/>
      <c r="P2943" s="5"/>
      <c r="Q2943" s="9"/>
      <c r="R2943" s="5"/>
      <c r="S2943" s="5"/>
      <c r="T2943" s="5"/>
      <c r="U2943" s="5"/>
      <c r="V2943" s="5"/>
      <c r="W2943" s="5"/>
      <c r="X2943" s="5"/>
      <c r="Y2943" s="9"/>
      <c r="Z2943" s="2"/>
    </row>
    <row r="2944" spans="1:26">
      <c r="A2944" s="4"/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3"/>
      <c r="M2944" s="6"/>
      <c r="N2944" s="6"/>
      <c r="O2944" s="6"/>
      <c r="P2944" s="5"/>
      <c r="Q2944" s="9"/>
      <c r="R2944" s="5"/>
      <c r="S2944" s="5"/>
      <c r="T2944" s="5"/>
      <c r="U2944" s="5"/>
      <c r="V2944" s="5"/>
      <c r="W2944" s="5"/>
      <c r="X2944" s="5"/>
      <c r="Y2944" s="9"/>
      <c r="Z2944" s="2"/>
    </row>
    <row r="2945" spans="1:26">
      <c r="A2945" s="4"/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3"/>
      <c r="M2945" s="6"/>
      <c r="N2945" s="6"/>
      <c r="O2945" s="6"/>
      <c r="P2945" s="5"/>
      <c r="Q2945" s="9"/>
      <c r="R2945" s="5"/>
      <c r="S2945" s="5"/>
      <c r="T2945" s="5"/>
      <c r="U2945" s="5"/>
      <c r="V2945" s="5"/>
      <c r="W2945" s="5"/>
      <c r="X2945" s="5"/>
      <c r="Y2945" s="9"/>
      <c r="Z2945" s="2"/>
    </row>
    <row r="2946" spans="1:26">
      <c r="A2946" s="4"/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3"/>
      <c r="M2946" s="6"/>
      <c r="N2946" s="6"/>
      <c r="O2946" s="6"/>
      <c r="P2946" s="5"/>
      <c r="Q2946" s="9"/>
      <c r="R2946" s="5"/>
      <c r="S2946" s="5"/>
      <c r="T2946" s="5"/>
      <c r="U2946" s="5"/>
      <c r="V2946" s="5"/>
      <c r="W2946" s="5"/>
      <c r="X2946" s="5"/>
      <c r="Y2946" s="9"/>
      <c r="Z2946" s="2"/>
    </row>
    <row r="2947" spans="1:26">
      <c r="A2947" s="4"/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3"/>
      <c r="M2947" s="6"/>
      <c r="N2947" s="6"/>
      <c r="O2947" s="6"/>
      <c r="P2947" s="5"/>
      <c r="Q2947" s="9"/>
      <c r="R2947" s="5"/>
      <c r="S2947" s="5"/>
      <c r="T2947" s="5"/>
      <c r="U2947" s="5"/>
      <c r="V2947" s="5"/>
      <c r="W2947" s="5"/>
      <c r="X2947" s="5"/>
      <c r="Y2947" s="9"/>
      <c r="Z2947" s="2"/>
    </row>
    <row r="2948" spans="1:26">
      <c r="A2948" s="4"/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3"/>
      <c r="M2948" s="6"/>
      <c r="N2948" s="6"/>
      <c r="O2948" s="6"/>
      <c r="P2948" s="5"/>
      <c r="Q2948" s="9"/>
      <c r="R2948" s="5"/>
      <c r="S2948" s="5"/>
      <c r="T2948" s="5"/>
      <c r="U2948" s="5"/>
      <c r="V2948" s="5"/>
      <c r="W2948" s="5"/>
      <c r="X2948" s="5"/>
      <c r="Y2948" s="9"/>
      <c r="Z2948" s="2"/>
    </row>
    <row r="2949" spans="1:26">
      <c r="A2949" s="4"/>
      <c r="B2949" s="4"/>
      <c r="C2949" s="4"/>
      <c r="D2949" s="4"/>
      <c r="E2949" s="4"/>
      <c r="F2949" s="4"/>
      <c r="G2949" s="4"/>
      <c r="H2949" s="4"/>
      <c r="I2949" s="4"/>
      <c r="J2949" s="4"/>
      <c r="K2949" s="4"/>
      <c r="L2949" s="3"/>
      <c r="M2949" s="6"/>
      <c r="N2949" s="6"/>
      <c r="O2949" s="6"/>
      <c r="P2949" s="5"/>
      <c r="Q2949" s="9"/>
      <c r="R2949" s="5"/>
      <c r="S2949" s="5"/>
      <c r="T2949" s="5"/>
      <c r="U2949" s="5"/>
      <c r="V2949" s="5"/>
      <c r="W2949" s="5"/>
      <c r="X2949" s="5"/>
      <c r="Y2949" s="9"/>
      <c r="Z2949" s="2"/>
    </row>
    <row r="2950" spans="1:26">
      <c r="A2950" s="4"/>
      <c r="B2950" s="4"/>
      <c r="C2950" s="4"/>
      <c r="D2950" s="4"/>
      <c r="E2950" s="4"/>
      <c r="F2950" s="4"/>
      <c r="G2950" s="4"/>
      <c r="H2950" s="4"/>
      <c r="I2950" s="4"/>
      <c r="J2950" s="4"/>
      <c r="K2950" s="4"/>
      <c r="L2950" s="3"/>
      <c r="M2950" s="6"/>
      <c r="N2950" s="6"/>
      <c r="O2950" s="6"/>
      <c r="P2950" s="5"/>
      <c r="Q2950" s="9"/>
      <c r="R2950" s="5"/>
      <c r="S2950" s="5"/>
      <c r="T2950" s="5"/>
      <c r="U2950" s="5"/>
      <c r="V2950" s="5"/>
      <c r="W2950" s="5"/>
      <c r="X2950" s="5"/>
      <c r="Y2950" s="9"/>
      <c r="Z2950" s="2"/>
    </row>
    <row r="2951" spans="1:26">
      <c r="A2951" s="4"/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3"/>
      <c r="M2951" s="6"/>
      <c r="N2951" s="6"/>
      <c r="O2951" s="6"/>
      <c r="P2951" s="5"/>
      <c r="Q2951" s="9"/>
      <c r="R2951" s="5"/>
      <c r="S2951" s="5"/>
      <c r="T2951" s="5"/>
      <c r="U2951" s="5"/>
      <c r="V2951" s="5"/>
      <c r="W2951" s="5"/>
      <c r="X2951" s="5"/>
      <c r="Y2951" s="9"/>
      <c r="Z2951" s="2"/>
    </row>
    <row r="2952" spans="1:26">
      <c r="A2952" s="4"/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3"/>
      <c r="M2952" s="6"/>
      <c r="N2952" s="6"/>
      <c r="O2952" s="6"/>
      <c r="P2952" s="5"/>
      <c r="Q2952" s="9"/>
      <c r="R2952" s="5"/>
      <c r="S2952" s="5"/>
      <c r="T2952" s="5"/>
      <c r="U2952" s="5"/>
      <c r="V2952" s="5"/>
      <c r="W2952" s="5"/>
      <c r="X2952" s="5"/>
      <c r="Y2952" s="9"/>
      <c r="Z2952" s="2"/>
    </row>
    <row r="2953" spans="1:26">
      <c r="A2953" s="4"/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3"/>
      <c r="M2953" s="6"/>
      <c r="N2953" s="6"/>
      <c r="O2953" s="6"/>
      <c r="P2953" s="5"/>
      <c r="Q2953" s="9"/>
      <c r="R2953" s="5"/>
      <c r="S2953" s="5"/>
      <c r="T2953" s="5"/>
      <c r="U2953" s="5"/>
      <c r="V2953" s="5"/>
      <c r="W2953" s="5"/>
      <c r="X2953" s="5"/>
      <c r="Y2953" s="9"/>
      <c r="Z2953" s="2"/>
    </row>
    <row r="2954" spans="1:26">
      <c r="A2954" s="4"/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3"/>
      <c r="M2954" s="6"/>
      <c r="N2954" s="6"/>
      <c r="O2954" s="6"/>
      <c r="P2954" s="5"/>
      <c r="Q2954" s="9"/>
      <c r="R2954" s="5"/>
      <c r="S2954" s="5"/>
      <c r="T2954" s="5"/>
      <c r="U2954" s="5"/>
      <c r="V2954" s="5"/>
      <c r="W2954" s="5"/>
      <c r="X2954" s="5"/>
      <c r="Y2954" s="9"/>
      <c r="Z2954" s="2"/>
    </row>
    <row r="2955" spans="1:26">
      <c r="A2955" s="4"/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3"/>
      <c r="M2955" s="6"/>
      <c r="N2955" s="6"/>
      <c r="O2955" s="6"/>
      <c r="P2955" s="5"/>
      <c r="Q2955" s="9"/>
      <c r="R2955" s="5"/>
      <c r="S2955" s="5"/>
      <c r="T2955" s="5"/>
      <c r="U2955" s="5"/>
      <c r="V2955" s="5"/>
      <c r="W2955" s="5"/>
      <c r="X2955" s="5"/>
      <c r="Y2955" s="9"/>
      <c r="Z2955" s="2"/>
    </row>
    <row r="2956" spans="1:26">
      <c r="A2956" s="4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3"/>
      <c r="M2956" s="6"/>
      <c r="N2956" s="6"/>
      <c r="O2956" s="6"/>
      <c r="P2956" s="5"/>
      <c r="Q2956" s="9"/>
      <c r="R2956" s="5"/>
      <c r="S2956" s="5"/>
      <c r="T2956" s="5"/>
      <c r="U2956" s="5"/>
      <c r="V2956" s="5"/>
      <c r="W2956" s="5"/>
      <c r="X2956" s="5"/>
      <c r="Y2956" s="9"/>
      <c r="Z2956" s="2"/>
    </row>
    <row r="2957" spans="1:26">
      <c r="A2957" s="4"/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3"/>
      <c r="M2957" s="6"/>
      <c r="N2957" s="6"/>
      <c r="O2957" s="6"/>
      <c r="P2957" s="5"/>
      <c r="Q2957" s="9"/>
      <c r="R2957" s="5"/>
      <c r="S2957" s="5"/>
      <c r="T2957" s="5"/>
      <c r="U2957" s="5"/>
      <c r="V2957" s="5"/>
      <c r="W2957" s="5"/>
      <c r="X2957" s="5"/>
      <c r="Y2957" s="9"/>
      <c r="Z2957" s="2"/>
    </row>
    <row r="2958" spans="1:26">
      <c r="A2958" s="4"/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3"/>
      <c r="M2958" s="6"/>
      <c r="N2958" s="6"/>
      <c r="O2958" s="6"/>
      <c r="P2958" s="5"/>
      <c r="Q2958" s="9"/>
      <c r="R2958" s="5"/>
      <c r="S2958" s="5"/>
      <c r="T2958" s="5"/>
      <c r="U2958" s="5"/>
      <c r="V2958" s="5"/>
      <c r="W2958" s="5"/>
      <c r="X2958" s="5"/>
      <c r="Y2958" s="9"/>
      <c r="Z2958" s="2"/>
    </row>
    <row r="2959" spans="1:26">
      <c r="A2959" s="4"/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3"/>
      <c r="M2959" s="6"/>
      <c r="N2959" s="6"/>
      <c r="O2959" s="6"/>
      <c r="P2959" s="5"/>
      <c r="Q2959" s="9"/>
      <c r="R2959" s="5"/>
      <c r="S2959" s="5"/>
      <c r="T2959" s="5"/>
      <c r="U2959" s="5"/>
      <c r="V2959" s="5"/>
      <c r="W2959" s="5"/>
      <c r="X2959" s="5"/>
      <c r="Y2959" s="9"/>
      <c r="Z2959" s="2"/>
    </row>
    <row r="2960" spans="1:26">
      <c r="A2960" s="4"/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3"/>
      <c r="M2960" s="6"/>
      <c r="N2960" s="6"/>
      <c r="O2960" s="6"/>
      <c r="P2960" s="5"/>
      <c r="Q2960" s="9"/>
      <c r="R2960" s="5"/>
      <c r="S2960" s="5"/>
      <c r="T2960" s="5"/>
      <c r="U2960" s="5"/>
      <c r="V2960" s="5"/>
      <c r="W2960" s="5"/>
      <c r="X2960" s="5"/>
      <c r="Y2960" s="9"/>
      <c r="Z2960" s="2"/>
    </row>
    <row r="2961" spans="1:26">
      <c r="A2961" s="4"/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3"/>
      <c r="M2961" s="6"/>
      <c r="N2961" s="6"/>
      <c r="O2961" s="6"/>
      <c r="P2961" s="5"/>
      <c r="Q2961" s="9"/>
      <c r="R2961" s="5"/>
      <c r="S2961" s="5"/>
      <c r="T2961" s="5"/>
      <c r="U2961" s="5"/>
      <c r="V2961" s="5"/>
      <c r="W2961" s="5"/>
      <c r="X2961" s="5"/>
      <c r="Y2961" s="9"/>
      <c r="Z2961" s="2"/>
    </row>
    <row r="2962" spans="1:26">
      <c r="A2962" s="4"/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3"/>
      <c r="M2962" s="6"/>
      <c r="N2962" s="6"/>
      <c r="O2962" s="6"/>
      <c r="P2962" s="5"/>
      <c r="Q2962" s="9"/>
      <c r="R2962" s="5"/>
      <c r="S2962" s="5"/>
      <c r="T2962" s="5"/>
      <c r="U2962" s="5"/>
      <c r="V2962" s="5"/>
      <c r="W2962" s="5"/>
      <c r="X2962" s="5"/>
      <c r="Y2962" s="9"/>
      <c r="Z2962" s="2"/>
    </row>
    <row r="2963" spans="1:26">
      <c r="A2963" s="4"/>
      <c r="B2963" s="4"/>
      <c r="C2963" s="4"/>
      <c r="D2963" s="4"/>
      <c r="E2963" s="4"/>
      <c r="F2963" s="4"/>
      <c r="G2963" s="4"/>
      <c r="H2963" s="4"/>
      <c r="I2963" s="4"/>
      <c r="J2963" s="4"/>
      <c r="K2963" s="4"/>
      <c r="L2963" s="3"/>
      <c r="M2963" s="6"/>
      <c r="N2963" s="6"/>
      <c r="O2963" s="6"/>
      <c r="P2963" s="5"/>
      <c r="Q2963" s="9"/>
      <c r="R2963" s="5"/>
      <c r="S2963" s="5"/>
      <c r="T2963" s="5"/>
      <c r="U2963" s="5"/>
      <c r="V2963" s="5"/>
      <c r="W2963" s="5"/>
      <c r="X2963" s="5"/>
      <c r="Y2963" s="9"/>
      <c r="Z2963" s="2"/>
    </row>
    <row r="2964" spans="1:26">
      <c r="A2964" s="4"/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3"/>
      <c r="M2964" s="6"/>
      <c r="N2964" s="6"/>
      <c r="O2964" s="6"/>
      <c r="P2964" s="5"/>
      <c r="Q2964" s="9"/>
      <c r="R2964" s="5"/>
      <c r="S2964" s="5"/>
      <c r="T2964" s="5"/>
      <c r="U2964" s="5"/>
      <c r="V2964" s="5"/>
      <c r="W2964" s="5"/>
      <c r="X2964" s="5"/>
      <c r="Y2964" s="9"/>
      <c r="Z2964" s="2"/>
    </row>
    <row r="2965" spans="1:26">
      <c r="A2965" s="4"/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3"/>
      <c r="M2965" s="6"/>
      <c r="N2965" s="6"/>
      <c r="O2965" s="6"/>
      <c r="P2965" s="5"/>
      <c r="Q2965" s="9"/>
      <c r="R2965" s="5"/>
      <c r="S2965" s="5"/>
      <c r="T2965" s="5"/>
      <c r="U2965" s="5"/>
      <c r="V2965" s="5"/>
      <c r="W2965" s="5"/>
      <c r="X2965" s="5"/>
      <c r="Y2965" s="9"/>
      <c r="Z2965" s="2"/>
    </row>
    <row r="2966" spans="1:26">
      <c r="A2966" s="4"/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3"/>
      <c r="M2966" s="6"/>
      <c r="N2966" s="6"/>
      <c r="O2966" s="6"/>
      <c r="P2966" s="5"/>
      <c r="Q2966" s="9"/>
      <c r="R2966" s="5"/>
      <c r="S2966" s="5"/>
      <c r="T2966" s="5"/>
      <c r="U2966" s="5"/>
      <c r="V2966" s="5"/>
      <c r="W2966" s="5"/>
      <c r="X2966" s="5"/>
      <c r="Y2966" s="9"/>
      <c r="Z2966" s="2"/>
    </row>
    <row r="2967" spans="1:26">
      <c r="A2967" s="4"/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3"/>
      <c r="M2967" s="6"/>
      <c r="N2967" s="6"/>
      <c r="O2967" s="6"/>
      <c r="P2967" s="5"/>
      <c r="Q2967" s="9"/>
      <c r="R2967" s="5"/>
      <c r="S2967" s="5"/>
      <c r="T2967" s="5"/>
      <c r="U2967" s="5"/>
      <c r="V2967" s="5"/>
      <c r="W2967" s="5"/>
      <c r="X2967" s="5"/>
      <c r="Y2967" s="9"/>
      <c r="Z2967" s="2"/>
    </row>
    <row r="2968" spans="1:26">
      <c r="A2968" s="4"/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3"/>
      <c r="M2968" s="6"/>
      <c r="N2968" s="6"/>
      <c r="O2968" s="6"/>
      <c r="P2968" s="5"/>
      <c r="Q2968" s="9"/>
      <c r="R2968" s="5"/>
      <c r="S2968" s="5"/>
      <c r="T2968" s="5"/>
      <c r="U2968" s="5"/>
      <c r="V2968" s="5"/>
      <c r="W2968" s="5"/>
      <c r="X2968" s="5"/>
      <c r="Y2968" s="9"/>
      <c r="Z2968" s="2"/>
    </row>
    <row r="2969" spans="1:26">
      <c r="A2969" s="4"/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3"/>
      <c r="M2969" s="6"/>
      <c r="N2969" s="6"/>
      <c r="O2969" s="6"/>
      <c r="P2969" s="5"/>
      <c r="Q2969" s="9"/>
      <c r="R2969" s="5"/>
      <c r="S2969" s="5"/>
      <c r="T2969" s="5"/>
      <c r="U2969" s="5"/>
      <c r="V2969" s="5"/>
      <c r="W2969" s="5"/>
      <c r="X2969" s="5"/>
      <c r="Y2969" s="9"/>
      <c r="Z2969" s="2"/>
    </row>
    <row r="2970" spans="1:26">
      <c r="A2970" s="4"/>
      <c r="B2970" s="4"/>
      <c r="C2970" s="4"/>
      <c r="D2970" s="4"/>
      <c r="E2970" s="4"/>
      <c r="F2970" s="4"/>
      <c r="G2970" s="4"/>
      <c r="H2970" s="4"/>
      <c r="I2970" s="4"/>
      <c r="J2970" s="4"/>
      <c r="K2970" s="4"/>
      <c r="L2970" s="3"/>
      <c r="M2970" s="6"/>
      <c r="N2970" s="6"/>
      <c r="O2970" s="6"/>
      <c r="P2970" s="5"/>
      <c r="Q2970" s="9"/>
      <c r="R2970" s="5"/>
      <c r="S2970" s="5"/>
      <c r="T2970" s="5"/>
      <c r="U2970" s="5"/>
      <c r="V2970" s="5"/>
      <c r="W2970" s="5"/>
      <c r="X2970" s="5"/>
      <c r="Y2970" s="9"/>
      <c r="Z2970" s="2"/>
    </row>
    <row r="2971" spans="1:26">
      <c r="A2971" s="4"/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3"/>
      <c r="M2971" s="6"/>
      <c r="N2971" s="6"/>
      <c r="O2971" s="6"/>
      <c r="P2971" s="5"/>
      <c r="Q2971" s="9"/>
      <c r="R2971" s="5"/>
      <c r="S2971" s="5"/>
      <c r="T2971" s="5"/>
      <c r="U2971" s="5"/>
      <c r="V2971" s="5"/>
      <c r="W2971" s="5"/>
      <c r="X2971" s="5"/>
      <c r="Y2971" s="9"/>
      <c r="Z2971" s="2"/>
    </row>
    <row r="2972" spans="1:26">
      <c r="A2972" s="4"/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3"/>
      <c r="M2972" s="6"/>
      <c r="N2972" s="6"/>
      <c r="O2972" s="6"/>
      <c r="P2972" s="5"/>
      <c r="Q2972" s="9"/>
      <c r="R2972" s="5"/>
      <c r="S2972" s="5"/>
      <c r="T2972" s="5"/>
      <c r="U2972" s="5"/>
      <c r="V2972" s="5"/>
      <c r="W2972" s="5"/>
      <c r="X2972" s="5"/>
      <c r="Y2972" s="9"/>
      <c r="Z2972" s="2"/>
    </row>
    <row r="2973" spans="1:26">
      <c r="A2973" s="4"/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3"/>
      <c r="M2973" s="6"/>
      <c r="N2973" s="6"/>
      <c r="O2973" s="6"/>
      <c r="P2973" s="5"/>
      <c r="Q2973" s="9"/>
      <c r="R2973" s="5"/>
      <c r="S2973" s="5"/>
      <c r="T2973" s="5"/>
      <c r="U2973" s="5"/>
      <c r="V2973" s="5"/>
      <c r="W2973" s="5"/>
      <c r="X2973" s="5"/>
      <c r="Y2973" s="9"/>
      <c r="Z2973" s="2"/>
    </row>
    <row r="2974" spans="1:26">
      <c r="A2974" s="4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3"/>
      <c r="M2974" s="6"/>
      <c r="N2974" s="6"/>
      <c r="O2974" s="6"/>
      <c r="P2974" s="5"/>
      <c r="Q2974" s="9"/>
      <c r="R2974" s="5"/>
      <c r="S2974" s="5"/>
      <c r="T2974" s="5"/>
      <c r="U2974" s="5"/>
      <c r="V2974" s="5"/>
      <c r="W2974" s="5"/>
      <c r="X2974" s="5"/>
      <c r="Y2974" s="9"/>
      <c r="Z2974" s="2"/>
    </row>
    <row r="2975" spans="1:26">
      <c r="A2975" s="4"/>
      <c r="B2975" s="4"/>
      <c r="C2975" s="4"/>
      <c r="D2975" s="4"/>
      <c r="E2975" s="4"/>
      <c r="F2975" s="4"/>
      <c r="G2975" s="4"/>
      <c r="H2975" s="4"/>
      <c r="I2975" s="4"/>
      <c r="J2975" s="4"/>
      <c r="K2975" s="4"/>
      <c r="L2975" s="3"/>
      <c r="M2975" s="6"/>
      <c r="N2975" s="6"/>
      <c r="O2975" s="6"/>
      <c r="P2975" s="5"/>
      <c r="Q2975" s="9"/>
      <c r="R2975" s="5"/>
      <c r="S2975" s="5"/>
      <c r="T2975" s="5"/>
      <c r="U2975" s="5"/>
      <c r="V2975" s="5"/>
      <c r="W2975" s="5"/>
      <c r="X2975" s="5"/>
      <c r="Y2975" s="9"/>
      <c r="Z2975" s="2"/>
    </row>
    <row r="2976" spans="1:26">
      <c r="A2976" s="4"/>
      <c r="B2976" s="4"/>
      <c r="C2976" s="4"/>
      <c r="D2976" s="4"/>
      <c r="E2976" s="4"/>
      <c r="F2976" s="4"/>
      <c r="G2976" s="4"/>
      <c r="H2976" s="4"/>
      <c r="I2976" s="4"/>
      <c r="J2976" s="4"/>
      <c r="K2976" s="4"/>
      <c r="L2976" s="3"/>
      <c r="M2976" s="6"/>
      <c r="N2976" s="6"/>
      <c r="O2976" s="6"/>
      <c r="P2976" s="5"/>
      <c r="Q2976" s="9"/>
      <c r="R2976" s="5"/>
      <c r="S2976" s="5"/>
      <c r="T2976" s="5"/>
      <c r="U2976" s="5"/>
      <c r="V2976" s="5"/>
      <c r="W2976" s="5"/>
      <c r="X2976" s="5"/>
      <c r="Y2976" s="9"/>
      <c r="Z2976" s="2"/>
    </row>
    <row r="2977" spans="1:26">
      <c r="A2977" s="4"/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3"/>
      <c r="M2977" s="6"/>
      <c r="N2977" s="6"/>
      <c r="O2977" s="6"/>
      <c r="P2977" s="5"/>
      <c r="Q2977" s="9"/>
      <c r="R2977" s="5"/>
      <c r="S2977" s="5"/>
      <c r="T2977" s="5"/>
      <c r="U2977" s="5"/>
      <c r="V2977" s="5"/>
      <c r="W2977" s="5"/>
      <c r="X2977" s="5"/>
      <c r="Y2977" s="9"/>
      <c r="Z2977" s="2"/>
    </row>
    <row r="2978" spans="1:26">
      <c r="A2978" s="4"/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3"/>
      <c r="M2978" s="6"/>
      <c r="N2978" s="6"/>
      <c r="O2978" s="6"/>
      <c r="P2978" s="5"/>
      <c r="Q2978" s="9"/>
      <c r="R2978" s="5"/>
      <c r="S2978" s="5"/>
      <c r="T2978" s="5"/>
      <c r="U2978" s="5"/>
      <c r="V2978" s="5"/>
      <c r="W2978" s="5"/>
      <c r="X2978" s="5"/>
      <c r="Y2978" s="9"/>
      <c r="Z2978" s="2"/>
    </row>
    <row r="2979" spans="1:26">
      <c r="A2979" s="4"/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3"/>
      <c r="M2979" s="6"/>
      <c r="N2979" s="6"/>
      <c r="O2979" s="6"/>
      <c r="P2979" s="5"/>
      <c r="Q2979" s="9"/>
      <c r="R2979" s="5"/>
      <c r="S2979" s="5"/>
      <c r="T2979" s="5"/>
      <c r="U2979" s="5"/>
      <c r="V2979" s="5"/>
      <c r="W2979" s="5"/>
      <c r="X2979" s="5"/>
      <c r="Y2979" s="9"/>
      <c r="Z2979" s="2"/>
    </row>
    <row r="2980" spans="1:26">
      <c r="A2980" s="4"/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3"/>
      <c r="M2980" s="6"/>
      <c r="N2980" s="6"/>
      <c r="O2980" s="6"/>
      <c r="P2980" s="5"/>
      <c r="Q2980" s="9"/>
      <c r="R2980" s="5"/>
      <c r="S2980" s="5"/>
      <c r="T2980" s="5"/>
      <c r="U2980" s="5"/>
      <c r="V2980" s="5"/>
      <c r="W2980" s="5"/>
      <c r="X2980" s="5"/>
      <c r="Y2980" s="9"/>
      <c r="Z2980" s="2"/>
    </row>
    <row r="2981" spans="1:26">
      <c r="A2981" s="4"/>
      <c r="B2981" s="4"/>
      <c r="C2981" s="4"/>
      <c r="D2981" s="4"/>
      <c r="E2981" s="4"/>
      <c r="F2981" s="4"/>
      <c r="G2981" s="4"/>
      <c r="H2981" s="4"/>
      <c r="I2981" s="4"/>
      <c r="J2981" s="4"/>
      <c r="K2981" s="4"/>
      <c r="L2981" s="3"/>
      <c r="M2981" s="6"/>
      <c r="N2981" s="6"/>
      <c r="O2981" s="6"/>
      <c r="P2981" s="5"/>
      <c r="Q2981" s="9"/>
      <c r="R2981" s="5"/>
      <c r="S2981" s="5"/>
      <c r="T2981" s="5"/>
      <c r="U2981" s="5"/>
      <c r="V2981" s="5"/>
      <c r="W2981" s="5"/>
      <c r="X2981" s="5"/>
      <c r="Y2981" s="9"/>
      <c r="Z2981" s="2"/>
    </row>
    <row r="2982" spans="1:26">
      <c r="A2982" s="4"/>
      <c r="B2982" s="4"/>
      <c r="C2982" s="4"/>
      <c r="D2982" s="4"/>
      <c r="E2982" s="4"/>
      <c r="F2982" s="4"/>
      <c r="G2982" s="4"/>
      <c r="H2982" s="4"/>
      <c r="I2982" s="4"/>
      <c r="J2982" s="4"/>
      <c r="K2982" s="4"/>
      <c r="L2982" s="3"/>
      <c r="M2982" s="6"/>
      <c r="N2982" s="6"/>
      <c r="O2982" s="6"/>
      <c r="P2982" s="5"/>
      <c r="Q2982" s="9"/>
      <c r="R2982" s="5"/>
      <c r="S2982" s="5"/>
      <c r="T2982" s="5"/>
      <c r="U2982" s="5"/>
      <c r="V2982" s="5"/>
      <c r="W2982" s="5"/>
      <c r="X2982" s="5"/>
      <c r="Y2982" s="9"/>
      <c r="Z2982" s="2"/>
    </row>
    <row r="2983" spans="1:26">
      <c r="A2983" s="4"/>
      <c r="B2983" s="4"/>
      <c r="C2983" s="4"/>
      <c r="D2983" s="4"/>
      <c r="E2983" s="4"/>
      <c r="F2983" s="4"/>
      <c r="G2983" s="4"/>
      <c r="H2983" s="4"/>
      <c r="I2983" s="4"/>
      <c r="J2983" s="4"/>
      <c r="K2983" s="4"/>
      <c r="L2983" s="3"/>
      <c r="M2983" s="6"/>
      <c r="N2983" s="6"/>
      <c r="O2983" s="6"/>
      <c r="P2983" s="5"/>
      <c r="Q2983" s="9"/>
      <c r="R2983" s="5"/>
      <c r="S2983" s="5"/>
      <c r="T2983" s="5"/>
      <c r="U2983" s="5"/>
      <c r="V2983" s="5"/>
      <c r="W2983" s="5"/>
      <c r="X2983" s="5"/>
      <c r="Y2983" s="9"/>
      <c r="Z2983" s="2"/>
    </row>
    <row r="2984" spans="1:26">
      <c r="A2984" s="4"/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3"/>
      <c r="M2984" s="6"/>
      <c r="N2984" s="6"/>
      <c r="O2984" s="6"/>
      <c r="P2984" s="5"/>
      <c r="Q2984" s="9"/>
      <c r="R2984" s="5"/>
      <c r="S2984" s="5"/>
      <c r="T2984" s="5"/>
      <c r="U2984" s="5"/>
      <c r="V2984" s="5"/>
      <c r="W2984" s="5"/>
      <c r="X2984" s="5"/>
      <c r="Y2984" s="9"/>
      <c r="Z2984" s="2"/>
    </row>
    <row r="2985" spans="1:26">
      <c r="A2985" s="4"/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3"/>
      <c r="M2985" s="6"/>
      <c r="N2985" s="6"/>
      <c r="O2985" s="6"/>
      <c r="P2985" s="5"/>
      <c r="Q2985" s="9"/>
      <c r="R2985" s="5"/>
      <c r="S2985" s="5"/>
      <c r="T2985" s="5"/>
      <c r="U2985" s="5"/>
      <c r="V2985" s="5"/>
      <c r="W2985" s="5"/>
      <c r="X2985" s="5"/>
      <c r="Y2985" s="9"/>
      <c r="Z2985" s="2"/>
    </row>
    <row r="2986" spans="1:26">
      <c r="A2986" s="4"/>
      <c r="B2986" s="4"/>
      <c r="C2986" s="4"/>
      <c r="D2986" s="4"/>
      <c r="E2986" s="4"/>
      <c r="F2986" s="4"/>
      <c r="G2986" s="4"/>
      <c r="H2986" s="4"/>
      <c r="I2986" s="4"/>
      <c r="J2986" s="4"/>
      <c r="K2986" s="4"/>
      <c r="L2986" s="3"/>
      <c r="M2986" s="6"/>
      <c r="N2986" s="6"/>
      <c r="O2986" s="6"/>
      <c r="P2986" s="5"/>
      <c r="Q2986" s="9"/>
      <c r="R2986" s="5"/>
      <c r="S2986" s="5"/>
      <c r="T2986" s="5"/>
      <c r="U2986" s="5"/>
      <c r="V2986" s="5"/>
      <c r="W2986" s="5"/>
      <c r="X2986" s="5"/>
      <c r="Y2986" s="9"/>
      <c r="Z2986" s="2"/>
    </row>
    <row r="2987" spans="1:26">
      <c r="A2987" s="4"/>
      <c r="B2987" s="4"/>
      <c r="C2987" s="4"/>
      <c r="D2987" s="4"/>
      <c r="E2987" s="4"/>
      <c r="F2987" s="4"/>
      <c r="G2987" s="4"/>
      <c r="H2987" s="4"/>
      <c r="I2987" s="4"/>
      <c r="J2987" s="4"/>
      <c r="K2987" s="4"/>
      <c r="L2987" s="3"/>
      <c r="M2987" s="6"/>
      <c r="N2987" s="6"/>
      <c r="O2987" s="6"/>
      <c r="P2987" s="5"/>
      <c r="Q2987" s="9"/>
      <c r="R2987" s="5"/>
      <c r="S2987" s="5"/>
      <c r="T2987" s="5"/>
      <c r="U2987" s="5"/>
      <c r="V2987" s="5"/>
      <c r="W2987" s="5"/>
      <c r="X2987" s="5"/>
      <c r="Y2987" s="9"/>
      <c r="Z2987" s="2"/>
    </row>
    <row r="2988" spans="1:26">
      <c r="A2988" s="4"/>
      <c r="B2988" s="4"/>
      <c r="C2988" s="4"/>
      <c r="D2988" s="4"/>
      <c r="E2988" s="4"/>
      <c r="F2988" s="4"/>
      <c r="G2988" s="4"/>
      <c r="H2988" s="4"/>
      <c r="I2988" s="4"/>
      <c r="J2988" s="4"/>
      <c r="K2988" s="4"/>
      <c r="L2988" s="3"/>
      <c r="M2988" s="6"/>
      <c r="N2988" s="6"/>
      <c r="O2988" s="6"/>
      <c r="P2988" s="5"/>
      <c r="Q2988" s="9"/>
      <c r="R2988" s="5"/>
      <c r="S2988" s="5"/>
      <c r="T2988" s="5"/>
      <c r="U2988" s="5"/>
      <c r="V2988" s="5"/>
      <c r="W2988" s="5"/>
      <c r="X2988" s="5"/>
      <c r="Y2988" s="9"/>
      <c r="Z2988" s="2"/>
    </row>
    <row r="2989" spans="1:26">
      <c r="A2989" s="4"/>
      <c r="B2989" s="4"/>
      <c r="C2989" s="4"/>
      <c r="D2989" s="4"/>
      <c r="E2989" s="4"/>
      <c r="F2989" s="4"/>
      <c r="G2989" s="4"/>
      <c r="H2989" s="4"/>
      <c r="I2989" s="4"/>
      <c r="J2989" s="4"/>
      <c r="K2989" s="4"/>
      <c r="L2989" s="3"/>
      <c r="M2989" s="6"/>
      <c r="N2989" s="6"/>
      <c r="O2989" s="6"/>
      <c r="P2989" s="5"/>
      <c r="Q2989" s="9"/>
      <c r="R2989" s="5"/>
      <c r="S2989" s="5"/>
      <c r="T2989" s="5"/>
      <c r="U2989" s="5"/>
      <c r="V2989" s="5"/>
      <c r="W2989" s="5"/>
      <c r="X2989" s="5"/>
      <c r="Y2989" s="9"/>
      <c r="Z2989" s="2"/>
    </row>
    <row r="2990" spans="1:26">
      <c r="A2990" s="4"/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3"/>
      <c r="M2990" s="6"/>
      <c r="N2990" s="6"/>
      <c r="O2990" s="6"/>
      <c r="P2990" s="5"/>
      <c r="Q2990" s="9"/>
      <c r="R2990" s="5"/>
      <c r="S2990" s="5"/>
      <c r="T2990" s="5"/>
      <c r="U2990" s="5"/>
      <c r="V2990" s="5"/>
      <c r="W2990" s="5"/>
      <c r="X2990" s="5"/>
      <c r="Y2990" s="9"/>
      <c r="Z2990" s="2"/>
    </row>
    <row r="2991" spans="1:26">
      <c r="A2991" s="4"/>
      <c r="B2991" s="4"/>
      <c r="C2991" s="4"/>
      <c r="D2991" s="4"/>
      <c r="E2991" s="4"/>
      <c r="F2991" s="4"/>
      <c r="G2991" s="4"/>
      <c r="H2991" s="4"/>
      <c r="I2991" s="4"/>
      <c r="J2991" s="4"/>
      <c r="K2991" s="4"/>
      <c r="L2991" s="3"/>
      <c r="M2991" s="6"/>
      <c r="N2991" s="6"/>
      <c r="O2991" s="6"/>
      <c r="P2991" s="5"/>
      <c r="Q2991" s="9"/>
      <c r="R2991" s="5"/>
      <c r="S2991" s="5"/>
      <c r="T2991" s="5"/>
      <c r="U2991" s="5"/>
      <c r="V2991" s="5"/>
      <c r="W2991" s="5"/>
      <c r="X2991" s="5"/>
      <c r="Y2991" s="9"/>
      <c r="Z2991" s="2"/>
    </row>
    <row r="2992" spans="1:26">
      <c r="A2992" s="4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3"/>
      <c r="M2992" s="6"/>
      <c r="N2992" s="6"/>
      <c r="O2992" s="6"/>
      <c r="P2992" s="5"/>
      <c r="Q2992" s="9"/>
      <c r="R2992" s="5"/>
      <c r="S2992" s="5"/>
      <c r="T2992" s="5"/>
      <c r="U2992" s="5"/>
      <c r="V2992" s="5"/>
      <c r="W2992" s="5"/>
      <c r="X2992" s="5"/>
      <c r="Y2992" s="9"/>
      <c r="Z2992" s="2"/>
    </row>
    <row r="2993" spans="1:26">
      <c r="A2993" s="4"/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3"/>
      <c r="M2993" s="6"/>
      <c r="N2993" s="6"/>
      <c r="O2993" s="6"/>
      <c r="P2993" s="5"/>
      <c r="Q2993" s="9"/>
      <c r="R2993" s="5"/>
      <c r="S2993" s="5"/>
      <c r="T2993" s="5"/>
      <c r="U2993" s="5"/>
      <c r="V2993" s="5"/>
      <c r="W2993" s="5"/>
      <c r="X2993" s="5"/>
      <c r="Y2993" s="9"/>
      <c r="Z2993" s="2"/>
    </row>
    <row r="2994" spans="1:26">
      <c r="A2994" s="4"/>
      <c r="B2994" s="4"/>
      <c r="C2994" s="4"/>
      <c r="D2994" s="4"/>
      <c r="E2994" s="4"/>
      <c r="F2994" s="4"/>
      <c r="G2994" s="4"/>
      <c r="H2994" s="4"/>
      <c r="I2994" s="4"/>
      <c r="J2994" s="4"/>
      <c r="K2994" s="4"/>
      <c r="L2994" s="3"/>
      <c r="M2994" s="6"/>
      <c r="N2994" s="6"/>
      <c r="O2994" s="6"/>
      <c r="P2994" s="5"/>
      <c r="Q2994" s="9"/>
      <c r="R2994" s="5"/>
      <c r="S2994" s="5"/>
      <c r="T2994" s="5"/>
      <c r="U2994" s="5"/>
      <c r="V2994" s="5"/>
      <c r="W2994" s="5"/>
      <c r="X2994" s="5"/>
      <c r="Y2994" s="9"/>
      <c r="Z2994" s="2"/>
    </row>
    <row r="2995" spans="1:26">
      <c r="A2995" s="4"/>
      <c r="B2995" s="4"/>
      <c r="C2995" s="4"/>
      <c r="D2995" s="4"/>
      <c r="E2995" s="4"/>
      <c r="F2995" s="4"/>
      <c r="G2995" s="4"/>
      <c r="H2995" s="4"/>
      <c r="I2995" s="4"/>
      <c r="J2995" s="4"/>
      <c r="K2995" s="4"/>
      <c r="L2995" s="3"/>
      <c r="M2995" s="6"/>
      <c r="N2995" s="6"/>
      <c r="O2995" s="6"/>
      <c r="P2995" s="5"/>
      <c r="Q2995" s="9"/>
      <c r="R2995" s="5"/>
      <c r="S2995" s="5"/>
      <c r="T2995" s="5"/>
      <c r="U2995" s="5"/>
      <c r="V2995" s="5"/>
      <c r="W2995" s="5"/>
      <c r="X2995" s="5"/>
      <c r="Y2995" s="9"/>
      <c r="Z2995" s="2"/>
    </row>
    <row r="2996" spans="1:26">
      <c r="A2996" s="4"/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3"/>
      <c r="M2996" s="6"/>
      <c r="N2996" s="6"/>
      <c r="O2996" s="6"/>
      <c r="P2996" s="5"/>
      <c r="Q2996" s="9"/>
      <c r="R2996" s="5"/>
      <c r="S2996" s="5"/>
      <c r="T2996" s="5"/>
      <c r="U2996" s="5"/>
      <c r="V2996" s="5"/>
      <c r="W2996" s="5"/>
      <c r="X2996" s="5"/>
      <c r="Y2996" s="9"/>
      <c r="Z2996" s="2"/>
    </row>
    <row r="2997" spans="1:26">
      <c r="A2997" s="4"/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3"/>
      <c r="M2997" s="6"/>
      <c r="N2997" s="6"/>
      <c r="O2997" s="6"/>
      <c r="P2997" s="5"/>
      <c r="Q2997" s="9"/>
      <c r="R2997" s="5"/>
      <c r="S2997" s="5"/>
      <c r="T2997" s="5"/>
      <c r="U2997" s="5"/>
      <c r="V2997" s="5"/>
      <c r="W2997" s="5"/>
      <c r="X2997" s="5"/>
      <c r="Y2997" s="9"/>
      <c r="Z2997" s="2"/>
    </row>
    <row r="2998" spans="1:26">
      <c r="A2998" s="4"/>
      <c r="B2998" s="4"/>
      <c r="C2998" s="4"/>
      <c r="D2998" s="4"/>
      <c r="E2998" s="4"/>
      <c r="F2998" s="4"/>
      <c r="G2998" s="4"/>
      <c r="H2998" s="4"/>
      <c r="I2998" s="4"/>
      <c r="J2998" s="4"/>
      <c r="K2998" s="4"/>
      <c r="L2998" s="3"/>
      <c r="M2998" s="6"/>
      <c r="N2998" s="6"/>
      <c r="O2998" s="6"/>
      <c r="P2998" s="5"/>
      <c r="Q2998" s="9"/>
      <c r="R2998" s="5"/>
      <c r="S2998" s="5"/>
      <c r="T2998" s="5"/>
      <c r="U2998" s="5"/>
      <c r="V2998" s="5"/>
      <c r="W2998" s="5"/>
      <c r="X2998" s="5"/>
      <c r="Y2998" s="9"/>
      <c r="Z2998" s="2"/>
    </row>
    <row r="2999" spans="1:26">
      <c r="A2999" s="4"/>
      <c r="B2999" s="4"/>
      <c r="C2999" s="4"/>
      <c r="D2999" s="4"/>
      <c r="E2999" s="4"/>
      <c r="F2999" s="4"/>
      <c r="G2999" s="4"/>
      <c r="H2999" s="4"/>
      <c r="I2999" s="4"/>
      <c r="J2999" s="4"/>
      <c r="K2999" s="4"/>
      <c r="L2999" s="3"/>
      <c r="M2999" s="6"/>
      <c r="N2999" s="6"/>
      <c r="O2999" s="6"/>
      <c r="P2999" s="5"/>
      <c r="Q2999" s="9"/>
      <c r="R2999" s="5"/>
      <c r="S2999" s="5"/>
      <c r="T2999" s="5"/>
      <c r="U2999" s="5"/>
      <c r="V2999" s="5"/>
      <c r="W2999" s="5"/>
      <c r="X2999" s="5"/>
      <c r="Y2999" s="9"/>
      <c r="Z2999" s="2"/>
    </row>
    <row r="3000" spans="1:26">
      <c r="A3000" s="4"/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3"/>
      <c r="M3000" s="6"/>
      <c r="N3000" s="6"/>
      <c r="O3000" s="6"/>
      <c r="P3000" s="5"/>
      <c r="Q3000" s="9"/>
      <c r="R3000" s="5"/>
      <c r="S3000" s="5"/>
      <c r="T3000" s="5"/>
      <c r="U3000" s="5"/>
      <c r="V3000" s="5"/>
      <c r="W3000" s="5"/>
      <c r="X3000" s="5"/>
      <c r="Y3000" s="9"/>
      <c r="Z3000" s="2"/>
    </row>
    <row r="3001" spans="1:26">
      <c r="A3001" s="4"/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3"/>
      <c r="M3001" s="6"/>
      <c r="N3001" s="6"/>
      <c r="O3001" s="6"/>
      <c r="P3001" s="5"/>
      <c r="Q3001" s="9"/>
      <c r="R3001" s="5"/>
      <c r="S3001" s="5"/>
      <c r="T3001" s="5"/>
      <c r="U3001" s="5"/>
      <c r="V3001" s="5"/>
      <c r="W3001" s="5"/>
      <c r="X3001" s="5"/>
      <c r="Y3001" s="9"/>
      <c r="Z3001" s="2"/>
    </row>
    <row r="3002" spans="1:26">
      <c r="A3002" s="4"/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3"/>
      <c r="M3002" s="6"/>
      <c r="N3002" s="6"/>
      <c r="O3002" s="6"/>
      <c r="P3002" s="5"/>
      <c r="Q3002" s="9"/>
      <c r="R3002" s="5"/>
      <c r="S3002" s="5"/>
      <c r="T3002" s="5"/>
      <c r="U3002" s="5"/>
      <c r="V3002" s="5"/>
      <c r="W3002" s="5"/>
      <c r="X3002" s="5"/>
      <c r="Y3002" s="9"/>
      <c r="Z3002" s="2"/>
    </row>
    <row r="3003" spans="1:26">
      <c r="A3003" s="4"/>
      <c r="B3003" s="4"/>
      <c r="C3003" s="4"/>
      <c r="D3003" s="4"/>
      <c r="E3003" s="4"/>
      <c r="F3003" s="4"/>
      <c r="G3003" s="4"/>
      <c r="H3003" s="4"/>
      <c r="I3003" s="4"/>
      <c r="J3003" s="4"/>
      <c r="K3003" s="4"/>
      <c r="L3003" s="3"/>
      <c r="M3003" s="6"/>
      <c r="N3003" s="6"/>
      <c r="O3003" s="6"/>
      <c r="P3003" s="5"/>
      <c r="Q3003" s="9"/>
      <c r="R3003" s="5"/>
      <c r="S3003" s="5"/>
      <c r="T3003" s="5"/>
      <c r="U3003" s="5"/>
      <c r="V3003" s="5"/>
      <c r="W3003" s="5"/>
      <c r="X3003" s="5"/>
      <c r="Y3003" s="9"/>
      <c r="Z3003" s="2"/>
    </row>
    <row r="3004" spans="1:26">
      <c r="A3004" s="4"/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3"/>
      <c r="M3004" s="6"/>
      <c r="N3004" s="6"/>
      <c r="O3004" s="6"/>
      <c r="P3004" s="5"/>
      <c r="Q3004" s="9"/>
      <c r="R3004" s="5"/>
      <c r="S3004" s="5"/>
      <c r="T3004" s="5"/>
      <c r="U3004" s="5"/>
      <c r="V3004" s="5"/>
      <c r="W3004" s="5"/>
      <c r="X3004" s="5"/>
      <c r="Y3004" s="9"/>
      <c r="Z3004" s="2"/>
    </row>
    <row r="3005" spans="1:26">
      <c r="A3005" s="4"/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3"/>
      <c r="M3005" s="6"/>
      <c r="N3005" s="6"/>
      <c r="O3005" s="6"/>
      <c r="P3005" s="5"/>
      <c r="Q3005" s="9"/>
      <c r="R3005" s="5"/>
      <c r="S3005" s="5"/>
      <c r="T3005" s="5"/>
      <c r="U3005" s="5"/>
      <c r="V3005" s="5"/>
      <c r="W3005" s="5"/>
      <c r="X3005" s="5"/>
      <c r="Y3005" s="9"/>
      <c r="Z3005" s="2"/>
    </row>
    <row r="3006" spans="1:26">
      <c r="A3006" s="4"/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3"/>
      <c r="M3006" s="6"/>
      <c r="N3006" s="6"/>
      <c r="O3006" s="6"/>
      <c r="P3006" s="5"/>
      <c r="Q3006" s="9"/>
      <c r="R3006" s="5"/>
      <c r="S3006" s="5"/>
      <c r="T3006" s="5"/>
      <c r="U3006" s="5"/>
      <c r="V3006" s="5"/>
      <c r="W3006" s="5"/>
      <c r="X3006" s="5"/>
      <c r="Y3006" s="9"/>
      <c r="Z3006" s="2"/>
    </row>
    <row r="3007" spans="1:26">
      <c r="A3007" s="4"/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3"/>
      <c r="M3007" s="6"/>
      <c r="N3007" s="6"/>
      <c r="O3007" s="6"/>
      <c r="P3007" s="5"/>
      <c r="Q3007" s="9"/>
      <c r="R3007" s="5"/>
      <c r="S3007" s="5"/>
      <c r="T3007" s="5"/>
      <c r="U3007" s="5"/>
      <c r="V3007" s="5"/>
      <c r="W3007" s="5"/>
      <c r="X3007" s="5"/>
      <c r="Y3007" s="9"/>
      <c r="Z3007" s="2"/>
    </row>
    <row r="3008" spans="1:26">
      <c r="A3008" s="4"/>
      <c r="B3008" s="4"/>
      <c r="C3008" s="4"/>
      <c r="D3008" s="4"/>
      <c r="E3008" s="4"/>
      <c r="F3008" s="4"/>
      <c r="G3008" s="4"/>
      <c r="H3008" s="4"/>
      <c r="I3008" s="4"/>
      <c r="J3008" s="4"/>
      <c r="K3008" s="4"/>
      <c r="L3008" s="3"/>
      <c r="M3008" s="6"/>
      <c r="N3008" s="6"/>
      <c r="O3008" s="6"/>
      <c r="P3008" s="5"/>
      <c r="Q3008" s="9"/>
      <c r="R3008" s="5"/>
      <c r="S3008" s="5"/>
      <c r="T3008" s="5"/>
      <c r="U3008" s="5"/>
      <c r="V3008" s="5"/>
      <c r="W3008" s="5"/>
      <c r="X3008" s="5"/>
      <c r="Y3008" s="9"/>
      <c r="Z3008" s="2"/>
    </row>
    <row r="3009" spans="1:26">
      <c r="A3009" s="4"/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3"/>
      <c r="M3009" s="6"/>
      <c r="N3009" s="6"/>
      <c r="O3009" s="6"/>
      <c r="P3009" s="5"/>
      <c r="Q3009" s="9"/>
      <c r="R3009" s="5"/>
      <c r="S3009" s="5"/>
      <c r="T3009" s="5"/>
      <c r="U3009" s="5"/>
      <c r="V3009" s="5"/>
      <c r="W3009" s="5"/>
      <c r="X3009" s="5"/>
      <c r="Y3009" s="9"/>
      <c r="Z3009" s="2"/>
    </row>
    <row r="3010" spans="1:26">
      <c r="A3010" s="4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3"/>
      <c r="M3010" s="6"/>
      <c r="N3010" s="6"/>
      <c r="O3010" s="6"/>
      <c r="P3010" s="5"/>
      <c r="Q3010" s="9"/>
      <c r="R3010" s="5"/>
      <c r="S3010" s="5"/>
      <c r="T3010" s="5"/>
      <c r="U3010" s="5"/>
      <c r="V3010" s="5"/>
      <c r="W3010" s="5"/>
      <c r="X3010" s="5"/>
      <c r="Y3010" s="9"/>
      <c r="Z3010" s="2"/>
    </row>
    <row r="3011" spans="1:26">
      <c r="A3011" s="4"/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3"/>
      <c r="M3011" s="6"/>
      <c r="N3011" s="6"/>
      <c r="O3011" s="6"/>
      <c r="P3011" s="5"/>
      <c r="Q3011" s="9"/>
      <c r="R3011" s="5"/>
      <c r="S3011" s="5"/>
      <c r="T3011" s="5"/>
      <c r="U3011" s="5"/>
      <c r="V3011" s="5"/>
      <c r="W3011" s="5"/>
      <c r="X3011" s="5"/>
      <c r="Y3011" s="9"/>
      <c r="Z3011" s="2"/>
    </row>
    <row r="3012" spans="1:26">
      <c r="A3012" s="4"/>
      <c r="B3012" s="4"/>
      <c r="C3012" s="4"/>
      <c r="D3012" s="4"/>
      <c r="E3012" s="4"/>
      <c r="F3012" s="4"/>
      <c r="G3012" s="4"/>
      <c r="H3012" s="4"/>
      <c r="I3012" s="4"/>
      <c r="J3012" s="4"/>
      <c r="K3012" s="4"/>
      <c r="L3012" s="3"/>
      <c r="M3012" s="6"/>
      <c r="N3012" s="6"/>
      <c r="O3012" s="6"/>
      <c r="P3012" s="5"/>
      <c r="Q3012" s="9"/>
      <c r="R3012" s="5"/>
      <c r="S3012" s="5"/>
      <c r="T3012" s="5"/>
      <c r="U3012" s="5"/>
      <c r="V3012" s="5"/>
      <c r="W3012" s="5"/>
      <c r="X3012" s="5"/>
      <c r="Y3012" s="9"/>
      <c r="Z3012" s="2"/>
    </row>
    <row r="3013" spans="1:26">
      <c r="A3013" s="4"/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3"/>
      <c r="M3013" s="6"/>
      <c r="N3013" s="6"/>
      <c r="O3013" s="6"/>
      <c r="P3013" s="5"/>
      <c r="Q3013" s="9"/>
      <c r="R3013" s="5"/>
      <c r="S3013" s="5"/>
      <c r="T3013" s="5"/>
      <c r="U3013" s="5"/>
      <c r="V3013" s="5"/>
      <c r="W3013" s="5"/>
      <c r="X3013" s="5"/>
      <c r="Y3013" s="9"/>
      <c r="Z3013" s="2"/>
    </row>
    <row r="3014" spans="1:26">
      <c r="A3014" s="4"/>
      <c r="B3014" s="4"/>
      <c r="C3014" s="4"/>
      <c r="D3014" s="4"/>
      <c r="E3014" s="4"/>
      <c r="F3014" s="4"/>
      <c r="G3014" s="4"/>
      <c r="H3014" s="4"/>
      <c r="I3014" s="4"/>
      <c r="J3014" s="4"/>
      <c r="K3014" s="4"/>
      <c r="L3014" s="3"/>
      <c r="M3014" s="6"/>
      <c r="N3014" s="6"/>
      <c r="O3014" s="6"/>
      <c r="P3014" s="5"/>
      <c r="Q3014" s="9"/>
      <c r="R3014" s="5"/>
      <c r="S3014" s="5"/>
      <c r="T3014" s="5"/>
      <c r="U3014" s="5"/>
      <c r="V3014" s="5"/>
      <c r="W3014" s="5"/>
      <c r="X3014" s="5"/>
      <c r="Y3014" s="9"/>
      <c r="Z3014" s="2"/>
    </row>
    <row r="3015" spans="1:26">
      <c r="A3015" s="4"/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3"/>
      <c r="M3015" s="6"/>
      <c r="N3015" s="6"/>
      <c r="O3015" s="6"/>
      <c r="P3015" s="5"/>
      <c r="Q3015" s="9"/>
      <c r="R3015" s="5"/>
      <c r="S3015" s="5"/>
      <c r="T3015" s="5"/>
      <c r="U3015" s="5"/>
      <c r="V3015" s="5"/>
      <c r="W3015" s="5"/>
      <c r="X3015" s="5"/>
      <c r="Y3015" s="9"/>
      <c r="Z3015" s="2"/>
    </row>
    <row r="3016" spans="1:26">
      <c r="A3016" s="4"/>
      <c r="B3016" s="4"/>
      <c r="C3016" s="4"/>
      <c r="D3016" s="4"/>
      <c r="E3016" s="4"/>
      <c r="F3016" s="4"/>
      <c r="G3016" s="4"/>
      <c r="H3016" s="4"/>
      <c r="I3016" s="4"/>
      <c r="J3016" s="4"/>
      <c r="K3016" s="4"/>
      <c r="L3016" s="3"/>
      <c r="M3016" s="6"/>
      <c r="N3016" s="6"/>
      <c r="O3016" s="6"/>
      <c r="P3016" s="5"/>
      <c r="Q3016" s="9"/>
      <c r="R3016" s="5"/>
      <c r="S3016" s="5"/>
      <c r="T3016" s="5"/>
      <c r="U3016" s="5"/>
      <c r="V3016" s="5"/>
      <c r="W3016" s="5"/>
      <c r="X3016" s="5"/>
      <c r="Y3016" s="9"/>
      <c r="Z3016" s="2"/>
    </row>
    <row r="3017" spans="1:26">
      <c r="A3017" s="4"/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3"/>
      <c r="M3017" s="6"/>
      <c r="N3017" s="6"/>
      <c r="O3017" s="6"/>
      <c r="P3017" s="5"/>
      <c r="Q3017" s="9"/>
      <c r="R3017" s="5"/>
      <c r="S3017" s="5"/>
      <c r="T3017" s="5"/>
      <c r="U3017" s="5"/>
      <c r="V3017" s="5"/>
      <c r="W3017" s="5"/>
      <c r="X3017" s="5"/>
      <c r="Y3017" s="9"/>
      <c r="Z3017" s="2"/>
    </row>
    <row r="3018" spans="1:26">
      <c r="A3018" s="4"/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3"/>
      <c r="M3018" s="6"/>
      <c r="N3018" s="6"/>
      <c r="O3018" s="6"/>
      <c r="P3018" s="5"/>
      <c r="Q3018" s="9"/>
      <c r="R3018" s="5"/>
      <c r="S3018" s="5"/>
      <c r="T3018" s="5"/>
      <c r="U3018" s="5"/>
      <c r="V3018" s="5"/>
      <c r="W3018" s="5"/>
      <c r="X3018" s="5"/>
      <c r="Y3018" s="9"/>
      <c r="Z3018" s="2"/>
    </row>
    <row r="3019" spans="1:26">
      <c r="A3019" s="4"/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3"/>
      <c r="M3019" s="6"/>
      <c r="N3019" s="6"/>
      <c r="O3019" s="6"/>
      <c r="P3019" s="5"/>
      <c r="Q3019" s="9"/>
      <c r="R3019" s="5"/>
      <c r="S3019" s="5"/>
      <c r="T3019" s="5"/>
      <c r="U3019" s="5"/>
      <c r="V3019" s="5"/>
      <c r="W3019" s="5"/>
      <c r="X3019" s="5"/>
      <c r="Y3019" s="9"/>
      <c r="Z3019" s="2"/>
    </row>
    <row r="3020" spans="1:26">
      <c r="A3020" s="4"/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3"/>
      <c r="M3020" s="6"/>
      <c r="N3020" s="6"/>
      <c r="O3020" s="6"/>
      <c r="P3020" s="5"/>
      <c r="Q3020" s="9"/>
      <c r="R3020" s="5"/>
      <c r="S3020" s="5"/>
      <c r="T3020" s="5"/>
      <c r="U3020" s="5"/>
      <c r="V3020" s="5"/>
      <c r="W3020" s="5"/>
      <c r="X3020" s="5"/>
      <c r="Y3020" s="9"/>
      <c r="Z3020" s="2"/>
    </row>
    <row r="3021" spans="1:26">
      <c r="A3021" s="4"/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3"/>
      <c r="M3021" s="6"/>
      <c r="N3021" s="6"/>
      <c r="O3021" s="6"/>
      <c r="P3021" s="5"/>
      <c r="Q3021" s="9"/>
      <c r="R3021" s="5"/>
      <c r="S3021" s="5"/>
      <c r="T3021" s="5"/>
      <c r="U3021" s="5"/>
      <c r="V3021" s="5"/>
      <c r="W3021" s="5"/>
      <c r="X3021" s="5"/>
      <c r="Y3021" s="9"/>
      <c r="Z3021" s="2"/>
    </row>
    <row r="3022" spans="1:26">
      <c r="A3022" s="4"/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3"/>
      <c r="M3022" s="6"/>
      <c r="N3022" s="6"/>
      <c r="O3022" s="6"/>
      <c r="P3022" s="5"/>
      <c r="Q3022" s="9"/>
      <c r="R3022" s="5"/>
      <c r="S3022" s="5"/>
      <c r="T3022" s="5"/>
      <c r="U3022" s="5"/>
      <c r="V3022" s="5"/>
      <c r="W3022" s="5"/>
      <c r="X3022" s="5"/>
      <c r="Y3022" s="9"/>
      <c r="Z3022" s="2"/>
    </row>
    <row r="3023" spans="1:26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3"/>
      <c r="M3023" s="6"/>
      <c r="N3023" s="6"/>
      <c r="O3023" s="6"/>
      <c r="P3023" s="5"/>
      <c r="Q3023" s="9"/>
      <c r="R3023" s="5"/>
      <c r="S3023" s="5"/>
      <c r="T3023" s="5"/>
      <c r="U3023" s="5"/>
      <c r="V3023" s="5"/>
      <c r="W3023" s="5"/>
      <c r="X3023" s="5"/>
      <c r="Y3023" s="9"/>
      <c r="Z3023" s="2"/>
    </row>
    <row r="3024" spans="1:26">
      <c r="A3024" s="4"/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3"/>
      <c r="M3024" s="6"/>
      <c r="N3024" s="6"/>
      <c r="O3024" s="6"/>
      <c r="P3024" s="5"/>
      <c r="Q3024" s="9"/>
      <c r="R3024" s="5"/>
      <c r="S3024" s="5"/>
      <c r="T3024" s="5"/>
      <c r="U3024" s="5"/>
      <c r="V3024" s="5"/>
      <c r="W3024" s="5"/>
      <c r="X3024" s="5"/>
      <c r="Y3024" s="9"/>
      <c r="Z3024" s="2"/>
    </row>
    <row r="3025" spans="1:26">
      <c r="A3025" s="4"/>
      <c r="B3025" s="4"/>
      <c r="C3025" s="4"/>
      <c r="D3025" s="4"/>
      <c r="E3025" s="4"/>
      <c r="F3025" s="4"/>
      <c r="G3025" s="4"/>
      <c r="H3025" s="4"/>
      <c r="I3025" s="4"/>
      <c r="J3025" s="4"/>
      <c r="K3025" s="4"/>
      <c r="L3025" s="3"/>
      <c r="M3025" s="6"/>
      <c r="N3025" s="6"/>
      <c r="O3025" s="6"/>
      <c r="P3025" s="5"/>
      <c r="Q3025" s="9"/>
      <c r="R3025" s="5"/>
      <c r="S3025" s="5"/>
      <c r="T3025" s="5"/>
      <c r="U3025" s="5"/>
      <c r="V3025" s="5"/>
      <c r="W3025" s="5"/>
      <c r="X3025" s="5"/>
      <c r="Y3025" s="9"/>
      <c r="Z3025" s="2"/>
    </row>
    <row r="3026" spans="1:26">
      <c r="A3026" s="4"/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3"/>
      <c r="M3026" s="6"/>
      <c r="N3026" s="6"/>
      <c r="O3026" s="6"/>
      <c r="P3026" s="5"/>
      <c r="Q3026" s="9"/>
      <c r="R3026" s="5"/>
      <c r="S3026" s="5"/>
      <c r="T3026" s="5"/>
      <c r="U3026" s="5"/>
      <c r="V3026" s="5"/>
      <c r="W3026" s="5"/>
      <c r="X3026" s="5"/>
      <c r="Y3026" s="9"/>
      <c r="Z3026" s="2"/>
    </row>
    <row r="3027" spans="1:26">
      <c r="A3027" s="4"/>
      <c r="B3027" s="4"/>
      <c r="C3027" s="4"/>
      <c r="D3027" s="4"/>
      <c r="E3027" s="4"/>
      <c r="F3027" s="4"/>
      <c r="G3027" s="4"/>
      <c r="H3027" s="4"/>
      <c r="I3027" s="4"/>
      <c r="J3027" s="4"/>
      <c r="K3027" s="4"/>
      <c r="L3027" s="3"/>
      <c r="M3027" s="6"/>
      <c r="N3027" s="6"/>
      <c r="O3027" s="6"/>
      <c r="P3027" s="5"/>
      <c r="Q3027" s="9"/>
      <c r="R3027" s="5"/>
      <c r="S3027" s="5"/>
      <c r="T3027" s="5"/>
      <c r="U3027" s="5"/>
      <c r="V3027" s="5"/>
      <c r="W3027" s="5"/>
      <c r="X3027" s="5"/>
      <c r="Y3027" s="9"/>
      <c r="Z3027" s="2"/>
    </row>
    <row r="3028" spans="1:26">
      <c r="A3028" s="4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3"/>
      <c r="M3028" s="6"/>
      <c r="N3028" s="6"/>
      <c r="O3028" s="6"/>
      <c r="P3028" s="5"/>
      <c r="Q3028" s="9"/>
      <c r="R3028" s="5"/>
      <c r="S3028" s="5"/>
      <c r="T3028" s="5"/>
      <c r="U3028" s="5"/>
      <c r="V3028" s="5"/>
      <c r="W3028" s="5"/>
      <c r="X3028" s="5"/>
      <c r="Y3028" s="9"/>
      <c r="Z3028" s="2"/>
    </row>
    <row r="3029" spans="1:26">
      <c r="A3029" s="4"/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3"/>
      <c r="M3029" s="6"/>
      <c r="N3029" s="6"/>
      <c r="O3029" s="6"/>
      <c r="P3029" s="5"/>
      <c r="Q3029" s="9"/>
      <c r="R3029" s="5"/>
      <c r="S3029" s="5"/>
      <c r="T3029" s="5"/>
      <c r="U3029" s="5"/>
      <c r="V3029" s="5"/>
      <c r="W3029" s="5"/>
      <c r="X3029" s="5"/>
      <c r="Y3029" s="9"/>
      <c r="Z3029" s="2"/>
    </row>
    <row r="3030" spans="1:26">
      <c r="A3030" s="4"/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3"/>
      <c r="M3030" s="6"/>
      <c r="N3030" s="6"/>
      <c r="O3030" s="6"/>
      <c r="P3030" s="5"/>
      <c r="Q3030" s="9"/>
      <c r="R3030" s="5"/>
      <c r="S3030" s="5"/>
      <c r="T3030" s="5"/>
      <c r="U3030" s="5"/>
      <c r="V3030" s="5"/>
      <c r="W3030" s="5"/>
      <c r="X3030" s="5"/>
      <c r="Y3030" s="9"/>
      <c r="Z3030" s="2"/>
    </row>
    <row r="3031" spans="1:26">
      <c r="A3031" s="4"/>
      <c r="B3031" s="4"/>
      <c r="C3031" s="4"/>
      <c r="D3031" s="4"/>
      <c r="E3031" s="4"/>
      <c r="F3031" s="4"/>
      <c r="G3031" s="4"/>
      <c r="H3031" s="4"/>
      <c r="I3031" s="4"/>
      <c r="J3031" s="4"/>
      <c r="K3031" s="4"/>
      <c r="L3031" s="3"/>
      <c r="M3031" s="6"/>
      <c r="N3031" s="6"/>
      <c r="O3031" s="6"/>
      <c r="P3031" s="5"/>
      <c r="Q3031" s="9"/>
      <c r="R3031" s="5"/>
      <c r="S3031" s="5"/>
      <c r="T3031" s="5"/>
      <c r="U3031" s="5"/>
      <c r="V3031" s="5"/>
      <c r="W3031" s="5"/>
      <c r="X3031" s="5"/>
      <c r="Y3031" s="9"/>
      <c r="Z3031" s="2"/>
    </row>
    <row r="3032" spans="1:26">
      <c r="A3032" s="4"/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3"/>
      <c r="M3032" s="6"/>
      <c r="N3032" s="6"/>
      <c r="O3032" s="6"/>
      <c r="P3032" s="5"/>
      <c r="Q3032" s="9"/>
      <c r="R3032" s="5"/>
      <c r="S3032" s="5"/>
      <c r="T3032" s="5"/>
      <c r="U3032" s="5"/>
      <c r="V3032" s="5"/>
      <c r="W3032" s="5"/>
      <c r="X3032" s="5"/>
      <c r="Y3032" s="9"/>
      <c r="Z3032" s="2"/>
    </row>
    <row r="3033" spans="1:26">
      <c r="A3033" s="4"/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3"/>
      <c r="M3033" s="6"/>
      <c r="N3033" s="6"/>
      <c r="O3033" s="6"/>
      <c r="P3033" s="5"/>
      <c r="Q3033" s="9"/>
      <c r="R3033" s="5"/>
      <c r="S3033" s="5"/>
      <c r="T3033" s="5"/>
      <c r="U3033" s="5"/>
      <c r="V3033" s="5"/>
      <c r="W3033" s="5"/>
      <c r="X3033" s="5"/>
      <c r="Y3033" s="9"/>
      <c r="Z3033" s="2"/>
    </row>
    <row r="3034" spans="1:26">
      <c r="A3034" s="4"/>
      <c r="B3034" s="4"/>
      <c r="C3034" s="4"/>
      <c r="D3034" s="4"/>
      <c r="E3034" s="4"/>
      <c r="F3034" s="4"/>
      <c r="G3034" s="4"/>
      <c r="H3034" s="4"/>
      <c r="I3034" s="4"/>
      <c r="J3034" s="4"/>
      <c r="K3034" s="4"/>
      <c r="L3034" s="3"/>
      <c r="M3034" s="6"/>
      <c r="N3034" s="6"/>
      <c r="O3034" s="6"/>
      <c r="P3034" s="5"/>
      <c r="Q3034" s="9"/>
      <c r="R3034" s="5"/>
      <c r="S3034" s="5"/>
      <c r="T3034" s="5"/>
      <c r="U3034" s="5"/>
      <c r="V3034" s="5"/>
      <c r="W3034" s="5"/>
      <c r="X3034" s="5"/>
      <c r="Y3034" s="9"/>
      <c r="Z3034" s="2"/>
    </row>
    <row r="3035" spans="1:26">
      <c r="A3035" s="4"/>
      <c r="B3035" s="4"/>
      <c r="C3035" s="4"/>
      <c r="D3035" s="4"/>
      <c r="E3035" s="4"/>
      <c r="F3035" s="4"/>
      <c r="G3035" s="4"/>
      <c r="H3035" s="4"/>
      <c r="I3035" s="4"/>
      <c r="J3035" s="4"/>
      <c r="K3035" s="4"/>
      <c r="L3035" s="3"/>
      <c r="M3035" s="6"/>
      <c r="N3035" s="6"/>
      <c r="O3035" s="6"/>
      <c r="P3035" s="5"/>
      <c r="Q3035" s="9"/>
      <c r="R3035" s="5"/>
      <c r="S3035" s="5"/>
      <c r="T3035" s="5"/>
      <c r="U3035" s="5"/>
      <c r="V3035" s="5"/>
      <c r="W3035" s="5"/>
      <c r="X3035" s="5"/>
      <c r="Y3035" s="9"/>
      <c r="Z3035" s="2"/>
    </row>
    <row r="3036" spans="1:26">
      <c r="A3036" s="4"/>
      <c r="B3036" s="4"/>
      <c r="C3036" s="4"/>
      <c r="D3036" s="4"/>
      <c r="E3036" s="4"/>
      <c r="F3036" s="4"/>
      <c r="G3036" s="4"/>
      <c r="H3036" s="4"/>
      <c r="I3036" s="4"/>
      <c r="J3036" s="4"/>
      <c r="K3036" s="4"/>
      <c r="L3036" s="3"/>
      <c r="M3036" s="6"/>
      <c r="N3036" s="6"/>
      <c r="O3036" s="6"/>
      <c r="P3036" s="5"/>
      <c r="Q3036" s="9"/>
      <c r="R3036" s="5"/>
      <c r="S3036" s="5"/>
      <c r="T3036" s="5"/>
      <c r="U3036" s="5"/>
      <c r="V3036" s="5"/>
      <c r="W3036" s="5"/>
      <c r="X3036" s="5"/>
      <c r="Y3036" s="9"/>
      <c r="Z3036" s="2"/>
    </row>
    <row r="3037" spans="1:26">
      <c r="A3037" s="4"/>
      <c r="B3037" s="4"/>
      <c r="C3037" s="4"/>
      <c r="D3037" s="4"/>
      <c r="E3037" s="4"/>
      <c r="F3037" s="4"/>
      <c r="G3037" s="4"/>
      <c r="H3037" s="4"/>
      <c r="I3037" s="4"/>
      <c r="J3037" s="4"/>
      <c r="K3037" s="4"/>
      <c r="L3037" s="3"/>
      <c r="M3037" s="6"/>
      <c r="N3037" s="6"/>
      <c r="O3037" s="6"/>
      <c r="P3037" s="5"/>
      <c r="Q3037" s="9"/>
      <c r="R3037" s="5"/>
      <c r="S3037" s="5"/>
      <c r="T3037" s="5"/>
      <c r="U3037" s="5"/>
      <c r="V3037" s="5"/>
      <c r="W3037" s="5"/>
      <c r="X3037" s="5"/>
      <c r="Y3037" s="9"/>
      <c r="Z3037" s="2"/>
    </row>
    <row r="3038" spans="1:26">
      <c r="A3038" s="4"/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3"/>
      <c r="M3038" s="6"/>
      <c r="N3038" s="6"/>
      <c r="O3038" s="6"/>
      <c r="P3038" s="5"/>
      <c r="Q3038" s="9"/>
      <c r="R3038" s="5"/>
      <c r="S3038" s="5"/>
      <c r="T3038" s="5"/>
      <c r="U3038" s="5"/>
      <c r="V3038" s="5"/>
      <c r="W3038" s="5"/>
      <c r="X3038" s="5"/>
      <c r="Y3038" s="9"/>
      <c r="Z3038" s="2"/>
    </row>
    <row r="3039" spans="1:26">
      <c r="A3039" s="4"/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3"/>
      <c r="M3039" s="6"/>
      <c r="N3039" s="6"/>
      <c r="O3039" s="6"/>
      <c r="P3039" s="5"/>
      <c r="Q3039" s="9"/>
      <c r="R3039" s="5"/>
      <c r="S3039" s="5"/>
      <c r="T3039" s="5"/>
      <c r="U3039" s="5"/>
      <c r="V3039" s="5"/>
      <c r="W3039" s="5"/>
      <c r="X3039" s="5"/>
      <c r="Y3039" s="9"/>
      <c r="Z3039" s="2"/>
    </row>
    <row r="3040" spans="1:26">
      <c r="A3040" s="4"/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3"/>
      <c r="M3040" s="6"/>
      <c r="N3040" s="6"/>
      <c r="O3040" s="6"/>
      <c r="P3040" s="5"/>
      <c r="Q3040" s="9"/>
      <c r="R3040" s="5"/>
      <c r="S3040" s="5"/>
      <c r="T3040" s="5"/>
      <c r="U3040" s="5"/>
      <c r="V3040" s="5"/>
      <c r="W3040" s="5"/>
      <c r="X3040" s="5"/>
      <c r="Y3040" s="9"/>
      <c r="Z3040" s="2"/>
    </row>
    <row r="3041" spans="1:26">
      <c r="A3041" s="4"/>
      <c r="B3041" s="4"/>
      <c r="C3041" s="4"/>
      <c r="D3041" s="4"/>
      <c r="E3041" s="4"/>
      <c r="F3041" s="4"/>
      <c r="G3041" s="4"/>
      <c r="H3041" s="4"/>
      <c r="I3041" s="4"/>
      <c r="J3041" s="4"/>
      <c r="K3041" s="4"/>
      <c r="L3041" s="3"/>
      <c r="M3041" s="6"/>
      <c r="N3041" s="6"/>
      <c r="O3041" s="6"/>
      <c r="P3041" s="5"/>
      <c r="Q3041" s="9"/>
      <c r="R3041" s="5"/>
      <c r="S3041" s="5"/>
      <c r="T3041" s="5"/>
      <c r="U3041" s="5"/>
      <c r="V3041" s="5"/>
      <c r="W3041" s="5"/>
      <c r="X3041" s="5"/>
      <c r="Y3041" s="9"/>
      <c r="Z3041" s="2"/>
    </row>
    <row r="3042" spans="1:26">
      <c r="A3042" s="4"/>
      <c r="B3042" s="4"/>
      <c r="C3042" s="4"/>
      <c r="D3042" s="4"/>
      <c r="E3042" s="4"/>
      <c r="F3042" s="4"/>
      <c r="G3042" s="4"/>
      <c r="H3042" s="4"/>
      <c r="I3042" s="4"/>
      <c r="J3042" s="4"/>
      <c r="K3042" s="4"/>
      <c r="L3042" s="3"/>
      <c r="M3042" s="6"/>
      <c r="N3042" s="6"/>
      <c r="O3042" s="6"/>
      <c r="P3042" s="5"/>
      <c r="Q3042" s="9"/>
      <c r="R3042" s="5"/>
      <c r="S3042" s="5"/>
      <c r="T3042" s="5"/>
      <c r="U3042" s="5"/>
      <c r="V3042" s="5"/>
      <c r="W3042" s="5"/>
      <c r="X3042" s="5"/>
      <c r="Y3042" s="9"/>
      <c r="Z3042" s="2"/>
    </row>
    <row r="3043" spans="1:26">
      <c r="A3043" s="4"/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3"/>
      <c r="M3043" s="6"/>
      <c r="N3043" s="6"/>
      <c r="O3043" s="6"/>
      <c r="P3043" s="5"/>
      <c r="Q3043" s="9"/>
      <c r="R3043" s="5"/>
      <c r="S3043" s="5"/>
      <c r="T3043" s="5"/>
      <c r="U3043" s="5"/>
      <c r="V3043" s="5"/>
      <c r="W3043" s="5"/>
      <c r="X3043" s="5"/>
      <c r="Y3043" s="9"/>
      <c r="Z3043" s="2"/>
    </row>
    <row r="3044" spans="1:26">
      <c r="A3044" s="4"/>
      <c r="B3044" s="4"/>
      <c r="C3044" s="4"/>
      <c r="D3044" s="4"/>
      <c r="E3044" s="4"/>
      <c r="F3044" s="4"/>
      <c r="G3044" s="4"/>
      <c r="H3044" s="4"/>
      <c r="I3044" s="4"/>
      <c r="J3044" s="4"/>
      <c r="K3044" s="4"/>
      <c r="L3044" s="3"/>
      <c r="M3044" s="6"/>
      <c r="N3044" s="6"/>
      <c r="O3044" s="6"/>
      <c r="P3044" s="5"/>
      <c r="Q3044" s="9"/>
      <c r="R3044" s="5"/>
      <c r="S3044" s="5"/>
      <c r="T3044" s="5"/>
      <c r="U3044" s="5"/>
      <c r="V3044" s="5"/>
      <c r="W3044" s="5"/>
      <c r="X3044" s="5"/>
      <c r="Y3044" s="9"/>
      <c r="Z3044" s="2"/>
    </row>
    <row r="3045" spans="1:26">
      <c r="A3045" s="4"/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3"/>
      <c r="M3045" s="6"/>
      <c r="N3045" s="6"/>
      <c r="O3045" s="6"/>
      <c r="P3045" s="5"/>
      <c r="Q3045" s="9"/>
      <c r="R3045" s="5"/>
      <c r="S3045" s="5"/>
      <c r="T3045" s="5"/>
      <c r="U3045" s="5"/>
      <c r="V3045" s="5"/>
      <c r="W3045" s="5"/>
      <c r="X3045" s="5"/>
      <c r="Y3045" s="9"/>
      <c r="Z3045" s="2"/>
    </row>
    <row r="3046" spans="1:26">
      <c r="A3046" s="4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3"/>
      <c r="M3046" s="6"/>
      <c r="N3046" s="6"/>
      <c r="O3046" s="6"/>
      <c r="P3046" s="5"/>
      <c r="Q3046" s="9"/>
      <c r="R3046" s="5"/>
      <c r="S3046" s="5"/>
      <c r="T3046" s="5"/>
      <c r="U3046" s="5"/>
      <c r="V3046" s="5"/>
      <c r="W3046" s="5"/>
      <c r="X3046" s="5"/>
      <c r="Y3046" s="9"/>
      <c r="Z3046" s="2"/>
    </row>
    <row r="3047" spans="1:26">
      <c r="A3047" s="4"/>
      <c r="B3047" s="4"/>
      <c r="C3047" s="4"/>
      <c r="D3047" s="4"/>
      <c r="E3047" s="4"/>
      <c r="F3047" s="4"/>
      <c r="G3047" s="4"/>
      <c r="H3047" s="4"/>
      <c r="I3047" s="4"/>
      <c r="J3047" s="4"/>
      <c r="K3047" s="4"/>
      <c r="L3047" s="3"/>
      <c r="M3047" s="6"/>
      <c r="N3047" s="6"/>
      <c r="O3047" s="6"/>
      <c r="P3047" s="5"/>
      <c r="Q3047" s="9"/>
      <c r="R3047" s="5"/>
      <c r="S3047" s="5"/>
      <c r="T3047" s="5"/>
      <c r="U3047" s="5"/>
      <c r="V3047" s="5"/>
      <c r="W3047" s="5"/>
      <c r="X3047" s="5"/>
      <c r="Y3047" s="9"/>
      <c r="Z3047" s="2"/>
    </row>
    <row r="3048" spans="1:26">
      <c r="A3048" s="4"/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3"/>
      <c r="M3048" s="6"/>
      <c r="N3048" s="6"/>
      <c r="O3048" s="6"/>
      <c r="P3048" s="5"/>
      <c r="Q3048" s="9"/>
      <c r="R3048" s="5"/>
      <c r="S3048" s="5"/>
      <c r="T3048" s="5"/>
      <c r="U3048" s="5"/>
      <c r="V3048" s="5"/>
      <c r="W3048" s="5"/>
      <c r="X3048" s="5"/>
      <c r="Y3048" s="9"/>
      <c r="Z3048" s="2"/>
    </row>
    <row r="3049" spans="1:26">
      <c r="A3049" s="4"/>
      <c r="B3049" s="4"/>
      <c r="C3049" s="4"/>
      <c r="D3049" s="4"/>
      <c r="E3049" s="4"/>
      <c r="F3049" s="4"/>
      <c r="G3049" s="4"/>
      <c r="H3049" s="4"/>
      <c r="I3049" s="4"/>
      <c r="J3049" s="4"/>
      <c r="K3049" s="4"/>
      <c r="L3049" s="3"/>
      <c r="M3049" s="6"/>
      <c r="N3049" s="6"/>
      <c r="O3049" s="6"/>
      <c r="P3049" s="5"/>
      <c r="Q3049" s="9"/>
      <c r="R3049" s="5"/>
      <c r="S3049" s="5"/>
      <c r="T3049" s="5"/>
      <c r="U3049" s="5"/>
      <c r="V3049" s="5"/>
      <c r="W3049" s="5"/>
      <c r="X3049" s="5"/>
      <c r="Y3049" s="9"/>
      <c r="Z3049" s="2"/>
    </row>
    <row r="3050" spans="1:26">
      <c r="A3050" s="4"/>
      <c r="B3050" s="4"/>
      <c r="C3050" s="4"/>
      <c r="D3050" s="4"/>
      <c r="E3050" s="4"/>
      <c r="F3050" s="4"/>
      <c r="G3050" s="4"/>
      <c r="H3050" s="4"/>
      <c r="I3050" s="4"/>
      <c r="J3050" s="4"/>
      <c r="K3050" s="4"/>
      <c r="L3050" s="3"/>
      <c r="M3050" s="6"/>
      <c r="N3050" s="6"/>
      <c r="O3050" s="6"/>
      <c r="P3050" s="5"/>
      <c r="Q3050" s="9"/>
      <c r="R3050" s="5"/>
      <c r="S3050" s="5"/>
      <c r="T3050" s="5"/>
      <c r="U3050" s="5"/>
      <c r="V3050" s="5"/>
      <c r="W3050" s="5"/>
      <c r="X3050" s="5"/>
      <c r="Y3050" s="9"/>
      <c r="Z3050" s="2"/>
    </row>
    <row r="3051" spans="1:26">
      <c r="A3051" s="4"/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3"/>
      <c r="M3051" s="6"/>
      <c r="N3051" s="6"/>
      <c r="O3051" s="6"/>
      <c r="P3051" s="5"/>
      <c r="Q3051" s="9"/>
      <c r="R3051" s="5"/>
      <c r="S3051" s="5"/>
      <c r="T3051" s="5"/>
      <c r="U3051" s="5"/>
      <c r="V3051" s="5"/>
      <c r="W3051" s="5"/>
      <c r="X3051" s="5"/>
      <c r="Y3051" s="9"/>
      <c r="Z3051" s="2"/>
    </row>
    <row r="3052" spans="1:26">
      <c r="A3052" s="4"/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3"/>
      <c r="M3052" s="6"/>
      <c r="N3052" s="6"/>
      <c r="O3052" s="6"/>
      <c r="P3052" s="5"/>
      <c r="Q3052" s="9"/>
      <c r="R3052" s="5"/>
      <c r="S3052" s="5"/>
      <c r="T3052" s="5"/>
      <c r="U3052" s="5"/>
      <c r="V3052" s="5"/>
      <c r="W3052" s="5"/>
      <c r="X3052" s="5"/>
      <c r="Y3052" s="9"/>
      <c r="Z3052" s="2"/>
    </row>
    <row r="3053" spans="1:26">
      <c r="A3053" s="4"/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3"/>
      <c r="M3053" s="6"/>
      <c r="N3053" s="6"/>
      <c r="O3053" s="6"/>
      <c r="P3053" s="5"/>
      <c r="Q3053" s="9"/>
      <c r="R3053" s="5"/>
      <c r="S3053" s="5"/>
      <c r="T3053" s="5"/>
      <c r="U3053" s="5"/>
      <c r="V3053" s="5"/>
      <c r="W3053" s="5"/>
      <c r="X3053" s="5"/>
      <c r="Y3053" s="9"/>
      <c r="Z3053" s="2"/>
    </row>
    <row r="3054" spans="1:26">
      <c r="A3054" s="4"/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3"/>
      <c r="M3054" s="6"/>
      <c r="N3054" s="6"/>
      <c r="O3054" s="6"/>
      <c r="P3054" s="5"/>
      <c r="Q3054" s="9"/>
      <c r="R3054" s="5"/>
      <c r="S3054" s="5"/>
      <c r="T3054" s="5"/>
      <c r="U3054" s="5"/>
      <c r="V3054" s="5"/>
      <c r="W3054" s="5"/>
      <c r="X3054" s="5"/>
      <c r="Y3054" s="9"/>
      <c r="Z3054" s="2"/>
    </row>
    <row r="3055" spans="1:26">
      <c r="A3055" s="4"/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3"/>
      <c r="M3055" s="6"/>
      <c r="N3055" s="6"/>
      <c r="O3055" s="6"/>
      <c r="P3055" s="5"/>
      <c r="Q3055" s="9"/>
      <c r="R3055" s="5"/>
      <c r="S3055" s="5"/>
      <c r="T3055" s="5"/>
      <c r="U3055" s="5"/>
      <c r="V3055" s="5"/>
      <c r="W3055" s="5"/>
      <c r="X3055" s="5"/>
      <c r="Y3055" s="9"/>
      <c r="Z3055" s="2"/>
    </row>
    <row r="3056" spans="1:26">
      <c r="A3056" s="4"/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3"/>
      <c r="M3056" s="6"/>
      <c r="N3056" s="6"/>
      <c r="O3056" s="6"/>
      <c r="P3056" s="5"/>
      <c r="Q3056" s="9"/>
      <c r="R3056" s="5"/>
      <c r="S3056" s="5"/>
      <c r="T3056" s="5"/>
      <c r="U3056" s="5"/>
      <c r="V3056" s="5"/>
      <c r="W3056" s="5"/>
      <c r="X3056" s="5"/>
      <c r="Y3056" s="9"/>
      <c r="Z3056" s="2"/>
    </row>
    <row r="3057" spans="1:26">
      <c r="A3057" s="4"/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3"/>
      <c r="M3057" s="6"/>
      <c r="N3057" s="6"/>
      <c r="O3057" s="6"/>
      <c r="P3057" s="5"/>
      <c r="Q3057" s="9"/>
      <c r="R3057" s="5"/>
      <c r="S3057" s="5"/>
      <c r="T3057" s="5"/>
      <c r="U3057" s="5"/>
      <c r="V3057" s="5"/>
      <c r="W3057" s="5"/>
      <c r="X3057" s="5"/>
      <c r="Y3057" s="9"/>
      <c r="Z3057" s="2"/>
    </row>
    <row r="3058" spans="1:26">
      <c r="A3058" s="4"/>
      <c r="B3058" s="4"/>
      <c r="C3058" s="4"/>
      <c r="D3058" s="4"/>
      <c r="E3058" s="4"/>
      <c r="F3058" s="4"/>
      <c r="G3058" s="4"/>
      <c r="H3058" s="4"/>
      <c r="I3058" s="4"/>
      <c r="J3058" s="4"/>
      <c r="K3058" s="4"/>
      <c r="L3058" s="3"/>
      <c r="M3058" s="6"/>
      <c r="N3058" s="6"/>
      <c r="O3058" s="6"/>
      <c r="P3058" s="5"/>
      <c r="Q3058" s="9"/>
      <c r="R3058" s="5"/>
      <c r="S3058" s="5"/>
      <c r="T3058" s="5"/>
      <c r="U3058" s="5"/>
      <c r="V3058" s="5"/>
      <c r="W3058" s="5"/>
      <c r="X3058" s="5"/>
      <c r="Y3058" s="9"/>
      <c r="Z3058" s="2"/>
    </row>
    <row r="3059" spans="1:26">
      <c r="A3059" s="4"/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3"/>
      <c r="M3059" s="6"/>
      <c r="N3059" s="6"/>
      <c r="O3059" s="6"/>
      <c r="P3059" s="5"/>
      <c r="Q3059" s="9"/>
      <c r="R3059" s="5"/>
      <c r="S3059" s="5"/>
      <c r="T3059" s="5"/>
      <c r="U3059" s="5"/>
      <c r="V3059" s="5"/>
      <c r="W3059" s="5"/>
      <c r="X3059" s="5"/>
      <c r="Y3059" s="9"/>
      <c r="Z3059" s="2"/>
    </row>
    <row r="3060" spans="1:26">
      <c r="A3060" s="4"/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3"/>
      <c r="M3060" s="6"/>
      <c r="N3060" s="6"/>
      <c r="O3060" s="6"/>
      <c r="P3060" s="5"/>
      <c r="Q3060" s="9"/>
      <c r="R3060" s="5"/>
      <c r="S3060" s="5"/>
      <c r="T3060" s="5"/>
      <c r="U3060" s="5"/>
      <c r="V3060" s="5"/>
      <c r="W3060" s="5"/>
      <c r="X3060" s="5"/>
      <c r="Y3060" s="9"/>
      <c r="Z3060" s="2"/>
    </row>
    <row r="3061" spans="1:26">
      <c r="A3061" s="4"/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3"/>
      <c r="M3061" s="6"/>
      <c r="N3061" s="6"/>
      <c r="O3061" s="6"/>
      <c r="P3061" s="5"/>
      <c r="Q3061" s="9"/>
      <c r="R3061" s="5"/>
      <c r="S3061" s="5"/>
      <c r="T3061" s="5"/>
      <c r="U3061" s="5"/>
      <c r="V3061" s="5"/>
      <c r="W3061" s="5"/>
      <c r="X3061" s="5"/>
      <c r="Y3061" s="9"/>
      <c r="Z3061" s="2"/>
    </row>
    <row r="3062" spans="1:26">
      <c r="A3062" s="4"/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3"/>
      <c r="M3062" s="6"/>
      <c r="N3062" s="6"/>
      <c r="O3062" s="6"/>
      <c r="P3062" s="5"/>
      <c r="Q3062" s="9"/>
      <c r="R3062" s="5"/>
      <c r="S3062" s="5"/>
      <c r="T3062" s="5"/>
      <c r="U3062" s="5"/>
      <c r="V3062" s="5"/>
      <c r="W3062" s="5"/>
      <c r="X3062" s="5"/>
      <c r="Y3062" s="9"/>
      <c r="Z3062" s="2"/>
    </row>
    <row r="3063" spans="1:26">
      <c r="A3063" s="4"/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3"/>
      <c r="M3063" s="6"/>
      <c r="N3063" s="6"/>
      <c r="O3063" s="6"/>
      <c r="P3063" s="5"/>
      <c r="Q3063" s="9"/>
      <c r="R3063" s="5"/>
      <c r="S3063" s="5"/>
      <c r="T3063" s="5"/>
      <c r="U3063" s="5"/>
      <c r="V3063" s="5"/>
      <c r="W3063" s="5"/>
      <c r="X3063" s="5"/>
      <c r="Y3063" s="9"/>
      <c r="Z3063" s="2"/>
    </row>
    <row r="3064" spans="1:26">
      <c r="A3064" s="4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3"/>
      <c r="M3064" s="6"/>
      <c r="N3064" s="6"/>
      <c r="O3064" s="6"/>
      <c r="P3064" s="5"/>
      <c r="Q3064" s="9"/>
      <c r="R3064" s="5"/>
      <c r="S3064" s="5"/>
      <c r="T3064" s="5"/>
      <c r="U3064" s="5"/>
      <c r="V3064" s="5"/>
      <c r="W3064" s="5"/>
      <c r="X3064" s="5"/>
      <c r="Y3064" s="9"/>
      <c r="Z3064" s="2"/>
    </row>
    <row r="3065" spans="1:26">
      <c r="A3065" s="4"/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3"/>
      <c r="M3065" s="6"/>
      <c r="N3065" s="6"/>
      <c r="O3065" s="6"/>
      <c r="P3065" s="5"/>
      <c r="Q3065" s="9"/>
      <c r="R3065" s="5"/>
      <c r="S3065" s="5"/>
      <c r="T3065" s="5"/>
      <c r="U3065" s="5"/>
      <c r="V3065" s="5"/>
      <c r="W3065" s="5"/>
      <c r="X3065" s="5"/>
      <c r="Y3065" s="9"/>
      <c r="Z3065" s="2"/>
    </row>
    <row r="3066" spans="1:26">
      <c r="A3066" s="4"/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3"/>
      <c r="M3066" s="6"/>
      <c r="N3066" s="6"/>
      <c r="O3066" s="6"/>
      <c r="P3066" s="5"/>
      <c r="Q3066" s="9"/>
      <c r="R3066" s="5"/>
      <c r="S3066" s="5"/>
      <c r="T3066" s="5"/>
      <c r="U3066" s="5"/>
      <c r="V3066" s="5"/>
      <c r="W3066" s="5"/>
      <c r="X3066" s="5"/>
      <c r="Y3066" s="9"/>
      <c r="Z3066" s="2"/>
    </row>
    <row r="3067" spans="1:26">
      <c r="A3067" s="4"/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3"/>
      <c r="M3067" s="6"/>
      <c r="N3067" s="6"/>
      <c r="O3067" s="6"/>
      <c r="P3067" s="5"/>
      <c r="Q3067" s="9"/>
      <c r="R3067" s="5"/>
      <c r="S3067" s="5"/>
      <c r="T3067" s="5"/>
      <c r="U3067" s="5"/>
      <c r="V3067" s="5"/>
      <c r="W3067" s="5"/>
      <c r="X3067" s="5"/>
      <c r="Y3067" s="9"/>
      <c r="Z3067" s="2"/>
    </row>
    <row r="3068" spans="1:26">
      <c r="A3068" s="4"/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3"/>
      <c r="M3068" s="6"/>
      <c r="N3068" s="6"/>
      <c r="O3068" s="6"/>
      <c r="P3068" s="5"/>
      <c r="Q3068" s="9"/>
      <c r="R3068" s="5"/>
      <c r="S3068" s="5"/>
      <c r="T3068" s="5"/>
      <c r="U3068" s="5"/>
      <c r="V3068" s="5"/>
      <c r="W3068" s="5"/>
      <c r="X3068" s="5"/>
      <c r="Y3068" s="9"/>
      <c r="Z3068" s="2"/>
    </row>
    <row r="3069" spans="1:26">
      <c r="A3069" s="4"/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3"/>
      <c r="M3069" s="6"/>
      <c r="N3069" s="6"/>
      <c r="O3069" s="6"/>
      <c r="P3069" s="5"/>
      <c r="Q3069" s="9"/>
      <c r="R3069" s="5"/>
      <c r="S3069" s="5"/>
      <c r="T3069" s="5"/>
      <c r="U3069" s="5"/>
      <c r="V3069" s="5"/>
      <c r="W3069" s="5"/>
      <c r="X3069" s="5"/>
      <c r="Y3069" s="9"/>
      <c r="Z3069" s="2"/>
    </row>
    <row r="3070" spans="1:26">
      <c r="A3070" s="4"/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3"/>
      <c r="M3070" s="6"/>
      <c r="N3070" s="6"/>
      <c r="O3070" s="6"/>
      <c r="P3070" s="5"/>
      <c r="Q3070" s="9"/>
      <c r="R3070" s="5"/>
      <c r="S3070" s="5"/>
      <c r="T3070" s="5"/>
      <c r="U3070" s="5"/>
      <c r="V3070" s="5"/>
      <c r="W3070" s="5"/>
      <c r="X3070" s="5"/>
      <c r="Y3070" s="9"/>
      <c r="Z3070" s="2"/>
    </row>
    <row r="3071" spans="1:26">
      <c r="A3071" s="4"/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3"/>
      <c r="M3071" s="6"/>
      <c r="N3071" s="6"/>
      <c r="O3071" s="6"/>
      <c r="P3071" s="5"/>
      <c r="Q3071" s="9"/>
      <c r="R3071" s="5"/>
      <c r="S3071" s="5"/>
      <c r="T3071" s="5"/>
      <c r="U3071" s="5"/>
      <c r="V3071" s="5"/>
      <c r="W3071" s="5"/>
      <c r="X3071" s="5"/>
      <c r="Y3071" s="9"/>
      <c r="Z3071" s="2"/>
    </row>
    <row r="3072" spans="1:26">
      <c r="A3072" s="4"/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3"/>
      <c r="M3072" s="6"/>
      <c r="N3072" s="6"/>
      <c r="O3072" s="6"/>
      <c r="P3072" s="5"/>
      <c r="Q3072" s="9"/>
      <c r="R3072" s="5"/>
      <c r="S3072" s="5"/>
      <c r="T3072" s="5"/>
      <c r="U3072" s="5"/>
      <c r="V3072" s="5"/>
      <c r="W3072" s="5"/>
      <c r="X3072" s="5"/>
      <c r="Y3072" s="9"/>
      <c r="Z3072" s="2"/>
    </row>
    <row r="3073" spans="1:26">
      <c r="A3073" s="4"/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3"/>
      <c r="M3073" s="6"/>
      <c r="N3073" s="6"/>
      <c r="O3073" s="6"/>
      <c r="P3073" s="5"/>
      <c r="Q3073" s="9"/>
      <c r="R3073" s="5"/>
      <c r="S3073" s="5"/>
      <c r="T3073" s="5"/>
      <c r="U3073" s="5"/>
      <c r="V3073" s="5"/>
      <c r="W3073" s="5"/>
      <c r="X3073" s="5"/>
      <c r="Y3073" s="9"/>
      <c r="Z3073" s="2"/>
    </row>
    <row r="3074" spans="1:26">
      <c r="A3074" s="4"/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3"/>
      <c r="M3074" s="6"/>
      <c r="N3074" s="6"/>
      <c r="O3074" s="6"/>
      <c r="P3074" s="5"/>
      <c r="Q3074" s="9"/>
      <c r="R3074" s="5"/>
      <c r="S3074" s="5"/>
      <c r="T3074" s="5"/>
      <c r="U3074" s="5"/>
      <c r="V3074" s="5"/>
      <c r="W3074" s="5"/>
      <c r="X3074" s="5"/>
      <c r="Y3074" s="9"/>
      <c r="Z3074" s="2"/>
    </row>
    <row r="3075" spans="1:26">
      <c r="A3075" s="4"/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3"/>
      <c r="M3075" s="6"/>
      <c r="N3075" s="6"/>
      <c r="O3075" s="6"/>
      <c r="P3075" s="5"/>
      <c r="Q3075" s="9"/>
      <c r="R3075" s="5"/>
      <c r="S3075" s="5"/>
      <c r="T3075" s="5"/>
      <c r="U3075" s="5"/>
      <c r="V3075" s="5"/>
      <c r="W3075" s="5"/>
      <c r="X3075" s="5"/>
      <c r="Y3075" s="9"/>
      <c r="Z3075" s="2"/>
    </row>
    <row r="3076" spans="1:26">
      <c r="A3076" s="4"/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3"/>
      <c r="M3076" s="6"/>
      <c r="N3076" s="6"/>
      <c r="O3076" s="6"/>
      <c r="P3076" s="5"/>
      <c r="Q3076" s="9"/>
      <c r="R3076" s="5"/>
      <c r="S3076" s="5"/>
      <c r="T3076" s="5"/>
      <c r="U3076" s="5"/>
      <c r="V3076" s="5"/>
      <c r="W3076" s="5"/>
      <c r="X3076" s="5"/>
      <c r="Y3076" s="9"/>
      <c r="Z3076" s="2"/>
    </row>
    <row r="3077" spans="1:26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3"/>
      <c r="M3077" s="6"/>
      <c r="N3077" s="6"/>
      <c r="O3077" s="6"/>
      <c r="P3077" s="5"/>
      <c r="Q3077" s="9"/>
      <c r="R3077" s="5"/>
      <c r="S3077" s="5"/>
      <c r="T3077" s="5"/>
      <c r="U3077" s="5"/>
      <c r="V3077" s="5"/>
      <c r="W3077" s="5"/>
      <c r="X3077" s="5"/>
      <c r="Y3077" s="9"/>
      <c r="Z3077" s="2"/>
    </row>
    <row r="3078" spans="1:26">
      <c r="A3078" s="4"/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3"/>
      <c r="M3078" s="6"/>
      <c r="N3078" s="6"/>
      <c r="O3078" s="6"/>
      <c r="P3078" s="5"/>
      <c r="Q3078" s="9"/>
      <c r="R3078" s="5"/>
      <c r="S3078" s="5"/>
      <c r="T3078" s="5"/>
      <c r="U3078" s="5"/>
      <c r="V3078" s="5"/>
      <c r="W3078" s="5"/>
      <c r="X3078" s="5"/>
      <c r="Y3078" s="9"/>
      <c r="Z3078" s="2"/>
    </row>
    <row r="3079" spans="1:26">
      <c r="A3079" s="4"/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3"/>
      <c r="M3079" s="6"/>
      <c r="N3079" s="6"/>
      <c r="O3079" s="6"/>
      <c r="P3079" s="5"/>
      <c r="Q3079" s="9"/>
      <c r="R3079" s="5"/>
      <c r="S3079" s="5"/>
      <c r="T3079" s="5"/>
      <c r="U3079" s="5"/>
      <c r="V3079" s="5"/>
      <c r="W3079" s="5"/>
      <c r="X3079" s="5"/>
      <c r="Y3079" s="9"/>
      <c r="Z3079" s="2"/>
    </row>
    <row r="3080" spans="1:26">
      <c r="A3080" s="4"/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3"/>
      <c r="M3080" s="6"/>
      <c r="N3080" s="6"/>
      <c r="O3080" s="6"/>
      <c r="P3080" s="5"/>
      <c r="Q3080" s="9"/>
      <c r="R3080" s="5"/>
      <c r="S3080" s="5"/>
      <c r="T3080" s="5"/>
      <c r="U3080" s="5"/>
      <c r="V3080" s="5"/>
      <c r="W3080" s="5"/>
      <c r="X3080" s="5"/>
      <c r="Y3080" s="9"/>
      <c r="Z3080" s="2"/>
    </row>
    <row r="3081" spans="1:26">
      <c r="A3081" s="4"/>
      <c r="B3081" s="4"/>
      <c r="C3081" s="4"/>
      <c r="D3081" s="4"/>
      <c r="E3081" s="4"/>
      <c r="F3081" s="4"/>
      <c r="G3081" s="4"/>
      <c r="H3081" s="4"/>
      <c r="I3081" s="4"/>
      <c r="J3081" s="4"/>
      <c r="K3081" s="4"/>
      <c r="L3081" s="3"/>
      <c r="M3081" s="6"/>
      <c r="N3081" s="6"/>
      <c r="O3081" s="6"/>
      <c r="P3081" s="5"/>
      <c r="Q3081" s="9"/>
      <c r="R3081" s="5"/>
      <c r="S3081" s="5"/>
      <c r="T3081" s="5"/>
      <c r="U3081" s="5"/>
      <c r="V3081" s="5"/>
      <c r="W3081" s="5"/>
      <c r="X3081" s="5"/>
      <c r="Y3081" s="9"/>
      <c r="Z3081" s="2"/>
    </row>
    <row r="3082" spans="1:26">
      <c r="A3082" s="4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3"/>
      <c r="M3082" s="6"/>
      <c r="N3082" s="6"/>
      <c r="O3082" s="6"/>
      <c r="P3082" s="5"/>
      <c r="Q3082" s="9"/>
      <c r="R3082" s="5"/>
      <c r="S3082" s="5"/>
      <c r="T3082" s="5"/>
      <c r="U3082" s="5"/>
      <c r="V3082" s="5"/>
      <c r="W3082" s="5"/>
      <c r="X3082" s="5"/>
      <c r="Y3082" s="9"/>
      <c r="Z3082" s="2"/>
    </row>
    <row r="3083" spans="1:26">
      <c r="A3083" s="4"/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3"/>
      <c r="M3083" s="6"/>
      <c r="N3083" s="6"/>
      <c r="O3083" s="6"/>
      <c r="P3083" s="5"/>
      <c r="Q3083" s="9"/>
      <c r="R3083" s="5"/>
      <c r="S3083" s="5"/>
      <c r="T3083" s="5"/>
      <c r="U3083" s="5"/>
      <c r="V3083" s="5"/>
      <c r="W3083" s="5"/>
      <c r="X3083" s="5"/>
      <c r="Y3083" s="9"/>
      <c r="Z3083" s="2"/>
    </row>
    <row r="3084" spans="1:26">
      <c r="A3084" s="4"/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3"/>
      <c r="M3084" s="6"/>
      <c r="N3084" s="6"/>
      <c r="O3084" s="6"/>
      <c r="P3084" s="5"/>
      <c r="Q3084" s="9"/>
      <c r="R3084" s="5"/>
      <c r="S3084" s="5"/>
      <c r="T3084" s="5"/>
      <c r="U3084" s="5"/>
      <c r="V3084" s="5"/>
      <c r="W3084" s="5"/>
      <c r="X3084" s="5"/>
      <c r="Y3084" s="9"/>
      <c r="Z3084" s="2"/>
    </row>
    <row r="3085" spans="1:26">
      <c r="A3085" s="4"/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3"/>
      <c r="M3085" s="6"/>
      <c r="N3085" s="6"/>
      <c r="O3085" s="6"/>
      <c r="P3085" s="5"/>
      <c r="Q3085" s="9"/>
      <c r="R3085" s="5"/>
      <c r="S3085" s="5"/>
      <c r="T3085" s="5"/>
      <c r="U3085" s="5"/>
      <c r="V3085" s="5"/>
      <c r="W3085" s="5"/>
      <c r="X3085" s="5"/>
      <c r="Y3085" s="9"/>
      <c r="Z3085" s="2"/>
    </row>
    <row r="3086" spans="1:26">
      <c r="A3086" s="4"/>
      <c r="B3086" s="4"/>
      <c r="C3086" s="4"/>
      <c r="D3086" s="4"/>
      <c r="E3086" s="4"/>
      <c r="F3086" s="4"/>
      <c r="G3086" s="4"/>
      <c r="H3086" s="4"/>
      <c r="I3086" s="4"/>
      <c r="J3086" s="4"/>
      <c r="K3086" s="4"/>
      <c r="L3086" s="3"/>
      <c r="M3086" s="6"/>
      <c r="N3086" s="6"/>
      <c r="O3086" s="6"/>
      <c r="P3086" s="5"/>
      <c r="Q3086" s="9"/>
      <c r="R3086" s="5"/>
      <c r="S3086" s="5"/>
      <c r="T3086" s="5"/>
      <c r="U3086" s="5"/>
      <c r="V3086" s="5"/>
      <c r="W3086" s="5"/>
      <c r="X3086" s="5"/>
      <c r="Y3086" s="9"/>
      <c r="Z3086" s="2"/>
    </row>
    <row r="3087" spans="1:26">
      <c r="A3087" s="4"/>
      <c r="B3087" s="4"/>
      <c r="C3087" s="4"/>
      <c r="D3087" s="4"/>
      <c r="E3087" s="4"/>
      <c r="F3087" s="4"/>
      <c r="G3087" s="4"/>
      <c r="H3087" s="4"/>
      <c r="I3087" s="4"/>
      <c r="J3087" s="4"/>
      <c r="K3087" s="4"/>
      <c r="L3087" s="3"/>
      <c r="M3087" s="6"/>
      <c r="N3087" s="6"/>
      <c r="O3087" s="6"/>
      <c r="P3087" s="5"/>
      <c r="Q3087" s="9"/>
      <c r="R3087" s="5"/>
      <c r="S3087" s="5"/>
      <c r="T3087" s="5"/>
      <c r="U3087" s="5"/>
      <c r="V3087" s="5"/>
      <c r="W3087" s="5"/>
      <c r="X3087" s="5"/>
      <c r="Y3087" s="9"/>
      <c r="Z3087" s="2"/>
    </row>
    <row r="3088" spans="1:26">
      <c r="A3088" s="4"/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3"/>
      <c r="M3088" s="6"/>
      <c r="N3088" s="6"/>
      <c r="O3088" s="6"/>
      <c r="P3088" s="5"/>
      <c r="Q3088" s="9"/>
      <c r="R3088" s="5"/>
      <c r="S3088" s="5"/>
      <c r="T3088" s="5"/>
      <c r="U3088" s="5"/>
      <c r="V3088" s="5"/>
      <c r="W3088" s="5"/>
      <c r="X3088" s="5"/>
      <c r="Y3088" s="9"/>
      <c r="Z3088" s="2"/>
    </row>
    <row r="3089" spans="1:26">
      <c r="A3089" s="4"/>
      <c r="B3089" s="4"/>
      <c r="C3089" s="4"/>
      <c r="D3089" s="4"/>
      <c r="E3089" s="4"/>
      <c r="F3089" s="4"/>
      <c r="G3089" s="4"/>
      <c r="H3089" s="4"/>
      <c r="I3089" s="4"/>
      <c r="J3089" s="4"/>
      <c r="K3089" s="4"/>
      <c r="L3089" s="3"/>
      <c r="M3089" s="6"/>
      <c r="N3089" s="6"/>
      <c r="O3089" s="6"/>
      <c r="P3089" s="5"/>
      <c r="Q3089" s="9"/>
      <c r="R3089" s="5"/>
      <c r="S3089" s="5"/>
      <c r="T3089" s="5"/>
      <c r="U3089" s="5"/>
      <c r="V3089" s="5"/>
      <c r="W3089" s="5"/>
      <c r="X3089" s="5"/>
      <c r="Y3089" s="9"/>
      <c r="Z3089" s="2"/>
    </row>
    <row r="3090" spans="1:26">
      <c r="A3090" s="4"/>
      <c r="B3090" s="4"/>
      <c r="C3090" s="4"/>
      <c r="D3090" s="4"/>
      <c r="E3090" s="4"/>
      <c r="F3090" s="4"/>
      <c r="G3090" s="4"/>
      <c r="H3090" s="4"/>
      <c r="I3090" s="4"/>
      <c r="J3090" s="4"/>
      <c r="K3090" s="4"/>
      <c r="L3090" s="3"/>
      <c r="M3090" s="6"/>
      <c r="N3090" s="6"/>
      <c r="O3090" s="6"/>
      <c r="P3090" s="5"/>
      <c r="Q3090" s="9"/>
      <c r="R3090" s="5"/>
      <c r="S3090" s="5"/>
      <c r="T3090" s="5"/>
      <c r="U3090" s="5"/>
      <c r="V3090" s="5"/>
      <c r="W3090" s="5"/>
      <c r="X3090" s="5"/>
      <c r="Y3090" s="9"/>
      <c r="Z3090" s="2"/>
    </row>
    <row r="3091" spans="1:26">
      <c r="A3091" s="4"/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3"/>
      <c r="M3091" s="6"/>
      <c r="N3091" s="6"/>
      <c r="O3091" s="6"/>
      <c r="P3091" s="5"/>
      <c r="Q3091" s="9"/>
      <c r="R3091" s="5"/>
      <c r="S3091" s="5"/>
      <c r="T3091" s="5"/>
      <c r="U3091" s="5"/>
      <c r="V3091" s="5"/>
      <c r="W3091" s="5"/>
      <c r="X3091" s="5"/>
      <c r="Y3091" s="9"/>
      <c r="Z3091" s="2"/>
    </row>
    <row r="3092" spans="1:26">
      <c r="A3092" s="4"/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3"/>
      <c r="M3092" s="6"/>
      <c r="N3092" s="6"/>
      <c r="O3092" s="6"/>
      <c r="P3092" s="5"/>
      <c r="Q3092" s="9"/>
      <c r="R3092" s="5"/>
      <c r="S3092" s="5"/>
      <c r="T3092" s="5"/>
      <c r="U3092" s="5"/>
      <c r="V3092" s="5"/>
      <c r="W3092" s="5"/>
      <c r="X3092" s="5"/>
      <c r="Y3092" s="9"/>
      <c r="Z3092" s="2"/>
    </row>
    <row r="3093" spans="1:26">
      <c r="A3093" s="4"/>
      <c r="B3093" s="4"/>
      <c r="C3093" s="4"/>
      <c r="D3093" s="4"/>
      <c r="E3093" s="4"/>
      <c r="F3093" s="4"/>
      <c r="G3093" s="4"/>
      <c r="H3093" s="4"/>
      <c r="I3093" s="4"/>
      <c r="J3093" s="4"/>
      <c r="K3093" s="4"/>
      <c r="L3093" s="3"/>
      <c r="M3093" s="6"/>
      <c r="N3093" s="6"/>
      <c r="O3093" s="6"/>
      <c r="P3093" s="5"/>
      <c r="Q3093" s="9"/>
      <c r="R3093" s="5"/>
      <c r="S3093" s="5"/>
      <c r="T3093" s="5"/>
      <c r="U3093" s="5"/>
      <c r="V3093" s="5"/>
      <c r="W3093" s="5"/>
      <c r="X3093" s="5"/>
      <c r="Y3093" s="9"/>
      <c r="Z3093" s="2"/>
    </row>
    <row r="3094" spans="1:26">
      <c r="A3094" s="4"/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3"/>
      <c r="M3094" s="6"/>
      <c r="N3094" s="6"/>
      <c r="O3094" s="6"/>
      <c r="P3094" s="5"/>
      <c r="Q3094" s="9"/>
      <c r="R3094" s="5"/>
      <c r="S3094" s="5"/>
      <c r="T3094" s="5"/>
      <c r="U3094" s="5"/>
      <c r="V3094" s="5"/>
      <c r="W3094" s="5"/>
      <c r="X3094" s="5"/>
      <c r="Y3094" s="9"/>
      <c r="Z3094" s="2"/>
    </row>
    <row r="3095" spans="1:26">
      <c r="A3095" s="4"/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3"/>
      <c r="M3095" s="6"/>
      <c r="N3095" s="6"/>
      <c r="O3095" s="6"/>
      <c r="P3095" s="5"/>
      <c r="Q3095" s="9"/>
      <c r="R3095" s="5"/>
      <c r="S3095" s="5"/>
      <c r="T3095" s="5"/>
      <c r="U3095" s="5"/>
      <c r="V3095" s="5"/>
      <c r="W3095" s="5"/>
      <c r="X3095" s="5"/>
      <c r="Y3095" s="9"/>
      <c r="Z3095" s="2"/>
    </row>
    <row r="3096" spans="1:26">
      <c r="A3096" s="4"/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3"/>
      <c r="M3096" s="6"/>
      <c r="N3096" s="6"/>
      <c r="O3096" s="6"/>
      <c r="P3096" s="5"/>
      <c r="Q3096" s="9"/>
      <c r="R3096" s="5"/>
      <c r="S3096" s="5"/>
      <c r="T3096" s="5"/>
      <c r="U3096" s="5"/>
      <c r="V3096" s="5"/>
      <c r="W3096" s="5"/>
      <c r="X3096" s="5"/>
      <c r="Y3096" s="9"/>
      <c r="Z3096" s="2"/>
    </row>
    <row r="3097" spans="1:26">
      <c r="A3097" s="4"/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3"/>
      <c r="M3097" s="6"/>
      <c r="N3097" s="6"/>
      <c r="O3097" s="6"/>
      <c r="P3097" s="5"/>
      <c r="Q3097" s="9"/>
      <c r="R3097" s="5"/>
      <c r="S3097" s="5"/>
      <c r="T3097" s="5"/>
      <c r="U3097" s="5"/>
      <c r="V3097" s="5"/>
      <c r="W3097" s="5"/>
      <c r="X3097" s="5"/>
      <c r="Y3097" s="9"/>
      <c r="Z3097" s="2"/>
    </row>
    <row r="3098" spans="1:26">
      <c r="A3098" s="4"/>
      <c r="B3098" s="4"/>
      <c r="C3098" s="4"/>
      <c r="D3098" s="4"/>
      <c r="E3098" s="4"/>
      <c r="F3098" s="4"/>
      <c r="G3098" s="4"/>
      <c r="H3098" s="4"/>
      <c r="I3098" s="4"/>
      <c r="J3098" s="4"/>
      <c r="K3098" s="4"/>
      <c r="L3098" s="3"/>
      <c r="M3098" s="6"/>
      <c r="N3098" s="6"/>
      <c r="O3098" s="6"/>
      <c r="P3098" s="5"/>
      <c r="Q3098" s="9"/>
      <c r="R3098" s="5"/>
      <c r="S3098" s="5"/>
      <c r="T3098" s="5"/>
      <c r="U3098" s="5"/>
      <c r="V3098" s="5"/>
      <c r="W3098" s="5"/>
      <c r="X3098" s="5"/>
      <c r="Y3098" s="9"/>
      <c r="Z3098" s="2"/>
    </row>
    <row r="3099" spans="1:26">
      <c r="A3099" s="4"/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3"/>
      <c r="M3099" s="6"/>
      <c r="N3099" s="6"/>
      <c r="O3099" s="6"/>
      <c r="P3099" s="5"/>
      <c r="Q3099" s="9"/>
      <c r="R3099" s="5"/>
      <c r="S3099" s="5"/>
      <c r="T3099" s="5"/>
      <c r="U3099" s="5"/>
      <c r="V3099" s="5"/>
      <c r="W3099" s="5"/>
      <c r="X3099" s="5"/>
      <c r="Y3099" s="9"/>
      <c r="Z3099" s="2"/>
    </row>
    <row r="3100" spans="1:26">
      <c r="A3100" s="4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3"/>
      <c r="M3100" s="6"/>
      <c r="N3100" s="6"/>
      <c r="O3100" s="6"/>
      <c r="P3100" s="5"/>
      <c r="Q3100" s="9"/>
      <c r="R3100" s="5"/>
      <c r="S3100" s="5"/>
      <c r="T3100" s="5"/>
      <c r="U3100" s="5"/>
      <c r="V3100" s="5"/>
      <c r="W3100" s="5"/>
      <c r="X3100" s="5"/>
      <c r="Y3100" s="9"/>
      <c r="Z3100" s="2"/>
    </row>
    <row r="3101" spans="1:26">
      <c r="A3101" s="4"/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3"/>
      <c r="M3101" s="6"/>
      <c r="N3101" s="6"/>
      <c r="O3101" s="6"/>
      <c r="P3101" s="5"/>
      <c r="Q3101" s="9"/>
      <c r="R3101" s="5"/>
      <c r="S3101" s="5"/>
      <c r="T3101" s="5"/>
      <c r="U3101" s="5"/>
      <c r="V3101" s="5"/>
      <c r="W3101" s="5"/>
      <c r="X3101" s="5"/>
      <c r="Y3101" s="9"/>
      <c r="Z3101" s="2"/>
    </row>
    <row r="3102" spans="1:26">
      <c r="A3102" s="4"/>
      <c r="B3102" s="4"/>
      <c r="C3102" s="4"/>
      <c r="D3102" s="4"/>
      <c r="E3102" s="4"/>
      <c r="F3102" s="4"/>
      <c r="G3102" s="4"/>
      <c r="H3102" s="4"/>
      <c r="I3102" s="4"/>
      <c r="J3102" s="4"/>
      <c r="K3102" s="4"/>
      <c r="L3102" s="3"/>
      <c r="M3102" s="6"/>
      <c r="N3102" s="6"/>
      <c r="O3102" s="6"/>
      <c r="P3102" s="5"/>
      <c r="Q3102" s="9"/>
      <c r="R3102" s="5"/>
      <c r="S3102" s="5"/>
      <c r="T3102" s="5"/>
      <c r="U3102" s="5"/>
      <c r="V3102" s="5"/>
      <c r="W3102" s="5"/>
      <c r="X3102" s="5"/>
      <c r="Y3102" s="9"/>
      <c r="Z3102" s="2"/>
    </row>
    <row r="3103" spans="1:26">
      <c r="A3103" s="4"/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3"/>
      <c r="M3103" s="6"/>
      <c r="N3103" s="6"/>
      <c r="O3103" s="6"/>
      <c r="P3103" s="5"/>
      <c r="Q3103" s="9"/>
      <c r="R3103" s="5"/>
      <c r="S3103" s="5"/>
      <c r="T3103" s="5"/>
      <c r="U3103" s="5"/>
      <c r="V3103" s="5"/>
      <c r="W3103" s="5"/>
      <c r="X3103" s="5"/>
      <c r="Y3103" s="9"/>
      <c r="Z3103" s="2"/>
    </row>
    <row r="3104" spans="1:26">
      <c r="A3104" s="4"/>
      <c r="B3104" s="4"/>
      <c r="C3104" s="4"/>
      <c r="D3104" s="4"/>
      <c r="E3104" s="4"/>
      <c r="F3104" s="4"/>
      <c r="G3104" s="4"/>
      <c r="H3104" s="4"/>
      <c r="I3104" s="4"/>
      <c r="J3104" s="4"/>
      <c r="K3104" s="4"/>
      <c r="L3104" s="3"/>
      <c r="M3104" s="6"/>
      <c r="N3104" s="6"/>
      <c r="O3104" s="6"/>
      <c r="P3104" s="5"/>
      <c r="Q3104" s="9"/>
      <c r="R3104" s="5"/>
      <c r="S3104" s="5"/>
      <c r="T3104" s="5"/>
      <c r="U3104" s="5"/>
      <c r="V3104" s="5"/>
      <c r="W3104" s="5"/>
      <c r="X3104" s="5"/>
      <c r="Y3104" s="9"/>
      <c r="Z3104" s="2"/>
    </row>
    <row r="3105" spans="1:26">
      <c r="A3105" s="4"/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3"/>
      <c r="M3105" s="6"/>
      <c r="N3105" s="6"/>
      <c r="O3105" s="6"/>
      <c r="P3105" s="5"/>
      <c r="Q3105" s="9"/>
      <c r="R3105" s="5"/>
      <c r="S3105" s="5"/>
      <c r="T3105" s="5"/>
      <c r="U3105" s="5"/>
      <c r="V3105" s="5"/>
      <c r="W3105" s="5"/>
      <c r="X3105" s="5"/>
      <c r="Y3105" s="9"/>
      <c r="Z3105" s="2"/>
    </row>
    <row r="3106" spans="1:26">
      <c r="A3106" s="4"/>
      <c r="B3106" s="4"/>
      <c r="C3106" s="4"/>
      <c r="D3106" s="4"/>
      <c r="E3106" s="4"/>
      <c r="F3106" s="4"/>
      <c r="G3106" s="4"/>
      <c r="H3106" s="4"/>
      <c r="I3106" s="4"/>
      <c r="J3106" s="4"/>
      <c r="K3106" s="4"/>
      <c r="L3106" s="3"/>
      <c r="M3106" s="6"/>
      <c r="N3106" s="6"/>
      <c r="O3106" s="6"/>
      <c r="P3106" s="5"/>
      <c r="Q3106" s="9"/>
      <c r="R3106" s="5"/>
      <c r="S3106" s="5"/>
      <c r="T3106" s="5"/>
      <c r="U3106" s="5"/>
      <c r="V3106" s="5"/>
      <c r="W3106" s="5"/>
      <c r="X3106" s="5"/>
      <c r="Y3106" s="9"/>
      <c r="Z3106" s="2"/>
    </row>
    <row r="3107" spans="1:26">
      <c r="A3107" s="4"/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3"/>
      <c r="M3107" s="6"/>
      <c r="N3107" s="6"/>
      <c r="O3107" s="6"/>
      <c r="P3107" s="5"/>
      <c r="Q3107" s="9"/>
      <c r="R3107" s="5"/>
      <c r="S3107" s="5"/>
      <c r="T3107" s="5"/>
      <c r="U3107" s="5"/>
      <c r="V3107" s="5"/>
      <c r="W3107" s="5"/>
      <c r="X3107" s="5"/>
      <c r="Y3107" s="9"/>
      <c r="Z3107" s="2"/>
    </row>
    <row r="3108" spans="1:26">
      <c r="A3108" s="4"/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3"/>
      <c r="M3108" s="6"/>
      <c r="N3108" s="6"/>
      <c r="O3108" s="6"/>
      <c r="P3108" s="5"/>
      <c r="Q3108" s="9"/>
      <c r="R3108" s="5"/>
      <c r="S3108" s="5"/>
      <c r="T3108" s="5"/>
      <c r="U3108" s="5"/>
      <c r="V3108" s="5"/>
      <c r="W3108" s="5"/>
      <c r="X3108" s="5"/>
      <c r="Y3108" s="9"/>
      <c r="Z3108" s="2"/>
    </row>
    <row r="3109" spans="1:26">
      <c r="A3109" s="4"/>
      <c r="B3109" s="4"/>
      <c r="C3109" s="4"/>
      <c r="D3109" s="4"/>
      <c r="E3109" s="4"/>
      <c r="F3109" s="4"/>
      <c r="G3109" s="4"/>
      <c r="H3109" s="4"/>
      <c r="I3109" s="4"/>
      <c r="J3109" s="4"/>
      <c r="K3109" s="4"/>
      <c r="L3109" s="3"/>
      <c r="M3109" s="6"/>
      <c r="N3109" s="6"/>
      <c r="O3109" s="6"/>
      <c r="P3109" s="5"/>
      <c r="Q3109" s="9"/>
      <c r="R3109" s="5"/>
      <c r="S3109" s="5"/>
      <c r="T3109" s="5"/>
      <c r="U3109" s="5"/>
      <c r="V3109" s="5"/>
      <c r="W3109" s="5"/>
      <c r="X3109" s="5"/>
      <c r="Y3109" s="9"/>
      <c r="Z3109" s="2"/>
    </row>
    <row r="3110" spans="1:26">
      <c r="A3110" s="4"/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3"/>
      <c r="M3110" s="6"/>
      <c r="N3110" s="6"/>
      <c r="O3110" s="6"/>
      <c r="P3110" s="5"/>
      <c r="Q3110" s="9"/>
      <c r="R3110" s="5"/>
      <c r="S3110" s="5"/>
      <c r="T3110" s="5"/>
      <c r="U3110" s="5"/>
      <c r="V3110" s="5"/>
      <c r="W3110" s="5"/>
      <c r="X3110" s="5"/>
      <c r="Y3110" s="9"/>
      <c r="Z3110" s="2"/>
    </row>
    <row r="3111" spans="1:26">
      <c r="A3111" s="4"/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3"/>
      <c r="M3111" s="6"/>
      <c r="N3111" s="6"/>
      <c r="O3111" s="6"/>
      <c r="P3111" s="5"/>
      <c r="Q3111" s="9"/>
      <c r="R3111" s="5"/>
      <c r="S3111" s="5"/>
      <c r="T3111" s="5"/>
      <c r="U3111" s="5"/>
      <c r="V3111" s="5"/>
      <c r="W3111" s="5"/>
      <c r="X3111" s="5"/>
      <c r="Y3111" s="9"/>
      <c r="Z3111" s="2"/>
    </row>
    <row r="3112" spans="1:26">
      <c r="A3112" s="4"/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3"/>
      <c r="M3112" s="6"/>
      <c r="N3112" s="6"/>
      <c r="O3112" s="6"/>
      <c r="P3112" s="5"/>
      <c r="Q3112" s="9"/>
      <c r="R3112" s="5"/>
      <c r="S3112" s="5"/>
      <c r="T3112" s="5"/>
      <c r="U3112" s="5"/>
      <c r="V3112" s="5"/>
      <c r="W3112" s="5"/>
      <c r="X3112" s="5"/>
      <c r="Y3112" s="9"/>
      <c r="Z3112" s="2"/>
    </row>
    <row r="3113" spans="1:26">
      <c r="A3113" s="4"/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3"/>
      <c r="M3113" s="6"/>
      <c r="N3113" s="6"/>
      <c r="O3113" s="6"/>
      <c r="P3113" s="5"/>
      <c r="Q3113" s="9"/>
      <c r="R3113" s="5"/>
      <c r="S3113" s="5"/>
      <c r="T3113" s="5"/>
      <c r="U3113" s="5"/>
      <c r="V3113" s="5"/>
      <c r="W3113" s="5"/>
      <c r="X3113" s="5"/>
      <c r="Y3113" s="9"/>
      <c r="Z3113" s="2"/>
    </row>
    <row r="3114" spans="1:26">
      <c r="A3114" s="4"/>
      <c r="B3114" s="4"/>
      <c r="C3114" s="4"/>
      <c r="D3114" s="4"/>
      <c r="E3114" s="4"/>
      <c r="F3114" s="4"/>
      <c r="G3114" s="4"/>
      <c r="H3114" s="4"/>
      <c r="I3114" s="4"/>
      <c r="J3114" s="4"/>
      <c r="K3114" s="4"/>
      <c r="L3114" s="3"/>
      <c r="M3114" s="6"/>
      <c r="N3114" s="6"/>
      <c r="O3114" s="6"/>
      <c r="P3114" s="5"/>
      <c r="Q3114" s="9"/>
      <c r="R3114" s="5"/>
      <c r="S3114" s="5"/>
      <c r="T3114" s="5"/>
      <c r="U3114" s="5"/>
      <c r="V3114" s="5"/>
      <c r="W3114" s="5"/>
      <c r="X3114" s="5"/>
      <c r="Y3114" s="9"/>
      <c r="Z3114" s="2"/>
    </row>
    <row r="3115" spans="1:26">
      <c r="A3115" s="4"/>
      <c r="B3115" s="4"/>
      <c r="C3115" s="4"/>
      <c r="D3115" s="4"/>
      <c r="E3115" s="4"/>
      <c r="F3115" s="4"/>
      <c r="G3115" s="4"/>
      <c r="H3115" s="4"/>
      <c r="I3115" s="4"/>
      <c r="J3115" s="4"/>
      <c r="K3115" s="4"/>
      <c r="L3115" s="3"/>
      <c r="M3115" s="6"/>
      <c r="N3115" s="6"/>
      <c r="O3115" s="6"/>
      <c r="P3115" s="5"/>
      <c r="Q3115" s="9"/>
      <c r="R3115" s="5"/>
      <c r="S3115" s="5"/>
      <c r="T3115" s="5"/>
      <c r="U3115" s="5"/>
      <c r="V3115" s="5"/>
      <c r="W3115" s="5"/>
      <c r="X3115" s="5"/>
      <c r="Y3115" s="9"/>
      <c r="Z3115" s="2"/>
    </row>
    <row r="3116" spans="1:26">
      <c r="A3116" s="4"/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3"/>
      <c r="M3116" s="6"/>
      <c r="N3116" s="6"/>
      <c r="O3116" s="6"/>
      <c r="P3116" s="5"/>
      <c r="Q3116" s="9"/>
      <c r="R3116" s="5"/>
      <c r="S3116" s="5"/>
      <c r="T3116" s="5"/>
      <c r="U3116" s="5"/>
      <c r="V3116" s="5"/>
      <c r="W3116" s="5"/>
      <c r="X3116" s="5"/>
      <c r="Y3116" s="9"/>
      <c r="Z3116" s="2"/>
    </row>
    <row r="3117" spans="1:26">
      <c r="A3117" s="4"/>
      <c r="B3117" s="4"/>
      <c r="C3117" s="4"/>
      <c r="D3117" s="4"/>
      <c r="E3117" s="4"/>
      <c r="F3117" s="4"/>
      <c r="G3117" s="4"/>
      <c r="H3117" s="4"/>
      <c r="I3117" s="4"/>
      <c r="J3117" s="4"/>
      <c r="K3117" s="4"/>
      <c r="L3117" s="3"/>
      <c r="M3117" s="6"/>
      <c r="N3117" s="6"/>
      <c r="O3117" s="6"/>
      <c r="P3117" s="5"/>
      <c r="Q3117" s="9"/>
      <c r="R3117" s="5"/>
      <c r="S3117" s="5"/>
      <c r="T3117" s="5"/>
      <c r="U3117" s="5"/>
      <c r="V3117" s="5"/>
      <c r="W3117" s="5"/>
      <c r="X3117" s="5"/>
      <c r="Y3117" s="9"/>
      <c r="Z3117" s="2"/>
    </row>
    <row r="3118" spans="1:26">
      <c r="A3118" s="4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3"/>
      <c r="M3118" s="6"/>
      <c r="N3118" s="6"/>
      <c r="O3118" s="6"/>
      <c r="P3118" s="5"/>
      <c r="Q3118" s="9"/>
      <c r="R3118" s="5"/>
      <c r="S3118" s="5"/>
      <c r="T3118" s="5"/>
      <c r="U3118" s="5"/>
      <c r="V3118" s="5"/>
      <c r="W3118" s="5"/>
      <c r="X3118" s="5"/>
      <c r="Y3118" s="9"/>
      <c r="Z3118" s="2"/>
    </row>
    <row r="3119" spans="1:26">
      <c r="A3119" s="4"/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3"/>
      <c r="M3119" s="6"/>
      <c r="N3119" s="6"/>
      <c r="O3119" s="6"/>
      <c r="P3119" s="5"/>
      <c r="Q3119" s="9"/>
      <c r="R3119" s="5"/>
      <c r="S3119" s="5"/>
      <c r="T3119" s="5"/>
      <c r="U3119" s="5"/>
      <c r="V3119" s="5"/>
      <c r="W3119" s="5"/>
      <c r="X3119" s="5"/>
      <c r="Y3119" s="9"/>
      <c r="Z3119" s="2"/>
    </row>
    <row r="3120" spans="1:26">
      <c r="A3120" s="4"/>
      <c r="B3120" s="4"/>
      <c r="C3120" s="4"/>
      <c r="D3120" s="4"/>
      <c r="E3120" s="4"/>
      <c r="F3120" s="4"/>
      <c r="G3120" s="4"/>
      <c r="H3120" s="4"/>
      <c r="I3120" s="4"/>
      <c r="J3120" s="4"/>
      <c r="K3120" s="4"/>
      <c r="L3120" s="3"/>
      <c r="M3120" s="6"/>
      <c r="N3120" s="6"/>
      <c r="O3120" s="6"/>
      <c r="P3120" s="5"/>
      <c r="Q3120" s="9"/>
      <c r="R3120" s="5"/>
      <c r="S3120" s="5"/>
      <c r="T3120" s="5"/>
      <c r="U3120" s="5"/>
      <c r="V3120" s="5"/>
      <c r="W3120" s="5"/>
      <c r="X3120" s="5"/>
      <c r="Y3120" s="9"/>
      <c r="Z3120" s="2"/>
    </row>
    <row r="3121" spans="1:26">
      <c r="A3121" s="4"/>
      <c r="B3121" s="4"/>
      <c r="C3121" s="4"/>
      <c r="D3121" s="4"/>
      <c r="E3121" s="4"/>
      <c r="F3121" s="4"/>
      <c r="G3121" s="4"/>
      <c r="H3121" s="4"/>
      <c r="I3121" s="4"/>
      <c r="J3121" s="4"/>
      <c r="K3121" s="4"/>
      <c r="L3121" s="3"/>
      <c r="M3121" s="6"/>
      <c r="N3121" s="6"/>
      <c r="O3121" s="6"/>
      <c r="P3121" s="5"/>
      <c r="Q3121" s="9"/>
      <c r="R3121" s="5"/>
      <c r="S3121" s="5"/>
      <c r="T3121" s="5"/>
      <c r="U3121" s="5"/>
      <c r="V3121" s="5"/>
      <c r="W3121" s="5"/>
      <c r="X3121" s="5"/>
      <c r="Y3121" s="9"/>
      <c r="Z3121" s="2"/>
    </row>
    <row r="3122" spans="1:26">
      <c r="A3122" s="4"/>
      <c r="B3122" s="4"/>
      <c r="C3122" s="4"/>
      <c r="D3122" s="4"/>
      <c r="E3122" s="4"/>
      <c r="F3122" s="4"/>
      <c r="G3122" s="4"/>
      <c r="H3122" s="4"/>
      <c r="I3122" s="4"/>
      <c r="J3122" s="4"/>
      <c r="K3122" s="4"/>
      <c r="L3122" s="3"/>
      <c r="M3122" s="6"/>
      <c r="N3122" s="6"/>
      <c r="O3122" s="6"/>
      <c r="P3122" s="5"/>
      <c r="Q3122" s="9"/>
      <c r="R3122" s="5"/>
      <c r="S3122" s="5"/>
      <c r="T3122" s="5"/>
      <c r="U3122" s="5"/>
      <c r="V3122" s="5"/>
      <c r="W3122" s="5"/>
      <c r="X3122" s="5"/>
      <c r="Y3122" s="9"/>
      <c r="Z3122" s="2"/>
    </row>
    <row r="3123" spans="1:26">
      <c r="A3123" s="4"/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3"/>
      <c r="M3123" s="6"/>
      <c r="N3123" s="6"/>
      <c r="O3123" s="6"/>
      <c r="P3123" s="5"/>
      <c r="Q3123" s="9"/>
      <c r="R3123" s="5"/>
      <c r="S3123" s="5"/>
      <c r="T3123" s="5"/>
      <c r="U3123" s="5"/>
      <c r="V3123" s="5"/>
      <c r="W3123" s="5"/>
      <c r="X3123" s="5"/>
      <c r="Y3123" s="9"/>
      <c r="Z3123" s="2"/>
    </row>
    <row r="3124" spans="1:26">
      <c r="A3124" s="4"/>
      <c r="B3124" s="4"/>
      <c r="C3124" s="4"/>
      <c r="D3124" s="4"/>
      <c r="E3124" s="4"/>
      <c r="F3124" s="4"/>
      <c r="G3124" s="4"/>
      <c r="H3124" s="4"/>
      <c r="I3124" s="4"/>
      <c r="J3124" s="4"/>
      <c r="K3124" s="4"/>
      <c r="L3124" s="3"/>
      <c r="M3124" s="6"/>
      <c r="N3124" s="6"/>
      <c r="O3124" s="6"/>
      <c r="P3124" s="5"/>
      <c r="Q3124" s="9"/>
      <c r="R3124" s="5"/>
      <c r="S3124" s="5"/>
      <c r="T3124" s="5"/>
      <c r="U3124" s="5"/>
      <c r="V3124" s="5"/>
      <c r="W3124" s="5"/>
      <c r="X3124" s="5"/>
      <c r="Y3124" s="9"/>
      <c r="Z3124" s="2"/>
    </row>
    <row r="3125" spans="1:26">
      <c r="A3125" s="4"/>
      <c r="B3125" s="4"/>
      <c r="C3125" s="4"/>
      <c r="D3125" s="4"/>
      <c r="E3125" s="4"/>
      <c r="F3125" s="4"/>
      <c r="G3125" s="4"/>
      <c r="H3125" s="4"/>
      <c r="I3125" s="4"/>
      <c r="J3125" s="4"/>
      <c r="K3125" s="4"/>
      <c r="L3125" s="3"/>
      <c r="M3125" s="6"/>
      <c r="N3125" s="6"/>
      <c r="O3125" s="6"/>
      <c r="P3125" s="5"/>
      <c r="Q3125" s="9"/>
      <c r="R3125" s="5"/>
      <c r="S3125" s="5"/>
      <c r="T3125" s="5"/>
      <c r="U3125" s="5"/>
      <c r="V3125" s="5"/>
      <c r="W3125" s="5"/>
      <c r="X3125" s="5"/>
      <c r="Y3125" s="9"/>
      <c r="Z3125" s="2"/>
    </row>
    <row r="3126" spans="1:26">
      <c r="A3126" s="4"/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3"/>
      <c r="M3126" s="6"/>
      <c r="N3126" s="6"/>
      <c r="O3126" s="6"/>
      <c r="P3126" s="5"/>
      <c r="Q3126" s="9"/>
      <c r="R3126" s="5"/>
      <c r="S3126" s="5"/>
      <c r="T3126" s="5"/>
      <c r="U3126" s="5"/>
      <c r="V3126" s="5"/>
      <c r="W3126" s="5"/>
      <c r="X3126" s="5"/>
      <c r="Y3126" s="9"/>
      <c r="Z3126" s="2"/>
    </row>
    <row r="3127" spans="1:26">
      <c r="A3127" s="4"/>
      <c r="B3127" s="4"/>
      <c r="C3127" s="4"/>
      <c r="D3127" s="4"/>
      <c r="E3127" s="4"/>
      <c r="F3127" s="4"/>
      <c r="G3127" s="4"/>
      <c r="H3127" s="4"/>
      <c r="I3127" s="4"/>
      <c r="J3127" s="4"/>
      <c r="K3127" s="4"/>
      <c r="L3127" s="3"/>
      <c r="M3127" s="6"/>
      <c r="N3127" s="6"/>
      <c r="O3127" s="6"/>
      <c r="P3127" s="5"/>
      <c r="Q3127" s="9"/>
      <c r="R3127" s="5"/>
      <c r="S3127" s="5"/>
      <c r="T3127" s="5"/>
      <c r="U3127" s="5"/>
      <c r="V3127" s="5"/>
      <c r="W3127" s="5"/>
      <c r="X3127" s="5"/>
      <c r="Y3127" s="9"/>
      <c r="Z3127" s="2"/>
    </row>
    <row r="3128" spans="1:26">
      <c r="A3128" s="4"/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3"/>
      <c r="M3128" s="6"/>
      <c r="N3128" s="6"/>
      <c r="O3128" s="6"/>
      <c r="P3128" s="5"/>
      <c r="Q3128" s="9"/>
      <c r="R3128" s="5"/>
      <c r="S3128" s="5"/>
      <c r="T3128" s="5"/>
      <c r="U3128" s="5"/>
      <c r="V3128" s="5"/>
      <c r="W3128" s="5"/>
      <c r="X3128" s="5"/>
      <c r="Y3128" s="9"/>
      <c r="Z3128" s="2"/>
    </row>
    <row r="3129" spans="1:26">
      <c r="A3129" s="4"/>
      <c r="B3129" s="4"/>
      <c r="C3129" s="4"/>
      <c r="D3129" s="4"/>
      <c r="E3129" s="4"/>
      <c r="F3129" s="4"/>
      <c r="G3129" s="4"/>
      <c r="H3129" s="4"/>
      <c r="I3129" s="4"/>
      <c r="J3129" s="4"/>
      <c r="K3129" s="4"/>
      <c r="L3129" s="3"/>
      <c r="M3129" s="6"/>
      <c r="N3129" s="6"/>
      <c r="O3129" s="6"/>
      <c r="P3129" s="5"/>
      <c r="Q3129" s="9"/>
      <c r="R3129" s="5"/>
      <c r="S3129" s="5"/>
      <c r="T3129" s="5"/>
      <c r="U3129" s="5"/>
      <c r="V3129" s="5"/>
      <c r="W3129" s="5"/>
      <c r="X3129" s="5"/>
      <c r="Y3129" s="9"/>
      <c r="Z3129" s="2"/>
    </row>
    <row r="3130" spans="1:26">
      <c r="A3130" s="4"/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3"/>
      <c r="M3130" s="6"/>
      <c r="N3130" s="6"/>
      <c r="O3130" s="6"/>
      <c r="P3130" s="5"/>
      <c r="Q3130" s="9"/>
      <c r="R3130" s="5"/>
      <c r="S3130" s="5"/>
      <c r="T3130" s="5"/>
      <c r="U3130" s="5"/>
      <c r="V3130" s="5"/>
      <c r="W3130" s="5"/>
      <c r="X3130" s="5"/>
      <c r="Y3130" s="9"/>
      <c r="Z3130" s="2"/>
    </row>
    <row r="3131" spans="1:26">
      <c r="A3131" s="4"/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3"/>
      <c r="M3131" s="6"/>
      <c r="N3131" s="6"/>
      <c r="O3131" s="6"/>
      <c r="P3131" s="5"/>
      <c r="Q3131" s="9"/>
      <c r="R3131" s="5"/>
      <c r="S3131" s="5"/>
      <c r="T3131" s="5"/>
      <c r="U3131" s="5"/>
      <c r="V3131" s="5"/>
      <c r="W3131" s="5"/>
      <c r="X3131" s="5"/>
      <c r="Y3131" s="9"/>
      <c r="Z3131" s="2"/>
    </row>
    <row r="3132" spans="1:26">
      <c r="A3132" s="4"/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3"/>
      <c r="M3132" s="6"/>
      <c r="N3132" s="6"/>
      <c r="O3132" s="6"/>
      <c r="P3132" s="5"/>
      <c r="Q3132" s="9"/>
      <c r="R3132" s="5"/>
      <c r="S3132" s="5"/>
      <c r="T3132" s="5"/>
      <c r="U3132" s="5"/>
      <c r="V3132" s="5"/>
      <c r="W3132" s="5"/>
      <c r="X3132" s="5"/>
      <c r="Y3132" s="9"/>
      <c r="Z3132" s="2"/>
    </row>
    <row r="3133" spans="1:26">
      <c r="A3133" s="4"/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3"/>
      <c r="M3133" s="6"/>
      <c r="N3133" s="6"/>
      <c r="O3133" s="6"/>
      <c r="P3133" s="5"/>
      <c r="Q3133" s="9"/>
      <c r="R3133" s="5"/>
      <c r="S3133" s="5"/>
      <c r="T3133" s="5"/>
      <c r="U3133" s="5"/>
      <c r="V3133" s="5"/>
      <c r="W3133" s="5"/>
      <c r="X3133" s="5"/>
      <c r="Y3133" s="9"/>
      <c r="Z3133" s="2"/>
    </row>
    <row r="3134" spans="1:26">
      <c r="A3134" s="4"/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3"/>
      <c r="M3134" s="6"/>
      <c r="N3134" s="6"/>
      <c r="O3134" s="6"/>
      <c r="P3134" s="5"/>
      <c r="Q3134" s="9"/>
      <c r="R3134" s="5"/>
      <c r="S3134" s="5"/>
      <c r="T3134" s="5"/>
      <c r="U3134" s="5"/>
      <c r="V3134" s="5"/>
      <c r="W3134" s="5"/>
      <c r="X3134" s="5"/>
      <c r="Y3134" s="9"/>
      <c r="Z3134" s="2"/>
    </row>
    <row r="3135" spans="1:26">
      <c r="A3135" s="4"/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3"/>
      <c r="M3135" s="6"/>
      <c r="N3135" s="6"/>
      <c r="O3135" s="6"/>
      <c r="P3135" s="5"/>
      <c r="Q3135" s="9"/>
      <c r="R3135" s="5"/>
      <c r="S3135" s="5"/>
      <c r="T3135" s="5"/>
      <c r="U3135" s="5"/>
      <c r="V3135" s="5"/>
      <c r="W3135" s="5"/>
      <c r="X3135" s="5"/>
      <c r="Y3135" s="9"/>
      <c r="Z3135" s="2"/>
    </row>
    <row r="3136" spans="1:26">
      <c r="A3136" s="4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3"/>
      <c r="M3136" s="6"/>
      <c r="N3136" s="6"/>
      <c r="O3136" s="6"/>
      <c r="P3136" s="5"/>
      <c r="Q3136" s="9"/>
      <c r="R3136" s="5"/>
      <c r="S3136" s="5"/>
      <c r="T3136" s="5"/>
      <c r="U3136" s="5"/>
      <c r="V3136" s="5"/>
      <c r="W3136" s="5"/>
      <c r="X3136" s="5"/>
      <c r="Y3136" s="9"/>
      <c r="Z3136" s="2"/>
    </row>
    <row r="3137" spans="1:26">
      <c r="A3137" s="4"/>
      <c r="B3137" s="4"/>
      <c r="C3137" s="4"/>
      <c r="D3137" s="4"/>
      <c r="E3137" s="4"/>
      <c r="F3137" s="4"/>
      <c r="G3137" s="4"/>
      <c r="H3137" s="4"/>
      <c r="I3137" s="4"/>
      <c r="J3137" s="4"/>
      <c r="K3137" s="4"/>
      <c r="L3137" s="3"/>
      <c r="M3137" s="6"/>
      <c r="N3137" s="6"/>
      <c r="O3137" s="6"/>
      <c r="P3137" s="5"/>
      <c r="Q3137" s="9"/>
      <c r="R3137" s="5"/>
      <c r="S3137" s="5"/>
      <c r="T3137" s="5"/>
      <c r="U3137" s="5"/>
      <c r="V3137" s="5"/>
      <c r="W3137" s="5"/>
      <c r="X3137" s="5"/>
      <c r="Y3137" s="9"/>
      <c r="Z3137" s="2"/>
    </row>
    <row r="3138" spans="1:26">
      <c r="A3138" s="4"/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3"/>
      <c r="M3138" s="6"/>
      <c r="N3138" s="6"/>
      <c r="O3138" s="6"/>
      <c r="P3138" s="5"/>
      <c r="Q3138" s="9"/>
      <c r="R3138" s="5"/>
      <c r="S3138" s="5"/>
      <c r="T3138" s="5"/>
      <c r="U3138" s="5"/>
      <c r="V3138" s="5"/>
      <c r="W3138" s="5"/>
      <c r="X3138" s="5"/>
      <c r="Y3138" s="9"/>
      <c r="Z3138" s="2"/>
    </row>
    <row r="3139" spans="1:26">
      <c r="A3139" s="4"/>
      <c r="B3139" s="4"/>
      <c r="C3139" s="4"/>
      <c r="D3139" s="4"/>
      <c r="E3139" s="4"/>
      <c r="F3139" s="4"/>
      <c r="G3139" s="4"/>
      <c r="H3139" s="4"/>
      <c r="I3139" s="4"/>
      <c r="J3139" s="4"/>
      <c r="K3139" s="4"/>
      <c r="L3139" s="3"/>
      <c r="M3139" s="6"/>
      <c r="N3139" s="6"/>
      <c r="O3139" s="6"/>
      <c r="P3139" s="5"/>
      <c r="Q3139" s="9"/>
      <c r="R3139" s="5"/>
      <c r="S3139" s="5"/>
      <c r="T3139" s="5"/>
      <c r="U3139" s="5"/>
      <c r="V3139" s="5"/>
      <c r="W3139" s="5"/>
      <c r="X3139" s="5"/>
      <c r="Y3139" s="9"/>
      <c r="Z3139" s="2"/>
    </row>
    <row r="3140" spans="1:26">
      <c r="A3140" s="4"/>
      <c r="B3140" s="4"/>
      <c r="C3140" s="4"/>
      <c r="D3140" s="4"/>
      <c r="E3140" s="4"/>
      <c r="F3140" s="4"/>
      <c r="G3140" s="4"/>
      <c r="H3140" s="4"/>
      <c r="I3140" s="4"/>
      <c r="J3140" s="4"/>
      <c r="K3140" s="4"/>
      <c r="L3140" s="3"/>
      <c r="M3140" s="6"/>
      <c r="N3140" s="6"/>
      <c r="O3140" s="6"/>
      <c r="P3140" s="5"/>
      <c r="Q3140" s="9"/>
      <c r="R3140" s="5"/>
      <c r="S3140" s="5"/>
      <c r="T3140" s="5"/>
      <c r="U3140" s="5"/>
      <c r="V3140" s="5"/>
      <c r="W3140" s="5"/>
      <c r="X3140" s="5"/>
      <c r="Y3140" s="9"/>
      <c r="Z3140" s="2"/>
    </row>
    <row r="3141" spans="1:26">
      <c r="A3141" s="4"/>
      <c r="B3141" s="4"/>
      <c r="C3141" s="4"/>
      <c r="D3141" s="4"/>
      <c r="E3141" s="4"/>
      <c r="F3141" s="4"/>
      <c r="G3141" s="4"/>
      <c r="H3141" s="4"/>
      <c r="I3141" s="4"/>
      <c r="J3141" s="4"/>
      <c r="K3141" s="4"/>
      <c r="L3141" s="3"/>
      <c r="M3141" s="6"/>
      <c r="N3141" s="6"/>
      <c r="O3141" s="6"/>
      <c r="P3141" s="5"/>
      <c r="Q3141" s="9"/>
      <c r="R3141" s="5"/>
      <c r="S3141" s="5"/>
      <c r="T3141" s="5"/>
      <c r="U3141" s="5"/>
      <c r="V3141" s="5"/>
      <c r="W3141" s="5"/>
      <c r="X3141" s="5"/>
      <c r="Y3141" s="9"/>
      <c r="Z3141" s="2"/>
    </row>
    <row r="3142" spans="1:26">
      <c r="A3142" s="4"/>
      <c r="B3142" s="4"/>
      <c r="C3142" s="4"/>
      <c r="D3142" s="4"/>
      <c r="E3142" s="4"/>
      <c r="F3142" s="4"/>
      <c r="G3142" s="4"/>
      <c r="H3142" s="4"/>
      <c r="I3142" s="4"/>
      <c r="J3142" s="4"/>
      <c r="K3142" s="4"/>
      <c r="L3142" s="3"/>
      <c r="M3142" s="6"/>
      <c r="N3142" s="6"/>
      <c r="O3142" s="6"/>
      <c r="P3142" s="5"/>
      <c r="Q3142" s="9"/>
      <c r="R3142" s="5"/>
      <c r="S3142" s="5"/>
      <c r="T3142" s="5"/>
      <c r="U3142" s="5"/>
      <c r="V3142" s="5"/>
      <c r="W3142" s="5"/>
      <c r="X3142" s="5"/>
      <c r="Y3142" s="9"/>
      <c r="Z3142" s="2"/>
    </row>
    <row r="3143" spans="1:26">
      <c r="A3143" s="4"/>
      <c r="B3143" s="4"/>
      <c r="C3143" s="4"/>
      <c r="D3143" s="4"/>
      <c r="E3143" s="4"/>
      <c r="F3143" s="4"/>
      <c r="G3143" s="4"/>
      <c r="H3143" s="4"/>
      <c r="I3143" s="4"/>
      <c r="J3143" s="4"/>
      <c r="K3143" s="4"/>
      <c r="L3143" s="3"/>
      <c r="M3143" s="6"/>
      <c r="N3143" s="6"/>
      <c r="O3143" s="6"/>
      <c r="P3143" s="5"/>
      <c r="Q3143" s="9"/>
      <c r="R3143" s="5"/>
      <c r="S3143" s="5"/>
      <c r="T3143" s="5"/>
      <c r="U3143" s="5"/>
      <c r="V3143" s="5"/>
      <c r="W3143" s="5"/>
      <c r="X3143" s="5"/>
      <c r="Y3143" s="9"/>
      <c r="Z3143" s="2"/>
    </row>
    <row r="3144" spans="1:26">
      <c r="A3144" s="4"/>
      <c r="B3144" s="4"/>
      <c r="C3144" s="4"/>
      <c r="D3144" s="4"/>
      <c r="E3144" s="4"/>
      <c r="F3144" s="4"/>
      <c r="G3144" s="4"/>
      <c r="H3144" s="4"/>
      <c r="I3144" s="4"/>
      <c r="J3144" s="4"/>
      <c r="K3144" s="4"/>
      <c r="L3144" s="3"/>
      <c r="M3144" s="6"/>
      <c r="N3144" s="6"/>
      <c r="O3144" s="6"/>
      <c r="P3144" s="5"/>
      <c r="Q3144" s="9"/>
      <c r="R3144" s="5"/>
      <c r="S3144" s="5"/>
      <c r="T3144" s="5"/>
      <c r="U3144" s="5"/>
      <c r="V3144" s="5"/>
      <c r="W3144" s="5"/>
      <c r="X3144" s="5"/>
      <c r="Y3144" s="9"/>
      <c r="Z3144" s="2"/>
    </row>
    <row r="3145" spans="1:26">
      <c r="A3145" s="4"/>
      <c r="B3145" s="4"/>
      <c r="C3145" s="4"/>
      <c r="D3145" s="4"/>
      <c r="E3145" s="4"/>
      <c r="F3145" s="4"/>
      <c r="G3145" s="4"/>
      <c r="H3145" s="4"/>
      <c r="I3145" s="4"/>
      <c r="J3145" s="4"/>
      <c r="K3145" s="4"/>
      <c r="L3145" s="3"/>
      <c r="M3145" s="6"/>
      <c r="N3145" s="6"/>
      <c r="O3145" s="6"/>
      <c r="P3145" s="5"/>
      <c r="Q3145" s="9"/>
      <c r="R3145" s="5"/>
      <c r="S3145" s="5"/>
      <c r="T3145" s="5"/>
      <c r="U3145" s="5"/>
      <c r="V3145" s="5"/>
      <c r="W3145" s="5"/>
      <c r="X3145" s="5"/>
      <c r="Y3145" s="9"/>
      <c r="Z3145" s="2"/>
    </row>
    <row r="3146" spans="1:26">
      <c r="A3146" s="4"/>
      <c r="B3146" s="4"/>
      <c r="C3146" s="4"/>
      <c r="D3146" s="4"/>
      <c r="E3146" s="4"/>
      <c r="F3146" s="4"/>
      <c r="G3146" s="4"/>
      <c r="H3146" s="4"/>
      <c r="I3146" s="4"/>
      <c r="J3146" s="4"/>
      <c r="K3146" s="4"/>
      <c r="L3146" s="3"/>
      <c r="M3146" s="6"/>
      <c r="N3146" s="6"/>
      <c r="O3146" s="6"/>
      <c r="P3146" s="5"/>
      <c r="Q3146" s="9"/>
      <c r="R3146" s="5"/>
      <c r="S3146" s="5"/>
      <c r="T3146" s="5"/>
      <c r="U3146" s="5"/>
      <c r="V3146" s="5"/>
      <c r="W3146" s="5"/>
      <c r="X3146" s="5"/>
      <c r="Y3146" s="9"/>
      <c r="Z3146" s="2"/>
    </row>
    <row r="3147" spans="1:26">
      <c r="A3147" s="4"/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3"/>
      <c r="M3147" s="6"/>
      <c r="N3147" s="6"/>
      <c r="O3147" s="6"/>
      <c r="P3147" s="5"/>
      <c r="Q3147" s="9"/>
      <c r="R3147" s="5"/>
      <c r="S3147" s="5"/>
      <c r="T3147" s="5"/>
      <c r="U3147" s="5"/>
      <c r="V3147" s="5"/>
      <c r="W3147" s="5"/>
      <c r="X3147" s="5"/>
      <c r="Y3147" s="9"/>
      <c r="Z3147" s="2"/>
    </row>
    <row r="3148" spans="1:26">
      <c r="A3148" s="4"/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3"/>
      <c r="M3148" s="6"/>
      <c r="N3148" s="6"/>
      <c r="O3148" s="6"/>
      <c r="P3148" s="5"/>
      <c r="Q3148" s="9"/>
      <c r="R3148" s="5"/>
      <c r="S3148" s="5"/>
      <c r="T3148" s="5"/>
      <c r="U3148" s="5"/>
      <c r="V3148" s="5"/>
      <c r="W3148" s="5"/>
      <c r="X3148" s="5"/>
      <c r="Y3148" s="9"/>
      <c r="Z3148" s="2"/>
    </row>
    <row r="3149" spans="1:26">
      <c r="A3149" s="4"/>
      <c r="B3149" s="4"/>
      <c r="C3149" s="4"/>
      <c r="D3149" s="4"/>
      <c r="E3149" s="4"/>
      <c r="F3149" s="4"/>
      <c r="G3149" s="4"/>
      <c r="H3149" s="4"/>
      <c r="I3149" s="4"/>
      <c r="J3149" s="4"/>
      <c r="K3149" s="4"/>
      <c r="L3149" s="3"/>
      <c r="M3149" s="6"/>
      <c r="N3149" s="6"/>
      <c r="O3149" s="6"/>
      <c r="P3149" s="5"/>
      <c r="Q3149" s="9"/>
      <c r="R3149" s="5"/>
      <c r="S3149" s="5"/>
      <c r="T3149" s="5"/>
      <c r="U3149" s="5"/>
      <c r="V3149" s="5"/>
      <c r="W3149" s="5"/>
      <c r="X3149" s="5"/>
      <c r="Y3149" s="9"/>
      <c r="Z3149" s="2"/>
    </row>
    <row r="3150" spans="1:26">
      <c r="A3150" s="4"/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3"/>
      <c r="M3150" s="6"/>
      <c r="N3150" s="6"/>
      <c r="O3150" s="6"/>
      <c r="P3150" s="5"/>
      <c r="Q3150" s="9"/>
      <c r="R3150" s="5"/>
      <c r="S3150" s="5"/>
      <c r="T3150" s="5"/>
      <c r="U3150" s="5"/>
      <c r="V3150" s="5"/>
      <c r="W3150" s="5"/>
      <c r="X3150" s="5"/>
      <c r="Y3150" s="9"/>
      <c r="Z3150" s="2"/>
    </row>
    <row r="3151" spans="1:26">
      <c r="A3151" s="4"/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3"/>
      <c r="M3151" s="6"/>
      <c r="N3151" s="6"/>
      <c r="O3151" s="6"/>
      <c r="P3151" s="5"/>
      <c r="Q3151" s="9"/>
      <c r="R3151" s="5"/>
      <c r="S3151" s="5"/>
      <c r="T3151" s="5"/>
      <c r="U3151" s="5"/>
      <c r="V3151" s="5"/>
      <c r="W3151" s="5"/>
      <c r="X3151" s="5"/>
      <c r="Y3151" s="9"/>
      <c r="Z3151" s="2"/>
    </row>
    <row r="3152" spans="1:26">
      <c r="A3152" s="4"/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3"/>
      <c r="M3152" s="6"/>
      <c r="N3152" s="6"/>
      <c r="O3152" s="6"/>
      <c r="P3152" s="5"/>
      <c r="Q3152" s="9"/>
      <c r="R3152" s="5"/>
      <c r="S3152" s="5"/>
      <c r="T3152" s="5"/>
      <c r="U3152" s="5"/>
      <c r="V3152" s="5"/>
      <c r="W3152" s="5"/>
      <c r="X3152" s="5"/>
      <c r="Y3152" s="9"/>
      <c r="Z3152" s="2"/>
    </row>
    <row r="3153" spans="1:26">
      <c r="A3153" s="4"/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3"/>
      <c r="M3153" s="6"/>
      <c r="N3153" s="6"/>
      <c r="O3153" s="6"/>
      <c r="P3153" s="5"/>
      <c r="Q3153" s="9"/>
      <c r="R3153" s="5"/>
      <c r="S3153" s="5"/>
      <c r="T3153" s="5"/>
      <c r="U3153" s="5"/>
      <c r="V3153" s="5"/>
      <c r="W3153" s="5"/>
      <c r="X3153" s="5"/>
      <c r="Y3153" s="9"/>
      <c r="Z3153" s="2"/>
    </row>
    <row r="3154" spans="1:26">
      <c r="A3154" s="4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3"/>
      <c r="M3154" s="6"/>
      <c r="N3154" s="6"/>
      <c r="O3154" s="6"/>
      <c r="P3154" s="5"/>
      <c r="Q3154" s="9"/>
      <c r="R3154" s="5"/>
      <c r="S3154" s="5"/>
      <c r="T3154" s="5"/>
      <c r="U3154" s="5"/>
      <c r="V3154" s="5"/>
      <c r="W3154" s="5"/>
      <c r="X3154" s="5"/>
      <c r="Y3154" s="9"/>
      <c r="Z3154" s="2"/>
    </row>
    <row r="3155" spans="1:26">
      <c r="A3155" s="4"/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3"/>
      <c r="M3155" s="6"/>
      <c r="N3155" s="6"/>
      <c r="O3155" s="6"/>
      <c r="P3155" s="5"/>
      <c r="Q3155" s="9"/>
      <c r="R3155" s="5"/>
      <c r="S3155" s="5"/>
      <c r="T3155" s="5"/>
      <c r="U3155" s="5"/>
      <c r="V3155" s="5"/>
      <c r="W3155" s="5"/>
      <c r="X3155" s="5"/>
      <c r="Y3155" s="9"/>
      <c r="Z3155" s="2"/>
    </row>
    <row r="3156" spans="1:26">
      <c r="A3156" s="4"/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3"/>
      <c r="M3156" s="6"/>
      <c r="N3156" s="6"/>
      <c r="O3156" s="6"/>
      <c r="P3156" s="5"/>
      <c r="Q3156" s="9"/>
      <c r="R3156" s="5"/>
      <c r="S3156" s="5"/>
      <c r="T3156" s="5"/>
      <c r="U3156" s="5"/>
      <c r="V3156" s="5"/>
      <c r="W3156" s="5"/>
      <c r="X3156" s="5"/>
      <c r="Y3156" s="9"/>
      <c r="Z3156" s="2"/>
    </row>
    <row r="3157" spans="1:26">
      <c r="A3157" s="4"/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3"/>
      <c r="M3157" s="6"/>
      <c r="N3157" s="6"/>
      <c r="O3157" s="6"/>
      <c r="P3157" s="5"/>
      <c r="Q3157" s="9"/>
      <c r="R3157" s="5"/>
      <c r="S3157" s="5"/>
      <c r="T3157" s="5"/>
      <c r="U3157" s="5"/>
      <c r="V3157" s="5"/>
      <c r="W3157" s="5"/>
      <c r="X3157" s="5"/>
      <c r="Y3157" s="9"/>
      <c r="Z3157" s="2"/>
    </row>
    <row r="3158" spans="1:26">
      <c r="A3158" s="4"/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3"/>
      <c r="M3158" s="6"/>
      <c r="N3158" s="6"/>
      <c r="O3158" s="6"/>
      <c r="P3158" s="5"/>
      <c r="Q3158" s="9"/>
      <c r="R3158" s="5"/>
      <c r="S3158" s="5"/>
      <c r="T3158" s="5"/>
      <c r="U3158" s="5"/>
      <c r="V3158" s="5"/>
      <c r="W3158" s="5"/>
      <c r="X3158" s="5"/>
      <c r="Y3158" s="9"/>
      <c r="Z3158" s="2"/>
    </row>
    <row r="3159" spans="1:26">
      <c r="A3159" s="4"/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3"/>
      <c r="M3159" s="6"/>
      <c r="N3159" s="6"/>
      <c r="O3159" s="6"/>
      <c r="P3159" s="5"/>
      <c r="Q3159" s="9"/>
      <c r="R3159" s="5"/>
      <c r="S3159" s="5"/>
      <c r="T3159" s="5"/>
      <c r="U3159" s="5"/>
      <c r="V3159" s="5"/>
      <c r="W3159" s="5"/>
      <c r="X3159" s="5"/>
      <c r="Y3159" s="9"/>
      <c r="Z3159" s="2"/>
    </row>
    <row r="3160" spans="1:26">
      <c r="A3160" s="4"/>
      <c r="B3160" s="4"/>
      <c r="C3160" s="4"/>
      <c r="D3160" s="4"/>
      <c r="E3160" s="4"/>
      <c r="F3160" s="4"/>
      <c r="G3160" s="4"/>
      <c r="H3160" s="4"/>
      <c r="I3160" s="4"/>
      <c r="J3160" s="4"/>
      <c r="K3160" s="4"/>
      <c r="L3160" s="3"/>
      <c r="M3160" s="6"/>
      <c r="N3160" s="6"/>
      <c r="O3160" s="6"/>
      <c r="P3160" s="5"/>
      <c r="Q3160" s="9"/>
      <c r="R3160" s="5"/>
      <c r="S3160" s="5"/>
      <c r="T3160" s="5"/>
      <c r="U3160" s="5"/>
      <c r="V3160" s="5"/>
      <c r="W3160" s="5"/>
      <c r="X3160" s="5"/>
      <c r="Y3160" s="9"/>
      <c r="Z3160" s="2"/>
    </row>
    <row r="3161" spans="1:26">
      <c r="A3161" s="4"/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3"/>
      <c r="M3161" s="6"/>
      <c r="N3161" s="6"/>
      <c r="O3161" s="6"/>
      <c r="P3161" s="5"/>
      <c r="Q3161" s="9"/>
      <c r="R3161" s="5"/>
      <c r="S3161" s="5"/>
      <c r="T3161" s="5"/>
      <c r="U3161" s="5"/>
      <c r="V3161" s="5"/>
      <c r="W3161" s="5"/>
      <c r="X3161" s="5"/>
      <c r="Y3161" s="9"/>
      <c r="Z3161" s="2"/>
    </row>
    <row r="3162" spans="1:26">
      <c r="A3162" s="4"/>
      <c r="B3162" s="4"/>
      <c r="C3162" s="4"/>
      <c r="D3162" s="4"/>
      <c r="E3162" s="4"/>
      <c r="F3162" s="4"/>
      <c r="G3162" s="4"/>
      <c r="H3162" s="4"/>
      <c r="I3162" s="4"/>
      <c r="J3162" s="4"/>
      <c r="K3162" s="4"/>
      <c r="L3162" s="3"/>
      <c r="M3162" s="6"/>
      <c r="N3162" s="6"/>
      <c r="O3162" s="6"/>
      <c r="P3162" s="5"/>
      <c r="Q3162" s="9"/>
      <c r="R3162" s="5"/>
      <c r="S3162" s="5"/>
      <c r="T3162" s="5"/>
      <c r="U3162" s="5"/>
      <c r="V3162" s="5"/>
      <c r="W3162" s="5"/>
      <c r="X3162" s="5"/>
      <c r="Y3162" s="9"/>
      <c r="Z3162" s="2"/>
    </row>
    <row r="3163" spans="1:26">
      <c r="A3163" s="4"/>
      <c r="B3163" s="4"/>
      <c r="C3163" s="4"/>
      <c r="D3163" s="4"/>
      <c r="E3163" s="4"/>
      <c r="F3163" s="4"/>
      <c r="G3163" s="4"/>
      <c r="H3163" s="4"/>
      <c r="I3163" s="4"/>
      <c r="J3163" s="4"/>
      <c r="K3163" s="4"/>
      <c r="L3163" s="3"/>
      <c r="M3163" s="6"/>
      <c r="N3163" s="6"/>
      <c r="O3163" s="6"/>
      <c r="P3163" s="5"/>
      <c r="Q3163" s="9"/>
      <c r="R3163" s="5"/>
      <c r="S3163" s="5"/>
      <c r="T3163" s="5"/>
      <c r="U3163" s="5"/>
      <c r="V3163" s="5"/>
      <c r="W3163" s="5"/>
      <c r="X3163" s="5"/>
      <c r="Y3163" s="9"/>
      <c r="Z3163" s="2"/>
    </row>
    <row r="3164" spans="1:26">
      <c r="A3164" s="4"/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3"/>
      <c r="M3164" s="6"/>
      <c r="N3164" s="6"/>
      <c r="O3164" s="6"/>
      <c r="P3164" s="5"/>
      <c r="Q3164" s="9"/>
      <c r="R3164" s="5"/>
      <c r="S3164" s="5"/>
      <c r="T3164" s="5"/>
      <c r="U3164" s="5"/>
      <c r="V3164" s="5"/>
      <c r="W3164" s="5"/>
      <c r="X3164" s="5"/>
      <c r="Y3164" s="9"/>
      <c r="Z3164" s="2"/>
    </row>
    <row r="3165" spans="1:26">
      <c r="A3165" s="4"/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3"/>
      <c r="M3165" s="6"/>
      <c r="N3165" s="6"/>
      <c r="O3165" s="6"/>
      <c r="P3165" s="5"/>
      <c r="Q3165" s="9"/>
      <c r="R3165" s="5"/>
      <c r="S3165" s="5"/>
      <c r="T3165" s="5"/>
      <c r="U3165" s="5"/>
      <c r="V3165" s="5"/>
      <c r="W3165" s="5"/>
      <c r="X3165" s="5"/>
      <c r="Y3165" s="9"/>
      <c r="Z3165" s="2"/>
    </row>
    <row r="3166" spans="1:26">
      <c r="A3166" s="4"/>
      <c r="B3166" s="4"/>
      <c r="C3166" s="4"/>
      <c r="D3166" s="4"/>
      <c r="E3166" s="4"/>
      <c r="F3166" s="4"/>
      <c r="G3166" s="4"/>
      <c r="H3166" s="4"/>
      <c r="I3166" s="4"/>
      <c r="J3166" s="4"/>
      <c r="K3166" s="4"/>
      <c r="L3166" s="3"/>
      <c r="M3166" s="6"/>
      <c r="N3166" s="6"/>
      <c r="O3166" s="6"/>
      <c r="P3166" s="5"/>
      <c r="Q3166" s="9"/>
      <c r="R3166" s="5"/>
      <c r="S3166" s="5"/>
      <c r="T3166" s="5"/>
      <c r="U3166" s="5"/>
      <c r="V3166" s="5"/>
      <c r="W3166" s="5"/>
      <c r="X3166" s="5"/>
      <c r="Y3166" s="9"/>
      <c r="Z3166" s="2"/>
    </row>
    <row r="3167" spans="1:26">
      <c r="A3167" s="4"/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3"/>
      <c r="M3167" s="6"/>
      <c r="N3167" s="6"/>
      <c r="O3167" s="6"/>
      <c r="P3167" s="5"/>
      <c r="Q3167" s="9"/>
      <c r="R3167" s="5"/>
      <c r="S3167" s="5"/>
      <c r="T3167" s="5"/>
      <c r="U3167" s="5"/>
      <c r="V3167" s="5"/>
      <c r="W3167" s="5"/>
      <c r="X3167" s="5"/>
      <c r="Y3167" s="9"/>
      <c r="Z3167" s="2"/>
    </row>
    <row r="3168" spans="1:26">
      <c r="A3168" s="4"/>
      <c r="B3168" s="4"/>
      <c r="C3168" s="4"/>
      <c r="D3168" s="4"/>
      <c r="E3168" s="4"/>
      <c r="F3168" s="4"/>
      <c r="G3168" s="4"/>
      <c r="H3168" s="4"/>
      <c r="I3168" s="4"/>
      <c r="J3168" s="4"/>
      <c r="K3168" s="4"/>
      <c r="L3168" s="3"/>
      <c r="M3168" s="6"/>
      <c r="N3168" s="6"/>
      <c r="O3168" s="6"/>
      <c r="P3168" s="5"/>
      <c r="Q3168" s="9"/>
      <c r="R3168" s="5"/>
      <c r="S3168" s="5"/>
      <c r="T3168" s="5"/>
      <c r="U3168" s="5"/>
      <c r="V3168" s="5"/>
      <c r="W3168" s="5"/>
      <c r="X3168" s="5"/>
      <c r="Y3168" s="9"/>
      <c r="Z3168" s="2"/>
    </row>
    <row r="3169" spans="1:26">
      <c r="A3169" s="4"/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3"/>
      <c r="M3169" s="6"/>
      <c r="N3169" s="6"/>
      <c r="O3169" s="6"/>
      <c r="P3169" s="5"/>
      <c r="Q3169" s="9"/>
      <c r="R3169" s="5"/>
      <c r="S3169" s="5"/>
      <c r="T3169" s="5"/>
      <c r="U3169" s="5"/>
      <c r="V3169" s="5"/>
      <c r="W3169" s="5"/>
      <c r="X3169" s="5"/>
      <c r="Y3169" s="9"/>
      <c r="Z3169" s="2"/>
    </row>
    <row r="3170" spans="1:26">
      <c r="A3170" s="4"/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3"/>
      <c r="M3170" s="6"/>
      <c r="N3170" s="6"/>
      <c r="O3170" s="6"/>
      <c r="P3170" s="5"/>
      <c r="Q3170" s="9"/>
      <c r="R3170" s="5"/>
      <c r="S3170" s="5"/>
      <c r="T3170" s="5"/>
      <c r="U3170" s="5"/>
      <c r="V3170" s="5"/>
      <c r="W3170" s="5"/>
      <c r="X3170" s="5"/>
      <c r="Y3170" s="9"/>
      <c r="Z3170" s="2"/>
    </row>
    <row r="3171" spans="1:26">
      <c r="A3171" s="4"/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3"/>
      <c r="M3171" s="6"/>
      <c r="N3171" s="6"/>
      <c r="O3171" s="6"/>
      <c r="P3171" s="5"/>
      <c r="Q3171" s="9"/>
      <c r="R3171" s="5"/>
      <c r="S3171" s="5"/>
      <c r="T3171" s="5"/>
      <c r="U3171" s="5"/>
      <c r="V3171" s="5"/>
      <c r="W3171" s="5"/>
      <c r="X3171" s="5"/>
      <c r="Y3171" s="9"/>
      <c r="Z3171" s="2"/>
    </row>
    <row r="3172" spans="1:26">
      <c r="A3172" s="4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3"/>
      <c r="M3172" s="6"/>
      <c r="N3172" s="6"/>
      <c r="O3172" s="6"/>
      <c r="P3172" s="5"/>
      <c r="Q3172" s="9"/>
      <c r="R3172" s="5"/>
      <c r="S3172" s="5"/>
      <c r="T3172" s="5"/>
      <c r="U3172" s="5"/>
      <c r="V3172" s="5"/>
      <c r="W3172" s="5"/>
      <c r="X3172" s="5"/>
      <c r="Y3172" s="9"/>
      <c r="Z3172" s="2"/>
    </row>
    <row r="3173" spans="1:26">
      <c r="A3173" s="4"/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3"/>
      <c r="M3173" s="6"/>
      <c r="N3173" s="6"/>
      <c r="O3173" s="6"/>
      <c r="P3173" s="5"/>
      <c r="Q3173" s="9"/>
      <c r="R3173" s="5"/>
      <c r="S3173" s="5"/>
      <c r="T3173" s="5"/>
      <c r="U3173" s="5"/>
      <c r="V3173" s="5"/>
      <c r="W3173" s="5"/>
      <c r="X3173" s="5"/>
      <c r="Y3173" s="9"/>
      <c r="Z3173" s="2"/>
    </row>
    <row r="3174" spans="1:26">
      <c r="A3174" s="4"/>
      <c r="B3174" s="4"/>
      <c r="C3174" s="4"/>
      <c r="D3174" s="4"/>
      <c r="E3174" s="4"/>
      <c r="F3174" s="4"/>
      <c r="G3174" s="4"/>
      <c r="H3174" s="4"/>
      <c r="I3174" s="4"/>
      <c r="J3174" s="4"/>
      <c r="K3174" s="4"/>
      <c r="L3174" s="3"/>
      <c r="M3174" s="6"/>
      <c r="N3174" s="6"/>
      <c r="O3174" s="6"/>
      <c r="P3174" s="5"/>
      <c r="Q3174" s="9"/>
      <c r="R3174" s="5"/>
      <c r="S3174" s="5"/>
      <c r="T3174" s="5"/>
      <c r="U3174" s="5"/>
      <c r="V3174" s="5"/>
      <c r="W3174" s="5"/>
      <c r="X3174" s="5"/>
      <c r="Y3174" s="9"/>
      <c r="Z3174" s="2"/>
    </row>
    <row r="3175" spans="1:26">
      <c r="A3175" s="4"/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3"/>
      <c r="M3175" s="6"/>
      <c r="N3175" s="6"/>
      <c r="O3175" s="6"/>
      <c r="P3175" s="5"/>
      <c r="Q3175" s="9"/>
      <c r="R3175" s="5"/>
      <c r="S3175" s="5"/>
      <c r="T3175" s="5"/>
      <c r="U3175" s="5"/>
      <c r="V3175" s="5"/>
      <c r="W3175" s="5"/>
      <c r="X3175" s="5"/>
      <c r="Y3175" s="9"/>
      <c r="Z3175" s="2"/>
    </row>
    <row r="3176" spans="1:26">
      <c r="A3176" s="4"/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3"/>
      <c r="M3176" s="6"/>
      <c r="N3176" s="6"/>
      <c r="O3176" s="6"/>
      <c r="P3176" s="5"/>
      <c r="Q3176" s="9"/>
      <c r="R3176" s="5"/>
      <c r="S3176" s="5"/>
      <c r="T3176" s="5"/>
      <c r="U3176" s="5"/>
      <c r="V3176" s="5"/>
      <c r="W3176" s="5"/>
      <c r="X3176" s="5"/>
      <c r="Y3176" s="9"/>
      <c r="Z3176" s="2"/>
    </row>
    <row r="3177" spans="1:26">
      <c r="A3177" s="4"/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3"/>
      <c r="M3177" s="6"/>
      <c r="N3177" s="6"/>
      <c r="O3177" s="6"/>
      <c r="P3177" s="5"/>
      <c r="Q3177" s="9"/>
      <c r="R3177" s="5"/>
      <c r="S3177" s="5"/>
      <c r="T3177" s="5"/>
      <c r="U3177" s="5"/>
      <c r="V3177" s="5"/>
      <c r="W3177" s="5"/>
      <c r="X3177" s="5"/>
      <c r="Y3177" s="9"/>
      <c r="Z3177" s="2"/>
    </row>
    <row r="3178" spans="1:26">
      <c r="A3178" s="4"/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3"/>
      <c r="M3178" s="6"/>
      <c r="N3178" s="6"/>
      <c r="O3178" s="6"/>
      <c r="P3178" s="5"/>
      <c r="Q3178" s="9"/>
      <c r="R3178" s="5"/>
      <c r="S3178" s="5"/>
      <c r="T3178" s="5"/>
      <c r="U3178" s="5"/>
      <c r="V3178" s="5"/>
      <c r="W3178" s="5"/>
      <c r="X3178" s="5"/>
      <c r="Y3178" s="9"/>
      <c r="Z3178" s="2"/>
    </row>
    <row r="3179" spans="1:26">
      <c r="A3179" s="4"/>
      <c r="B3179" s="4"/>
      <c r="C3179" s="4"/>
      <c r="D3179" s="4"/>
      <c r="E3179" s="4"/>
      <c r="F3179" s="4"/>
      <c r="G3179" s="4"/>
      <c r="H3179" s="4"/>
      <c r="I3179" s="4"/>
      <c r="J3179" s="4"/>
      <c r="K3179" s="4"/>
      <c r="L3179" s="3"/>
      <c r="M3179" s="6"/>
      <c r="N3179" s="6"/>
      <c r="O3179" s="6"/>
      <c r="P3179" s="5"/>
      <c r="Q3179" s="9"/>
      <c r="R3179" s="5"/>
      <c r="S3179" s="5"/>
      <c r="T3179" s="5"/>
      <c r="U3179" s="5"/>
      <c r="V3179" s="5"/>
      <c r="W3179" s="5"/>
      <c r="X3179" s="5"/>
      <c r="Y3179" s="9"/>
      <c r="Z3179" s="2"/>
    </row>
    <row r="3180" spans="1:26">
      <c r="A3180" s="4"/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3"/>
      <c r="M3180" s="6"/>
      <c r="N3180" s="6"/>
      <c r="O3180" s="6"/>
      <c r="P3180" s="5"/>
      <c r="Q3180" s="9"/>
      <c r="R3180" s="5"/>
      <c r="S3180" s="5"/>
      <c r="T3180" s="5"/>
      <c r="U3180" s="5"/>
      <c r="V3180" s="5"/>
      <c r="W3180" s="5"/>
      <c r="X3180" s="5"/>
      <c r="Y3180" s="9"/>
      <c r="Z3180" s="2"/>
    </row>
    <row r="3181" spans="1:26">
      <c r="A3181" s="4"/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3"/>
      <c r="M3181" s="6"/>
      <c r="N3181" s="6"/>
      <c r="O3181" s="6"/>
      <c r="P3181" s="5"/>
      <c r="Q3181" s="9"/>
      <c r="R3181" s="5"/>
      <c r="S3181" s="5"/>
      <c r="T3181" s="5"/>
      <c r="U3181" s="5"/>
      <c r="V3181" s="5"/>
      <c r="W3181" s="5"/>
      <c r="X3181" s="5"/>
      <c r="Y3181" s="9"/>
      <c r="Z3181" s="2"/>
    </row>
    <row r="3182" spans="1:26">
      <c r="A3182" s="4"/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3"/>
      <c r="M3182" s="6"/>
      <c r="N3182" s="6"/>
      <c r="O3182" s="6"/>
      <c r="P3182" s="5"/>
      <c r="Q3182" s="9"/>
      <c r="R3182" s="5"/>
      <c r="S3182" s="5"/>
      <c r="T3182" s="5"/>
      <c r="U3182" s="5"/>
      <c r="V3182" s="5"/>
      <c r="W3182" s="5"/>
      <c r="X3182" s="5"/>
      <c r="Y3182" s="9"/>
      <c r="Z3182" s="2"/>
    </row>
    <row r="3183" spans="1:26">
      <c r="A3183" s="4"/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3"/>
      <c r="M3183" s="6"/>
      <c r="N3183" s="6"/>
      <c r="O3183" s="6"/>
      <c r="P3183" s="5"/>
      <c r="Q3183" s="9"/>
      <c r="R3183" s="5"/>
      <c r="S3183" s="5"/>
      <c r="T3183" s="5"/>
      <c r="U3183" s="5"/>
      <c r="V3183" s="5"/>
      <c r="W3183" s="5"/>
      <c r="X3183" s="5"/>
      <c r="Y3183" s="9"/>
      <c r="Z3183" s="2"/>
    </row>
    <row r="3184" spans="1:26">
      <c r="A3184" s="4"/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3"/>
      <c r="M3184" s="6"/>
      <c r="N3184" s="6"/>
      <c r="O3184" s="6"/>
      <c r="P3184" s="5"/>
      <c r="Q3184" s="9"/>
      <c r="R3184" s="5"/>
      <c r="S3184" s="5"/>
      <c r="T3184" s="5"/>
      <c r="U3184" s="5"/>
      <c r="V3184" s="5"/>
      <c r="W3184" s="5"/>
      <c r="X3184" s="5"/>
      <c r="Y3184" s="9"/>
      <c r="Z3184" s="2"/>
    </row>
    <row r="3185" spans="1:26">
      <c r="A3185" s="4"/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3"/>
      <c r="M3185" s="6"/>
      <c r="N3185" s="6"/>
      <c r="O3185" s="6"/>
      <c r="P3185" s="5"/>
      <c r="Q3185" s="9"/>
      <c r="R3185" s="5"/>
      <c r="S3185" s="5"/>
      <c r="T3185" s="5"/>
      <c r="U3185" s="5"/>
      <c r="V3185" s="5"/>
      <c r="W3185" s="5"/>
      <c r="X3185" s="5"/>
      <c r="Y3185" s="9"/>
      <c r="Z3185" s="2"/>
    </row>
    <row r="3186" spans="1:26">
      <c r="A3186" s="4"/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3"/>
      <c r="M3186" s="6"/>
      <c r="N3186" s="6"/>
      <c r="O3186" s="6"/>
      <c r="P3186" s="5"/>
      <c r="Q3186" s="9"/>
      <c r="R3186" s="5"/>
      <c r="S3186" s="5"/>
      <c r="T3186" s="5"/>
      <c r="U3186" s="5"/>
      <c r="V3186" s="5"/>
      <c r="W3186" s="5"/>
      <c r="X3186" s="5"/>
      <c r="Y3186" s="9"/>
      <c r="Z3186" s="2"/>
    </row>
    <row r="3187" spans="1:26">
      <c r="A3187" s="4"/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3"/>
      <c r="M3187" s="6"/>
      <c r="N3187" s="6"/>
      <c r="O3187" s="6"/>
      <c r="P3187" s="5"/>
      <c r="Q3187" s="9"/>
      <c r="R3187" s="5"/>
      <c r="S3187" s="5"/>
      <c r="T3187" s="5"/>
      <c r="U3187" s="5"/>
      <c r="V3187" s="5"/>
      <c r="W3187" s="5"/>
      <c r="X3187" s="5"/>
      <c r="Y3187" s="9"/>
      <c r="Z3187" s="2"/>
    </row>
    <row r="3188" spans="1:26">
      <c r="A3188" s="4"/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3"/>
      <c r="M3188" s="6"/>
      <c r="N3188" s="6"/>
      <c r="O3188" s="6"/>
      <c r="P3188" s="5"/>
      <c r="Q3188" s="9"/>
      <c r="R3188" s="5"/>
      <c r="S3188" s="5"/>
      <c r="T3188" s="5"/>
      <c r="U3188" s="5"/>
      <c r="V3188" s="5"/>
      <c r="W3188" s="5"/>
      <c r="X3188" s="5"/>
      <c r="Y3188" s="9"/>
      <c r="Z3188" s="2"/>
    </row>
    <row r="3189" spans="1:26">
      <c r="A3189" s="4"/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3"/>
      <c r="M3189" s="6"/>
      <c r="N3189" s="6"/>
      <c r="O3189" s="6"/>
      <c r="P3189" s="5"/>
      <c r="Q3189" s="9"/>
      <c r="R3189" s="5"/>
      <c r="S3189" s="5"/>
      <c r="T3189" s="5"/>
      <c r="U3189" s="5"/>
      <c r="V3189" s="5"/>
      <c r="W3189" s="5"/>
      <c r="X3189" s="5"/>
      <c r="Y3189" s="9"/>
      <c r="Z3189" s="2"/>
    </row>
    <row r="3190" spans="1:26">
      <c r="A3190" s="4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3"/>
      <c r="M3190" s="6"/>
      <c r="N3190" s="6"/>
      <c r="O3190" s="6"/>
      <c r="P3190" s="5"/>
      <c r="Q3190" s="9"/>
      <c r="R3190" s="5"/>
      <c r="S3190" s="5"/>
      <c r="T3190" s="5"/>
      <c r="U3190" s="5"/>
      <c r="V3190" s="5"/>
      <c r="W3190" s="5"/>
      <c r="X3190" s="5"/>
      <c r="Y3190" s="9"/>
      <c r="Z3190" s="2"/>
    </row>
    <row r="3191" spans="1:26">
      <c r="A3191" s="4"/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3"/>
      <c r="M3191" s="6"/>
      <c r="N3191" s="6"/>
      <c r="O3191" s="6"/>
      <c r="P3191" s="5"/>
      <c r="Q3191" s="9"/>
      <c r="R3191" s="5"/>
      <c r="S3191" s="5"/>
      <c r="T3191" s="5"/>
      <c r="U3191" s="5"/>
      <c r="V3191" s="5"/>
      <c r="W3191" s="5"/>
      <c r="X3191" s="5"/>
      <c r="Y3191" s="9"/>
      <c r="Z3191" s="2"/>
    </row>
    <row r="3192" spans="1:26">
      <c r="A3192" s="4"/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3"/>
      <c r="M3192" s="6"/>
      <c r="N3192" s="6"/>
      <c r="O3192" s="6"/>
      <c r="P3192" s="5"/>
      <c r="Q3192" s="9"/>
      <c r="R3192" s="5"/>
      <c r="S3192" s="5"/>
      <c r="T3192" s="5"/>
      <c r="U3192" s="5"/>
      <c r="V3192" s="5"/>
      <c r="W3192" s="5"/>
      <c r="X3192" s="5"/>
      <c r="Y3192" s="9"/>
      <c r="Z3192" s="2"/>
    </row>
    <row r="3193" spans="1:26">
      <c r="A3193" s="4"/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3"/>
      <c r="M3193" s="6"/>
      <c r="N3193" s="6"/>
      <c r="O3193" s="6"/>
      <c r="P3193" s="5"/>
      <c r="Q3193" s="9"/>
      <c r="R3193" s="5"/>
      <c r="S3193" s="5"/>
      <c r="T3193" s="5"/>
      <c r="U3193" s="5"/>
      <c r="V3193" s="5"/>
      <c r="W3193" s="5"/>
      <c r="X3193" s="5"/>
      <c r="Y3193" s="9"/>
      <c r="Z3193" s="2"/>
    </row>
    <row r="3194" spans="1:26">
      <c r="A3194" s="4"/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3"/>
      <c r="M3194" s="6"/>
      <c r="N3194" s="6"/>
      <c r="O3194" s="6"/>
      <c r="P3194" s="5"/>
      <c r="Q3194" s="9"/>
      <c r="R3194" s="5"/>
      <c r="S3194" s="5"/>
      <c r="T3194" s="5"/>
      <c r="U3194" s="5"/>
      <c r="V3194" s="5"/>
      <c r="W3194" s="5"/>
      <c r="X3194" s="5"/>
      <c r="Y3194" s="9"/>
      <c r="Z3194" s="2"/>
    </row>
    <row r="3195" spans="1:26">
      <c r="A3195" s="4"/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3"/>
      <c r="M3195" s="6"/>
      <c r="N3195" s="6"/>
      <c r="O3195" s="6"/>
      <c r="P3195" s="5"/>
      <c r="Q3195" s="9"/>
      <c r="R3195" s="5"/>
      <c r="S3195" s="5"/>
      <c r="T3195" s="5"/>
      <c r="U3195" s="5"/>
      <c r="V3195" s="5"/>
      <c r="W3195" s="5"/>
      <c r="X3195" s="5"/>
      <c r="Y3195" s="9"/>
      <c r="Z3195" s="2"/>
    </row>
    <row r="3196" spans="1:26">
      <c r="A3196" s="4"/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3"/>
      <c r="M3196" s="6"/>
      <c r="N3196" s="6"/>
      <c r="O3196" s="6"/>
      <c r="P3196" s="5"/>
      <c r="Q3196" s="9"/>
      <c r="R3196" s="5"/>
      <c r="S3196" s="5"/>
      <c r="T3196" s="5"/>
      <c r="U3196" s="5"/>
      <c r="V3196" s="5"/>
      <c r="W3196" s="5"/>
      <c r="X3196" s="5"/>
      <c r="Y3196" s="9"/>
      <c r="Z3196" s="2"/>
    </row>
    <row r="3197" spans="1:26">
      <c r="A3197" s="4"/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3"/>
      <c r="M3197" s="6"/>
      <c r="N3197" s="6"/>
      <c r="O3197" s="6"/>
      <c r="P3197" s="5"/>
      <c r="Q3197" s="9"/>
      <c r="R3197" s="5"/>
      <c r="S3197" s="5"/>
      <c r="T3197" s="5"/>
      <c r="U3197" s="5"/>
      <c r="V3197" s="5"/>
      <c r="W3197" s="5"/>
      <c r="X3197" s="5"/>
      <c r="Y3197" s="9"/>
      <c r="Z3197" s="2"/>
    </row>
    <row r="3198" spans="1:26">
      <c r="A3198" s="4"/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3"/>
      <c r="M3198" s="6"/>
      <c r="N3198" s="6"/>
      <c r="O3198" s="6"/>
      <c r="P3198" s="5"/>
      <c r="Q3198" s="9"/>
      <c r="R3198" s="5"/>
      <c r="S3198" s="5"/>
      <c r="T3198" s="5"/>
      <c r="U3198" s="5"/>
      <c r="V3198" s="5"/>
      <c r="W3198" s="5"/>
      <c r="X3198" s="5"/>
      <c r="Y3198" s="9"/>
      <c r="Z3198" s="2"/>
    </row>
    <row r="3199" spans="1:26">
      <c r="A3199" s="4"/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3"/>
      <c r="M3199" s="6"/>
      <c r="N3199" s="6"/>
      <c r="O3199" s="6"/>
      <c r="P3199" s="5"/>
      <c r="Q3199" s="9"/>
      <c r="R3199" s="5"/>
      <c r="S3199" s="5"/>
      <c r="T3199" s="5"/>
      <c r="U3199" s="5"/>
      <c r="V3199" s="5"/>
      <c r="W3199" s="5"/>
      <c r="X3199" s="5"/>
      <c r="Y3199" s="9"/>
      <c r="Z3199" s="2"/>
    </row>
    <row r="3200" spans="1:26">
      <c r="A3200" s="4"/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3"/>
      <c r="M3200" s="6"/>
      <c r="N3200" s="6"/>
      <c r="O3200" s="6"/>
      <c r="P3200" s="5"/>
      <c r="Q3200" s="9"/>
      <c r="R3200" s="5"/>
      <c r="S3200" s="5"/>
      <c r="T3200" s="5"/>
      <c r="U3200" s="5"/>
      <c r="V3200" s="5"/>
      <c r="W3200" s="5"/>
      <c r="X3200" s="5"/>
      <c r="Y3200" s="9"/>
      <c r="Z3200" s="2"/>
    </row>
    <row r="3201" spans="1:26">
      <c r="A3201" s="4"/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3"/>
      <c r="M3201" s="6"/>
      <c r="N3201" s="6"/>
      <c r="O3201" s="6"/>
      <c r="P3201" s="5"/>
      <c r="Q3201" s="9"/>
      <c r="R3201" s="5"/>
      <c r="S3201" s="5"/>
      <c r="T3201" s="5"/>
      <c r="U3201" s="5"/>
      <c r="V3201" s="5"/>
      <c r="W3201" s="5"/>
      <c r="X3201" s="5"/>
      <c r="Y3201" s="9"/>
      <c r="Z3201" s="2"/>
    </row>
    <row r="3202" spans="1:26">
      <c r="A3202" s="4"/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3"/>
      <c r="M3202" s="6"/>
      <c r="N3202" s="6"/>
      <c r="O3202" s="6"/>
      <c r="P3202" s="5"/>
      <c r="Q3202" s="9"/>
      <c r="R3202" s="5"/>
      <c r="S3202" s="5"/>
      <c r="T3202" s="5"/>
      <c r="U3202" s="5"/>
      <c r="V3202" s="5"/>
      <c r="W3202" s="5"/>
      <c r="X3202" s="5"/>
      <c r="Y3202" s="9"/>
      <c r="Z3202" s="2"/>
    </row>
    <row r="3203" spans="1:26">
      <c r="A3203" s="4"/>
      <c r="B3203" s="4"/>
      <c r="C3203" s="4"/>
      <c r="D3203" s="4"/>
      <c r="E3203" s="4"/>
      <c r="F3203" s="4"/>
      <c r="G3203" s="4"/>
      <c r="H3203" s="4"/>
      <c r="I3203" s="4"/>
      <c r="J3203" s="4"/>
      <c r="K3203" s="4"/>
      <c r="L3203" s="3"/>
      <c r="M3203" s="6"/>
      <c r="N3203" s="6"/>
      <c r="O3203" s="6"/>
      <c r="P3203" s="5"/>
      <c r="Q3203" s="9"/>
      <c r="R3203" s="5"/>
      <c r="S3203" s="5"/>
      <c r="T3203" s="5"/>
      <c r="U3203" s="5"/>
      <c r="V3203" s="5"/>
      <c r="W3203" s="5"/>
      <c r="X3203" s="5"/>
      <c r="Y3203" s="9"/>
      <c r="Z3203" s="2"/>
    </row>
    <row r="3204" spans="1:26">
      <c r="A3204" s="4"/>
      <c r="B3204" s="4"/>
      <c r="C3204" s="4"/>
      <c r="D3204" s="4"/>
      <c r="E3204" s="4"/>
      <c r="F3204" s="4"/>
      <c r="G3204" s="4"/>
      <c r="H3204" s="4"/>
      <c r="I3204" s="4"/>
      <c r="J3204" s="4"/>
      <c r="K3204" s="4"/>
      <c r="L3204" s="3"/>
      <c r="M3204" s="6"/>
      <c r="N3204" s="6"/>
      <c r="O3204" s="6"/>
      <c r="P3204" s="5"/>
      <c r="Q3204" s="9"/>
      <c r="R3204" s="5"/>
      <c r="S3204" s="5"/>
      <c r="T3204" s="5"/>
      <c r="U3204" s="5"/>
      <c r="V3204" s="5"/>
      <c r="W3204" s="5"/>
      <c r="X3204" s="5"/>
      <c r="Y3204" s="9"/>
      <c r="Z3204" s="2"/>
    </row>
    <row r="3205" spans="1:26">
      <c r="A3205" s="4"/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3"/>
      <c r="M3205" s="6"/>
      <c r="N3205" s="6"/>
      <c r="O3205" s="6"/>
      <c r="P3205" s="5"/>
      <c r="Q3205" s="9"/>
      <c r="R3205" s="5"/>
      <c r="S3205" s="5"/>
      <c r="T3205" s="5"/>
      <c r="U3205" s="5"/>
      <c r="V3205" s="5"/>
      <c r="W3205" s="5"/>
      <c r="X3205" s="5"/>
      <c r="Y3205" s="9"/>
      <c r="Z3205" s="2"/>
    </row>
    <row r="3206" spans="1:26">
      <c r="A3206" s="4"/>
      <c r="B3206" s="4"/>
      <c r="C3206" s="4"/>
      <c r="D3206" s="4"/>
      <c r="E3206" s="4"/>
      <c r="F3206" s="4"/>
      <c r="G3206" s="4"/>
      <c r="H3206" s="4"/>
      <c r="I3206" s="4"/>
      <c r="J3206" s="4"/>
      <c r="K3206" s="4"/>
      <c r="L3206" s="3"/>
      <c r="M3206" s="6"/>
      <c r="N3206" s="6"/>
      <c r="O3206" s="6"/>
      <c r="P3206" s="5"/>
      <c r="Q3206" s="9"/>
      <c r="R3206" s="5"/>
      <c r="S3206" s="5"/>
      <c r="T3206" s="5"/>
      <c r="U3206" s="5"/>
      <c r="V3206" s="5"/>
      <c r="W3206" s="5"/>
      <c r="X3206" s="5"/>
      <c r="Y3206" s="9"/>
      <c r="Z3206" s="2"/>
    </row>
    <row r="3207" spans="1:26">
      <c r="A3207" s="4"/>
      <c r="B3207" s="4"/>
      <c r="C3207" s="4"/>
      <c r="D3207" s="4"/>
      <c r="E3207" s="4"/>
      <c r="F3207" s="4"/>
      <c r="G3207" s="4"/>
      <c r="H3207" s="4"/>
      <c r="I3207" s="4"/>
      <c r="J3207" s="4"/>
      <c r="K3207" s="4"/>
      <c r="L3207" s="3"/>
      <c r="M3207" s="6"/>
      <c r="N3207" s="6"/>
      <c r="O3207" s="6"/>
      <c r="P3207" s="5"/>
      <c r="Q3207" s="9"/>
      <c r="R3207" s="5"/>
      <c r="S3207" s="5"/>
      <c r="T3207" s="5"/>
      <c r="U3207" s="5"/>
      <c r="V3207" s="5"/>
      <c r="W3207" s="5"/>
      <c r="X3207" s="5"/>
      <c r="Y3207" s="9"/>
      <c r="Z3207" s="2"/>
    </row>
    <row r="3208" spans="1:26">
      <c r="A3208" s="4"/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3"/>
      <c r="M3208" s="6"/>
      <c r="N3208" s="6"/>
      <c r="O3208" s="6"/>
      <c r="P3208" s="5"/>
      <c r="Q3208" s="9"/>
      <c r="R3208" s="5"/>
      <c r="S3208" s="5"/>
      <c r="T3208" s="5"/>
      <c r="U3208" s="5"/>
      <c r="V3208" s="5"/>
      <c r="W3208" s="5"/>
      <c r="X3208" s="5"/>
      <c r="Y3208" s="9"/>
      <c r="Z3208" s="2"/>
    </row>
    <row r="3209" spans="1:26">
      <c r="A3209" s="4"/>
      <c r="B3209" s="4"/>
      <c r="C3209" s="4"/>
      <c r="D3209" s="4"/>
      <c r="E3209" s="4"/>
      <c r="F3209" s="4"/>
      <c r="G3209" s="4"/>
      <c r="H3209" s="4"/>
      <c r="I3209" s="4"/>
      <c r="J3209" s="4"/>
      <c r="K3209" s="4"/>
      <c r="L3209" s="3"/>
      <c r="M3209" s="6"/>
      <c r="N3209" s="6"/>
      <c r="O3209" s="6"/>
      <c r="P3209" s="5"/>
      <c r="Q3209" s="9"/>
      <c r="R3209" s="5"/>
      <c r="S3209" s="5"/>
      <c r="T3209" s="5"/>
      <c r="U3209" s="5"/>
      <c r="V3209" s="5"/>
      <c r="W3209" s="5"/>
      <c r="X3209" s="5"/>
      <c r="Y3209" s="9"/>
      <c r="Z3209" s="2"/>
    </row>
    <row r="3210" spans="1:26">
      <c r="A3210" s="4"/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3"/>
      <c r="M3210" s="6"/>
      <c r="N3210" s="6"/>
      <c r="O3210" s="6"/>
      <c r="P3210" s="5"/>
      <c r="Q3210" s="9"/>
      <c r="R3210" s="5"/>
      <c r="S3210" s="5"/>
      <c r="T3210" s="5"/>
      <c r="U3210" s="5"/>
      <c r="V3210" s="5"/>
      <c r="W3210" s="5"/>
      <c r="X3210" s="5"/>
      <c r="Y3210" s="9"/>
      <c r="Z3210" s="2"/>
    </row>
    <row r="3211" spans="1:26">
      <c r="A3211" s="4"/>
      <c r="B3211" s="4"/>
      <c r="C3211" s="4"/>
      <c r="D3211" s="4"/>
      <c r="E3211" s="4"/>
      <c r="F3211" s="4"/>
      <c r="G3211" s="4"/>
      <c r="H3211" s="4"/>
      <c r="I3211" s="4"/>
      <c r="J3211" s="4"/>
      <c r="K3211" s="4"/>
      <c r="L3211" s="3"/>
      <c r="M3211" s="6"/>
      <c r="N3211" s="6"/>
      <c r="O3211" s="6"/>
      <c r="P3211" s="5"/>
      <c r="Q3211" s="9"/>
      <c r="R3211" s="5"/>
      <c r="S3211" s="5"/>
      <c r="T3211" s="5"/>
      <c r="U3211" s="5"/>
      <c r="V3211" s="5"/>
      <c r="W3211" s="5"/>
      <c r="X3211" s="5"/>
      <c r="Y3211" s="9"/>
      <c r="Z3211" s="2"/>
    </row>
    <row r="3212" spans="1:26">
      <c r="A3212" s="4"/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3"/>
      <c r="M3212" s="6"/>
      <c r="N3212" s="6"/>
      <c r="O3212" s="6"/>
      <c r="P3212" s="5"/>
      <c r="Q3212" s="9"/>
      <c r="R3212" s="5"/>
      <c r="S3212" s="5"/>
      <c r="T3212" s="5"/>
      <c r="U3212" s="5"/>
      <c r="V3212" s="5"/>
      <c r="W3212" s="5"/>
      <c r="X3212" s="5"/>
      <c r="Y3212" s="9"/>
      <c r="Z3212" s="2"/>
    </row>
    <row r="3213" spans="1:26">
      <c r="A3213" s="4"/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3"/>
      <c r="M3213" s="6"/>
      <c r="N3213" s="6"/>
      <c r="O3213" s="6"/>
      <c r="P3213" s="5"/>
      <c r="Q3213" s="9"/>
      <c r="R3213" s="5"/>
      <c r="S3213" s="5"/>
      <c r="T3213" s="5"/>
      <c r="U3213" s="5"/>
      <c r="V3213" s="5"/>
      <c r="W3213" s="5"/>
      <c r="X3213" s="5"/>
      <c r="Y3213" s="9"/>
      <c r="Z3213" s="2"/>
    </row>
    <row r="3214" spans="1:26">
      <c r="A3214" s="4"/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3"/>
      <c r="M3214" s="6"/>
      <c r="N3214" s="6"/>
      <c r="O3214" s="6"/>
      <c r="P3214" s="5"/>
      <c r="Q3214" s="9"/>
      <c r="R3214" s="5"/>
      <c r="S3214" s="5"/>
      <c r="T3214" s="5"/>
      <c r="U3214" s="5"/>
      <c r="V3214" s="5"/>
      <c r="W3214" s="5"/>
      <c r="X3214" s="5"/>
      <c r="Y3214" s="9"/>
      <c r="Z3214" s="2"/>
    </row>
    <row r="3215" spans="1:26">
      <c r="A3215" s="4"/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3"/>
      <c r="M3215" s="6"/>
      <c r="N3215" s="6"/>
      <c r="O3215" s="6"/>
      <c r="P3215" s="5"/>
      <c r="Q3215" s="9"/>
      <c r="R3215" s="5"/>
      <c r="S3215" s="5"/>
      <c r="T3215" s="5"/>
      <c r="U3215" s="5"/>
      <c r="V3215" s="5"/>
      <c r="W3215" s="5"/>
      <c r="X3215" s="5"/>
      <c r="Y3215" s="9"/>
      <c r="Z3215" s="2"/>
    </row>
    <row r="3216" spans="1:26">
      <c r="A3216" s="4"/>
      <c r="B3216" s="4"/>
      <c r="C3216" s="4"/>
      <c r="D3216" s="4"/>
      <c r="E3216" s="4"/>
      <c r="F3216" s="4"/>
      <c r="G3216" s="4"/>
      <c r="H3216" s="4"/>
      <c r="I3216" s="4"/>
      <c r="J3216" s="4"/>
      <c r="K3216" s="4"/>
      <c r="L3216" s="3"/>
      <c r="M3216" s="6"/>
      <c r="N3216" s="6"/>
      <c r="O3216" s="6"/>
      <c r="P3216" s="5"/>
      <c r="Q3216" s="9"/>
      <c r="R3216" s="5"/>
      <c r="S3216" s="5"/>
      <c r="T3216" s="5"/>
      <c r="U3216" s="5"/>
      <c r="V3216" s="5"/>
      <c r="W3216" s="5"/>
      <c r="X3216" s="5"/>
      <c r="Y3216" s="9"/>
      <c r="Z3216" s="2"/>
    </row>
    <row r="3217" spans="1:26">
      <c r="A3217" s="4"/>
      <c r="B3217" s="4"/>
      <c r="C3217" s="4"/>
      <c r="D3217" s="4"/>
      <c r="E3217" s="4"/>
      <c r="F3217" s="4"/>
      <c r="G3217" s="4"/>
      <c r="H3217" s="4"/>
      <c r="I3217" s="4"/>
      <c r="J3217" s="4"/>
      <c r="K3217" s="4"/>
      <c r="L3217" s="3"/>
      <c r="M3217" s="6"/>
      <c r="N3217" s="6"/>
      <c r="O3217" s="6"/>
      <c r="P3217" s="5"/>
      <c r="Q3217" s="9"/>
      <c r="R3217" s="5"/>
      <c r="S3217" s="5"/>
      <c r="T3217" s="5"/>
      <c r="U3217" s="5"/>
      <c r="V3217" s="5"/>
      <c r="W3217" s="5"/>
      <c r="X3217" s="5"/>
      <c r="Y3217" s="9"/>
      <c r="Z3217" s="2"/>
    </row>
    <row r="3218" spans="1:26">
      <c r="A3218" s="4"/>
      <c r="B3218" s="4"/>
      <c r="C3218" s="4"/>
      <c r="D3218" s="4"/>
      <c r="E3218" s="4"/>
      <c r="F3218" s="4"/>
      <c r="G3218" s="4"/>
      <c r="H3218" s="4"/>
      <c r="I3218" s="4"/>
      <c r="J3218" s="4"/>
      <c r="K3218" s="4"/>
      <c r="L3218" s="3"/>
      <c r="M3218" s="6"/>
      <c r="N3218" s="6"/>
      <c r="O3218" s="6"/>
      <c r="P3218" s="5"/>
      <c r="Q3218" s="9"/>
      <c r="R3218" s="5"/>
      <c r="S3218" s="5"/>
      <c r="T3218" s="5"/>
      <c r="U3218" s="5"/>
      <c r="V3218" s="5"/>
      <c r="W3218" s="5"/>
      <c r="X3218" s="5"/>
      <c r="Y3218" s="9"/>
      <c r="Z3218" s="2"/>
    </row>
    <row r="3219" spans="1:26">
      <c r="A3219" s="4"/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3"/>
      <c r="M3219" s="6"/>
      <c r="N3219" s="6"/>
      <c r="O3219" s="6"/>
      <c r="P3219" s="5"/>
      <c r="Q3219" s="9"/>
      <c r="R3219" s="5"/>
      <c r="S3219" s="5"/>
      <c r="T3219" s="5"/>
      <c r="U3219" s="5"/>
      <c r="V3219" s="5"/>
      <c r="W3219" s="5"/>
      <c r="X3219" s="5"/>
      <c r="Y3219" s="9"/>
      <c r="Z3219" s="2"/>
    </row>
    <row r="3220" spans="1:26">
      <c r="A3220" s="4"/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3"/>
      <c r="M3220" s="6"/>
      <c r="N3220" s="6"/>
      <c r="O3220" s="6"/>
      <c r="P3220" s="5"/>
      <c r="Q3220" s="9"/>
      <c r="R3220" s="5"/>
      <c r="S3220" s="5"/>
      <c r="T3220" s="5"/>
      <c r="U3220" s="5"/>
      <c r="V3220" s="5"/>
      <c r="W3220" s="5"/>
      <c r="X3220" s="5"/>
      <c r="Y3220" s="9"/>
      <c r="Z3220" s="2"/>
    </row>
    <row r="3221" spans="1:26">
      <c r="A3221" s="4"/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3"/>
      <c r="M3221" s="6"/>
      <c r="N3221" s="6"/>
      <c r="O3221" s="6"/>
      <c r="P3221" s="5"/>
      <c r="Q3221" s="9"/>
      <c r="R3221" s="5"/>
      <c r="S3221" s="5"/>
      <c r="T3221" s="5"/>
      <c r="U3221" s="5"/>
      <c r="V3221" s="5"/>
      <c r="W3221" s="5"/>
      <c r="X3221" s="5"/>
      <c r="Y3221" s="9"/>
      <c r="Z3221" s="2"/>
    </row>
    <row r="3222" spans="1:26">
      <c r="A3222" s="4"/>
      <c r="B3222" s="4"/>
      <c r="C3222" s="4"/>
      <c r="D3222" s="4"/>
      <c r="E3222" s="4"/>
      <c r="F3222" s="4"/>
      <c r="G3222" s="4"/>
      <c r="H3222" s="4"/>
      <c r="I3222" s="4"/>
      <c r="J3222" s="4"/>
      <c r="K3222" s="4"/>
      <c r="L3222" s="3"/>
      <c r="M3222" s="6"/>
      <c r="N3222" s="6"/>
      <c r="O3222" s="6"/>
      <c r="P3222" s="5"/>
      <c r="Q3222" s="9"/>
      <c r="R3222" s="5"/>
      <c r="S3222" s="5"/>
      <c r="T3222" s="5"/>
      <c r="U3222" s="5"/>
      <c r="V3222" s="5"/>
      <c r="W3222" s="5"/>
      <c r="X3222" s="5"/>
      <c r="Y3222" s="9"/>
      <c r="Z3222" s="2"/>
    </row>
    <row r="3223" spans="1:26">
      <c r="A3223" s="4"/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3"/>
      <c r="M3223" s="6"/>
      <c r="N3223" s="6"/>
      <c r="O3223" s="6"/>
      <c r="P3223" s="5"/>
      <c r="Q3223" s="9"/>
      <c r="R3223" s="5"/>
      <c r="S3223" s="5"/>
      <c r="T3223" s="5"/>
      <c r="U3223" s="5"/>
      <c r="V3223" s="5"/>
      <c r="W3223" s="5"/>
      <c r="X3223" s="5"/>
      <c r="Y3223" s="9"/>
      <c r="Z3223" s="2"/>
    </row>
    <row r="3224" spans="1:26">
      <c r="A3224" s="4"/>
      <c r="B3224" s="4"/>
      <c r="C3224" s="4"/>
      <c r="D3224" s="4"/>
      <c r="E3224" s="4"/>
      <c r="F3224" s="4"/>
      <c r="G3224" s="4"/>
      <c r="H3224" s="4"/>
      <c r="I3224" s="4"/>
      <c r="J3224" s="4"/>
      <c r="K3224" s="4"/>
      <c r="L3224" s="3"/>
      <c r="M3224" s="6"/>
      <c r="N3224" s="6"/>
      <c r="O3224" s="6"/>
      <c r="P3224" s="5"/>
      <c r="Q3224" s="9"/>
      <c r="R3224" s="5"/>
      <c r="S3224" s="5"/>
      <c r="T3224" s="5"/>
      <c r="U3224" s="5"/>
      <c r="V3224" s="5"/>
      <c r="W3224" s="5"/>
      <c r="X3224" s="5"/>
      <c r="Y3224" s="9"/>
      <c r="Z3224" s="2"/>
    </row>
    <row r="3225" spans="1:26">
      <c r="A3225" s="4"/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3"/>
      <c r="M3225" s="6"/>
      <c r="N3225" s="6"/>
      <c r="O3225" s="6"/>
      <c r="P3225" s="5"/>
      <c r="Q3225" s="9"/>
      <c r="R3225" s="5"/>
      <c r="S3225" s="5"/>
      <c r="T3225" s="5"/>
      <c r="U3225" s="5"/>
      <c r="V3225" s="5"/>
      <c r="W3225" s="5"/>
      <c r="X3225" s="5"/>
      <c r="Y3225" s="9"/>
      <c r="Z3225" s="2"/>
    </row>
    <row r="3226" spans="1:26">
      <c r="A3226" s="4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3"/>
      <c r="M3226" s="6"/>
      <c r="N3226" s="6"/>
      <c r="O3226" s="6"/>
      <c r="P3226" s="5"/>
      <c r="Q3226" s="9"/>
      <c r="R3226" s="5"/>
      <c r="S3226" s="5"/>
      <c r="T3226" s="5"/>
      <c r="U3226" s="5"/>
      <c r="V3226" s="5"/>
      <c r="W3226" s="5"/>
      <c r="X3226" s="5"/>
      <c r="Y3226" s="9"/>
      <c r="Z3226" s="2"/>
    </row>
    <row r="3227" spans="1:26">
      <c r="A3227" s="4"/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3"/>
      <c r="M3227" s="6"/>
      <c r="N3227" s="6"/>
      <c r="O3227" s="6"/>
      <c r="P3227" s="5"/>
      <c r="Q3227" s="9"/>
      <c r="R3227" s="5"/>
      <c r="S3227" s="5"/>
      <c r="T3227" s="5"/>
      <c r="U3227" s="5"/>
      <c r="V3227" s="5"/>
      <c r="W3227" s="5"/>
      <c r="X3227" s="5"/>
      <c r="Y3227" s="9"/>
      <c r="Z3227" s="2"/>
    </row>
    <row r="3228" spans="1:26">
      <c r="A3228" s="4"/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3"/>
      <c r="M3228" s="6"/>
      <c r="N3228" s="6"/>
      <c r="O3228" s="6"/>
      <c r="P3228" s="5"/>
      <c r="Q3228" s="9"/>
      <c r="R3228" s="5"/>
      <c r="S3228" s="5"/>
      <c r="T3228" s="5"/>
      <c r="U3228" s="5"/>
      <c r="V3228" s="5"/>
      <c r="W3228" s="5"/>
      <c r="X3228" s="5"/>
      <c r="Y3228" s="9"/>
      <c r="Z3228" s="2"/>
    </row>
    <row r="3229" spans="1:26">
      <c r="A3229" s="4"/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3"/>
      <c r="M3229" s="6"/>
      <c r="N3229" s="6"/>
      <c r="O3229" s="6"/>
      <c r="P3229" s="5"/>
      <c r="Q3229" s="9"/>
      <c r="R3229" s="5"/>
      <c r="S3229" s="5"/>
      <c r="T3229" s="5"/>
      <c r="U3229" s="5"/>
      <c r="V3229" s="5"/>
      <c r="W3229" s="5"/>
      <c r="X3229" s="5"/>
      <c r="Y3229" s="9"/>
      <c r="Z3229" s="2"/>
    </row>
    <row r="3230" spans="1:26">
      <c r="A3230" s="4"/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3"/>
      <c r="M3230" s="6"/>
      <c r="N3230" s="6"/>
      <c r="O3230" s="6"/>
      <c r="P3230" s="5"/>
      <c r="Q3230" s="9"/>
      <c r="R3230" s="5"/>
      <c r="S3230" s="5"/>
      <c r="T3230" s="5"/>
      <c r="U3230" s="5"/>
      <c r="V3230" s="5"/>
      <c r="W3230" s="5"/>
      <c r="X3230" s="5"/>
      <c r="Y3230" s="9"/>
      <c r="Z3230" s="2"/>
    </row>
    <row r="3231" spans="1:26">
      <c r="A3231" s="4"/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3"/>
      <c r="M3231" s="6"/>
      <c r="N3231" s="6"/>
      <c r="O3231" s="6"/>
      <c r="P3231" s="5"/>
      <c r="Q3231" s="9"/>
      <c r="R3231" s="5"/>
      <c r="S3231" s="5"/>
      <c r="T3231" s="5"/>
      <c r="U3231" s="5"/>
      <c r="V3231" s="5"/>
      <c r="W3231" s="5"/>
      <c r="X3231" s="5"/>
      <c r="Y3231" s="9"/>
      <c r="Z3231" s="2"/>
    </row>
    <row r="3232" spans="1:26">
      <c r="A3232" s="4"/>
      <c r="B3232" s="4"/>
      <c r="C3232" s="4"/>
      <c r="D3232" s="4"/>
      <c r="E3232" s="4"/>
      <c r="F3232" s="4"/>
      <c r="G3232" s="4"/>
      <c r="H3232" s="4"/>
      <c r="I3232" s="4"/>
      <c r="J3232" s="4"/>
      <c r="K3232" s="4"/>
      <c r="L3232" s="3"/>
      <c r="M3232" s="6"/>
      <c r="N3232" s="6"/>
      <c r="O3232" s="6"/>
      <c r="P3232" s="5"/>
      <c r="Q3232" s="9"/>
      <c r="R3232" s="5"/>
      <c r="S3232" s="5"/>
      <c r="T3232" s="5"/>
      <c r="U3232" s="5"/>
      <c r="V3232" s="5"/>
      <c r="W3232" s="5"/>
      <c r="X3232" s="5"/>
      <c r="Y3232" s="9"/>
      <c r="Z3232" s="2"/>
    </row>
    <row r="3233" spans="1:26">
      <c r="A3233" s="4"/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3"/>
      <c r="M3233" s="6"/>
      <c r="N3233" s="6"/>
      <c r="O3233" s="6"/>
      <c r="P3233" s="5"/>
      <c r="Q3233" s="9"/>
      <c r="R3233" s="5"/>
      <c r="S3233" s="5"/>
      <c r="T3233" s="5"/>
      <c r="U3233" s="5"/>
      <c r="V3233" s="5"/>
      <c r="W3233" s="5"/>
      <c r="X3233" s="5"/>
      <c r="Y3233" s="9"/>
      <c r="Z3233" s="2"/>
    </row>
    <row r="3234" spans="1:26">
      <c r="A3234" s="4"/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3"/>
      <c r="M3234" s="6"/>
      <c r="N3234" s="6"/>
      <c r="O3234" s="6"/>
      <c r="P3234" s="5"/>
      <c r="Q3234" s="9"/>
      <c r="R3234" s="5"/>
      <c r="S3234" s="5"/>
      <c r="T3234" s="5"/>
      <c r="U3234" s="5"/>
      <c r="V3234" s="5"/>
      <c r="W3234" s="5"/>
      <c r="X3234" s="5"/>
      <c r="Y3234" s="9"/>
      <c r="Z3234" s="2"/>
    </row>
    <row r="3235" spans="1:26">
      <c r="A3235" s="4"/>
      <c r="B3235" s="4"/>
      <c r="C3235" s="4"/>
      <c r="D3235" s="4"/>
      <c r="E3235" s="4"/>
      <c r="F3235" s="4"/>
      <c r="G3235" s="4"/>
      <c r="H3235" s="4"/>
      <c r="I3235" s="4"/>
      <c r="J3235" s="4"/>
      <c r="K3235" s="4"/>
      <c r="L3235" s="3"/>
      <c r="M3235" s="6"/>
      <c r="N3235" s="6"/>
      <c r="O3235" s="6"/>
      <c r="P3235" s="5"/>
      <c r="Q3235" s="9"/>
      <c r="R3235" s="5"/>
      <c r="S3235" s="5"/>
      <c r="T3235" s="5"/>
      <c r="U3235" s="5"/>
      <c r="V3235" s="5"/>
      <c r="W3235" s="5"/>
      <c r="X3235" s="5"/>
      <c r="Y3235" s="9"/>
      <c r="Z3235" s="2"/>
    </row>
    <row r="3236" spans="1:26">
      <c r="A3236" s="4"/>
      <c r="B3236" s="4"/>
      <c r="C3236" s="4"/>
      <c r="D3236" s="4"/>
      <c r="E3236" s="4"/>
      <c r="F3236" s="4"/>
      <c r="G3236" s="4"/>
      <c r="H3236" s="4"/>
      <c r="I3236" s="4"/>
      <c r="J3236" s="4"/>
      <c r="K3236" s="4"/>
      <c r="L3236" s="3"/>
      <c r="M3236" s="6"/>
      <c r="N3236" s="6"/>
      <c r="O3236" s="6"/>
      <c r="P3236" s="5"/>
      <c r="Q3236" s="9"/>
      <c r="R3236" s="5"/>
      <c r="S3236" s="5"/>
      <c r="T3236" s="5"/>
      <c r="U3236" s="5"/>
      <c r="V3236" s="5"/>
      <c r="W3236" s="5"/>
      <c r="X3236" s="5"/>
      <c r="Y3236" s="9"/>
      <c r="Z3236" s="2"/>
    </row>
    <row r="3237" spans="1:26">
      <c r="A3237" s="4"/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3"/>
      <c r="M3237" s="6"/>
      <c r="N3237" s="6"/>
      <c r="O3237" s="6"/>
      <c r="P3237" s="5"/>
      <c r="Q3237" s="9"/>
      <c r="R3237" s="5"/>
      <c r="S3237" s="5"/>
      <c r="T3237" s="5"/>
      <c r="U3237" s="5"/>
      <c r="V3237" s="5"/>
      <c r="W3237" s="5"/>
      <c r="X3237" s="5"/>
      <c r="Y3237" s="9"/>
      <c r="Z3237" s="2"/>
    </row>
    <row r="3238" spans="1:26">
      <c r="A3238" s="4"/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3"/>
      <c r="M3238" s="6"/>
      <c r="N3238" s="6"/>
      <c r="O3238" s="6"/>
      <c r="P3238" s="5"/>
      <c r="Q3238" s="9"/>
      <c r="R3238" s="5"/>
      <c r="S3238" s="5"/>
      <c r="T3238" s="5"/>
      <c r="U3238" s="5"/>
      <c r="V3238" s="5"/>
      <c r="W3238" s="5"/>
      <c r="X3238" s="5"/>
      <c r="Y3238" s="9"/>
      <c r="Z3238" s="2"/>
    </row>
    <row r="3239" spans="1:26">
      <c r="A3239" s="4"/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3"/>
      <c r="M3239" s="6"/>
      <c r="N3239" s="6"/>
      <c r="O3239" s="6"/>
      <c r="P3239" s="5"/>
      <c r="Q3239" s="9"/>
      <c r="R3239" s="5"/>
      <c r="S3239" s="5"/>
      <c r="T3239" s="5"/>
      <c r="U3239" s="5"/>
      <c r="V3239" s="5"/>
      <c r="W3239" s="5"/>
      <c r="X3239" s="5"/>
      <c r="Y3239" s="9"/>
      <c r="Z3239" s="2"/>
    </row>
    <row r="3240" spans="1:26">
      <c r="A3240" s="4"/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3"/>
      <c r="M3240" s="6"/>
      <c r="N3240" s="6"/>
      <c r="O3240" s="6"/>
      <c r="P3240" s="5"/>
      <c r="Q3240" s="9"/>
      <c r="R3240" s="5"/>
      <c r="S3240" s="5"/>
      <c r="T3240" s="5"/>
      <c r="U3240" s="5"/>
      <c r="V3240" s="5"/>
      <c r="W3240" s="5"/>
      <c r="X3240" s="5"/>
      <c r="Y3240" s="9"/>
      <c r="Z3240" s="2"/>
    </row>
    <row r="3241" spans="1:26">
      <c r="A3241" s="4"/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3"/>
      <c r="M3241" s="6"/>
      <c r="N3241" s="6"/>
      <c r="O3241" s="6"/>
      <c r="P3241" s="5"/>
      <c r="Q3241" s="9"/>
      <c r="R3241" s="5"/>
      <c r="S3241" s="5"/>
      <c r="T3241" s="5"/>
      <c r="U3241" s="5"/>
      <c r="V3241" s="5"/>
      <c r="W3241" s="5"/>
      <c r="X3241" s="5"/>
      <c r="Y3241" s="9"/>
      <c r="Z3241" s="2"/>
    </row>
    <row r="3242" spans="1:26">
      <c r="A3242" s="4"/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3"/>
      <c r="M3242" s="6"/>
      <c r="N3242" s="6"/>
      <c r="O3242" s="6"/>
      <c r="P3242" s="5"/>
      <c r="Q3242" s="9"/>
      <c r="R3242" s="5"/>
      <c r="S3242" s="5"/>
      <c r="T3242" s="5"/>
      <c r="U3242" s="5"/>
      <c r="V3242" s="5"/>
      <c r="W3242" s="5"/>
      <c r="X3242" s="5"/>
      <c r="Y3242" s="9"/>
      <c r="Z3242" s="2"/>
    </row>
    <row r="3243" spans="1:26">
      <c r="A3243" s="4"/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3"/>
      <c r="M3243" s="6"/>
      <c r="N3243" s="6"/>
      <c r="O3243" s="6"/>
      <c r="P3243" s="5"/>
      <c r="Q3243" s="9"/>
      <c r="R3243" s="5"/>
      <c r="S3243" s="5"/>
      <c r="T3243" s="5"/>
      <c r="U3243" s="5"/>
      <c r="V3243" s="5"/>
      <c r="W3243" s="5"/>
      <c r="X3243" s="5"/>
      <c r="Y3243" s="9"/>
      <c r="Z3243" s="2"/>
    </row>
    <row r="3244" spans="1:26">
      <c r="A3244" s="4"/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3"/>
      <c r="M3244" s="6"/>
      <c r="N3244" s="6"/>
      <c r="O3244" s="6"/>
      <c r="P3244" s="5"/>
      <c r="Q3244" s="9"/>
      <c r="R3244" s="5"/>
      <c r="S3244" s="5"/>
      <c r="T3244" s="5"/>
      <c r="U3244" s="5"/>
      <c r="V3244" s="5"/>
      <c r="W3244" s="5"/>
      <c r="X3244" s="5"/>
      <c r="Y3244" s="9"/>
      <c r="Z3244" s="2"/>
    </row>
    <row r="3245" spans="1:26">
      <c r="A3245" s="4"/>
      <c r="B3245" s="4"/>
      <c r="C3245" s="4"/>
      <c r="D3245" s="4"/>
      <c r="E3245" s="4"/>
      <c r="F3245" s="4"/>
      <c r="G3245" s="4"/>
      <c r="H3245" s="4"/>
      <c r="I3245" s="4"/>
      <c r="J3245" s="4"/>
      <c r="K3245" s="4"/>
      <c r="L3245" s="3"/>
      <c r="M3245" s="6"/>
      <c r="N3245" s="6"/>
      <c r="O3245" s="6"/>
      <c r="P3245" s="5"/>
      <c r="Q3245" s="9"/>
      <c r="R3245" s="5"/>
      <c r="S3245" s="5"/>
      <c r="T3245" s="5"/>
      <c r="U3245" s="5"/>
      <c r="V3245" s="5"/>
      <c r="W3245" s="5"/>
      <c r="X3245" s="5"/>
      <c r="Y3245" s="9"/>
      <c r="Z3245" s="2"/>
    </row>
    <row r="3246" spans="1:26">
      <c r="A3246" s="4"/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3"/>
      <c r="M3246" s="6"/>
      <c r="N3246" s="6"/>
      <c r="O3246" s="6"/>
      <c r="P3246" s="5"/>
      <c r="Q3246" s="9"/>
      <c r="R3246" s="5"/>
      <c r="S3246" s="5"/>
      <c r="T3246" s="5"/>
      <c r="U3246" s="5"/>
      <c r="V3246" s="5"/>
      <c r="W3246" s="5"/>
      <c r="X3246" s="5"/>
      <c r="Y3246" s="9"/>
      <c r="Z3246" s="2"/>
    </row>
    <row r="3247" spans="1:26">
      <c r="A3247" s="4"/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3"/>
      <c r="M3247" s="6"/>
      <c r="N3247" s="6"/>
      <c r="O3247" s="6"/>
      <c r="P3247" s="5"/>
      <c r="Q3247" s="9"/>
      <c r="R3247" s="5"/>
      <c r="S3247" s="5"/>
      <c r="T3247" s="5"/>
      <c r="U3247" s="5"/>
      <c r="V3247" s="5"/>
      <c r="W3247" s="5"/>
      <c r="X3247" s="5"/>
      <c r="Y3247" s="9"/>
      <c r="Z3247" s="2"/>
    </row>
    <row r="3248" spans="1:26">
      <c r="A3248" s="4"/>
      <c r="B3248" s="4"/>
      <c r="C3248" s="4"/>
      <c r="D3248" s="4"/>
      <c r="E3248" s="4"/>
      <c r="F3248" s="4"/>
      <c r="G3248" s="4"/>
      <c r="H3248" s="4"/>
      <c r="I3248" s="4"/>
      <c r="J3248" s="4"/>
      <c r="K3248" s="4"/>
      <c r="L3248" s="3"/>
      <c r="M3248" s="6"/>
      <c r="N3248" s="6"/>
      <c r="O3248" s="6"/>
      <c r="P3248" s="5"/>
      <c r="Q3248" s="9"/>
      <c r="R3248" s="5"/>
      <c r="S3248" s="5"/>
      <c r="T3248" s="5"/>
      <c r="U3248" s="5"/>
      <c r="V3248" s="5"/>
      <c r="W3248" s="5"/>
      <c r="X3248" s="5"/>
      <c r="Y3248" s="9"/>
      <c r="Z3248" s="2"/>
    </row>
    <row r="3249" spans="1:26">
      <c r="A3249" s="4"/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3"/>
      <c r="M3249" s="6"/>
      <c r="N3249" s="6"/>
      <c r="O3249" s="6"/>
      <c r="P3249" s="5"/>
      <c r="Q3249" s="9"/>
      <c r="R3249" s="5"/>
      <c r="S3249" s="5"/>
      <c r="T3249" s="5"/>
      <c r="U3249" s="5"/>
      <c r="V3249" s="5"/>
      <c r="W3249" s="5"/>
      <c r="X3249" s="5"/>
      <c r="Y3249" s="9"/>
      <c r="Z3249" s="2"/>
    </row>
    <row r="3250" spans="1:26">
      <c r="A3250" s="4"/>
      <c r="B3250" s="4"/>
      <c r="C3250" s="4"/>
      <c r="D3250" s="4"/>
      <c r="E3250" s="4"/>
      <c r="F3250" s="4"/>
      <c r="G3250" s="4"/>
      <c r="H3250" s="4"/>
      <c r="I3250" s="4"/>
      <c r="J3250" s="4"/>
      <c r="K3250" s="4"/>
      <c r="L3250" s="3"/>
      <c r="M3250" s="6"/>
      <c r="N3250" s="6"/>
      <c r="O3250" s="6"/>
      <c r="P3250" s="5"/>
      <c r="Q3250" s="9"/>
      <c r="R3250" s="5"/>
      <c r="S3250" s="5"/>
      <c r="T3250" s="5"/>
      <c r="U3250" s="5"/>
      <c r="V3250" s="5"/>
      <c r="W3250" s="5"/>
      <c r="X3250" s="5"/>
      <c r="Y3250" s="9"/>
      <c r="Z3250" s="2"/>
    </row>
    <row r="3251" spans="1:26">
      <c r="A3251" s="4"/>
      <c r="B3251" s="4"/>
      <c r="C3251" s="4"/>
      <c r="D3251" s="4"/>
      <c r="E3251" s="4"/>
      <c r="F3251" s="4"/>
      <c r="G3251" s="4"/>
      <c r="H3251" s="4"/>
      <c r="I3251" s="4"/>
      <c r="J3251" s="4"/>
      <c r="K3251" s="4"/>
      <c r="L3251" s="3"/>
      <c r="M3251" s="6"/>
      <c r="N3251" s="6"/>
      <c r="O3251" s="6"/>
      <c r="P3251" s="5"/>
      <c r="Q3251" s="9"/>
      <c r="R3251" s="5"/>
      <c r="S3251" s="5"/>
      <c r="T3251" s="5"/>
      <c r="U3251" s="5"/>
      <c r="V3251" s="5"/>
      <c r="W3251" s="5"/>
      <c r="X3251" s="5"/>
      <c r="Y3251" s="9"/>
      <c r="Z3251" s="2"/>
    </row>
    <row r="3252" spans="1:26">
      <c r="A3252" s="4"/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3"/>
      <c r="M3252" s="6"/>
      <c r="N3252" s="6"/>
      <c r="O3252" s="6"/>
      <c r="P3252" s="5"/>
      <c r="Q3252" s="9"/>
      <c r="R3252" s="5"/>
      <c r="S3252" s="5"/>
      <c r="T3252" s="5"/>
      <c r="U3252" s="5"/>
      <c r="V3252" s="5"/>
      <c r="W3252" s="5"/>
      <c r="X3252" s="5"/>
      <c r="Y3252" s="9"/>
      <c r="Z3252" s="2"/>
    </row>
    <row r="3253" spans="1:26">
      <c r="A3253" s="4"/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3"/>
      <c r="M3253" s="6"/>
      <c r="N3253" s="6"/>
      <c r="O3253" s="6"/>
      <c r="P3253" s="5"/>
      <c r="Q3253" s="9"/>
      <c r="R3253" s="5"/>
      <c r="S3253" s="5"/>
      <c r="T3253" s="5"/>
      <c r="U3253" s="5"/>
      <c r="V3253" s="5"/>
      <c r="W3253" s="5"/>
      <c r="X3253" s="5"/>
      <c r="Y3253" s="9"/>
      <c r="Z3253" s="2"/>
    </row>
    <row r="3254" spans="1:26">
      <c r="A3254" s="4"/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3"/>
      <c r="M3254" s="6"/>
      <c r="N3254" s="6"/>
      <c r="O3254" s="6"/>
      <c r="P3254" s="5"/>
      <c r="Q3254" s="9"/>
      <c r="R3254" s="5"/>
      <c r="S3254" s="5"/>
      <c r="T3254" s="5"/>
      <c r="U3254" s="5"/>
      <c r="V3254" s="5"/>
      <c r="W3254" s="5"/>
      <c r="X3254" s="5"/>
      <c r="Y3254" s="9"/>
      <c r="Z3254" s="2"/>
    </row>
    <row r="3255" spans="1:26">
      <c r="A3255" s="4"/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3"/>
      <c r="M3255" s="6"/>
      <c r="N3255" s="6"/>
      <c r="O3255" s="6"/>
      <c r="P3255" s="5"/>
      <c r="Q3255" s="9"/>
      <c r="R3255" s="5"/>
      <c r="S3255" s="5"/>
      <c r="T3255" s="5"/>
      <c r="U3255" s="5"/>
      <c r="V3255" s="5"/>
      <c r="W3255" s="5"/>
      <c r="X3255" s="5"/>
      <c r="Y3255" s="9"/>
      <c r="Z3255" s="2"/>
    </row>
    <row r="3256" spans="1:26">
      <c r="A3256" s="4"/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3"/>
      <c r="M3256" s="6"/>
      <c r="N3256" s="6"/>
      <c r="O3256" s="6"/>
      <c r="P3256" s="5"/>
      <c r="Q3256" s="9"/>
      <c r="R3256" s="5"/>
      <c r="S3256" s="5"/>
      <c r="T3256" s="5"/>
      <c r="U3256" s="5"/>
      <c r="V3256" s="5"/>
      <c r="W3256" s="5"/>
      <c r="X3256" s="5"/>
      <c r="Y3256" s="9"/>
      <c r="Z3256" s="2"/>
    </row>
    <row r="3257" spans="1:26">
      <c r="A3257" s="4"/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3"/>
      <c r="M3257" s="6"/>
      <c r="N3257" s="6"/>
      <c r="O3257" s="6"/>
      <c r="P3257" s="5"/>
      <c r="Q3257" s="9"/>
      <c r="R3257" s="5"/>
      <c r="S3257" s="5"/>
      <c r="T3257" s="5"/>
      <c r="U3257" s="5"/>
      <c r="V3257" s="5"/>
      <c r="W3257" s="5"/>
      <c r="X3257" s="5"/>
      <c r="Y3257" s="9"/>
      <c r="Z3257" s="2"/>
    </row>
    <row r="3258" spans="1:26">
      <c r="A3258" s="4"/>
      <c r="B3258" s="4"/>
      <c r="C3258" s="4"/>
      <c r="D3258" s="4"/>
      <c r="E3258" s="4"/>
      <c r="F3258" s="4"/>
      <c r="G3258" s="4"/>
      <c r="H3258" s="4"/>
      <c r="I3258" s="4"/>
      <c r="J3258" s="4"/>
      <c r="K3258" s="4"/>
      <c r="L3258" s="3"/>
      <c r="M3258" s="6"/>
      <c r="N3258" s="6"/>
      <c r="O3258" s="6"/>
      <c r="P3258" s="5"/>
      <c r="Q3258" s="9"/>
      <c r="R3258" s="5"/>
      <c r="S3258" s="5"/>
      <c r="T3258" s="5"/>
      <c r="U3258" s="5"/>
      <c r="V3258" s="5"/>
      <c r="W3258" s="5"/>
      <c r="X3258" s="5"/>
      <c r="Y3258" s="9"/>
      <c r="Z3258" s="2"/>
    </row>
    <row r="3259" spans="1:26">
      <c r="A3259" s="4"/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3"/>
      <c r="M3259" s="6"/>
      <c r="N3259" s="6"/>
      <c r="O3259" s="6"/>
      <c r="P3259" s="5"/>
      <c r="Q3259" s="9"/>
      <c r="R3259" s="5"/>
      <c r="S3259" s="5"/>
      <c r="T3259" s="5"/>
      <c r="U3259" s="5"/>
      <c r="V3259" s="5"/>
      <c r="W3259" s="5"/>
      <c r="X3259" s="5"/>
      <c r="Y3259" s="9"/>
      <c r="Z3259" s="2"/>
    </row>
    <row r="3260" spans="1:26">
      <c r="A3260" s="4"/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3"/>
      <c r="M3260" s="6"/>
      <c r="N3260" s="6"/>
      <c r="O3260" s="6"/>
      <c r="P3260" s="5"/>
      <c r="Q3260" s="9"/>
      <c r="R3260" s="5"/>
      <c r="S3260" s="5"/>
      <c r="T3260" s="5"/>
      <c r="U3260" s="5"/>
      <c r="V3260" s="5"/>
      <c r="W3260" s="5"/>
      <c r="X3260" s="5"/>
      <c r="Y3260" s="9"/>
      <c r="Z3260" s="2"/>
    </row>
    <row r="3261" spans="1:26">
      <c r="A3261" s="4"/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3"/>
      <c r="M3261" s="6"/>
      <c r="N3261" s="6"/>
      <c r="O3261" s="6"/>
      <c r="P3261" s="5"/>
      <c r="Q3261" s="9"/>
      <c r="R3261" s="5"/>
      <c r="S3261" s="5"/>
      <c r="T3261" s="5"/>
      <c r="U3261" s="5"/>
      <c r="V3261" s="5"/>
      <c r="W3261" s="5"/>
      <c r="X3261" s="5"/>
      <c r="Y3261" s="9"/>
      <c r="Z3261" s="2"/>
    </row>
    <row r="3262" spans="1:26">
      <c r="A3262" s="4"/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3"/>
      <c r="M3262" s="6"/>
      <c r="N3262" s="6"/>
      <c r="O3262" s="6"/>
      <c r="P3262" s="5"/>
      <c r="Q3262" s="9"/>
      <c r="R3262" s="5"/>
      <c r="S3262" s="5"/>
      <c r="T3262" s="5"/>
      <c r="U3262" s="5"/>
      <c r="V3262" s="5"/>
      <c r="W3262" s="5"/>
      <c r="X3262" s="5"/>
      <c r="Y3262" s="9"/>
      <c r="Z3262" s="2"/>
    </row>
    <row r="3263" spans="1:26">
      <c r="A3263" s="4"/>
      <c r="B3263" s="4"/>
      <c r="C3263" s="4"/>
      <c r="D3263" s="4"/>
      <c r="E3263" s="4"/>
      <c r="F3263" s="4"/>
      <c r="G3263" s="4"/>
      <c r="H3263" s="4"/>
      <c r="I3263" s="4"/>
      <c r="J3263" s="4"/>
      <c r="K3263" s="4"/>
      <c r="L3263" s="3"/>
      <c r="M3263" s="6"/>
      <c r="N3263" s="6"/>
      <c r="O3263" s="6"/>
      <c r="P3263" s="5"/>
      <c r="Q3263" s="9"/>
      <c r="R3263" s="5"/>
      <c r="S3263" s="5"/>
      <c r="T3263" s="5"/>
      <c r="U3263" s="5"/>
      <c r="V3263" s="5"/>
      <c r="W3263" s="5"/>
      <c r="X3263" s="5"/>
      <c r="Y3263" s="9"/>
      <c r="Z3263" s="2"/>
    </row>
    <row r="3264" spans="1:26">
      <c r="A3264" s="4"/>
      <c r="B3264" s="4"/>
      <c r="C3264" s="4"/>
      <c r="D3264" s="4"/>
      <c r="E3264" s="4"/>
      <c r="F3264" s="4"/>
      <c r="G3264" s="4"/>
      <c r="H3264" s="4"/>
      <c r="I3264" s="4"/>
      <c r="J3264" s="4"/>
      <c r="K3264" s="4"/>
      <c r="L3264" s="3"/>
      <c r="M3264" s="6"/>
      <c r="N3264" s="6"/>
      <c r="O3264" s="6"/>
      <c r="P3264" s="5"/>
      <c r="Q3264" s="9"/>
      <c r="R3264" s="5"/>
      <c r="S3264" s="5"/>
      <c r="T3264" s="5"/>
      <c r="U3264" s="5"/>
      <c r="V3264" s="5"/>
      <c r="W3264" s="5"/>
      <c r="X3264" s="5"/>
      <c r="Y3264" s="9"/>
      <c r="Z3264" s="2"/>
    </row>
    <row r="3265" spans="1:26">
      <c r="A3265" s="4"/>
      <c r="B3265" s="4"/>
      <c r="C3265" s="4"/>
      <c r="D3265" s="4"/>
      <c r="E3265" s="4"/>
      <c r="F3265" s="4"/>
      <c r="G3265" s="4"/>
      <c r="H3265" s="4"/>
      <c r="I3265" s="4"/>
      <c r="J3265" s="4"/>
      <c r="K3265" s="4"/>
      <c r="L3265" s="3"/>
      <c r="M3265" s="6"/>
      <c r="N3265" s="6"/>
      <c r="O3265" s="6"/>
      <c r="P3265" s="5"/>
      <c r="Q3265" s="9"/>
      <c r="R3265" s="5"/>
      <c r="S3265" s="5"/>
      <c r="T3265" s="5"/>
      <c r="U3265" s="5"/>
      <c r="V3265" s="5"/>
      <c r="W3265" s="5"/>
      <c r="X3265" s="5"/>
      <c r="Y3265" s="9"/>
      <c r="Z3265" s="2"/>
    </row>
    <row r="3266" spans="1:26">
      <c r="A3266" s="4"/>
      <c r="B3266" s="4"/>
      <c r="C3266" s="4"/>
      <c r="D3266" s="4"/>
      <c r="E3266" s="4"/>
      <c r="F3266" s="4"/>
      <c r="G3266" s="4"/>
      <c r="H3266" s="4"/>
      <c r="I3266" s="4"/>
      <c r="J3266" s="4"/>
      <c r="K3266" s="4"/>
      <c r="L3266" s="3"/>
      <c r="M3266" s="6"/>
      <c r="N3266" s="6"/>
      <c r="O3266" s="6"/>
      <c r="P3266" s="5"/>
      <c r="Q3266" s="9"/>
      <c r="R3266" s="5"/>
      <c r="S3266" s="5"/>
      <c r="T3266" s="5"/>
      <c r="U3266" s="5"/>
      <c r="V3266" s="5"/>
      <c r="W3266" s="5"/>
      <c r="X3266" s="5"/>
      <c r="Y3266" s="9"/>
      <c r="Z3266" s="2"/>
    </row>
    <row r="3267" spans="1:26">
      <c r="A3267" s="4"/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3"/>
      <c r="M3267" s="6"/>
      <c r="N3267" s="6"/>
      <c r="O3267" s="6"/>
      <c r="P3267" s="5"/>
      <c r="Q3267" s="9"/>
      <c r="R3267" s="5"/>
      <c r="S3267" s="5"/>
      <c r="T3267" s="5"/>
      <c r="U3267" s="5"/>
      <c r="V3267" s="5"/>
      <c r="W3267" s="5"/>
      <c r="X3267" s="5"/>
      <c r="Y3267" s="9"/>
      <c r="Z3267" s="2"/>
    </row>
    <row r="3268" spans="1:26">
      <c r="A3268" s="4"/>
      <c r="B3268" s="4"/>
      <c r="C3268" s="4"/>
      <c r="D3268" s="4"/>
      <c r="E3268" s="4"/>
      <c r="F3268" s="4"/>
      <c r="G3268" s="4"/>
      <c r="H3268" s="4"/>
      <c r="I3268" s="4"/>
      <c r="J3268" s="4"/>
      <c r="K3268" s="4"/>
      <c r="L3268" s="3"/>
      <c r="M3268" s="6"/>
      <c r="N3268" s="6"/>
      <c r="O3268" s="6"/>
      <c r="P3268" s="5"/>
      <c r="Q3268" s="9"/>
      <c r="R3268" s="5"/>
      <c r="S3268" s="5"/>
      <c r="T3268" s="5"/>
      <c r="U3268" s="5"/>
      <c r="V3268" s="5"/>
      <c r="W3268" s="5"/>
      <c r="X3268" s="5"/>
      <c r="Y3268" s="9"/>
      <c r="Z3268" s="2"/>
    </row>
    <row r="3269" spans="1:26">
      <c r="A3269" s="4"/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3"/>
      <c r="M3269" s="6"/>
      <c r="N3269" s="6"/>
      <c r="O3269" s="6"/>
      <c r="P3269" s="5"/>
      <c r="Q3269" s="9"/>
      <c r="R3269" s="5"/>
      <c r="S3269" s="5"/>
      <c r="T3269" s="5"/>
      <c r="U3269" s="5"/>
      <c r="V3269" s="5"/>
      <c r="W3269" s="5"/>
      <c r="X3269" s="5"/>
      <c r="Y3269" s="9"/>
      <c r="Z3269" s="2"/>
    </row>
    <row r="3270" spans="1:26">
      <c r="A3270" s="4"/>
      <c r="B3270" s="4"/>
      <c r="C3270" s="4"/>
      <c r="D3270" s="4"/>
      <c r="E3270" s="4"/>
      <c r="F3270" s="4"/>
      <c r="G3270" s="4"/>
      <c r="H3270" s="4"/>
      <c r="I3270" s="4"/>
      <c r="J3270" s="4"/>
      <c r="K3270" s="4"/>
      <c r="L3270" s="3"/>
      <c r="M3270" s="6"/>
      <c r="N3270" s="6"/>
      <c r="O3270" s="6"/>
      <c r="P3270" s="5"/>
      <c r="Q3270" s="9"/>
      <c r="R3270" s="5"/>
      <c r="S3270" s="5"/>
      <c r="T3270" s="5"/>
      <c r="U3270" s="5"/>
      <c r="V3270" s="5"/>
      <c r="W3270" s="5"/>
      <c r="X3270" s="5"/>
      <c r="Y3270" s="9"/>
      <c r="Z3270" s="2"/>
    </row>
    <row r="3271" spans="1:26">
      <c r="A3271" s="4"/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3"/>
      <c r="M3271" s="6"/>
      <c r="N3271" s="6"/>
      <c r="O3271" s="6"/>
      <c r="P3271" s="5"/>
      <c r="Q3271" s="9"/>
      <c r="R3271" s="5"/>
      <c r="S3271" s="5"/>
      <c r="T3271" s="5"/>
      <c r="U3271" s="5"/>
      <c r="V3271" s="5"/>
      <c r="W3271" s="5"/>
      <c r="X3271" s="5"/>
      <c r="Y3271" s="9"/>
      <c r="Z3271" s="2"/>
    </row>
    <row r="3272" spans="1:26">
      <c r="A3272" s="4"/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3"/>
      <c r="M3272" s="6"/>
      <c r="N3272" s="6"/>
      <c r="O3272" s="6"/>
      <c r="P3272" s="5"/>
      <c r="Q3272" s="9"/>
      <c r="R3272" s="5"/>
      <c r="S3272" s="5"/>
      <c r="T3272" s="5"/>
      <c r="U3272" s="5"/>
      <c r="V3272" s="5"/>
      <c r="W3272" s="5"/>
      <c r="X3272" s="5"/>
      <c r="Y3272" s="9"/>
      <c r="Z3272" s="2"/>
    </row>
    <row r="3273" spans="1:26">
      <c r="A3273" s="4"/>
      <c r="B3273" s="4"/>
      <c r="C3273" s="4"/>
      <c r="D3273" s="4"/>
      <c r="E3273" s="4"/>
      <c r="F3273" s="4"/>
      <c r="G3273" s="4"/>
      <c r="H3273" s="4"/>
      <c r="I3273" s="4"/>
      <c r="J3273" s="4"/>
      <c r="K3273" s="4"/>
      <c r="L3273" s="3"/>
      <c r="M3273" s="6"/>
      <c r="N3273" s="6"/>
      <c r="O3273" s="6"/>
      <c r="P3273" s="5"/>
      <c r="Q3273" s="9"/>
      <c r="R3273" s="5"/>
      <c r="S3273" s="5"/>
      <c r="T3273" s="5"/>
      <c r="U3273" s="5"/>
      <c r="V3273" s="5"/>
      <c r="W3273" s="5"/>
      <c r="X3273" s="5"/>
      <c r="Y3273" s="9"/>
      <c r="Z3273" s="2"/>
    </row>
    <row r="3274" spans="1:26">
      <c r="A3274" s="4"/>
      <c r="B3274" s="4"/>
      <c r="C3274" s="4"/>
      <c r="D3274" s="4"/>
      <c r="E3274" s="4"/>
      <c r="F3274" s="4"/>
      <c r="G3274" s="4"/>
      <c r="H3274" s="4"/>
      <c r="I3274" s="4"/>
      <c r="J3274" s="4"/>
      <c r="K3274" s="4"/>
      <c r="L3274" s="3"/>
      <c r="M3274" s="6"/>
      <c r="N3274" s="6"/>
      <c r="O3274" s="6"/>
      <c r="P3274" s="5"/>
      <c r="Q3274" s="9"/>
      <c r="R3274" s="5"/>
      <c r="S3274" s="5"/>
      <c r="T3274" s="5"/>
      <c r="U3274" s="5"/>
      <c r="V3274" s="5"/>
      <c r="W3274" s="5"/>
      <c r="X3274" s="5"/>
      <c r="Y3274" s="9"/>
      <c r="Z3274" s="2"/>
    </row>
    <row r="3275" spans="1:26">
      <c r="A3275" s="4"/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3"/>
      <c r="M3275" s="6"/>
      <c r="N3275" s="6"/>
      <c r="O3275" s="6"/>
      <c r="P3275" s="5"/>
      <c r="Q3275" s="9"/>
      <c r="R3275" s="5"/>
      <c r="S3275" s="5"/>
      <c r="T3275" s="5"/>
      <c r="U3275" s="5"/>
      <c r="V3275" s="5"/>
      <c r="W3275" s="5"/>
      <c r="X3275" s="5"/>
      <c r="Y3275" s="9"/>
      <c r="Z3275" s="2"/>
    </row>
    <row r="3276" spans="1:26">
      <c r="A3276" s="4"/>
      <c r="B3276" s="4"/>
      <c r="C3276" s="4"/>
      <c r="D3276" s="4"/>
      <c r="E3276" s="4"/>
      <c r="F3276" s="4"/>
      <c r="G3276" s="4"/>
      <c r="H3276" s="4"/>
      <c r="I3276" s="4"/>
      <c r="J3276" s="4"/>
      <c r="K3276" s="4"/>
      <c r="L3276" s="3"/>
      <c r="M3276" s="6"/>
      <c r="N3276" s="6"/>
      <c r="O3276" s="6"/>
      <c r="P3276" s="5"/>
      <c r="Q3276" s="9"/>
      <c r="R3276" s="5"/>
      <c r="S3276" s="5"/>
      <c r="T3276" s="5"/>
      <c r="U3276" s="5"/>
      <c r="V3276" s="5"/>
      <c r="W3276" s="5"/>
      <c r="X3276" s="5"/>
      <c r="Y3276" s="9"/>
      <c r="Z3276" s="2"/>
    </row>
    <row r="3277" spans="1:26">
      <c r="A3277" s="4"/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3"/>
      <c r="M3277" s="6"/>
      <c r="N3277" s="6"/>
      <c r="O3277" s="6"/>
      <c r="P3277" s="5"/>
      <c r="Q3277" s="9"/>
      <c r="R3277" s="5"/>
      <c r="S3277" s="5"/>
      <c r="T3277" s="5"/>
      <c r="U3277" s="5"/>
      <c r="V3277" s="5"/>
      <c r="W3277" s="5"/>
      <c r="X3277" s="5"/>
      <c r="Y3277" s="9"/>
      <c r="Z3277" s="2"/>
    </row>
    <row r="3278" spans="1:26">
      <c r="A3278" s="4"/>
      <c r="B3278" s="4"/>
      <c r="C3278" s="4"/>
      <c r="D3278" s="4"/>
      <c r="E3278" s="4"/>
      <c r="F3278" s="4"/>
      <c r="G3278" s="4"/>
      <c r="H3278" s="4"/>
      <c r="I3278" s="4"/>
      <c r="J3278" s="4"/>
      <c r="K3278" s="4"/>
      <c r="L3278" s="3"/>
      <c r="M3278" s="6"/>
      <c r="N3278" s="6"/>
      <c r="O3278" s="6"/>
      <c r="P3278" s="5"/>
      <c r="Q3278" s="9"/>
      <c r="R3278" s="5"/>
      <c r="S3278" s="5"/>
      <c r="T3278" s="5"/>
      <c r="U3278" s="5"/>
      <c r="V3278" s="5"/>
      <c r="W3278" s="5"/>
      <c r="X3278" s="5"/>
      <c r="Y3278" s="9"/>
      <c r="Z3278" s="2"/>
    </row>
    <row r="3279" spans="1:26">
      <c r="A3279" s="4"/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3"/>
      <c r="M3279" s="6"/>
      <c r="N3279" s="6"/>
      <c r="O3279" s="6"/>
      <c r="P3279" s="5"/>
      <c r="Q3279" s="9"/>
      <c r="R3279" s="5"/>
      <c r="S3279" s="5"/>
      <c r="T3279" s="5"/>
      <c r="U3279" s="5"/>
      <c r="V3279" s="5"/>
      <c r="W3279" s="5"/>
      <c r="X3279" s="5"/>
      <c r="Y3279" s="9"/>
      <c r="Z3279" s="2"/>
    </row>
    <row r="3280" spans="1:26">
      <c r="A3280" s="4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3"/>
      <c r="M3280" s="6"/>
      <c r="N3280" s="6"/>
      <c r="O3280" s="6"/>
      <c r="P3280" s="5"/>
      <c r="Q3280" s="9"/>
      <c r="R3280" s="5"/>
      <c r="S3280" s="5"/>
      <c r="T3280" s="5"/>
      <c r="U3280" s="5"/>
      <c r="V3280" s="5"/>
      <c r="W3280" s="5"/>
      <c r="X3280" s="5"/>
      <c r="Y3280" s="9"/>
      <c r="Z3280" s="2"/>
    </row>
    <row r="3281" spans="1:26">
      <c r="A3281" s="4"/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3"/>
      <c r="M3281" s="6"/>
      <c r="N3281" s="6"/>
      <c r="O3281" s="6"/>
      <c r="P3281" s="5"/>
      <c r="Q3281" s="9"/>
      <c r="R3281" s="5"/>
      <c r="S3281" s="5"/>
      <c r="T3281" s="5"/>
      <c r="U3281" s="5"/>
      <c r="V3281" s="5"/>
      <c r="W3281" s="5"/>
      <c r="X3281" s="5"/>
      <c r="Y3281" s="9"/>
      <c r="Z3281" s="2"/>
    </row>
    <row r="3282" spans="1:26">
      <c r="A3282" s="4"/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3"/>
      <c r="M3282" s="6"/>
      <c r="N3282" s="6"/>
      <c r="O3282" s="6"/>
      <c r="P3282" s="5"/>
      <c r="Q3282" s="9"/>
      <c r="R3282" s="5"/>
      <c r="S3282" s="5"/>
      <c r="T3282" s="5"/>
      <c r="U3282" s="5"/>
      <c r="V3282" s="5"/>
      <c r="W3282" s="5"/>
      <c r="X3282" s="5"/>
      <c r="Y3282" s="9"/>
      <c r="Z3282" s="2"/>
    </row>
    <row r="3283" spans="1:26">
      <c r="A3283" s="4"/>
      <c r="B3283" s="4"/>
      <c r="C3283" s="4"/>
      <c r="D3283" s="4"/>
      <c r="E3283" s="4"/>
      <c r="F3283" s="4"/>
      <c r="G3283" s="4"/>
      <c r="H3283" s="4"/>
      <c r="I3283" s="4"/>
      <c r="J3283" s="4"/>
      <c r="K3283" s="4"/>
      <c r="L3283" s="3"/>
      <c r="M3283" s="6"/>
      <c r="N3283" s="6"/>
      <c r="O3283" s="6"/>
      <c r="P3283" s="5"/>
      <c r="Q3283" s="9"/>
      <c r="R3283" s="5"/>
      <c r="S3283" s="5"/>
      <c r="T3283" s="5"/>
      <c r="U3283" s="5"/>
      <c r="V3283" s="5"/>
      <c r="W3283" s="5"/>
      <c r="X3283" s="5"/>
      <c r="Y3283" s="9"/>
      <c r="Z3283" s="2"/>
    </row>
    <row r="3284" spans="1:26">
      <c r="A3284" s="4"/>
      <c r="B3284" s="4"/>
      <c r="C3284" s="4"/>
      <c r="D3284" s="4"/>
      <c r="E3284" s="4"/>
      <c r="F3284" s="4"/>
      <c r="G3284" s="4"/>
      <c r="H3284" s="4"/>
      <c r="I3284" s="4"/>
      <c r="J3284" s="4"/>
      <c r="K3284" s="4"/>
      <c r="L3284" s="3"/>
      <c r="M3284" s="6"/>
      <c r="N3284" s="6"/>
      <c r="O3284" s="6"/>
      <c r="P3284" s="5"/>
      <c r="Q3284" s="9"/>
      <c r="R3284" s="5"/>
      <c r="S3284" s="5"/>
      <c r="T3284" s="5"/>
      <c r="U3284" s="5"/>
      <c r="V3284" s="5"/>
      <c r="W3284" s="5"/>
      <c r="X3284" s="5"/>
      <c r="Y3284" s="9"/>
      <c r="Z3284" s="2"/>
    </row>
    <row r="3285" spans="1:26">
      <c r="A3285" s="4"/>
      <c r="B3285" s="4"/>
      <c r="C3285" s="4"/>
      <c r="D3285" s="4"/>
      <c r="E3285" s="4"/>
      <c r="F3285" s="4"/>
      <c r="G3285" s="4"/>
      <c r="H3285" s="4"/>
      <c r="I3285" s="4"/>
      <c r="J3285" s="4"/>
      <c r="K3285" s="4"/>
      <c r="L3285" s="3"/>
      <c r="M3285" s="6"/>
      <c r="N3285" s="6"/>
      <c r="O3285" s="6"/>
      <c r="P3285" s="5"/>
      <c r="Q3285" s="9"/>
      <c r="R3285" s="5"/>
      <c r="S3285" s="5"/>
      <c r="T3285" s="5"/>
      <c r="U3285" s="5"/>
      <c r="V3285" s="5"/>
      <c r="W3285" s="5"/>
      <c r="X3285" s="5"/>
      <c r="Y3285" s="9"/>
      <c r="Z3285" s="2"/>
    </row>
    <row r="3286" spans="1:26">
      <c r="A3286" s="4"/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3"/>
      <c r="M3286" s="6"/>
      <c r="N3286" s="6"/>
      <c r="O3286" s="6"/>
      <c r="P3286" s="5"/>
      <c r="Q3286" s="9"/>
      <c r="R3286" s="5"/>
      <c r="S3286" s="5"/>
      <c r="T3286" s="5"/>
      <c r="U3286" s="5"/>
      <c r="V3286" s="5"/>
      <c r="W3286" s="5"/>
      <c r="X3286" s="5"/>
      <c r="Y3286" s="9"/>
      <c r="Z3286" s="2"/>
    </row>
    <row r="3287" spans="1:26">
      <c r="A3287" s="4"/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3"/>
      <c r="M3287" s="6"/>
      <c r="N3287" s="6"/>
      <c r="O3287" s="6"/>
      <c r="P3287" s="5"/>
      <c r="Q3287" s="9"/>
      <c r="R3287" s="5"/>
      <c r="S3287" s="5"/>
      <c r="T3287" s="5"/>
      <c r="U3287" s="5"/>
      <c r="V3287" s="5"/>
      <c r="W3287" s="5"/>
      <c r="X3287" s="5"/>
      <c r="Y3287" s="9"/>
      <c r="Z3287" s="2"/>
    </row>
    <row r="3288" spans="1:26">
      <c r="A3288" s="4"/>
      <c r="B3288" s="4"/>
      <c r="C3288" s="4"/>
      <c r="D3288" s="4"/>
      <c r="E3288" s="4"/>
      <c r="F3288" s="4"/>
      <c r="G3288" s="4"/>
      <c r="H3288" s="4"/>
      <c r="I3288" s="4"/>
      <c r="J3288" s="4"/>
      <c r="K3288" s="4"/>
      <c r="L3288" s="3"/>
      <c r="M3288" s="6"/>
      <c r="N3288" s="6"/>
      <c r="O3288" s="6"/>
      <c r="P3288" s="5"/>
      <c r="Q3288" s="9"/>
      <c r="R3288" s="5"/>
      <c r="S3288" s="5"/>
      <c r="T3288" s="5"/>
      <c r="U3288" s="5"/>
      <c r="V3288" s="5"/>
      <c r="W3288" s="5"/>
      <c r="X3288" s="5"/>
      <c r="Y3288" s="9"/>
      <c r="Z3288" s="2"/>
    </row>
    <row r="3289" spans="1:26">
      <c r="A3289" s="4"/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3"/>
      <c r="M3289" s="6"/>
      <c r="N3289" s="6"/>
      <c r="O3289" s="6"/>
      <c r="P3289" s="5"/>
      <c r="Q3289" s="9"/>
      <c r="R3289" s="5"/>
      <c r="S3289" s="5"/>
      <c r="T3289" s="5"/>
      <c r="U3289" s="5"/>
      <c r="V3289" s="5"/>
      <c r="W3289" s="5"/>
      <c r="X3289" s="5"/>
      <c r="Y3289" s="9"/>
      <c r="Z3289" s="2"/>
    </row>
    <row r="3290" spans="1:26">
      <c r="A3290" s="4"/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3"/>
      <c r="M3290" s="6"/>
      <c r="N3290" s="6"/>
      <c r="O3290" s="6"/>
      <c r="P3290" s="5"/>
      <c r="Q3290" s="9"/>
      <c r="R3290" s="5"/>
      <c r="S3290" s="5"/>
      <c r="T3290" s="5"/>
      <c r="U3290" s="5"/>
      <c r="V3290" s="5"/>
      <c r="W3290" s="5"/>
      <c r="X3290" s="5"/>
      <c r="Y3290" s="9"/>
      <c r="Z3290" s="2"/>
    </row>
    <row r="3291" spans="1:26">
      <c r="A3291" s="4"/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3"/>
      <c r="M3291" s="6"/>
      <c r="N3291" s="6"/>
      <c r="O3291" s="6"/>
      <c r="P3291" s="5"/>
      <c r="Q3291" s="9"/>
      <c r="R3291" s="5"/>
      <c r="S3291" s="5"/>
      <c r="T3291" s="5"/>
      <c r="U3291" s="5"/>
      <c r="V3291" s="5"/>
      <c r="W3291" s="5"/>
      <c r="X3291" s="5"/>
      <c r="Y3291" s="9"/>
      <c r="Z3291" s="2"/>
    </row>
    <row r="3292" spans="1:26">
      <c r="A3292" s="4"/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3"/>
      <c r="M3292" s="6"/>
      <c r="N3292" s="6"/>
      <c r="O3292" s="6"/>
      <c r="P3292" s="5"/>
      <c r="Q3292" s="9"/>
      <c r="R3292" s="5"/>
      <c r="S3292" s="5"/>
      <c r="T3292" s="5"/>
      <c r="U3292" s="5"/>
      <c r="V3292" s="5"/>
      <c r="W3292" s="5"/>
      <c r="X3292" s="5"/>
      <c r="Y3292" s="9"/>
      <c r="Z3292" s="2"/>
    </row>
    <row r="3293" spans="1:26">
      <c r="A3293" s="4"/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3"/>
      <c r="M3293" s="6"/>
      <c r="N3293" s="6"/>
      <c r="O3293" s="6"/>
      <c r="P3293" s="5"/>
      <c r="Q3293" s="9"/>
      <c r="R3293" s="5"/>
      <c r="S3293" s="5"/>
      <c r="T3293" s="5"/>
      <c r="U3293" s="5"/>
      <c r="V3293" s="5"/>
      <c r="W3293" s="5"/>
      <c r="X3293" s="5"/>
      <c r="Y3293" s="9"/>
      <c r="Z3293" s="2"/>
    </row>
    <row r="3294" spans="1:26">
      <c r="A3294" s="4"/>
      <c r="B3294" s="4"/>
      <c r="C3294" s="4"/>
      <c r="D3294" s="4"/>
      <c r="E3294" s="4"/>
      <c r="F3294" s="4"/>
      <c r="G3294" s="4"/>
      <c r="H3294" s="4"/>
      <c r="I3294" s="4"/>
      <c r="J3294" s="4"/>
      <c r="K3294" s="4"/>
      <c r="L3294" s="3"/>
      <c r="M3294" s="6"/>
      <c r="N3294" s="6"/>
      <c r="O3294" s="6"/>
      <c r="P3294" s="5"/>
      <c r="Q3294" s="9"/>
      <c r="R3294" s="5"/>
      <c r="S3294" s="5"/>
      <c r="T3294" s="5"/>
      <c r="U3294" s="5"/>
      <c r="V3294" s="5"/>
      <c r="W3294" s="5"/>
      <c r="X3294" s="5"/>
      <c r="Y3294" s="9"/>
      <c r="Z3294" s="2"/>
    </row>
    <row r="3295" spans="1:26">
      <c r="A3295" s="4"/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3"/>
      <c r="M3295" s="6"/>
      <c r="N3295" s="6"/>
      <c r="O3295" s="6"/>
      <c r="P3295" s="5"/>
      <c r="Q3295" s="9"/>
      <c r="R3295" s="5"/>
      <c r="S3295" s="5"/>
      <c r="T3295" s="5"/>
      <c r="U3295" s="5"/>
      <c r="V3295" s="5"/>
      <c r="W3295" s="5"/>
      <c r="X3295" s="5"/>
      <c r="Y3295" s="9"/>
      <c r="Z3295" s="2"/>
    </row>
    <row r="3296" spans="1:26">
      <c r="A3296" s="4"/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3"/>
      <c r="M3296" s="6"/>
      <c r="N3296" s="6"/>
      <c r="O3296" s="6"/>
      <c r="P3296" s="5"/>
      <c r="Q3296" s="9"/>
      <c r="R3296" s="5"/>
      <c r="S3296" s="5"/>
      <c r="T3296" s="5"/>
      <c r="U3296" s="5"/>
      <c r="V3296" s="5"/>
      <c r="W3296" s="5"/>
      <c r="X3296" s="5"/>
      <c r="Y3296" s="9"/>
      <c r="Z3296" s="2"/>
    </row>
    <row r="3297" spans="1:26">
      <c r="A3297" s="4"/>
      <c r="B3297" s="4"/>
      <c r="C3297" s="4"/>
      <c r="D3297" s="4"/>
      <c r="E3297" s="4"/>
      <c r="F3297" s="4"/>
      <c r="G3297" s="4"/>
      <c r="H3297" s="4"/>
      <c r="I3297" s="4"/>
      <c r="J3297" s="4"/>
      <c r="K3297" s="4"/>
      <c r="L3297" s="3"/>
      <c r="M3297" s="6"/>
      <c r="N3297" s="6"/>
      <c r="O3297" s="6"/>
      <c r="P3297" s="5"/>
      <c r="Q3297" s="9"/>
      <c r="R3297" s="5"/>
      <c r="S3297" s="5"/>
      <c r="T3297" s="5"/>
      <c r="U3297" s="5"/>
      <c r="V3297" s="5"/>
      <c r="W3297" s="5"/>
      <c r="X3297" s="5"/>
      <c r="Y3297" s="9"/>
      <c r="Z3297" s="2"/>
    </row>
    <row r="3298" spans="1:26">
      <c r="A3298" s="4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3"/>
      <c r="M3298" s="6"/>
      <c r="N3298" s="6"/>
      <c r="O3298" s="6"/>
      <c r="P3298" s="5"/>
      <c r="Q3298" s="9"/>
      <c r="R3298" s="5"/>
      <c r="S3298" s="5"/>
      <c r="T3298" s="5"/>
      <c r="U3298" s="5"/>
      <c r="V3298" s="5"/>
      <c r="W3298" s="5"/>
      <c r="X3298" s="5"/>
      <c r="Y3298" s="9"/>
      <c r="Z3298" s="2"/>
    </row>
    <row r="3299" spans="1:26">
      <c r="A3299" s="4"/>
      <c r="B3299" s="4"/>
      <c r="C3299" s="4"/>
      <c r="D3299" s="4"/>
      <c r="E3299" s="4"/>
      <c r="F3299" s="4"/>
      <c r="G3299" s="4"/>
      <c r="H3299" s="4"/>
      <c r="I3299" s="4"/>
      <c r="J3299" s="4"/>
      <c r="K3299" s="4"/>
      <c r="L3299" s="3"/>
      <c r="M3299" s="6"/>
      <c r="N3299" s="6"/>
      <c r="O3299" s="6"/>
      <c r="P3299" s="5"/>
      <c r="Q3299" s="9"/>
      <c r="R3299" s="5"/>
      <c r="S3299" s="5"/>
      <c r="T3299" s="5"/>
      <c r="U3299" s="5"/>
      <c r="V3299" s="5"/>
      <c r="W3299" s="5"/>
      <c r="X3299" s="5"/>
      <c r="Y3299" s="9"/>
      <c r="Z3299" s="2"/>
    </row>
    <row r="3300" spans="1:26">
      <c r="A3300" s="4"/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3"/>
      <c r="M3300" s="6"/>
      <c r="N3300" s="6"/>
      <c r="O3300" s="6"/>
      <c r="P3300" s="5"/>
      <c r="Q3300" s="9"/>
      <c r="R3300" s="5"/>
      <c r="S3300" s="5"/>
      <c r="T3300" s="5"/>
      <c r="U3300" s="5"/>
      <c r="V3300" s="5"/>
      <c r="W3300" s="5"/>
      <c r="X3300" s="5"/>
      <c r="Y3300" s="9"/>
      <c r="Z3300" s="2"/>
    </row>
    <row r="3301" spans="1:26">
      <c r="A3301" s="4"/>
      <c r="B3301" s="4"/>
      <c r="C3301" s="4"/>
      <c r="D3301" s="4"/>
      <c r="E3301" s="4"/>
      <c r="F3301" s="4"/>
      <c r="G3301" s="4"/>
      <c r="H3301" s="4"/>
      <c r="I3301" s="4"/>
      <c r="J3301" s="4"/>
      <c r="K3301" s="4"/>
      <c r="L3301" s="3"/>
      <c r="M3301" s="6"/>
      <c r="N3301" s="6"/>
      <c r="O3301" s="6"/>
      <c r="P3301" s="5"/>
      <c r="Q3301" s="9"/>
      <c r="R3301" s="5"/>
      <c r="S3301" s="5"/>
      <c r="T3301" s="5"/>
      <c r="U3301" s="5"/>
      <c r="V3301" s="5"/>
      <c r="W3301" s="5"/>
      <c r="X3301" s="5"/>
      <c r="Y3301" s="9"/>
      <c r="Z3301" s="2"/>
    </row>
    <row r="3302" spans="1:26">
      <c r="A3302" s="4"/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3"/>
      <c r="M3302" s="6"/>
      <c r="N3302" s="6"/>
      <c r="O3302" s="6"/>
      <c r="P3302" s="5"/>
      <c r="Q3302" s="9"/>
      <c r="R3302" s="5"/>
      <c r="S3302" s="5"/>
      <c r="T3302" s="5"/>
      <c r="U3302" s="5"/>
      <c r="V3302" s="5"/>
      <c r="W3302" s="5"/>
      <c r="X3302" s="5"/>
      <c r="Y3302" s="9"/>
      <c r="Z3302" s="2"/>
    </row>
    <row r="3303" spans="1:26">
      <c r="A3303" s="4"/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3"/>
      <c r="M3303" s="6"/>
      <c r="N3303" s="6"/>
      <c r="O3303" s="6"/>
      <c r="P3303" s="5"/>
      <c r="Q3303" s="9"/>
      <c r="R3303" s="5"/>
      <c r="S3303" s="5"/>
      <c r="T3303" s="5"/>
      <c r="U3303" s="5"/>
      <c r="V3303" s="5"/>
      <c r="W3303" s="5"/>
      <c r="X3303" s="5"/>
      <c r="Y3303" s="9"/>
      <c r="Z3303" s="2"/>
    </row>
    <row r="3304" spans="1:26">
      <c r="A3304" s="4"/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3"/>
      <c r="M3304" s="6"/>
      <c r="N3304" s="6"/>
      <c r="O3304" s="6"/>
      <c r="P3304" s="5"/>
      <c r="Q3304" s="9"/>
      <c r="R3304" s="5"/>
      <c r="S3304" s="5"/>
      <c r="T3304" s="5"/>
      <c r="U3304" s="5"/>
      <c r="V3304" s="5"/>
      <c r="W3304" s="5"/>
      <c r="X3304" s="5"/>
      <c r="Y3304" s="9"/>
      <c r="Z3304" s="2"/>
    </row>
    <row r="3305" spans="1:26">
      <c r="A3305" s="4"/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3"/>
      <c r="M3305" s="6"/>
      <c r="N3305" s="6"/>
      <c r="O3305" s="6"/>
      <c r="P3305" s="5"/>
      <c r="Q3305" s="9"/>
      <c r="R3305" s="5"/>
      <c r="S3305" s="5"/>
      <c r="T3305" s="5"/>
      <c r="U3305" s="5"/>
      <c r="V3305" s="5"/>
      <c r="W3305" s="5"/>
      <c r="X3305" s="5"/>
      <c r="Y3305" s="9"/>
      <c r="Z3305" s="2"/>
    </row>
    <row r="3306" spans="1:26">
      <c r="A3306" s="4"/>
      <c r="B3306" s="4"/>
      <c r="C3306" s="4"/>
      <c r="D3306" s="4"/>
      <c r="E3306" s="4"/>
      <c r="F3306" s="4"/>
      <c r="G3306" s="4"/>
      <c r="H3306" s="4"/>
      <c r="I3306" s="4"/>
      <c r="J3306" s="4"/>
      <c r="K3306" s="4"/>
      <c r="L3306" s="3"/>
      <c r="M3306" s="6"/>
      <c r="N3306" s="6"/>
      <c r="O3306" s="6"/>
      <c r="P3306" s="5"/>
      <c r="Q3306" s="9"/>
      <c r="R3306" s="5"/>
      <c r="S3306" s="5"/>
      <c r="T3306" s="5"/>
      <c r="U3306" s="5"/>
      <c r="V3306" s="5"/>
      <c r="W3306" s="5"/>
      <c r="X3306" s="5"/>
      <c r="Y3306" s="9"/>
      <c r="Z3306" s="2"/>
    </row>
    <row r="3307" spans="1:26">
      <c r="A3307" s="4"/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3"/>
      <c r="M3307" s="6"/>
      <c r="N3307" s="6"/>
      <c r="O3307" s="6"/>
      <c r="P3307" s="5"/>
      <c r="Q3307" s="9"/>
      <c r="R3307" s="5"/>
      <c r="S3307" s="5"/>
      <c r="T3307" s="5"/>
      <c r="U3307" s="5"/>
      <c r="V3307" s="5"/>
      <c r="W3307" s="5"/>
      <c r="X3307" s="5"/>
      <c r="Y3307" s="9"/>
      <c r="Z3307" s="2"/>
    </row>
    <row r="3308" spans="1:26">
      <c r="A3308" s="4"/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3"/>
      <c r="M3308" s="6"/>
      <c r="N3308" s="6"/>
      <c r="O3308" s="6"/>
      <c r="P3308" s="5"/>
      <c r="Q3308" s="9"/>
      <c r="R3308" s="5"/>
      <c r="S3308" s="5"/>
      <c r="T3308" s="5"/>
      <c r="U3308" s="5"/>
      <c r="V3308" s="5"/>
      <c r="W3308" s="5"/>
      <c r="X3308" s="5"/>
      <c r="Y3308" s="9"/>
      <c r="Z3308" s="2"/>
    </row>
    <row r="3309" spans="1:26">
      <c r="A3309" s="4"/>
      <c r="B3309" s="4"/>
      <c r="C3309" s="4"/>
      <c r="D3309" s="4"/>
      <c r="E3309" s="4"/>
      <c r="F3309" s="4"/>
      <c r="G3309" s="4"/>
      <c r="H3309" s="4"/>
      <c r="I3309" s="4"/>
      <c r="J3309" s="4"/>
      <c r="K3309" s="4"/>
      <c r="L3309" s="3"/>
      <c r="M3309" s="6"/>
      <c r="N3309" s="6"/>
      <c r="O3309" s="6"/>
      <c r="P3309" s="5"/>
      <c r="Q3309" s="9"/>
      <c r="R3309" s="5"/>
      <c r="S3309" s="5"/>
      <c r="T3309" s="5"/>
      <c r="U3309" s="5"/>
      <c r="V3309" s="5"/>
      <c r="W3309" s="5"/>
      <c r="X3309" s="5"/>
      <c r="Y3309" s="9"/>
      <c r="Z3309" s="2"/>
    </row>
    <row r="3310" spans="1:26">
      <c r="A3310" s="4"/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3"/>
      <c r="M3310" s="6"/>
      <c r="N3310" s="6"/>
      <c r="O3310" s="6"/>
      <c r="P3310" s="5"/>
      <c r="Q3310" s="9"/>
      <c r="R3310" s="5"/>
      <c r="S3310" s="5"/>
      <c r="T3310" s="5"/>
      <c r="U3310" s="5"/>
      <c r="V3310" s="5"/>
      <c r="W3310" s="5"/>
      <c r="X3310" s="5"/>
      <c r="Y3310" s="9"/>
      <c r="Z3310" s="2"/>
    </row>
    <row r="3311" spans="1:26">
      <c r="A3311" s="4"/>
      <c r="B3311" s="4"/>
      <c r="C3311" s="4"/>
      <c r="D3311" s="4"/>
      <c r="E3311" s="4"/>
      <c r="F3311" s="4"/>
      <c r="G3311" s="4"/>
      <c r="H3311" s="4"/>
      <c r="I3311" s="4"/>
      <c r="J3311" s="4"/>
      <c r="K3311" s="4"/>
      <c r="L3311" s="3"/>
      <c r="M3311" s="6"/>
      <c r="N3311" s="6"/>
      <c r="O3311" s="6"/>
      <c r="P3311" s="5"/>
      <c r="Q3311" s="9"/>
      <c r="R3311" s="5"/>
      <c r="S3311" s="5"/>
      <c r="T3311" s="5"/>
      <c r="U3311" s="5"/>
      <c r="V3311" s="5"/>
      <c r="W3311" s="5"/>
      <c r="X3311" s="5"/>
      <c r="Y3311" s="9"/>
      <c r="Z3311" s="2"/>
    </row>
    <row r="3312" spans="1:26">
      <c r="A3312" s="4"/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3"/>
      <c r="M3312" s="6"/>
      <c r="N3312" s="6"/>
      <c r="O3312" s="6"/>
      <c r="P3312" s="5"/>
      <c r="Q3312" s="9"/>
      <c r="R3312" s="5"/>
      <c r="S3312" s="5"/>
      <c r="T3312" s="5"/>
      <c r="U3312" s="5"/>
      <c r="V3312" s="5"/>
      <c r="W3312" s="5"/>
      <c r="X3312" s="5"/>
      <c r="Y3312" s="9"/>
      <c r="Z3312" s="2"/>
    </row>
    <row r="3313" spans="1:26">
      <c r="A3313" s="4"/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3"/>
      <c r="M3313" s="6"/>
      <c r="N3313" s="6"/>
      <c r="O3313" s="6"/>
      <c r="P3313" s="5"/>
      <c r="Q3313" s="9"/>
      <c r="R3313" s="5"/>
      <c r="S3313" s="5"/>
      <c r="T3313" s="5"/>
      <c r="U3313" s="5"/>
      <c r="V3313" s="5"/>
      <c r="W3313" s="5"/>
      <c r="X3313" s="5"/>
      <c r="Y3313" s="9"/>
      <c r="Z3313" s="2"/>
    </row>
    <row r="3314" spans="1:26">
      <c r="A3314" s="4"/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3"/>
      <c r="M3314" s="6"/>
      <c r="N3314" s="6"/>
      <c r="O3314" s="6"/>
      <c r="P3314" s="5"/>
      <c r="Q3314" s="9"/>
      <c r="R3314" s="5"/>
      <c r="S3314" s="5"/>
      <c r="T3314" s="5"/>
      <c r="U3314" s="5"/>
      <c r="V3314" s="5"/>
      <c r="W3314" s="5"/>
      <c r="X3314" s="5"/>
      <c r="Y3314" s="9"/>
      <c r="Z3314" s="2"/>
    </row>
    <row r="3315" spans="1:26">
      <c r="A3315" s="4"/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3"/>
      <c r="M3315" s="6"/>
      <c r="N3315" s="6"/>
      <c r="O3315" s="6"/>
      <c r="P3315" s="5"/>
      <c r="Q3315" s="9"/>
      <c r="R3315" s="5"/>
      <c r="S3315" s="5"/>
      <c r="T3315" s="5"/>
      <c r="U3315" s="5"/>
      <c r="V3315" s="5"/>
      <c r="W3315" s="5"/>
      <c r="X3315" s="5"/>
      <c r="Y3315" s="9"/>
      <c r="Z3315" s="2"/>
    </row>
    <row r="3316" spans="1:26">
      <c r="A3316" s="4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3"/>
      <c r="M3316" s="6"/>
      <c r="N3316" s="6"/>
      <c r="O3316" s="6"/>
      <c r="P3316" s="5"/>
      <c r="Q3316" s="9"/>
      <c r="R3316" s="5"/>
      <c r="S3316" s="5"/>
      <c r="T3316" s="5"/>
      <c r="U3316" s="5"/>
      <c r="V3316" s="5"/>
      <c r="W3316" s="5"/>
      <c r="X3316" s="5"/>
      <c r="Y3316" s="9"/>
      <c r="Z3316" s="2"/>
    </row>
    <row r="3317" spans="1:26">
      <c r="A3317" s="4"/>
      <c r="B3317" s="4"/>
      <c r="C3317" s="4"/>
      <c r="D3317" s="4"/>
      <c r="E3317" s="4"/>
      <c r="F3317" s="4"/>
      <c r="G3317" s="4"/>
      <c r="H3317" s="4"/>
      <c r="I3317" s="4"/>
      <c r="J3317" s="4"/>
      <c r="K3317" s="4"/>
      <c r="L3317" s="3"/>
      <c r="M3317" s="6"/>
      <c r="N3317" s="6"/>
      <c r="O3317" s="6"/>
      <c r="P3317" s="5"/>
      <c r="Q3317" s="9"/>
      <c r="R3317" s="5"/>
      <c r="S3317" s="5"/>
      <c r="T3317" s="5"/>
      <c r="U3317" s="5"/>
      <c r="V3317" s="5"/>
      <c r="W3317" s="5"/>
      <c r="X3317" s="5"/>
      <c r="Y3317" s="9"/>
      <c r="Z3317" s="2"/>
    </row>
    <row r="3318" spans="1:26">
      <c r="A3318" s="4"/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3"/>
      <c r="M3318" s="6"/>
      <c r="N3318" s="6"/>
      <c r="O3318" s="6"/>
      <c r="P3318" s="5"/>
      <c r="Q3318" s="9"/>
      <c r="R3318" s="5"/>
      <c r="S3318" s="5"/>
      <c r="T3318" s="5"/>
      <c r="U3318" s="5"/>
      <c r="V3318" s="5"/>
      <c r="W3318" s="5"/>
      <c r="X3318" s="5"/>
      <c r="Y3318" s="9"/>
      <c r="Z3318" s="2"/>
    </row>
    <row r="3319" spans="1:26">
      <c r="A3319" s="4"/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3"/>
      <c r="M3319" s="6"/>
      <c r="N3319" s="6"/>
      <c r="O3319" s="6"/>
      <c r="P3319" s="5"/>
      <c r="Q3319" s="9"/>
      <c r="R3319" s="5"/>
      <c r="S3319" s="5"/>
      <c r="T3319" s="5"/>
      <c r="U3319" s="5"/>
      <c r="V3319" s="5"/>
      <c r="W3319" s="5"/>
      <c r="X3319" s="5"/>
      <c r="Y3319" s="9"/>
      <c r="Z3319" s="2"/>
    </row>
    <row r="3320" spans="1:26">
      <c r="A3320" s="4"/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3"/>
      <c r="M3320" s="6"/>
      <c r="N3320" s="6"/>
      <c r="O3320" s="6"/>
      <c r="P3320" s="5"/>
      <c r="Q3320" s="9"/>
      <c r="R3320" s="5"/>
      <c r="S3320" s="5"/>
      <c r="T3320" s="5"/>
      <c r="U3320" s="5"/>
      <c r="V3320" s="5"/>
      <c r="W3320" s="5"/>
      <c r="X3320" s="5"/>
      <c r="Y3320" s="9"/>
      <c r="Z3320" s="2"/>
    </row>
    <row r="3321" spans="1:26">
      <c r="A3321" s="4"/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3"/>
      <c r="M3321" s="6"/>
      <c r="N3321" s="6"/>
      <c r="O3321" s="6"/>
      <c r="P3321" s="5"/>
      <c r="Q3321" s="9"/>
      <c r="R3321" s="5"/>
      <c r="S3321" s="5"/>
      <c r="T3321" s="5"/>
      <c r="U3321" s="5"/>
      <c r="V3321" s="5"/>
      <c r="W3321" s="5"/>
      <c r="X3321" s="5"/>
      <c r="Y3321" s="9"/>
      <c r="Z3321" s="2"/>
    </row>
    <row r="3322" spans="1:26">
      <c r="A3322" s="4"/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3"/>
      <c r="M3322" s="6"/>
      <c r="N3322" s="6"/>
      <c r="O3322" s="6"/>
      <c r="P3322" s="5"/>
      <c r="Q3322" s="9"/>
      <c r="R3322" s="5"/>
      <c r="S3322" s="5"/>
      <c r="T3322" s="5"/>
      <c r="U3322" s="5"/>
      <c r="V3322" s="5"/>
      <c r="W3322" s="5"/>
      <c r="X3322" s="5"/>
      <c r="Y3322" s="9"/>
      <c r="Z3322" s="2"/>
    </row>
    <row r="3323" spans="1:26">
      <c r="A3323" s="4"/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3"/>
      <c r="M3323" s="6"/>
      <c r="N3323" s="6"/>
      <c r="O3323" s="6"/>
      <c r="P3323" s="5"/>
      <c r="Q3323" s="9"/>
      <c r="R3323" s="5"/>
      <c r="S3323" s="5"/>
      <c r="T3323" s="5"/>
      <c r="U3323" s="5"/>
      <c r="V3323" s="5"/>
      <c r="W3323" s="5"/>
      <c r="X3323" s="5"/>
      <c r="Y3323" s="9"/>
      <c r="Z3323" s="2"/>
    </row>
    <row r="3324" spans="1:26">
      <c r="A3324" s="4"/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3"/>
      <c r="M3324" s="6"/>
      <c r="N3324" s="6"/>
      <c r="O3324" s="6"/>
      <c r="P3324" s="5"/>
      <c r="Q3324" s="9"/>
      <c r="R3324" s="5"/>
      <c r="S3324" s="5"/>
      <c r="T3324" s="5"/>
      <c r="U3324" s="5"/>
      <c r="V3324" s="5"/>
      <c r="W3324" s="5"/>
      <c r="X3324" s="5"/>
      <c r="Y3324" s="9"/>
      <c r="Z3324" s="2"/>
    </row>
    <row r="3325" spans="1:26">
      <c r="A3325" s="4"/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3"/>
      <c r="M3325" s="6"/>
      <c r="N3325" s="6"/>
      <c r="O3325" s="6"/>
      <c r="P3325" s="5"/>
      <c r="Q3325" s="9"/>
      <c r="R3325" s="5"/>
      <c r="S3325" s="5"/>
      <c r="T3325" s="5"/>
      <c r="U3325" s="5"/>
      <c r="V3325" s="5"/>
      <c r="W3325" s="5"/>
      <c r="X3325" s="5"/>
      <c r="Y3325" s="9"/>
      <c r="Z3325" s="2"/>
    </row>
    <row r="3326" spans="1:26">
      <c r="A3326" s="4"/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3"/>
      <c r="M3326" s="6"/>
      <c r="N3326" s="6"/>
      <c r="O3326" s="6"/>
      <c r="P3326" s="5"/>
      <c r="Q3326" s="9"/>
      <c r="R3326" s="5"/>
      <c r="S3326" s="5"/>
      <c r="T3326" s="5"/>
      <c r="U3326" s="5"/>
      <c r="V3326" s="5"/>
      <c r="W3326" s="5"/>
      <c r="X3326" s="5"/>
      <c r="Y3326" s="9"/>
      <c r="Z3326" s="2"/>
    </row>
    <row r="3327" spans="1:26">
      <c r="A3327" s="4"/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3"/>
      <c r="M3327" s="6"/>
      <c r="N3327" s="6"/>
      <c r="O3327" s="6"/>
      <c r="P3327" s="5"/>
      <c r="Q3327" s="9"/>
      <c r="R3327" s="5"/>
      <c r="S3327" s="5"/>
      <c r="T3327" s="5"/>
      <c r="U3327" s="5"/>
      <c r="V3327" s="5"/>
      <c r="W3327" s="5"/>
      <c r="X3327" s="5"/>
      <c r="Y3327" s="9"/>
      <c r="Z3327" s="2"/>
    </row>
    <row r="3328" spans="1:26">
      <c r="A3328" s="4"/>
      <c r="B3328" s="4"/>
      <c r="C3328" s="4"/>
      <c r="D3328" s="4"/>
      <c r="E3328" s="4"/>
      <c r="F3328" s="4"/>
      <c r="G3328" s="4"/>
      <c r="H3328" s="4"/>
      <c r="I3328" s="4"/>
      <c r="J3328" s="4"/>
      <c r="K3328" s="4"/>
      <c r="L3328" s="3"/>
      <c r="M3328" s="6"/>
      <c r="N3328" s="6"/>
      <c r="O3328" s="6"/>
      <c r="P3328" s="5"/>
      <c r="Q3328" s="9"/>
      <c r="R3328" s="5"/>
      <c r="S3328" s="5"/>
      <c r="T3328" s="5"/>
      <c r="U3328" s="5"/>
      <c r="V3328" s="5"/>
      <c r="W3328" s="5"/>
      <c r="X3328" s="5"/>
      <c r="Y3328" s="9"/>
      <c r="Z3328" s="2"/>
    </row>
    <row r="3329" spans="1:26">
      <c r="A3329" s="4"/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3"/>
      <c r="M3329" s="6"/>
      <c r="N3329" s="6"/>
      <c r="O3329" s="6"/>
      <c r="P3329" s="5"/>
      <c r="Q3329" s="9"/>
      <c r="R3329" s="5"/>
      <c r="S3329" s="5"/>
      <c r="T3329" s="5"/>
      <c r="U3329" s="5"/>
      <c r="V3329" s="5"/>
      <c r="W3329" s="5"/>
      <c r="X3329" s="5"/>
      <c r="Y3329" s="9"/>
      <c r="Z3329" s="2"/>
    </row>
    <row r="3330" spans="1:26">
      <c r="A3330" s="4"/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3"/>
      <c r="M3330" s="6"/>
      <c r="N3330" s="6"/>
      <c r="O3330" s="6"/>
      <c r="P3330" s="5"/>
      <c r="Q3330" s="9"/>
      <c r="R3330" s="5"/>
      <c r="S3330" s="5"/>
      <c r="T3330" s="5"/>
      <c r="U3330" s="5"/>
      <c r="V3330" s="5"/>
      <c r="W3330" s="5"/>
      <c r="X3330" s="5"/>
      <c r="Y3330" s="9"/>
      <c r="Z3330" s="2"/>
    </row>
    <row r="3331" spans="1:26">
      <c r="A3331" s="4"/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3"/>
      <c r="M3331" s="6"/>
      <c r="N3331" s="6"/>
      <c r="O3331" s="6"/>
      <c r="P3331" s="5"/>
      <c r="Q3331" s="9"/>
      <c r="R3331" s="5"/>
      <c r="S3331" s="5"/>
      <c r="T3331" s="5"/>
      <c r="U3331" s="5"/>
      <c r="V3331" s="5"/>
      <c r="W3331" s="5"/>
      <c r="X3331" s="5"/>
      <c r="Y3331" s="9"/>
      <c r="Z3331" s="2"/>
    </row>
    <row r="3332" spans="1:26">
      <c r="A3332" s="4"/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3"/>
      <c r="M3332" s="6"/>
      <c r="N3332" s="6"/>
      <c r="O3332" s="6"/>
      <c r="P3332" s="5"/>
      <c r="Q3332" s="9"/>
      <c r="R3332" s="5"/>
      <c r="S3332" s="5"/>
      <c r="T3332" s="5"/>
      <c r="U3332" s="5"/>
      <c r="V3332" s="5"/>
      <c r="W3332" s="5"/>
      <c r="X3332" s="5"/>
      <c r="Y3332" s="9"/>
      <c r="Z3332" s="2"/>
    </row>
    <row r="3333" spans="1:26">
      <c r="A3333" s="4"/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3"/>
      <c r="M3333" s="6"/>
      <c r="N3333" s="6"/>
      <c r="O3333" s="6"/>
      <c r="P3333" s="5"/>
      <c r="Q3333" s="9"/>
      <c r="R3333" s="5"/>
      <c r="S3333" s="5"/>
      <c r="T3333" s="5"/>
      <c r="U3333" s="5"/>
      <c r="V3333" s="5"/>
      <c r="W3333" s="5"/>
      <c r="X3333" s="5"/>
      <c r="Y3333" s="9"/>
      <c r="Z3333" s="2"/>
    </row>
    <row r="3334" spans="1:26">
      <c r="A3334" s="4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3"/>
      <c r="M3334" s="6"/>
      <c r="N3334" s="6"/>
      <c r="O3334" s="6"/>
      <c r="P3334" s="5"/>
      <c r="Q3334" s="9"/>
      <c r="R3334" s="5"/>
      <c r="S3334" s="5"/>
      <c r="T3334" s="5"/>
      <c r="U3334" s="5"/>
      <c r="V3334" s="5"/>
      <c r="W3334" s="5"/>
      <c r="X3334" s="5"/>
      <c r="Y3334" s="9"/>
      <c r="Z3334" s="2"/>
    </row>
    <row r="3335" spans="1:26">
      <c r="A3335" s="4"/>
      <c r="B3335" s="4"/>
      <c r="C3335" s="4"/>
      <c r="D3335" s="4"/>
      <c r="E3335" s="4"/>
      <c r="F3335" s="4"/>
      <c r="G3335" s="4"/>
      <c r="H3335" s="4"/>
      <c r="I3335" s="4"/>
      <c r="J3335" s="4"/>
      <c r="K3335" s="4"/>
      <c r="L3335" s="3"/>
      <c r="M3335" s="6"/>
      <c r="N3335" s="6"/>
      <c r="O3335" s="6"/>
      <c r="P3335" s="5"/>
      <c r="Q3335" s="9"/>
      <c r="R3335" s="5"/>
      <c r="S3335" s="5"/>
      <c r="T3335" s="5"/>
      <c r="U3335" s="5"/>
      <c r="V3335" s="5"/>
      <c r="W3335" s="5"/>
      <c r="X3335" s="5"/>
      <c r="Y3335" s="9"/>
      <c r="Z3335" s="2"/>
    </row>
    <row r="3336" spans="1:26">
      <c r="A3336" s="4"/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3"/>
      <c r="M3336" s="6"/>
      <c r="N3336" s="6"/>
      <c r="O3336" s="6"/>
      <c r="P3336" s="5"/>
      <c r="Q3336" s="9"/>
      <c r="R3336" s="5"/>
      <c r="S3336" s="5"/>
      <c r="T3336" s="5"/>
      <c r="U3336" s="5"/>
      <c r="V3336" s="5"/>
      <c r="W3336" s="5"/>
      <c r="X3336" s="5"/>
      <c r="Y3336" s="9"/>
      <c r="Z3336" s="2"/>
    </row>
    <row r="3337" spans="1:26">
      <c r="A3337" s="4"/>
      <c r="B3337" s="4"/>
      <c r="C3337" s="4"/>
      <c r="D3337" s="4"/>
      <c r="E3337" s="4"/>
      <c r="F3337" s="4"/>
      <c r="G3337" s="4"/>
      <c r="H3337" s="4"/>
      <c r="I3337" s="4"/>
      <c r="J3337" s="4"/>
      <c r="K3337" s="4"/>
      <c r="L3337" s="3"/>
      <c r="M3337" s="6"/>
      <c r="N3337" s="6"/>
      <c r="O3337" s="6"/>
      <c r="P3337" s="5"/>
      <c r="Q3337" s="9"/>
      <c r="R3337" s="5"/>
      <c r="S3337" s="5"/>
      <c r="T3337" s="5"/>
      <c r="U3337" s="5"/>
      <c r="V3337" s="5"/>
      <c r="W3337" s="5"/>
      <c r="X3337" s="5"/>
      <c r="Y3337" s="9"/>
      <c r="Z3337" s="2"/>
    </row>
    <row r="3338" spans="1:26">
      <c r="A3338" s="4"/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3"/>
      <c r="M3338" s="6"/>
      <c r="N3338" s="6"/>
      <c r="O3338" s="6"/>
      <c r="P3338" s="5"/>
      <c r="Q3338" s="9"/>
      <c r="R3338" s="5"/>
      <c r="S3338" s="5"/>
      <c r="T3338" s="5"/>
      <c r="U3338" s="5"/>
      <c r="V3338" s="5"/>
      <c r="W3338" s="5"/>
      <c r="X3338" s="5"/>
      <c r="Y3338" s="9"/>
      <c r="Z3338" s="2"/>
    </row>
    <row r="3339" spans="1:26">
      <c r="A3339" s="4"/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3"/>
      <c r="M3339" s="6"/>
      <c r="N3339" s="6"/>
      <c r="O3339" s="6"/>
      <c r="P3339" s="5"/>
      <c r="Q3339" s="9"/>
      <c r="R3339" s="5"/>
      <c r="S3339" s="5"/>
      <c r="T3339" s="5"/>
      <c r="U3339" s="5"/>
      <c r="V3339" s="5"/>
      <c r="W3339" s="5"/>
      <c r="X3339" s="5"/>
      <c r="Y3339" s="9"/>
      <c r="Z3339" s="2"/>
    </row>
    <row r="3340" spans="1:26">
      <c r="A3340" s="4"/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3"/>
      <c r="M3340" s="6"/>
      <c r="N3340" s="6"/>
      <c r="O3340" s="6"/>
      <c r="P3340" s="5"/>
      <c r="Q3340" s="9"/>
      <c r="R3340" s="5"/>
      <c r="S3340" s="5"/>
      <c r="T3340" s="5"/>
      <c r="U3340" s="5"/>
      <c r="V3340" s="5"/>
      <c r="W3340" s="5"/>
      <c r="X3340" s="5"/>
      <c r="Y3340" s="9"/>
      <c r="Z3340" s="2"/>
    </row>
    <row r="3341" spans="1:26">
      <c r="A3341" s="4"/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3"/>
      <c r="M3341" s="6"/>
      <c r="N3341" s="6"/>
      <c r="O3341" s="6"/>
      <c r="P3341" s="5"/>
      <c r="Q3341" s="9"/>
      <c r="R3341" s="5"/>
      <c r="S3341" s="5"/>
      <c r="T3341" s="5"/>
      <c r="U3341" s="5"/>
      <c r="V3341" s="5"/>
      <c r="W3341" s="5"/>
      <c r="X3341" s="5"/>
      <c r="Y3341" s="9"/>
      <c r="Z3341" s="2"/>
    </row>
    <row r="3342" spans="1:26">
      <c r="A3342" s="4"/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3"/>
      <c r="M3342" s="6"/>
      <c r="N3342" s="6"/>
      <c r="O3342" s="6"/>
      <c r="P3342" s="5"/>
      <c r="Q3342" s="9"/>
      <c r="R3342" s="5"/>
      <c r="S3342" s="5"/>
      <c r="T3342" s="5"/>
      <c r="U3342" s="5"/>
      <c r="V3342" s="5"/>
      <c r="W3342" s="5"/>
      <c r="X3342" s="5"/>
      <c r="Y3342" s="9"/>
      <c r="Z3342" s="2"/>
    </row>
    <row r="3343" spans="1:26">
      <c r="A3343" s="4"/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3"/>
      <c r="M3343" s="6"/>
      <c r="N3343" s="6"/>
      <c r="O3343" s="6"/>
      <c r="P3343" s="5"/>
      <c r="Q3343" s="9"/>
      <c r="R3343" s="5"/>
      <c r="S3343" s="5"/>
      <c r="T3343" s="5"/>
      <c r="U3343" s="5"/>
      <c r="V3343" s="5"/>
      <c r="W3343" s="5"/>
      <c r="X3343" s="5"/>
      <c r="Y3343" s="9"/>
      <c r="Z3343" s="2"/>
    </row>
    <row r="3344" spans="1:26">
      <c r="A3344" s="4"/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3"/>
      <c r="M3344" s="6"/>
      <c r="N3344" s="6"/>
      <c r="O3344" s="6"/>
      <c r="P3344" s="5"/>
      <c r="Q3344" s="9"/>
      <c r="R3344" s="5"/>
      <c r="S3344" s="5"/>
      <c r="T3344" s="5"/>
      <c r="U3344" s="5"/>
      <c r="V3344" s="5"/>
      <c r="W3344" s="5"/>
      <c r="X3344" s="5"/>
      <c r="Y3344" s="9"/>
      <c r="Z3344" s="2"/>
    </row>
    <row r="3345" spans="1:26">
      <c r="A3345" s="4"/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3"/>
      <c r="M3345" s="6"/>
      <c r="N3345" s="6"/>
      <c r="O3345" s="6"/>
      <c r="P3345" s="5"/>
      <c r="Q3345" s="9"/>
      <c r="R3345" s="5"/>
      <c r="S3345" s="5"/>
      <c r="T3345" s="5"/>
      <c r="U3345" s="5"/>
      <c r="V3345" s="5"/>
      <c r="W3345" s="5"/>
      <c r="X3345" s="5"/>
      <c r="Y3345" s="9"/>
      <c r="Z3345" s="2"/>
    </row>
    <row r="3346" spans="1:26">
      <c r="A3346" s="4"/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3"/>
      <c r="M3346" s="6"/>
      <c r="N3346" s="6"/>
      <c r="O3346" s="6"/>
      <c r="P3346" s="5"/>
      <c r="Q3346" s="9"/>
      <c r="R3346" s="5"/>
      <c r="S3346" s="5"/>
      <c r="T3346" s="5"/>
      <c r="U3346" s="5"/>
      <c r="V3346" s="5"/>
      <c r="W3346" s="5"/>
      <c r="X3346" s="5"/>
      <c r="Y3346" s="9"/>
      <c r="Z3346" s="2"/>
    </row>
    <row r="3347" spans="1:26">
      <c r="A3347" s="4"/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3"/>
      <c r="M3347" s="6"/>
      <c r="N3347" s="6"/>
      <c r="O3347" s="6"/>
      <c r="P3347" s="5"/>
      <c r="Q3347" s="9"/>
      <c r="R3347" s="5"/>
      <c r="S3347" s="5"/>
      <c r="T3347" s="5"/>
      <c r="U3347" s="5"/>
      <c r="V3347" s="5"/>
      <c r="W3347" s="5"/>
      <c r="X3347" s="5"/>
      <c r="Y3347" s="9"/>
      <c r="Z3347" s="2"/>
    </row>
    <row r="3348" spans="1:26">
      <c r="A3348" s="4"/>
      <c r="B3348" s="4"/>
      <c r="C3348" s="4"/>
      <c r="D3348" s="4"/>
      <c r="E3348" s="4"/>
      <c r="F3348" s="4"/>
      <c r="G3348" s="4"/>
      <c r="H3348" s="4"/>
      <c r="I3348" s="4"/>
      <c r="J3348" s="4"/>
      <c r="K3348" s="4"/>
      <c r="L3348" s="3"/>
      <c r="M3348" s="6"/>
      <c r="N3348" s="6"/>
      <c r="O3348" s="6"/>
      <c r="P3348" s="5"/>
      <c r="Q3348" s="9"/>
      <c r="R3348" s="5"/>
      <c r="S3348" s="5"/>
      <c r="T3348" s="5"/>
      <c r="U3348" s="5"/>
      <c r="V3348" s="5"/>
      <c r="W3348" s="5"/>
      <c r="X3348" s="5"/>
      <c r="Y3348" s="9"/>
      <c r="Z3348" s="2"/>
    </row>
    <row r="3349" spans="1:26">
      <c r="A3349" s="4"/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3"/>
      <c r="M3349" s="6"/>
      <c r="N3349" s="6"/>
      <c r="O3349" s="6"/>
      <c r="P3349" s="5"/>
      <c r="Q3349" s="9"/>
      <c r="R3349" s="5"/>
      <c r="S3349" s="5"/>
      <c r="T3349" s="5"/>
      <c r="U3349" s="5"/>
      <c r="V3349" s="5"/>
      <c r="W3349" s="5"/>
      <c r="X3349" s="5"/>
      <c r="Y3349" s="9"/>
      <c r="Z3349" s="2"/>
    </row>
    <row r="3350" spans="1:26">
      <c r="A3350" s="4"/>
      <c r="B3350" s="4"/>
      <c r="C3350" s="4"/>
      <c r="D3350" s="4"/>
      <c r="E3350" s="4"/>
      <c r="F3350" s="4"/>
      <c r="G3350" s="4"/>
      <c r="H3350" s="4"/>
      <c r="I3350" s="4"/>
      <c r="J3350" s="4"/>
      <c r="K3350" s="4"/>
      <c r="L3350" s="3"/>
      <c r="M3350" s="6"/>
      <c r="N3350" s="6"/>
      <c r="O3350" s="6"/>
      <c r="P3350" s="5"/>
      <c r="Q3350" s="9"/>
      <c r="R3350" s="5"/>
      <c r="S3350" s="5"/>
      <c r="T3350" s="5"/>
      <c r="U3350" s="5"/>
      <c r="V3350" s="5"/>
      <c r="W3350" s="5"/>
      <c r="X3350" s="5"/>
      <c r="Y3350" s="9"/>
      <c r="Z3350" s="2"/>
    </row>
    <row r="3351" spans="1:26">
      <c r="A3351" s="4"/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3"/>
      <c r="M3351" s="6"/>
      <c r="N3351" s="6"/>
      <c r="O3351" s="6"/>
      <c r="P3351" s="5"/>
      <c r="Q3351" s="9"/>
      <c r="R3351" s="5"/>
      <c r="S3351" s="5"/>
      <c r="T3351" s="5"/>
      <c r="U3351" s="5"/>
      <c r="V3351" s="5"/>
      <c r="W3351" s="5"/>
      <c r="X3351" s="5"/>
      <c r="Y3351" s="9"/>
      <c r="Z3351" s="2"/>
    </row>
    <row r="3352" spans="1:26">
      <c r="A3352" s="4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3"/>
      <c r="M3352" s="6"/>
      <c r="N3352" s="6"/>
      <c r="O3352" s="6"/>
      <c r="P3352" s="5"/>
      <c r="Q3352" s="9"/>
      <c r="R3352" s="5"/>
      <c r="S3352" s="5"/>
      <c r="T3352" s="5"/>
      <c r="U3352" s="5"/>
      <c r="V3352" s="5"/>
      <c r="W3352" s="5"/>
      <c r="X3352" s="5"/>
      <c r="Y3352" s="9"/>
      <c r="Z3352" s="2"/>
    </row>
    <row r="3353" spans="1:26">
      <c r="A3353" s="4"/>
      <c r="B3353" s="4"/>
      <c r="C3353" s="4"/>
      <c r="D3353" s="4"/>
      <c r="E3353" s="4"/>
      <c r="F3353" s="4"/>
      <c r="G3353" s="4"/>
      <c r="H3353" s="4"/>
      <c r="I3353" s="4"/>
      <c r="J3353" s="4"/>
      <c r="K3353" s="4"/>
      <c r="L3353" s="3"/>
      <c r="M3353" s="6"/>
      <c r="N3353" s="6"/>
      <c r="O3353" s="6"/>
      <c r="P3353" s="5"/>
      <c r="Q3353" s="9"/>
      <c r="R3353" s="5"/>
      <c r="S3353" s="5"/>
      <c r="T3353" s="5"/>
      <c r="U3353" s="5"/>
      <c r="V3353" s="5"/>
      <c r="W3353" s="5"/>
      <c r="X3353" s="5"/>
      <c r="Y3353" s="9"/>
      <c r="Z3353" s="2"/>
    </row>
    <row r="3354" spans="1:26">
      <c r="A3354" s="4"/>
      <c r="B3354" s="4"/>
      <c r="C3354" s="4"/>
      <c r="D3354" s="4"/>
      <c r="E3354" s="4"/>
      <c r="F3354" s="4"/>
      <c r="G3354" s="4"/>
      <c r="H3354" s="4"/>
      <c r="I3354" s="4"/>
      <c r="J3354" s="4"/>
      <c r="K3354" s="4"/>
      <c r="L3354" s="3"/>
      <c r="M3354" s="6"/>
      <c r="N3354" s="6"/>
      <c r="O3354" s="6"/>
      <c r="P3354" s="5"/>
      <c r="Q3354" s="9"/>
      <c r="R3354" s="5"/>
      <c r="S3354" s="5"/>
      <c r="T3354" s="5"/>
      <c r="U3354" s="5"/>
      <c r="V3354" s="5"/>
      <c r="W3354" s="5"/>
      <c r="X3354" s="5"/>
      <c r="Y3354" s="9"/>
      <c r="Z3354" s="2"/>
    </row>
    <row r="3355" spans="1:26">
      <c r="A3355" s="4"/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3"/>
      <c r="M3355" s="6"/>
      <c r="N3355" s="6"/>
      <c r="O3355" s="6"/>
      <c r="P3355" s="5"/>
      <c r="Q3355" s="9"/>
      <c r="R3355" s="5"/>
      <c r="S3355" s="5"/>
      <c r="T3355" s="5"/>
      <c r="U3355" s="5"/>
      <c r="V3355" s="5"/>
      <c r="W3355" s="5"/>
      <c r="X3355" s="5"/>
      <c r="Y3355" s="9"/>
      <c r="Z3355" s="2"/>
    </row>
    <row r="3356" spans="1:26">
      <c r="A3356" s="4"/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3"/>
      <c r="M3356" s="6"/>
      <c r="N3356" s="6"/>
      <c r="O3356" s="6"/>
      <c r="P3356" s="5"/>
      <c r="Q3356" s="9"/>
      <c r="R3356" s="5"/>
      <c r="S3356" s="5"/>
      <c r="T3356" s="5"/>
      <c r="U3356" s="5"/>
      <c r="V3356" s="5"/>
      <c r="W3356" s="5"/>
      <c r="X3356" s="5"/>
      <c r="Y3356" s="9"/>
      <c r="Z3356" s="2"/>
    </row>
    <row r="3357" spans="1:26">
      <c r="A3357" s="4"/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3"/>
      <c r="M3357" s="6"/>
      <c r="N3357" s="6"/>
      <c r="O3357" s="6"/>
      <c r="P3357" s="5"/>
      <c r="Q3357" s="9"/>
      <c r="R3357" s="5"/>
      <c r="S3357" s="5"/>
      <c r="T3357" s="5"/>
      <c r="U3357" s="5"/>
      <c r="V3357" s="5"/>
      <c r="W3357" s="5"/>
      <c r="X3357" s="5"/>
      <c r="Y3357" s="9"/>
      <c r="Z3357" s="2"/>
    </row>
    <row r="3358" spans="1:26">
      <c r="A3358" s="4"/>
      <c r="B3358" s="4"/>
      <c r="C3358" s="4"/>
      <c r="D3358" s="4"/>
      <c r="E3358" s="4"/>
      <c r="F3358" s="4"/>
      <c r="G3358" s="4"/>
      <c r="H3358" s="4"/>
      <c r="I3358" s="4"/>
      <c r="J3358" s="4"/>
      <c r="K3358" s="4"/>
      <c r="L3358" s="3"/>
      <c r="M3358" s="6"/>
      <c r="N3358" s="6"/>
      <c r="O3358" s="6"/>
      <c r="P3358" s="5"/>
      <c r="Q3358" s="9"/>
      <c r="R3358" s="5"/>
      <c r="S3358" s="5"/>
      <c r="T3358" s="5"/>
      <c r="U3358" s="5"/>
      <c r="V3358" s="5"/>
      <c r="W3358" s="5"/>
      <c r="X3358" s="5"/>
      <c r="Y3358" s="9"/>
      <c r="Z3358" s="2"/>
    </row>
    <row r="3359" spans="1:26">
      <c r="A3359" s="4"/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3"/>
      <c r="M3359" s="6"/>
      <c r="N3359" s="6"/>
      <c r="O3359" s="6"/>
      <c r="P3359" s="5"/>
      <c r="Q3359" s="9"/>
      <c r="R3359" s="5"/>
      <c r="S3359" s="5"/>
      <c r="T3359" s="5"/>
      <c r="U3359" s="5"/>
      <c r="V3359" s="5"/>
      <c r="W3359" s="5"/>
      <c r="X3359" s="5"/>
      <c r="Y3359" s="9"/>
      <c r="Z3359" s="2"/>
    </row>
    <row r="3360" spans="1:26">
      <c r="A3360" s="4"/>
      <c r="B3360" s="4"/>
      <c r="C3360" s="4"/>
      <c r="D3360" s="4"/>
      <c r="E3360" s="4"/>
      <c r="F3360" s="4"/>
      <c r="G3360" s="4"/>
      <c r="H3360" s="4"/>
      <c r="I3360" s="4"/>
      <c r="J3360" s="4"/>
      <c r="K3360" s="4"/>
      <c r="L3360" s="3"/>
      <c r="M3360" s="6"/>
      <c r="N3360" s="6"/>
      <c r="O3360" s="6"/>
      <c r="P3360" s="5"/>
      <c r="Q3360" s="9"/>
      <c r="R3360" s="5"/>
      <c r="S3360" s="5"/>
      <c r="T3360" s="5"/>
      <c r="U3360" s="5"/>
      <c r="V3360" s="5"/>
      <c r="W3360" s="5"/>
      <c r="X3360" s="5"/>
      <c r="Y3360" s="9"/>
      <c r="Z3360" s="2"/>
    </row>
    <row r="3361" spans="1:26">
      <c r="A3361" s="4"/>
      <c r="B3361" s="4"/>
      <c r="C3361" s="4"/>
      <c r="D3361" s="4"/>
      <c r="E3361" s="4"/>
      <c r="F3361" s="4"/>
      <c r="G3361" s="4"/>
      <c r="H3361" s="4"/>
      <c r="I3361" s="4"/>
      <c r="J3361" s="4"/>
      <c r="K3361" s="4"/>
      <c r="L3361" s="3"/>
      <c r="M3361" s="6"/>
      <c r="N3361" s="6"/>
      <c r="O3361" s="6"/>
      <c r="P3361" s="5"/>
      <c r="Q3361" s="9"/>
      <c r="R3361" s="5"/>
      <c r="S3361" s="5"/>
      <c r="T3361" s="5"/>
      <c r="U3361" s="5"/>
      <c r="V3361" s="5"/>
      <c r="W3361" s="5"/>
      <c r="X3361" s="5"/>
      <c r="Y3361" s="9"/>
      <c r="Z3361" s="2"/>
    </row>
    <row r="3362" spans="1:26">
      <c r="A3362" s="4"/>
      <c r="B3362" s="4"/>
      <c r="C3362" s="4"/>
      <c r="D3362" s="4"/>
      <c r="E3362" s="4"/>
      <c r="F3362" s="4"/>
      <c r="G3362" s="4"/>
      <c r="H3362" s="4"/>
      <c r="I3362" s="4"/>
      <c r="J3362" s="4"/>
      <c r="K3362" s="4"/>
      <c r="L3362" s="3"/>
      <c r="M3362" s="6"/>
      <c r="N3362" s="6"/>
      <c r="O3362" s="6"/>
      <c r="P3362" s="5"/>
      <c r="Q3362" s="9"/>
      <c r="R3362" s="5"/>
      <c r="S3362" s="5"/>
      <c r="T3362" s="5"/>
      <c r="U3362" s="5"/>
      <c r="V3362" s="5"/>
      <c r="W3362" s="5"/>
      <c r="X3362" s="5"/>
      <c r="Y3362" s="9"/>
      <c r="Z3362" s="2"/>
    </row>
    <row r="3363" spans="1:26">
      <c r="A3363" s="4"/>
      <c r="B3363" s="4"/>
      <c r="C3363" s="4"/>
      <c r="D3363" s="4"/>
      <c r="E3363" s="4"/>
      <c r="F3363" s="4"/>
      <c r="G3363" s="4"/>
      <c r="H3363" s="4"/>
      <c r="I3363" s="4"/>
      <c r="J3363" s="4"/>
      <c r="K3363" s="4"/>
      <c r="L3363" s="3"/>
      <c r="M3363" s="6"/>
      <c r="N3363" s="6"/>
      <c r="O3363" s="6"/>
      <c r="P3363" s="5"/>
      <c r="Q3363" s="9"/>
      <c r="R3363" s="5"/>
      <c r="S3363" s="5"/>
      <c r="T3363" s="5"/>
      <c r="U3363" s="5"/>
      <c r="V3363" s="5"/>
      <c r="W3363" s="5"/>
      <c r="X3363" s="5"/>
      <c r="Y3363" s="9"/>
      <c r="Z3363" s="2"/>
    </row>
    <row r="3364" spans="1:26">
      <c r="A3364" s="4"/>
      <c r="B3364" s="4"/>
      <c r="C3364" s="4"/>
      <c r="D3364" s="4"/>
      <c r="E3364" s="4"/>
      <c r="F3364" s="4"/>
      <c r="G3364" s="4"/>
      <c r="H3364" s="4"/>
      <c r="I3364" s="4"/>
      <c r="J3364" s="4"/>
      <c r="K3364" s="4"/>
      <c r="L3364" s="3"/>
      <c r="M3364" s="6"/>
      <c r="N3364" s="6"/>
      <c r="O3364" s="6"/>
      <c r="P3364" s="5"/>
      <c r="Q3364" s="9"/>
      <c r="R3364" s="5"/>
      <c r="S3364" s="5"/>
      <c r="T3364" s="5"/>
      <c r="U3364" s="5"/>
      <c r="V3364" s="5"/>
      <c r="W3364" s="5"/>
      <c r="X3364" s="5"/>
      <c r="Y3364" s="9"/>
      <c r="Z3364" s="2"/>
    </row>
    <row r="3365" spans="1:26">
      <c r="A3365" s="4"/>
      <c r="B3365" s="4"/>
      <c r="C3365" s="4"/>
      <c r="D3365" s="4"/>
      <c r="E3365" s="4"/>
      <c r="F3365" s="4"/>
      <c r="G3365" s="4"/>
      <c r="H3365" s="4"/>
      <c r="I3365" s="4"/>
      <c r="J3365" s="4"/>
      <c r="K3365" s="4"/>
      <c r="L3365" s="3"/>
      <c r="M3365" s="6"/>
      <c r="N3365" s="6"/>
      <c r="O3365" s="6"/>
      <c r="P3365" s="5"/>
      <c r="Q3365" s="9"/>
      <c r="R3365" s="5"/>
      <c r="S3365" s="5"/>
      <c r="T3365" s="5"/>
      <c r="U3365" s="5"/>
      <c r="V3365" s="5"/>
      <c r="W3365" s="5"/>
      <c r="X3365" s="5"/>
      <c r="Y3365" s="9"/>
      <c r="Z3365" s="2"/>
    </row>
    <row r="3366" spans="1:26">
      <c r="A3366" s="4"/>
      <c r="B3366" s="4"/>
      <c r="C3366" s="4"/>
      <c r="D3366" s="4"/>
      <c r="E3366" s="4"/>
      <c r="F3366" s="4"/>
      <c r="G3366" s="4"/>
      <c r="H3366" s="4"/>
      <c r="I3366" s="4"/>
      <c r="J3366" s="4"/>
      <c r="K3366" s="4"/>
      <c r="L3366" s="3"/>
      <c r="M3366" s="6"/>
      <c r="N3366" s="6"/>
      <c r="O3366" s="6"/>
      <c r="P3366" s="5"/>
      <c r="Q3366" s="9"/>
      <c r="R3366" s="5"/>
      <c r="S3366" s="5"/>
      <c r="T3366" s="5"/>
      <c r="U3366" s="5"/>
      <c r="V3366" s="5"/>
      <c r="W3366" s="5"/>
      <c r="X3366" s="5"/>
      <c r="Y3366" s="9"/>
      <c r="Z3366" s="2"/>
    </row>
    <row r="3367" spans="1:26">
      <c r="A3367" s="4"/>
      <c r="B3367" s="4"/>
      <c r="C3367" s="4"/>
      <c r="D3367" s="4"/>
      <c r="E3367" s="4"/>
      <c r="F3367" s="4"/>
      <c r="G3367" s="4"/>
      <c r="H3367" s="4"/>
      <c r="I3367" s="4"/>
      <c r="J3367" s="4"/>
      <c r="K3367" s="4"/>
      <c r="L3367" s="3"/>
      <c r="M3367" s="6"/>
      <c r="N3367" s="6"/>
      <c r="O3367" s="6"/>
      <c r="P3367" s="5"/>
      <c r="Q3367" s="9"/>
      <c r="R3367" s="5"/>
      <c r="S3367" s="5"/>
      <c r="T3367" s="5"/>
      <c r="U3367" s="5"/>
      <c r="V3367" s="5"/>
      <c r="W3367" s="5"/>
      <c r="X3367" s="5"/>
      <c r="Y3367" s="9"/>
      <c r="Z3367" s="2"/>
    </row>
    <row r="3368" spans="1:26">
      <c r="A3368" s="4"/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3"/>
      <c r="M3368" s="6"/>
      <c r="N3368" s="6"/>
      <c r="O3368" s="6"/>
      <c r="P3368" s="5"/>
      <c r="Q3368" s="9"/>
      <c r="R3368" s="5"/>
      <c r="S3368" s="5"/>
      <c r="T3368" s="5"/>
      <c r="U3368" s="5"/>
      <c r="V3368" s="5"/>
      <c r="W3368" s="5"/>
      <c r="X3368" s="5"/>
      <c r="Y3368" s="9"/>
      <c r="Z3368" s="2"/>
    </row>
    <row r="3369" spans="1:26">
      <c r="A3369" s="4"/>
      <c r="B3369" s="4"/>
      <c r="C3369" s="4"/>
      <c r="D3369" s="4"/>
      <c r="E3369" s="4"/>
      <c r="F3369" s="4"/>
      <c r="G3369" s="4"/>
      <c r="H3369" s="4"/>
      <c r="I3369" s="4"/>
      <c r="J3369" s="4"/>
      <c r="K3369" s="4"/>
      <c r="L3369" s="3"/>
      <c r="M3369" s="6"/>
      <c r="N3369" s="6"/>
      <c r="O3369" s="6"/>
      <c r="P3369" s="5"/>
      <c r="Q3369" s="9"/>
      <c r="R3369" s="5"/>
      <c r="S3369" s="5"/>
      <c r="T3369" s="5"/>
      <c r="U3369" s="5"/>
      <c r="V3369" s="5"/>
      <c r="W3369" s="5"/>
      <c r="X3369" s="5"/>
      <c r="Y3369" s="9"/>
      <c r="Z3369" s="2"/>
    </row>
    <row r="3370" spans="1:26">
      <c r="A3370" s="4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3"/>
      <c r="M3370" s="6"/>
      <c r="N3370" s="6"/>
      <c r="O3370" s="6"/>
      <c r="P3370" s="5"/>
      <c r="Q3370" s="9"/>
      <c r="R3370" s="5"/>
      <c r="S3370" s="5"/>
      <c r="T3370" s="5"/>
      <c r="U3370" s="5"/>
      <c r="V3370" s="5"/>
      <c r="W3370" s="5"/>
      <c r="X3370" s="5"/>
      <c r="Y3370" s="9"/>
      <c r="Z3370" s="2"/>
    </row>
    <row r="3371" spans="1:26">
      <c r="A3371" s="4"/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3"/>
      <c r="M3371" s="6"/>
      <c r="N3371" s="6"/>
      <c r="O3371" s="6"/>
      <c r="P3371" s="5"/>
      <c r="Q3371" s="9"/>
      <c r="R3371" s="5"/>
      <c r="S3371" s="5"/>
      <c r="T3371" s="5"/>
      <c r="U3371" s="5"/>
      <c r="V3371" s="5"/>
      <c r="W3371" s="5"/>
      <c r="X3371" s="5"/>
      <c r="Y3371" s="9"/>
      <c r="Z3371" s="2"/>
    </row>
    <row r="3372" spans="1:26">
      <c r="A3372" s="4"/>
      <c r="B3372" s="4"/>
      <c r="C3372" s="4"/>
      <c r="D3372" s="4"/>
      <c r="E3372" s="4"/>
      <c r="F3372" s="4"/>
      <c r="G3372" s="4"/>
      <c r="H3372" s="4"/>
      <c r="I3372" s="4"/>
      <c r="J3372" s="4"/>
      <c r="K3372" s="4"/>
      <c r="L3372" s="3"/>
      <c r="M3372" s="6"/>
      <c r="N3372" s="6"/>
      <c r="O3372" s="6"/>
      <c r="P3372" s="5"/>
      <c r="Q3372" s="9"/>
      <c r="R3372" s="5"/>
      <c r="S3372" s="5"/>
      <c r="T3372" s="5"/>
      <c r="U3372" s="5"/>
      <c r="V3372" s="5"/>
      <c r="W3372" s="5"/>
      <c r="X3372" s="5"/>
      <c r="Y3372" s="9"/>
      <c r="Z3372" s="2"/>
    </row>
    <row r="3373" spans="1:26">
      <c r="A3373" s="4"/>
      <c r="B3373" s="4"/>
      <c r="C3373" s="4"/>
      <c r="D3373" s="4"/>
      <c r="E3373" s="4"/>
      <c r="F3373" s="4"/>
      <c r="G3373" s="4"/>
      <c r="H3373" s="4"/>
      <c r="I3373" s="4"/>
      <c r="J3373" s="4"/>
      <c r="K3373" s="4"/>
      <c r="L3373" s="3"/>
      <c r="M3373" s="6"/>
      <c r="N3373" s="6"/>
      <c r="O3373" s="6"/>
      <c r="P3373" s="5"/>
      <c r="Q3373" s="9"/>
      <c r="R3373" s="5"/>
      <c r="S3373" s="5"/>
      <c r="T3373" s="5"/>
      <c r="U3373" s="5"/>
      <c r="V3373" s="5"/>
      <c r="W3373" s="5"/>
      <c r="X3373" s="5"/>
      <c r="Y3373" s="9"/>
      <c r="Z3373" s="2"/>
    </row>
    <row r="3374" spans="1:26">
      <c r="A3374" s="4"/>
      <c r="B3374" s="4"/>
      <c r="C3374" s="4"/>
      <c r="D3374" s="4"/>
      <c r="E3374" s="4"/>
      <c r="F3374" s="4"/>
      <c r="G3374" s="4"/>
      <c r="H3374" s="4"/>
      <c r="I3374" s="4"/>
      <c r="J3374" s="4"/>
      <c r="K3374" s="4"/>
      <c r="L3374" s="3"/>
      <c r="M3374" s="6"/>
      <c r="N3374" s="6"/>
      <c r="O3374" s="6"/>
      <c r="P3374" s="5"/>
      <c r="Q3374" s="9"/>
      <c r="R3374" s="5"/>
      <c r="S3374" s="5"/>
      <c r="T3374" s="5"/>
      <c r="U3374" s="5"/>
      <c r="V3374" s="5"/>
      <c r="W3374" s="5"/>
      <c r="X3374" s="5"/>
      <c r="Y3374" s="9"/>
      <c r="Z3374" s="2"/>
    </row>
    <row r="3375" spans="1:26">
      <c r="A3375" s="4"/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3"/>
      <c r="M3375" s="6"/>
      <c r="N3375" s="6"/>
      <c r="O3375" s="6"/>
      <c r="P3375" s="5"/>
      <c r="Q3375" s="9"/>
      <c r="R3375" s="5"/>
      <c r="S3375" s="5"/>
      <c r="T3375" s="5"/>
      <c r="U3375" s="5"/>
      <c r="V3375" s="5"/>
      <c r="W3375" s="5"/>
      <c r="X3375" s="5"/>
      <c r="Y3375" s="9"/>
      <c r="Z3375" s="2"/>
    </row>
    <row r="3376" spans="1:26">
      <c r="A3376" s="4"/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3"/>
      <c r="M3376" s="6"/>
      <c r="N3376" s="6"/>
      <c r="O3376" s="6"/>
      <c r="P3376" s="5"/>
      <c r="Q3376" s="9"/>
      <c r="R3376" s="5"/>
      <c r="S3376" s="5"/>
      <c r="T3376" s="5"/>
      <c r="U3376" s="5"/>
      <c r="V3376" s="5"/>
      <c r="W3376" s="5"/>
      <c r="X3376" s="5"/>
      <c r="Y3376" s="9"/>
      <c r="Z3376" s="2"/>
    </row>
    <row r="3377" spans="1:26">
      <c r="A3377" s="4"/>
      <c r="B3377" s="4"/>
      <c r="C3377" s="4"/>
      <c r="D3377" s="4"/>
      <c r="E3377" s="4"/>
      <c r="F3377" s="4"/>
      <c r="G3377" s="4"/>
      <c r="H3377" s="4"/>
      <c r="I3377" s="4"/>
      <c r="J3377" s="4"/>
      <c r="K3377" s="4"/>
      <c r="L3377" s="3"/>
      <c r="M3377" s="6"/>
      <c r="N3377" s="6"/>
      <c r="O3377" s="6"/>
      <c r="P3377" s="5"/>
      <c r="Q3377" s="9"/>
      <c r="R3377" s="5"/>
      <c r="S3377" s="5"/>
      <c r="T3377" s="5"/>
      <c r="U3377" s="5"/>
      <c r="V3377" s="5"/>
      <c r="W3377" s="5"/>
      <c r="X3377" s="5"/>
      <c r="Y3377" s="9"/>
      <c r="Z3377" s="2"/>
    </row>
    <row r="3378" spans="1:26">
      <c r="A3378" s="4"/>
      <c r="B3378" s="4"/>
      <c r="C3378" s="4"/>
      <c r="D3378" s="4"/>
      <c r="E3378" s="4"/>
      <c r="F3378" s="4"/>
      <c r="G3378" s="4"/>
      <c r="H3378" s="4"/>
      <c r="I3378" s="4"/>
      <c r="J3378" s="4"/>
      <c r="K3378" s="4"/>
      <c r="L3378" s="3"/>
      <c r="M3378" s="6"/>
      <c r="N3378" s="6"/>
      <c r="O3378" s="6"/>
      <c r="P3378" s="5"/>
      <c r="Q3378" s="9"/>
      <c r="R3378" s="5"/>
      <c r="S3378" s="5"/>
      <c r="T3378" s="5"/>
      <c r="U3378" s="5"/>
      <c r="V3378" s="5"/>
      <c r="W3378" s="5"/>
      <c r="X3378" s="5"/>
      <c r="Y3378" s="9"/>
      <c r="Z3378" s="2"/>
    </row>
    <row r="3379" spans="1:26">
      <c r="A3379" s="4"/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3"/>
      <c r="M3379" s="6"/>
      <c r="N3379" s="6"/>
      <c r="O3379" s="6"/>
      <c r="P3379" s="5"/>
      <c r="Q3379" s="9"/>
      <c r="R3379" s="5"/>
      <c r="S3379" s="5"/>
      <c r="T3379" s="5"/>
      <c r="U3379" s="5"/>
      <c r="V3379" s="5"/>
      <c r="W3379" s="5"/>
      <c r="X3379" s="5"/>
      <c r="Y3379" s="9"/>
      <c r="Z3379" s="2"/>
    </row>
    <row r="3380" spans="1:26">
      <c r="A3380" s="4"/>
      <c r="B3380" s="4"/>
      <c r="C3380" s="4"/>
      <c r="D3380" s="4"/>
      <c r="E3380" s="4"/>
      <c r="F3380" s="4"/>
      <c r="G3380" s="4"/>
      <c r="H3380" s="4"/>
      <c r="I3380" s="4"/>
      <c r="J3380" s="4"/>
      <c r="K3380" s="4"/>
      <c r="L3380" s="3"/>
      <c r="M3380" s="6"/>
      <c r="N3380" s="6"/>
      <c r="O3380" s="6"/>
      <c r="P3380" s="5"/>
      <c r="Q3380" s="9"/>
      <c r="R3380" s="5"/>
      <c r="S3380" s="5"/>
      <c r="T3380" s="5"/>
      <c r="U3380" s="5"/>
      <c r="V3380" s="5"/>
      <c r="W3380" s="5"/>
      <c r="X3380" s="5"/>
      <c r="Y3380" s="9"/>
      <c r="Z3380" s="2"/>
    </row>
    <row r="3381" spans="1:26">
      <c r="A3381" s="4"/>
      <c r="B3381" s="4"/>
      <c r="C3381" s="4"/>
      <c r="D3381" s="4"/>
      <c r="E3381" s="4"/>
      <c r="F3381" s="4"/>
      <c r="G3381" s="4"/>
      <c r="H3381" s="4"/>
      <c r="I3381" s="4"/>
      <c r="J3381" s="4"/>
      <c r="K3381" s="4"/>
      <c r="L3381" s="3"/>
      <c r="M3381" s="6"/>
      <c r="N3381" s="6"/>
      <c r="O3381" s="6"/>
      <c r="P3381" s="5"/>
      <c r="Q3381" s="9"/>
      <c r="R3381" s="5"/>
      <c r="S3381" s="5"/>
      <c r="T3381" s="5"/>
      <c r="U3381" s="5"/>
      <c r="V3381" s="5"/>
      <c r="W3381" s="5"/>
      <c r="X3381" s="5"/>
      <c r="Y3381" s="9"/>
      <c r="Z3381" s="2"/>
    </row>
    <row r="3382" spans="1:26">
      <c r="A3382" s="4"/>
      <c r="B3382" s="4"/>
      <c r="C3382" s="4"/>
      <c r="D3382" s="4"/>
      <c r="E3382" s="4"/>
      <c r="F3382" s="4"/>
      <c r="G3382" s="4"/>
      <c r="H3382" s="4"/>
      <c r="I3382" s="4"/>
      <c r="J3382" s="4"/>
      <c r="K3382" s="4"/>
      <c r="L3382" s="3"/>
      <c r="M3382" s="6"/>
      <c r="N3382" s="6"/>
      <c r="O3382" s="6"/>
      <c r="P3382" s="5"/>
      <c r="Q3382" s="9"/>
      <c r="R3382" s="5"/>
      <c r="S3382" s="5"/>
      <c r="T3382" s="5"/>
      <c r="U3382" s="5"/>
      <c r="V3382" s="5"/>
      <c r="W3382" s="5"/>
      <c r="X3382" s="5"/>
      <c r="Y3382" s="9"/>
      <c r="Z3382" s="2"/>
    </row>
    <row r="3383" spans="1:26">
      <c r="A3383" s="4"/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3"/>
      <c r="M3383" s="6"/>
      <c r="N3383" s="6"/>
      <c r="O3383" s="6"/>
      <c r="P3383" s="5"/>
      <c r="Q3383" s="9"/>
      <c r="R3383" s="5"/>
      <c r="S3383" s="5"/>
      <c r="T3383" s="5"/>
      <c r="U3383" s="5"/>
      <c r="V3383" s="5"/>
      <c r="W3383" s="5"/>
      <c r="X3383" s="5"/>
      <c r="Y3383" s="9"/>
      <c r="Z3383" s="2"/>
    </row>
    <row r="3384" spans="1:26">
      <c r="A3384" s="4"/>
      <c r="B3384" s="4"/>
      <c r="C3384" s="4"/>
      <c r="D3384" s="4"/>
      <c r="E3384" s="4"/>
      <c r="F3384" s="4"/>
      <c r="G3384" s="4"/>
      <c r="H3384" s="4"/>
      <c r="I3384" s="4"/>
      <c r="J3384" s="4"/>
      <c r="K3384" s="4"/>
      <c r="L3384" s="3"/>
      <c r="M3384" s="6"/>
      <c r="N3384" s="6"/>
      <c r="O3384" s="6"/>
      <c r="P3384" s="5"/>
      <c r="Q3384" s="9"/>
      <c r="R3384" s="5"/>
      <c r="S3384" s="5"/>
      <c r="T3384" s="5"/>
      <c r="U3384" s="5"/>
      <c r="V3384" s="5"/>
      <c r="W3384" s="5"/>
      <c r="X3384" s="5"/>
      <c r="Y3384" s="9"/>
      <c r="Z3384" s="2"/>
    </row>
    <row r="3385" spans="1:26">
      <c r="A3385" s="4"/>
      <c r="B3385" s="4"/>
      <c r="C3385" s="4"/>
      <c r="D3385" s="4"/>
      <c r="E3385" s="4"/>
      <c r="F3385" s="4"/>
      <c r="G3385" s="4"/>
      <c r="H3385" s="4"/>
      <c r="I3385" s="4"/>
      <c r="J3385" s="4"/>
      <c r="K3385" s="4"/>
      <c r="L3385" s="3"/>
      <c r="M3385" s="6"/>
      <c r="N3385" s="6"/>
      <c r="O3385" s="6"/>
      <c r="P3385" s="5"/>
      <c r="Q3385" s="9"/>
      <c r="R3385" s="5"/>
      <c r="S3385" s="5"/>
      <c r="T3385" s="5"/>
      <c r="U3385" s="5"/>
      <c r="V3385" s="5"/>
      <c r="W3385" s="5"/>
      <c r="X3385" s="5"/>
      <c r="Y3385" s="9"/>
      <c r="Z3385" s="2"/>
    </row>
    <row r="3386" spans="1:26">
      <c r="A3386" s="4"/>
      <c r="B3386" s="4"/>
      <c r="C3386" s="4"/>
      <c r="D3386" s="4"/>
      <c r="E3386" s="4"/>
      <c r="F3386" s="4"/>
      <c r="G3386" s="4"/>
      <c r="H3386" s="4"/>
      <c r="I3386" s="4"/>
      <c r="J3386" s="4"/>
      <c r="K3386" s="4"/>
      <c r="L3386" s="3"/>
      <c r="M3386" s="6"/>
      <c r="N3386" s="6"/>
      <c r="O3386" s="6"/>
      <c r="P3386" s="5"/>
      <c r="Q3386" s="9"/>
      <c r="R3386" s="5"/>
      <c r="S3386" s="5"/>
      <c r="T3386" s="5"/>
      <c r="U3386" s="5"/>
      <c r="V3386" s="5"/>
      <c r="W3386" s="5"/>
      <c r="X3386" s="5"/>
      <c r="Y3386" s="9"/>
      <c r="Z3386" s="2"/>
    </row>
    <row r="3387" spans="1:26">
      <c r="A3387" s="4"/>
      <c r="B3387" s="4"/>
      <c r="C3387" s="4"/>
      <c r="D3387" s="4"/>
      <c r="E3387" s="4"/>
      <c r="F3387" s="4"/>
      <c r="G3387" s="4"/>
      <c r="H3387" s="4"/>
      <c r="I3387" s="4"/>
      <c r="J3387" s="4"/>
      <c r="K3387" s="4"/>
      <c r="L3387" s="3"/>
      <c r="M3387" s="6"/>
      <c r="N3387" s="6"/>
      <c r="O3387" s="6"/>
      <c r="P3387" s="5"/>
      <c r="Q3387" s="9"/>
      <c r="R3387" s="5"/>
      <c r="S3387" s="5"/>
      <c r="T3387" s="5"/>
      <c r="U3387" s="5"/>
      <c r="V3387" s="5"/>
      <c r="W3387" s="5"/>
      <c r="X3387" s="5"/>
      <c r="Y3387" s="9"/>
      <c r="Z3387" s="2"/>
    </row>
    <row r="3388" spans="1:26">
      <c r="A3388" s="4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3"/>
      <c r="M3388" s="6"/>
      <c r="N3388" s="6"/>
      <c r="O3388" s="6"/>
      <c r="P3388" s="5"/>
      <c r="Q3388" s="9"/>
      <c r="R3388" s="5"/>
      <c r="S3388" s="5"/>
      <c r="T3388" s="5"/>
      <c r="U3388" s="5"/>
      <c r="V3388" s="5"/>
      <c r="W3388" s="5"/>
      <c r="X3388" s="5"/>
      <c r="Y3388" s="9"/>
      <c r="Z3388" s="2"/>
    </row>
    <row r="3389" spans="1:26">
      <c r="A3389" s="4"/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3"/>
      <c r="M3389" s="6"/>
      <c r="N3389" s="6"/>
      <c r="O3389" s="6"/>
      <c r="P3389" s="5"/>
      <c r="Q3389" s="9"/>
      <c r="R3389" s="5"/>
      <c r="S3389" s="5"/>
      <c r="T3389" s="5"/>
      <c r="U3389" s="5"/>
      <c r="V3389" s="5"/>
      <c r="W3389" s="5"/>
      <c r="X3389" s="5"/>
      <c r="Y3389" s="9"/>
      <c r="Z3389" s="2"/>
    </row>
    <row r="3390" spans="1:26">
      <c r="A3390" s="4"/>
      <c r="B3390" s="4"/>
      <c r="C3390" s="4"/>
      <c r="D3390" s="4"/>
      <c r="E3390" s="4"/>
      <c r="F3390" s="4"/>
      <c r="G3390" s="4"/>
      <c r="H3390" s="4"/>
      <c r="I3390" s="4"/>
      <c r="J3390" s="4"/>
      <c r="K3390" s="4"/>
      <c r="L3390" s="3"/>
      <c r="M3390" s="6"/>
      <c r="N3390" s="6"/>
      <c r="O3390" s="6"/>
      <c r="P3390" s="5"/>
      <c r="Q3390" s="9"/>
      <c r="R3390" s="5"/>
      <c r="S3390" s="5"/>
      <c r="T3390" s="5"/>
      <c r="U3390" s="5"/>
      <c r="V3390" s="5"/>
      <c r="W3390" s="5"/>
      <c r="X3390" s="5"/>
      <c r="Y3390" s="9"/>
      <c r="Z3390" s="2"/>
    </row>
    <row r="3391" spans="1:26">
      <c r="A3391" s="4"/>
      <c r="B3391" s="4"/>
      <c r="C3391" s="4"/>
      <c r="D3391" s="4"/>
      <c r="E3391" s="4"/>
      <c r="F3391" s="4"/>
      <c r="G3391" s="4"/>
      <c r="H3391" s="4"/>
      <c r="I3391" s="4"/>
      <c r="J3391" s="4"/>
      <c r="K3391" s="4"/>
      <c r="L3391" s="3"/>
      <c r="M3391" s="6"/>
      <c r="N3391" s="6"/>
      <c r="O3391" s="6"/>
      <c r="P3391" s="5"/>
      <c r="Q3391" s="9"/>
      <c r="R3391" s="5"/>
      <c r="S3391" s="5"/>
      <c r="T3391" s="5"/>
      <c r="U3391" s="5"/>
      <c r="V3391" s="5"/>
      <c r="W3391" s="5"/>
      <c r="X3391" s="5"/>
      <c r="Y3391" s="9"/>
      <c r="Z3391" s="2"/>
    </row>
    <row r="3392" spans="1:26">
      <c r="A3392" s="4"/>
      <c r="B3392" s="4"/>
      <c r="C3392" s="4"/>
      <c r="D3392" s="4"/>
      <c r="E3392" s="4"/>
      <c r="F3392" s="4"/>
      <c r="G3392" s="4"/>
      <c r="H3392" s="4"/>
      <c r="I3392" s="4"/>
      <c r="J3392" s="4"/>
      <c r="K3392" s="4"/>
      <c r="L3392" s="3"/>
      <c r="M3392" s="6"/>
      <c r="N3392" s="6"/>
      <c r="O3392" s="6"/>
      <c r="P3392" s="5"/>
      <c r="Q3392" s="9"/>
      <c r="R3392" s="5"/>
      <c r="S3392" s="5"/>
      <c r="T3392" s="5"/>
      <c r="U3392" s="5"/>
      <c r="V3392" s="5"/>
      <c r="W3392" s="5"/>
      <c r="X3392" s="5"/>
      <c r="Y3392" s="9"/>
      <c r="Z3392" s="2"/>
    </row>
    <row r="3393" spans="1:26">
      <c r="A3393" s="4"/>
      <c r="B3393" s="4"/>
      <c r="C3393" s="4"/>
      <c r="D3393" s="4"/>
      <c r="E3393" s="4"/>
      <c r="F3393" s="4"/>
      <c r="G3393" s="4"/>
      <c r="H3393" s="4"/>
      <c r="I3393" s="4"/>
      <c r="J3393" s="4"/>
      <c r="K3393" s="4"/>
      <c r="L3393" s="3"/>
      <c r="M3393" s="6"/>
      <c r="N3393" s="6"/>
      <c r="O3393" s="6"/>
      <c r="P3393" s="5"/>
      <c r="Q3393" s="9"/>
      <c r="R3393" s="5"/>
      <c r="S3393" s="5"/>
      <c r="T3393" s="5"/>
      <c r="U3393" s="5"/>
      <c r="V3393" s="5"/>
      <c r="W3393" s="5"/>
      <c r="X3393" s="5"/>
      <c r="Y3393" s="9"/>
      <c r="Z3393" s="2"/>
    </row>
    <row r="3394" spans="1:26">
      <c r="A3394" s="4"/>
      <c r="B3394" s="4"/>
      <c r="C3394" s="4"/>
      <c r="D3394" s="4"/>
      <c r="E3394" s="4"/>
      <c r="F3394" s="4"/>
      <c r="G3394" s="4"/>
      <c r="H3394" s="4"/>
      <c r="I3394" s="4"/>
      <c r="J3394" s="4"/>
      <c r="K3394" s="4"/>
      <c r="L3394" s="3"/>
      <c r="M3394" s="6"/>
      <c r="N3394" s="6"/>
      <c r="O3394" s="6"/>
      <c r="P3394" s="5"/>
      <c r="Q3394" s="9"/>
      <c r="R3394" s="5"/>
      <c r="S3394" s="5"/>
      <c r="T3394" s="5"/>
      <c r="U3394" s="5"/>
      <c r="V3394" s="5"/>
      <c r="W3394" s="5"/>
      <c r="X3394" s="5"/>
      <c r="Y3394" s="9"/>
      <c r="Z3394" s="2"/>
    </row>
    <row r="3395" spans="1:26">
      <c r="A3395" s="4"/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3"/>
      <c r="M3395" s="6"/>
      <c r="N3395" s="6"/>
      <c r="O3395" s="6"/>
      <c r="P3395" s="5"/>
      <c r="Q3395" s="9"/>
      <c r="R3395" s="5"/>
      <c r="S3395" s="5"/>
      <c r="T3395" s="5"/>
      <c r="U3395" s="5"/>
      <c r="V3395" s="5"/>
      <c r="W3395" s="5"/>
      <c r="X3395" s="5"/>
      <c r="Y3395" s="9"/>
      <c r="Z3395" s="2"/>
    </row>
    <row r="3396" spans="1:26">
      <c r="A3396" s="4"/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3"/>
      <c r="M3396" s="6"/>
      <c r="N3396" s="6"/>
      <c r="O3396" s="6"/>
      <c r="P3396" s="5"/>
      <c r="Q3396" s="9"/>
      <c r="R3396" s="5"/>
      <c r="S3396" s="5"/>
      <c r="T3396" s="5"/>
      <c r="U3396" s="5"/>
      <c r="V3396" s="5"/>
      <c r="W3396" s="5"/>
      <c r="X3396" s="5"/>
      <c r="Y3396" s="9"/>
      <c r="Z3396" s="2"/>
    </row>
    <row r="3397" spans="1:26">
      <c r="A3397" s="4"/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3"/>
      <c r="M3397" s="6"/>
      <c r="N3397" s="6"/>
      <c r="O3397" s="6"/>
      <c r="P3397" s="5"/>
      <c r="Q3397" s="9"/>
      <c r="R3397" s="5"/>
      <c r="S3397" s="5"/>
      <c r="T3397" s="5"/>
      <c r="U3397" s="5"/>
      <c r="V3397" s="5"/>
      <c r="W3397" s="5"/>
      <c r="X3397" s="5"/>
      <c r="Y3397" s="9"/>
      <c r="Z3397" s="2"/>
    </row>
    <row r="3398" spans="1:26">
      <c r="A3398" s="4"/>
      <c r="B3398" s="4"/>
      <c r="C3398" s="4"/>
      <c r="D3398" s="4"/>
      <c r="E3398" s="4"/>
      <c r="F3398" s="4"/>
      <c r="G3398" s="4"/>
      <c r="H3398" s="4"/>
      <c r="I3398" s="4"/>
      <c r="J3398" s="4"/>
      <c r="K3398" s="4"/>
      <c r="L3398" s="3"/>
      <c r="M3398" s="6"/>
      <c r="N3398" s="6"/>
      <c r="O3398" s="6"/>
      <c r="P3398" s="5"/>
      <c r="Q3398" s="9"/>
      <c r="R3398" s="5"/>
      <c r="S3398" s="5"/>
      <c r="T3398" s="5"/>
      <c r="U3398" s="5"/>
      <c r="V3398" s="5"/>
      <c r="W3398" s="5"/>
      <c r="X3398" s="5"/>
      <c r="Y3398" s="9"/>
      <c r="Z3398" s="2"/>
    </row>
    <row r="3399" spans="1:26">
      <c r="A3399" s="4"/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3"/>
      <c r="M3399" s="6"/>
      <c r="N3399" s="6"/>
      <c r="O3399" s="6"/>
      <c r="P3399" s="5"/>
      <c r="Q3399" s="9"/>
      <c r="R3399" s="5"/>
      <c r="S3399" s="5"/>
      <c r="T3399" s="5"/>
      <c r="U3399" s="5"/>
      <c r="V3399" s="5"/>
      <c r="W3399" s="5"/>
      <c r="X3399" s="5"/>
      <c r="Y3399" s="9"/>
      <c r="Z3399" s="2"/>
    </row>
    <row r="3400" spans="1:26">
      <c r="A3400" s="4"/>
      <c r="B3400" s="4"/>
      <c r="C3400" s="4"/>
      <c r="D3400" s="4"/>
      <c r="E3400" s="4"/>
      <c r="F3400" s="4"/>
      <c r="G3400" s="4"/>
      <c r="H3400" s="4"/>
      <c r="I3400" s="4"/>
      <c r="J3400" s="4"/>
      <c r="K3400" s="4"/>
      <c r="L3400" s="3"/>
      <c r="M3400" s="6"/>
      <c r="N3400" s="6"/>
      <c r="O3400" s="6"/>
      <c r="P3400" s="5"/>
      <c r="Q3400" s="9"/>
      <c r="R3400" s="5"/>
      <c r="S3400" s="5"/>
      <c r="T3400" s="5"/>
      <c r="U3400" s="5"/>
      <c r="V3400" s="5"/>
      <c r="W3400" s="5"/>
      <c r="X3400" s="5"/>
      <c r="Y3400" s="9"/>
      <c r="Z3400" s="2"/>
    </row>
    <row r="3401" spans="1:26">
      <c r="A3401" s="4"/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3"/>
      <c r="M3401" s="6"/>
      <c r="N3401" s="6"/>
      <c r="O3401" s="6"/>
      <c r="P3401" s="5"/>
      <c r="Q3401" s="9"/>
      <c r="R3401" s="5"/>
      <c r="S3401" s="5"/>
      <c r="T3401" s="5"/>
      <c r="U3401" s="5"/>
      <c r="V3401" s="5"/>
      <c r="W3401" s="5"/>
      <c r="X3401" s="5"/>
      <c r="Y3401" s="9"/>
      <c r="Z3401" s="2"/>
    </row>
    <row r="3402" spans="1:26">
      <c r="A3402" s="4"/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3"/>
      <c r="M3402" s="6"/>
      <c r="N3402" s="6"/>
      <c r="O3402" s="6"/>
      <c r="P3402" s="5"/>
      <c r="Q3402" s="9"/>
      <c r="R3402" s="5"/>
      <c r="S3402" s="5"/>
      <c r="T3402" s="5"/>
      <c r="U3402" s="5"/>
      <c r="V3402" s="5"/>
      <c r="W3402" s="5"/>
      <c r="X3402" s="5"/>
      <c r="Y3402" s="9"/>
      <c r="Z3402" s="2"/>
    </row>
    <row r="3403" spans="1:26">
      <c r="A3403" s="4"/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3"/>
      <c r="M3403" s="6"/>
      <c r="N3403" s="6"/>
      <c r="O3403" s="6"/>
      <c r="P3403" s="5"/>
      <c r="Q3403" s="9"/>
      <c r="R3403" s="5"/>
      <c r="S3403" s="5"/>
      <c r="T3403" s="5"/>
      <c r="U3403" s="5"/>
      <c r="V3403" s="5"/>
      <c r="W3403" s="5"/>
      <c r="X3403" s="5"/>
      <c r="Y3403" s="9"/>
      <c r="Z3403" s="2"/>
    </row>
    <row r="3404" spans="1:26">
      <c r="A3404" s="4"/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3"/>
      <c r="M3404" s="6"/>
      <c r="N3404" s="6"/>
      <c r="O3404" s="6"/>
      <c r="P3404" s="5"/>
      <c r="Q3404" s="9"/>
      <c r="R3404" s="5"/>
      <c r="S3404" s="5"/>
      <c r="T3404" s="5"/>
      <c r="U3404" s="5"/>
      <c r="V3404" s="5"/>
      <c r="W3404" s="5"/>
      <c r="X3404" s="5"/>
      <c r="Y3404" s="9"/>
      <c r="Z3404" s="2"/>
    </row>
    <row r="3405" spans="1:26">
      <c r="A3405" s="4"/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3"/>
      <c r="M3405" s="6"/>
      <c r="N3405" s="6"/>
      <c r="O3405" s="6"/>
      <c r="P3405" s="5"/>
      <c r="Q3405" s="9"/>
      <c r="R3405" s="5"/>
      <c r="S3405" s="5"/>
      <c r="T3405" s="5"/>
      <c r="U3405" s="5"/>
      <c r="V3405" s="5"/>
      <c r="W3405" s="5"/>
      <c r="X3405" s="5"/>
      <c r="Y3405" s="9"/>
      <c r="Z3405" s="2"/>
    </row>
    <row r="3406" spans="1:26">
      <c r="A3406" s="4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3"/>
      <c r="M3406" s="6"/>
      <c r="N3406" s="6"/>
      <c r="O3406" s="6"/>
      <c r="P3406" s="5"/>
      <c r="Q3406" s="9"/>
      <c r="R3406" s="5"/>
      <c r="S3406" s="5"/>
      <c r="T3406" s="5"/>
      <c r="U3406" s="5"/>
      <c r="V3406" s="5"/>
      <c r="W3406" s="5"/>
      <c r="X3406" s="5"/>
      <c r="Y3406" s="9"/>
      <c r="Z3406" s="2"/>
    </row>
    <row r="3407" spans="1:26">
      <c r="A3407" s="4"/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3"/>
      <c r="M3407" s="6"/>
      <c r="N3407" s="6"/>
      <c r="O3407" s="6"/>
      <c r="P3407" s="5"/>
      <c r="Q3407" s="9"/>
      <c r="R3407" s="5"/>
      <c r="S3407" s="5"/>
      <c r="T3407" s="5"/>
      <c r="U3407" s="5"/>
      <c r="V3407" s="5"/>
      <c r="W3407" s="5"/>
      <c r="X3407" s="5"/>
      <c r="Y3407" s="9"/>
      <c r="Z3407" s="2"/>
    </row>
    <row r="3408" spans="1:26">
      <c r="A3408" s="4"/>
      <c r="B3408" s="4"/>
      <c r="C3408" s="4"/>
      <c r="D3408" s="4"/>
      <c r="E3408" s="4"/>
      <c r="F3408" s="4"/>
      <c r="G3408" s="4"/>
      <c r="H3408" s="4"/>
      <c r="I3408" s="4"/>
      <c r="J3408" s="4"/>
      <c r="K3408" s="4"/>
      <c r="L3408" s="3"/>
      <c r="M3408" s="6"/>
      <c r="N3408" s="6"/>
      <c r="O3408" s="6"/>
      <c r="P3408" s="5"/>
      <c r="Q3408" s="9"/>
      <c r="R3408" s="5"/>
      <c r="S3408" s="5"/>
      <c r="T3408" s="5"/>
      <c r="U3408" s="5"/>
      <c r="V3408" s="5"/>
      <c r="W3408" s="5"/>
      <c r="X3408" s="5"/>
      <c r="Y3408" s="9"/>
      <c r="Z3408" s="2"/>
    </row>
    <row r="3409" spans="1:26">
      <c r="A3409" s="4"/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3"/>
      <c r="M3409" s="6"/>
      <c r="N3409" s="6"/>
      <c r="O3409" s="6"/>
      <c r="P3409" s="5"/>
      <c r="Q3409" s="9"/>
      <c r="R3409" s="5"/>
      <c r="S3409" s="5"/>
      <c r="T3409" s="5"/>
      <c r="U3409" s="5"/>
      <c r="V3409" s="5"/>
      <c r="W3409" s="5"/>
      <c r="X3409" s="5"/>
      <c r="Y3409" s="9"/>
      <c r="Z3409" s="2"/>
    </row>
    <row r="3410" spans="1:26">
      <c r="A3410" s="4"/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3"/>
      <c r="M3410" s="6"/>
      <c r="N3410" s="6"/>
      <c r="O3410" s="6"/>
      <c r="P3410" s="5"/>
      <c r="Q3410" s="9"/>
      <c r="R3410" s="5"/>
      <c r="S3410" s="5"/>
      <c r="T3410" s="5"/>
      <c r="U3410" s="5"/>
      <c r="V3410" s="5"/>
      <c r="W3410" s="5"/>
      <c r="X3410" s="5"/>
      <c r="Y3410" s="9"/>
      <c r="Z3410" s="2"/>
    </row>
    <row r="3411" spans="1:26">
      <c r="A3411" s="4"/>
      <c r="B3411" s="4"/>
      <c r="C3411" s="4"/>
      <c r="D3411" s="4"/>
      <c r="E3411" s="4"/>
      <c r="F3411" s="4"/>
      <c r="G3411" s="4"/>
      <c r="H3411" s="4"/>
      <c r="I3411" s="4"/>
      <c r="J3411" s="4"/>
      <c r="K3411" s="4"/>
      <c r="L3411" s="3"/>
      <c r="M3411" s="6"/>
      <c r="N3411" s="6"/>
      <c r="O3411" s="6"/>
      <c r="P3411" s="5"/>
      <c r="Q3411" s="9"/>
      <c r="R3411" s="5"/>
      <c r="S3411" s="5"/>
      <c r="T3411" s="5"/>
      <c r="U3411" s="5"/>
      <c r="V3411" s="5"/>
      <c r="W3411" s="5"/>
      <c r="X3411" s="5"/>
      <c r="Y3411" s="9"/>
      <c r="Z3411" s="2"/>
    </row>
    <row r="3412" spans="1:26">
      <c r="A3412" s="4"/>
      <c r="B3412" s="4"/>
      <c r="C3412" s="4"/>
      <c r="D3412" s="4"/>
      <c r="E3412" s="4"/>
      <c r="F3412" s="4"/>
      <c r="G3412" s="4"/>
      <c r="H3412" s="4"/>
      <c r="I3412" s="4"/>
      <c r="J3412" s="4"/>
      <c r="K3412" s="4"/>
      <c r="L3412" s="3"/>
      <c r="M3412" s="6"/>
      <c r="N3412" s="6"/>
      <c r="O3412" s="6"/>
      <c r="P3412" s="5"/>
      <c r="Q3412" s="9"/>
      <c r="R3412" s="5"/>
      <c r="S3412" s="5"/>
      <c r="T3412" s="5"/>
      <c r="U3412" s="5"/>
      <c r="V3412" s="5"/>
      <c r="W3412" s="5"/>
      <c r="X3412" s="5"/>
      <c r="Y3412" s="9"/>
      <c r="Z3412" s="2"/>
    </row>
    <row r="3413" spans="1:26">
      <c r="A3413" s="4"/>
      <c r="B3413" s="4"/>
      <c r="C3413" s="4"/>
      <c r="D3413" s="4"/>
      <c r="E3413" s="4"/>
      <c r="F3413" s="4"/>
      <c r="G3413" s="4"/>
      <c r="H3413" s="4"/>
      <c r="I3413" s="4"/>
      <c r="J3413" s="4"/>
      <c r="K3413" s="4"/>
      <c r="L3413" s="3"/>
      <c r="M3413" s="6"/>
      <c r="N3413" s="6"/>
      <c r="O3413" s="6"/>
      <c r="P3413" s="5"/>
      <c r="Q3413" s="9"/>
      <c r="R3413" s="5"/>
      <c r="S3413" s="5"/>
      <c r="T3413" s="5"/>
      <c r="U3413" s="5"/>
      <c r="V3413" s="5"/>
      <c r="W3413" s="5"/>
      <c r="X3413" s="5"/>
      <c r="Y3413" s="9"/>
      <c r="Z3413" s="2"/>
    </row>
    <row r="3414" spans="1:26">
      <c r="A3414" s="4"/>
      <c r="B3414" s="4"/>
      <c r="C3414" s="4"/>
      <c r="D3414" s="4"/>
      <c r="E3414" s="4"/>
      <c r="F3414" s="4"/>
      <c r="G3414" s="4"/>
      <c r="H3414" s="4"/>
      <c r="I3414" s="4"/>
      <c r="J3414" s="4"/>
      <c r="K3414" s="4"/>
      <c r="L3414" s="3"/>
      <c r="M3414" s="6"/>
      <c r="N3414" s="6"/>
      <c r="O3414" s="6"/>
      <c r="P3414" s="5"/>
      <c r="Q3414" s="9"/>
      <c r="R3414" s="5"/>
      <c r="S3414" s="5"/>
      <c r="T3414" s="5"/>
      <c r="U3414" s="5"/>
      <c r="V3414" s="5"/>
      <c r="W3414" s="5"/>
      <c r="X3414" s="5"/>
      <c r="Y3414" s="9"/>
      <c r="Z3414" s="2"/>
    </row>
    <row r="3415" spans="1:26">
      <c r="A3415" s="4"/>
      <c r="B3415" s="4"/>
      <c r="C3415" s="4"/>
      <c r="D3415" s="4"/>
      <c r="E3415" s="4"/>
      <c r="F3415" s="4"/>
      <c r="G3415" s="4"/>
      <c r="H3415" s="4"/>
      <c r="I3415" s="4"/>
      <c r="J3415" s="4"/>
      <c r="K3415" s="4"/>
      <c r="L3415" s="3"/>
      <c r="M3415" s="6"/>
      <c r="N3415" s="6"/>
      <c r="O3415" s="6"/>
      <c r="P3415" s="5"/>
      <c r="Q3415" s="9"/>
      <c r="R3415" s="5"/>
      <c r="S3415" s="5"/>
      <c r="T3415" s="5"/>
      <c r="U3415" s="5"/>
      <c r="V3415" s="5"/>
      <c r="W3415" s="5"/>
      <c r="X3415" s="5"/>
      <c r="Y3415" s="9"/>
      <c r="Z3415" s="2"/>
    </row>
    <row r="3416" spans="1:26">
      <c r="A3416" s="4"/>
      <c r="B3416" s="4"/>
      <c r="C3416" s="4"/>
      <c r="D3416" s="4"/>
      <c r="E3416" s="4"/>
      <c r="F3416" s="4"/>
      <c r="G3416" s="4"/>
      <c r="H3416" s="4"/>
      <c r="I3416" s="4"/>
      <c r="J3416" s="4"/>
      <c r="K3416" s="4"/>
      <c r="L3416" s="3"/>
      <c r="M3416" s="6"/>
      <c r="N3416" s="6"/>
      <c r="O3416" s="6"/>
      <c r="P3416" s="5"/>
      <c r="Q3416" s="9"/>
      <c r="R3416" s="5"/>
      <c r="S3416" s="5"/>
      <c r="T3416" s="5"/>
      <c r="U3416" s="5"/>
      <c r="V3416" s="5"/>
      <c r="W3416" s="5"/>
      <c r="X3416" s="5"/>
      <c r="Y3416" s="9"/>
      <c r="Z3416" s="2"/>
    </row>
    <row r="3417" spans="1:26">
      <c r="A3417" s="4"/>
      <c r="B3417" s="4"/>
      <c r="C3417" s="4"/>
      <c r="D3417" s="4"/>
      <c r="E3417" s="4"/>
      <c r="F3417" s="4"/>
      <c r="G3417" s="4"/>
      <c r="H3417" s="4"/>
      <c r="I3417" s="4"/>
      <c r="J3417" s="4"/>
      <c r="K3417" s="4"/>
      <c r="L3417" s="3"/>
      <c r="M3417" s="6"/>
      <c r="N3417" s="6"/>
      <c r="O3417" s="6"/>
      <c r="P3417" s="5"/>
      <c r="Q3417" s="9"/>
      <c r="R3417" s="5"/>
      <c r="S3417" s="5"/>
      <c r="T3417" s="5"/>
      <c r="U3417" s="5"/>
      <c r="V3417" s="5"/>
      <c r="W3417" s="5"/>
      <c r="X3417" s="5"/>
      <c r="Y3417" s="9"/>
      <c r="Z3417" s="2"/>
    </row>
    <row r="3418" spans="1:26">
      <c r="A3418" s="4"/>
      <c r="B3418" s="4"/>
      <c r="C3418" s="4"/>
      <c r="D3418" s="4"/>
      <c r="E3418" s="4"/>
      <c r="F3418" s="4"/>
      <c r="G3418" s="4"/>
      <c r="H3418" s="4"/>
      <c r="I3418" s="4"/>
      <c r="J3418" s="4"/>
      <c r="K3418" s="4"/>
      <c r="L3418" s="3"/>
      <c r="M3418" s="6"/>
      <c r="N3418" s="6"/>
      <c r="O3418" s="6"/>
      <c r="P3418" s="5"/>
      <c r="Q3418" s="9"/>
      <c r="R3418" s="5"/>
      <c r="S3418" s="5"/>
      <c r="T3418" s="5"/>
      <c r="U3418" s="5"/>
      <c r="V3418" s="5"/>
      <c r="W3418" s="5"/>
      <c r="X3418" s="5"/>
      <c r="Y3418" s="9"/>
      <c r="Z3418" s="2"/>
    </row>
    <row r="3419" spans="1:26">
      <c r="A3419" s="4"/>
      <c r="B3419" s="4"/>
      <c r="C3419" s="4"/>
      <c r="D3419" s="4"/>
      <c r="E3419" s="4"/>
      <c r="F3419" s="4"/>
      <c r="G3419" s="4"/>
      <c r="H3419" s="4"/>
      <c r="I3419" s="4"/>
      <c r="J3419" s="4"/>
      <c r="K3419" s="4"/>
      <c r="L3419" s="3"/>
      <c r="M3419" s="6"/>
      <c r="N3419" s="6"/>
      <c r="O3419" s="6"/>
      <c r="P3419" s="5"/>
      <c r="Q3419" s="9"/>
      <c r="R3419" s="5"/>
      <c r="S3419" s="5"/>
      <c r="T3419" s="5"/>
      <c r="U3419" s="5"/>
      <c r="V3419" s="5"/>
      <c r="W3419" s="5"/>
      <c r="X3419" s="5"/>
      <c r="Y3419" s="9"/>
      <c r="Z3419" s="2"/>
    </row>
    <row r="3420" spans="1:26">
      <c r="A3420" s="4"/>
      <c r="B3420" s="4"/>
      <c r="C3420" s="4"/>
      <c r="D3420" s="4"/>
      <c r="E3420" s="4"/>
      <c r="F3420" s="4"/>
      <c r="G3420" s="4"/>
      <c r="H3420" s="4"/>
      <c r="I3420" s="4"/>
      <c r="J3420" s="4"/>
      <c r="K3420" s="4"/>
      <c r="L3420" s="3"/>
      <c r="M3420" s="6"/>
      <c r="N3420" s="6"/>
      <c r="O3420" s="6"/>
      <c r="P3420" s="5"/>
      <c r="Q3420" s="9"/>
      <c r="R3420" s="5"/>
      <c r="S3420" s="5"/>
      <c r="T3420" s="5"/>
      <c r="U3420" s="5"/>
      <c r="V3420" s="5"/>
      <c r="W3420" s="5"/>
      <c r="X3420" s="5"/>
      <c r="Y3420" s="9"/>
      <c r="Z3420" s="2"/>
    </row>
    <row r="3421" spans="1:26">
      <c r="A3421" s="4"/>
      <c r="B3421" s="4"/>
      <c r="C3421" s="4"/>
      <c r="D3421" s="4"/>
      <c r="E3421" s="4"/>
      <c r="F3421" s="4"/>
      <c r="G3421" s="4"/>
      <c r="H3421" s="4"/>
      <c r="I3421" s="4"/>
      <c r="J3421" s="4"/>
      <c r="K3421" s="4"/>
      <c r="L3421" s="3"/>
      <c r="M3421" s="6"/>
      <c r="N3421" s="6"/>
      <c r="O3421" s="6"/>
      <c r="P3421" s="5"/>
      <c r="Q3421" s="9"/>
      <c r="R3421" s="5"/>
      <c r="S3421" s="5"/>
      <c r="T3421" s="5"/>
      <c r="U3421" s="5"/>
      <c r="V3421" s="5"/>
      <c r="W3421" s="5"/>
      <c r="X3421" s="5"/>
      <c r="Y3421" s="9"/>
      <c r="Z3421" s="2"/>
    </row>
    <row r="3422" spans="1:26">
      <c r="A3422" s="4"/>
      <c r="B3422" s="4"/>
      <c r="C3422" s="4"/>
      <c r="D3422" s="4"/>
      <c r="E3422" s="4"/>
      <c r="F3422" s="4"/>
      <c r="G3422" s="4"/>
      <c r="H3422" s="4"/>
      <c r="I3422" s="4"/>
      <c r="J3422" s="4"/>
      <c r="K3422" s="4"/>
      <c r="L3422" s="3"/>
      <c r="M3422" s="6"/>
      <c r="N3422" s="6"/>
      <c r="O3422" s="6"/>
      <c r="P3422" s="5"/>
      <c r="Q3422" s="9"/>
      <c r="R3422" s="5"/>
      <c r="S3422" s="5"/>
      <c r="T3422" s="5"/>
      <c r="U3422" s="5"/>
      <c r="V3422" s="5"/>
      <c r="W3422" s="5"/>
      <c r="X3422" s="5"/>
      <c r="Y3422" s="9"/>
      <c r="Z3422" s="2"/>
    </row>
    <row r="3423" spans="1:26">
      <c r="A3423" s="4"/>
      <c r="B3423" s="4"/>
      <c r="C3423" s="4"/>
      <c r="D3423" s="4"/>
      <c r="E3423" s="4"/>
      <c r="F3423" s="4"/>
      <c r="G3423" s="4"/>
      <c r="H3423" s="4"/>
      <c r="I3423" s="4"/>
      <c r="J3423" s="4"/>
      <c r="K3423" s="4"/>
      <c r="L3423" s="3"/>
      <c r="M3423" s="6"/>
      <c r="N3423" s="6"/>
      <c r="O3423" s="6"/>
      <c r="P3423" s="5"/>
      <c r="Q3423" s="9"/>
      <c r="R3423" s="5"/>
      <c r="S3423" s="5"/>
      <c r="T3423" s="5"/>
      <c r="U3423" s="5"/>
      <c r="V3423" s="5"/>
      <c r="W3423" s="5"/>
      <c r="X3423" s="5"/>
      <c r="Y3423" s="9"/>
      <c r="Z3423" s="2"/>
    </row>
    <row r="3424" spans="1:26">
      <c r="A3424" s="4"/>
      <c r="B3424" s="4"/>
      <c r="C3424" s="4"/>
      <c r="D3424" s="4"/>
      <c r="E3424" s="4"/>
      <c r="F3424" s="4"/>
      <c r="G3424" s="4"/>
      <c r="H3424" s="4"/>
      <c r="I3424" s="4"/>
      <c r="J3424" s="4"/>
      <c r="K3424" s="4"/>
      <c r="L3424" s="3"/>
      <c r="M3424" s="6"/>
      <c r="N3424" s="6"/>
      <c r="O3424" s="6"/>
      <c r="P3424" s="5"/>
      <c r="Q3424" s="9"/>
      <c r="R3424" s="5"/>
      <c r="S3424" s="5"/>
      <c r="T3424" s="5"/>
      <c r="U3424" s="5"/>
      <c r="V3424" s="5"/>
      <c r="W3424" s="5"/>
      <c r="X3424" s="5"/>
      <c r="Y3424" s="9"/>
      <c r="Z3424" s="2"/>
    </row>
    <row r="3425" spans="1:26">
      <c r="A3425" s="4"/>
      <c r="B3425" s="4"/>
      <c r="C3425" s="4"/>
      <c r="D3425" s="4"/>
      <c r="E3425" s="4"/>
      <c r="F3425" s="4"/>
      <c r="G3425" s="4"/>
      <c r="H3425" s="4"/>
      <c r="I3425" s="4"/>
      <c r="J3425" s="4"/>
      <c r="K3425" s="4"/>
      <c r="L3425" s="3"/>
      <c r="M3425" s="6"/>
      <c r="N3425" s="6"/>
      <c r="O3425" s="6"/>
      <c r="P3425" s="5"/>
      <c r="Q3425" s="9"/>
      <c r="R3425" s="5"/>
      <c r="S3425" s="5"/>
      <c r="T3425" s="5"/>
      <c r="U3425" s="5"/>
      <c r="V3425" s="5"/>
      <c r="W3425" s="5"/>
      <c r="X3425" s="5"/>
      <c r="Y3425" s="9"/>
      <c r="Z3425" s="2"/>
    </row>
    <row r="3426" spans="1:26">
      <c r="A3426" s="4"/>
      <c r="B3426" s="4"/>
      <c r="C3426" s="4"/>
      <c r="D3426" s="4"/>
      <c r="E3426" s="4"/>
      <c r="F3426" s="4"/>
      <c r="G3426" s="4"/>
      <c r="H3426" s="4"/>
      <c r="I3426" s="4"/>
      <c r="J3426" s="4"/>
      <c r="K3426" s="4"/>
      <c r="L3426" s="3"/>
      <c r="M3426" s="6"/>
      <c r="N3426" s="6"/>
      <c r="O3426" s="6"/>
      <c r="P3426" s="5"/>
      <c r="Q3426" s="9"/>
      <c r="R3426" s="5"/>
      <c r="S3426" s="5"/>
      <c r="T3426" s="5"/>
      <c r="U3426" s="5"/>
      <c r="V3426" s="5"/>
      <c r="W3426" s="5"/>
      <c r="X3426" s="5"/>
      <c r="Y3426" s="9"/>
      <c r="Z3426" s="2"/>
    </row>
    <row r="3427" spans="1:26">
      <c r="A3427" s="4"/>
      <c r="B3427" s="4"/>
      <c r="C3427" s="4"/>
      <c r="D3427" s="4"/>
      <c r="E3427" s="4"/>
      <c r="F3427" s="4"/>
      <c r="G3427" s="4"/>
      <c r="H3427" s="4"/>
      <c r="I3427" s="4"/>
      <c r="J3427" s="4"/>
      <c r="K3427" s="4"/>
      <c r="L3427" s="3"/>
      <c r="M3427" s="6"/>
      <c r="N3427" s="6"/>
      <c r="O3427" s="6"/>
      <c r="P3427" s="5"/>
      <c r="Q3427" s="9"/>
      <c r="R3427" s="5"/>
      <c r="S3427" s="5"/>
      <c r="T3427" s="5"/>
      <c r="U3427" s="5"/>
      <c r="V3427" s="5"/>
      <c r="W3427" s="5"/>
      <c r="X3427" s="5"/>
      <c r="Y3427" s="9"/>
      <c r="Z3427" s="2"/>
    </row>
    <row r="3428" spans="1:26">
      <c r="A3428" s="4"/>
      <c r="B3428" s="4"/>
      <c r="C3428" s="4"/>
      <c r="D3428" s="4"/>
      <c r="E3428" s="4"/>
      <c r="F3428" s="4"/>
      <c r="G3428" s="4"/>
      <c r="H3428" s="4"/>
      <c r="I3428" s="4"/>
      <c r="J3428" s="4"/>
      <c r="K3428" s="4"/>
      <c r="L3428" s="3"/>
      <c r="M3428" s="6"/>
      <c r="N3428" s="6"/>
      <c r="O3428" s="6"/>
      <c r="P3428" s="5"/>
      <c r="Q3428" s="9"/>
      <c r="R3428" s="5"/>
      <c r="S3428" s="5"/>
      <c r="T3428" s="5"/>
      <c r="U3428" s="5"/>
      <c r="V3428" s="5"/>
      <c r="W3428" s="5"/>
      <c r="X3428" s="5"/>
      <c r="Y3428" s="9"/>
      <c r="Z3428" s="2"/>
    </row>
    <row r="3429" spans="1:26">
      <c r="A3429" s="4"/>
      <c r="B3429" s="4"/>
      <c r="C3429" s="4"/>
      <c r="D3429" s="4"/>
      <c r="E3429" s="4"/>
      <c r="F3429" s="4"/>
      <c r="G3429" s="4"/>
      <c r="H3429" s="4"/>
      <c r="I3429" s="4"/>
      <c r="J3429" s="4"/>
      <c r="K3429" s="4"/>
      <c r="L3429" s="3"/>
      <c r="M3429" s="6"/>
      <c r="N3429" s="6"/>
      <c r="O3429" s="6"/>
      <c r="P3429" s="5"/>
      <c r="Q3429" s="9"/>
      <c r="R3429" s="5"/>
      <c r="S3429" s="5"/>
      <c r="T3429" s="5"/>
      <c r="U3429" s="5"/>
      <c r="V3429" s="5"/>
      <c r="W3429" s="5"/>
      <c r="X3429" s="5"/>
      <c r="Y3429" s="9"/>
      <c r="Z3429" s="2"/>
    </row>
    <row r="3430" spans="1:26">
      <c r="A3430" s="4"/>
      <c r="B3430" s="4"/>
      <c r="C3430" s="4"/>
      <c r="D3430" s="4"/>
      <c r="E3430" s="4"/>
      <c r="F3430" s="4"/>
      <c r="G3430" s="4"/>
      <c r="H3430" s="4"/>
      <c r="I3430" s="4"/>
      <c r="J3430" s="4"/>
      <c r="K3430" s="4"/>
      <c r="L3430" s="3"/>
      <c r="M3430" s="6"/>
      <c r="N3430" s="6"/>
      <c r="O3430" s="6"/>
      <c r="P3430" s="5"/>
      <c r="Q3430" s="9"/>
      <c r="R3430" s="5"/>
      <c r="S3430" s="5"/>
      <c r="T3430" s="5"/>
      <c r="U3430" s="5"/>
      <c r="V3430" s="5"/>
      <c r="W3430" s="5"/>
      <c r="X3430" s="5"/>
      <c r="Y3430" s="9"/>
      <c r="Z3430" s="2"/>
    </row>
    <row r="3431" spans="1:26">
      <c r="A3431" s="4"/>
      <c r="B3431" s="4"/>
      <c r="C3431" s="4"/>
      <c r="D3431" s="4"/>
      <c r="E3431" s="4"/>
      <c r="F3431" s="4"/>
      <c r="G3431" s="4"/>
      <c r="H3431" s="4"/>
      <c r="I3431" s="4"/>
      <c r="J3431" s="4"/>
      <c r="K3431" s="4"/>
      <c r="L3431" s="3"/>
      <c r="M3431" s="6"/>
      <c r="N3431" s="6"/>
      <c r="O3431" s="6"/>
      <c r="P3431" s="5"/>
      <c r="Q3431" s="9"/>
      <c r="R3431" s="5"/>
      <c r="S3431" s="5"/>
      <c r="T3431" s="5"/>
      <c r="U3431" s="5"/>
      <c r="V3431" s="5"/>
      <c r="W3431" s="5"/>
      <c r="X3431" s="5"/>
      <c r="Y3431" s="9"/>
      <c r="Z3431" s="2"/>
    </row>
    <row r="3432" spans="1:26">
      <c r="A3432" s="4"/>
      <c r="B3432" s="4"/>
      <c r="C3432" s="4"/>
      <c r="D3432" s="4"/>
      <c r="E3432" s="4"/>
      <c r="F3432" s="4"/>
      <c r="G3432" s="4"/>
      <c r="H3432" s="4"/>
      <c r="I3432" s="4"/>
      <c r="J3432" s="4"/>
      <c r="K3432" s="4"/>
      <c r="L3432" s="3"/>
      <c r="M3432" s="6"/>
      <c r="N3432" s="6"/>
      <c r="O3432" s="6"/>
      <c r="P3432" s="5"/>
      <c r="Q3432" s="9"/>
      <c r="R3432" s="5"/>
      <c r="S3432" s="5"/>
      <c r="T3432" s="5"/>
      <c r="U3432" s="5"/>
      <c r="V3432" s="5"/>
      <c r="W3432" s="5"/>
      <c r="X3432" s="5"/>
      <c r="Y3432" s="9"/>
      <c r="Z3432" s="2"/>
    </row>
    <row r="3433" spans="1:26">
      <c r="A3433" s="4"/>
      <c r="B3433" s="4"/>
      <c r="C3433" s="4"/>
      <c r="D3433" s="4"/>
      <c r="E3433" s="4"/>
      <c r="F3433" s="4"/>
      <c r="G3433" s="4"/>
      <c r="H3433" s="4"/>
      <c r="I3433" s="4"/>
      <c r="J3433" s="4"/>
      <c r="K3433" s="4"/>
      <c r="L3433" s="3"/>
      <c r="M3433" s="6"/>
      <c r="N3433" s="6"/>
      <c r="O3433" s="6"/>
      <c r="P3433" s="5"/>
      <c r="Q3433" s="9"/>
      <c r="R3433" s="5"/>
      <c r="S3433" s="5"/>
      <c r="T3433" s="5"/>
      <c r="U3433" s="5"/>
      <c r="V3433" s="5"/>
      <c r="W3433" s="5"/>
      <c r="X3433" s="5"/>
      <c r="Y3433" s="9"/>
      <c r="Z3433" s="2"/>
    </row>
    <row r="3434" spans="1:26">
      <c r="A3434" s="4"/>
      <c r="B3434" s="4"/>
      <c r="C3434" s="4"/>
      <c r="D3434" s="4"/>
      <c r="E3434" s="4"/>
      <c r="F3434" s="4"/>
      <c r="G3434" s="4"/>
      <c r="H3434" s="4"/>
      <c r="I3434" s="4"/>
      <c r="J3434" s="4"/>
      <c r="K3434" s="4"/>
      <c r="L3434" s="3"/>
      <c r="M3434" s="6"/>
      <c r="N3434" s="6"/>
      <c r="O3434" s="6"/>
      <c r="P3434" s="5"/>
      <c r="Q3434" s="9"/>
      <c r="R3434" s="5"/>
      <c r="S3434" s="5"/>
      <c r="T3434" s="5"/>
      <c r="U3434" s="5"/>
      <c r="V3434" s="5"/>
      <c r="W3434" s="5"/>
      <c r="X3434" s="5"/>
      <c r="Y3434" s="9"/>
      <c r="Z3434" s="2"/>
    </row>
    <row r="3435" spans="1:26">
      <c r="A3435" s="4"/>
      <c r="B3435" s="4"/>
      <c r="C3435" s="4"/>
      <c r="D3435" s="4"/>
      <c r="E3435" s="4"/>
      <c r="F3435" s="4"/>
      <c r="G3435" s="4"/>
      <c r="H3435" s="4"/>
      <c r="I3435" s="4"/>
      <c r="J3435" s="4"/>
      <c r="K3435" s="4"/>
      <c r="L3435" s="3"/>
      <c r="M3435" s="6"/>
      <c r="N3435" s="6"/>
      <c r="O3435" s="6"/>
      <c r="P3435" s="5"/>
      <c r="Q3435" s="9"/>
      <c r="R3435" s="5"/>
      <c r="S3435" s="5"/>
      <c r="T3435" s="5"/>
      <c r="U3435" s="5"/>
      <c r="V3435" s="5"/>
      <c r="W3435" s="5"/>
      <c r="X3435" s="5"/>
      <c r="Y3435" s="9"/>
      <c r="Z3435" s="2"/>
    </row>
    <row r="3436" spans="1:26">
      <c r="A3436" s="4"/>
      <c r="B3436" s="4"/>
      <c r="C3436" s="4"/>
      <c r="D3436" s="4"/>
      <c r="E3436" s="4"/>
      <c r="F3436" s="4"/>
      <c r="G3436" s="4"/>
      <c r="H3436" s="4"/>
      <c r="I3436" s="4"/>
      <c r="J3436" s="4"/>
      <c r="K3436" s="4"/>
      <c r="L3436" s="3"/>
      <c r="M3436" s="6"/>
      <c r="N3436" s="6"/>
      <c r="O3436" s="6"/>
      <c r="P3436" s="5"/>
      <c r="Q3436" s="9"/>
      <c r="R3436" s="5"/>
      <c r="S3436" s="5"/>
      <c r="T3436" s="5"/>
      <c r="U3436" s="5"/>
      <c r="V3436" s="5"/>
      <c r="W3436" s="5"/>
      <c r="X3436" s="5"/>
      <c r="Y3436" s="9"/>
      <c r="Z3436" s="2"/>
    </row>
    <row r="3437" spans="1:26">
      <c r="A3437" s="4"/>
      <c r="B3437" s="4"/>
      <c r="C3437" s="4"/>
      <c r="D3437" s="4"/>
      <c r="E3437" s="4"/>
      <c r="F3437" s="4"/>
      <c r="G3437" s="4"/>
      <c r="H3437" s="4"/>
      <c r="I3437" s="4"/>
      <c r="J3437" s="4"/>
      <c r="K3437" s="4"/>
      <c r="L3437" s="3"/>
      <c r="M3437" s="6"/>
      <c r="N3437" s="6"/>
      <c r="O3437" s="6"/>
      <c r="P3437" s="5"/>
      <c r="Q3437" s="9"/>
      <c r="R3437" s="5"/>
      <c r="S3437" s="5"/>
      <c r="T3437" s="5"/>
      <c r="U3437" s="5"/>
      <c r="V3437" s="5"/>
      <c r="W3437" s="5"/>
      <c r="X3437" s="5"/>
      <c r="Y3437" s="9"/>
      <c r="Z3437" s="2"/>
    </row>
    <row r="3438" spans="1:26">
      <c r="A3438" s="4"/>
      <c r="B3438" s="4"/>
      <c r="C3438" s="4"/>
      <c r="D3438" s="4"/>
      <c r="E3438" s="4"/>
      <c r="F3438" s="4"/>
      <c r="G3438" s="4"/>
      <c r="H3438" s="4"/>
      <c r="I3438" s="4"/>
      <c r="J3438" s="4"/>
      <c r="K3438" s="4"/>
      <c r="L3438" s="3"/>
      <c r="M3438" s="6"/>
      <c r="N3438" s="6"/>
      <c r="O3438" s="6"/>
      <c r="P3438" s="5"/>
      <c r="Q3438" s="9"/>
      <c r="R3438" s="5"/>
      <c r="S3438" s="5"/>
      <c r="T3438" s="5"/>
      <c r="U3438" s="5"/>
      <c r="V3438" s="5"/>
      <c r="W3438" s="5"/>
      <c r="X3438" s="5"/>
      <c r="Y3438" s="9"/>
      <c r="Z3438" s="2"/>
    </row>
    <row r="3439" spans="1:26">
      <c r="A3439" s="4"/>
      <c r="B3439" s="4"/>
      <c r="C3439" s="4"/>
      <c r="D3439" s="4"/>
      <c r="E3439" s="4"/>
      <c r="F3439" s="4"/>
      <c r="G3439" s="4"/>
      <c r="H3439" s="4"/>
      <c r="I3439" s="4"/>
      <c r="J3439" s="4"/>
      <c r="K3439" s="4"/>
      <c r="L3439" s="3"/>
      <c r="M3439" s="6"/>
      <c r="N3439" s="6"/>
      <c r="O3439" s="6"/>
      <c r="P3439" s="5"/>
      <c r="Q3439" s="9"/>
      <c r="R3439" s="5"/>
      <c r="S3439" s="5"/>
      <c r="T3439" s="5"/>
      <c r="U3439" s="5"/>
      <c r="V3439" s="5"/>
      <c r="W3439" s="5"/>
      <c r="X3439" s="5"/>
      <c r="Y3439" s="9"/>
      <c r="Z3439" s="2"/>
    </row>
    <row r="3440" spans="1:26">
      <c r="A3440" s="4"/>
      <c r="B3440" s="4"/>
      <c r="C3440" s="4"/>
      <c r="D3440" s="4"/>
      <c r="E3440" s="4"/>
      <c r="F3440" s="4"/>
      <c r="G3440" s="4"/>
      <c r="H3440" s="4"/>
      <c r="I3440" s="4"/>
      <c r="J3440" s="4"/>
      <c r="K3440" s="4"/>
      <c r="L3440" s="3"/>
      <c r="M3440" s="6"/>
      <c r="N3440" s="6"/>
      <c r="O3440" s="6"/>
      <c r="P3440" s="5"/>
      <c r="Q3440" s="9"/>
      <c r="R3440" s="5"/>
      <c r="S3440" s="5"/>
      <c r="T3440" s="5"/>
      <c r="U3440" s="5"/>
      <c r="V3440" s="5"/>
      <c r="W3440" s="5"/>
      <c r="X3440" s="5"/>
      <c r="Y3440" s="9"/>
      <c r="Z3440" s="2"/>
    </row>
    <row r="3441" spans="1:26">
      <c r="A3441" s="4"/>
      <c r="B3441" s="4"/>
      <c r="C3441" s="4"/>
      <c r="D3441" s="4"/>
      <c r="E3441" s="4"/>
      <c r="F3441" s="4"/>
      <c r="G3441" s="4"/>
      <c r="H3441" s="4"/>
      <c r="I3441" s="4"/>
      <c r="J3441" s="4"/>
      <c r="K3441" s="4"/>
      <c r="L3441" s="3"/>
      <c r="M3441" s="6"/>
      <c r="N3441" s="6"/>
      <c r="O3441" s="6"/>
      <c r="P3441" s="5"/>
      <c r="Q3441" s="9"/>
      <c r="R3441" s="5"/>
      <c r="S3441" s="5"/>
      <c r="T3441" s="5"/>
      <c r="U3441" s="5"/>
      <c r="V3441" s="5"/>
      <c r="W3441" s="5"/>
      <c r="X3441" s="5"/>
      <c r="Y3441" s="9"/>
      <c r="Z3441" s="2"/>
    </row>
    <row r="3442" spans="1:26">
      <c r="A3442" s="4"/>
      <c r="B3442" s="4"/>
      <c r="C3442" s="4"/>
      <c r="D3442" s="4"/>
      <c r="E3442" s="4"/>
      <c r="F3442" s="4"/>
      <c r="G3442" s="4"/>
      <c r="H3442" s="4"/>
      <c r="I3442" s="4"/>
      <c r="J3442" s="4"/>
      <c r="K3442" s="4"/>
      <c r="L3442" s="3"/>
      <c r="M3442" s="6"/>
      <c r="N3442" s="6"/>
      <c r="O3442" s="6"/>
      <c r="P3442" s="5"/>
      <c r="Q3442" s="9"/>
      <c r="R3442" s="5"/>
      <c r="S3442" s="5"/>
      <c r="T3442" s="5"/>
      <c r="U3442" s="5"/>
      <c r="V3442" s="5"/>
      <c r="W3442" s="5"/>
      <c r="X3442" s="5"/>
      <c r="Y3442" s="9"/>
      <c r="Z3442" s="2"/>
    </row>
    <row r="3443" spans="1:26">
      <c r="A3443" s="4"/>
      <c r="B3443" s="4"/>
      <c r="C3443" s="4"/>
      <c r="D3443" s="4"/>
      <c r="E3443" s="4"/>
      <c r="F3443" s="4"/>
      <c r="G3443" s="4"/>
      <c r="H3443" s="4"/>
      <c r="I3443" s="4"/>
      <c r="J3443" s="4"/>
      <c r="K3443" s="4"/>
      <c r="L3443" s="3"/>
      <c r="M3443" s="6"/>
      <c r="N3443" s="6"/>
      <c r="O3443" s="6"/>
      <c r="P3443" s="5"/>
      <c r="Q3443" s="9"/>
      <c r="R3443" s="5"/>
      <c r="S3443" s="5"/>
      <c r="T3443" s="5"/>
      <c r="U3443" s="5"/>
      <c r="V3443" s="5"/>
      <c r="W3443" s="5"/>
      <c r="X3443" s="5"/>
      <c r="Y3443" s="9"/>
      <c r="Z3443" s="2"/>
    </row>
    <row r="3444" spans="1:26">
      <c r="A3444" s="4"/>
      <c r="B3444" s="4"/>
      <c r="C3444" s="4"/>
      <c r="D3444" s="4"/>
      <c r="E3444" s="4"/>
      <c r="F3444" s="4"/>
      <c r="G3444" s="4"/>
      <c r="H3444" s="4"/>
      <c r="I3444" s="4"/>
      <c r="J3444" s="4"/>
      <c r="K3444" s="4"/>
      <c r="L3444" s="3"/>
      <c r="M3444" s="6"/>
      <c r="N3444" s="6"/>
      <c r="O3444" s="6"/>
      <c r="P3444" s="5"/>
      <c r="Q3444" s="9"/>
      <c r="R3444" s="5"/>
      <c r="S3444" s="5"/>
      <c r="T3444" s="5"/>
      <c r="U3444" s="5"/>
      <c r="V3444" s="5"/>
      <c r="W3444" s="5"/>
      <c r="X3444" s="5"/>
      <c r="Y3444" s="9"/>
      <c r="Z3444" s="2"/>
    </row>
    <row r="3445" spans="1:26">
      <c r="A3445" s="4"/>
      <c r="B3445" s="4"/>
      <c r="C3445" s="4"/>
      <c r="D3445" s="4"/>
      <c r="E3445" s="4"/>
      <c r="F3445" s="4"/>
      <c r="G3445" s="4"/>
      <c r="H3445" s="4"/>
      <c r="I3445" s="4"/>
      <c r="J3445" s="4"/>
      <c r="K3445" s="4"/>
      <c r="L3445" s="3"/>
      <c r="M3445" s="6"/>
      <c r="N3445" s="6"/>
      <c r="O3445" s="6"/>
      <c r="P3445" s="5"/>
      <c r="Q3445" s="9"/>
      <c r="R3445" s="5"/>
      <c r="S3445" s="5"/>
      <c r="T3445" s="5"/>
      <c r="U3445" s="5"/>
      <c r="V3445" s="5"/>
      <c r="W3445" s="5"/>
      <c r="X3445" s="5"/>
      <c r="Y3445" s="9"/>
      <c r="Z3445" s="2"/>
    </row>
    <row r="3446" spans="1:26">
      <c r="A3446" s="4"/>
      <c r="B3446" s="4"/>
      <c r="C3446" s="4"/>
      <c r="D3446" s="4"/>
      <c r="E3446" s="4"/>
      <c r="F3446" s="4"/>
      <c r="G3446" s="4"/>
      <c r="H3446" s="4"/>
      <c r="I3446" s="4"/>
      <c r="J3446" s="4"/>
      <c r="K3446" s="4"/>
      <c r="L3446" s="3"/>
      <c r="M3446" s="6"/>
      <c r="N3446" s="6"/>
      <c r="O3446" s="6"/>
      <c r="P3446" s="5"/>
      <c r="Q3446" s="9"/>
      <c r="R3446" s="5"/>
      <c r="S3446" s="5"/>
      <c r="T3446" s="5"/>
      <c r="U3446" s="5"/>
      <c r="V3446" s="5"/>
      <c r="W3446" s="5"/>
      <c r="X3446" s="5"/>
      <c r="Y3446" s="9"/>
      <c r="Z3446" s="2"/>
    </row>
    <row r="3447" spans="1:26">
      <c r="A3447" s="4"/>
      <c r="B3447" s="4"/>
      <c r="C3447" s="4"/>
      <c r="D3447" s="4"/>
      <c r="E3447" s="4"/>
      <c r="F3447" s="4"/>
      <c r="G3447" s="4"/>
      <c r="H3447" s="4"/>
      <c r="I3447" s="4"/>
      <c r="J3447" s="4"/>
      <c r="K3447" s="4"/>
      <c r="L3447" s="3"/>
      <c r="M3447" s="6"/>
      <c r="N3447" s="6"/>
      <c r="O3447" s="6"/>
      <c r="P3447" s="5"/>
      <c r="Q3447" s="9"/>
      <c r="R3447" s="5"/>
      <c r="S3447" s="5"/>
      <c r="T3447" s="5"/>
      <c r="U3447" s="5"/>
      <c r="V3447" s="5"/>
      <c r="W3447" s="5"/>
      <c r="X3447" s="5"/>
      <c r="Y3447" s="9"/>
      <c r="Z3447" s="2"/>
    </row>
    <row r="3448" spans="1:26">
      <c r="A3448" s="4"/>
      <c r="B3448" s="4"/>
      <c r="C3448" s="4"/>
      <c r="D3448" s="4"/>
      <c r="E3448" s="4"/>
      <c r="F3448" s="4"/>
      <c r="G3448" s="4"/>
      <c r="H3448" s="4"/>
      <c r="I3448" s="4"/>
      <c r="J3448" s="4"/>
      <c r="K3448" s="4"/>
      <c r="L3448" s="3"/>
      <c r="M3448" s="6"/>
      <c r="N3448" s="6"/>
      <c r="O3448" s="6"/>
      <c r="P3448" s="5"/>
      <c r="Q3448" s="9"/>
      <c r="R3448" s="5"/>
      <c r="S3448" s="5"/>
      <c r="T3448" s="5"/>
      <c r="U3448" s="5"/>
      <c r="V3448" s="5"/>
      <c r="W3448" s="5"/>
      <c r="X3448" s="5"/>
      <c r="Y3448" s="9"/>
      <c r="Z3448" s="2"/>
    </row>
    <row r="3449" spans="1:26">
      <c r="A3449" s="4"/>
      <c r="B3449" s="4"/>
      <c r="C3449" s="4"/>
      <c r="D3449" s="4"/>
      <c r="E3449" s="4"/>
      <c r="F3449" s="4"/>
      <c r="G3449" s="4"/>
      <c r="H3449" s="4"/>
      <c r="I3449" s="4"/>
      <c r="J3449" s="4"/>
      <c r="K3449" s="4"/>
      <c r="L3449" s="3"/>
      <c r="M3449" s="6"/>
      <c r="N3449" s="6"/>
      <c r="O3449" s="6"/>
      <c r="P3449" s="5"/>
      <c r="Q3449" s="9"/>
      <c r="R3449" s="5"/>
      <c r="S3449" s="5"/>
      <c r="T3449" s="5"/>
      <c r="U3449" s="5"/>
      <c r="V3449" s="5"/>
      <c r="W3449" s="5"/>
      <c r="X3449" s="5"/>
      <c r="Y3449" s="9"/>
      <c r="Z3449" s="2"/>
    </row>
    <row r="3450" spans="1:26">
      <c r="A3450" s="4"/>
      <c r="B3450" s="4"/>
      <c r="C3450" s="4"/>
      <c r="D3450" s="4"/>
      <c r="E3450" s="4"/>
      <c r="F3450" s="4"/>
      <c r="G3450" s="4"/>
      <c r="H3450" s="4"/>
      <c r="I3450" s="4"/>
      <c r="J3450" s="4"/>
      <c r="K3450" s="4"/>
      <c r="L3450" s="3"/>
      <c r="M3450" s="6"/>
      <c r="N3450" s="6"/>
      <c r="O3450" s="6"/>
      <c r="P3450" s="5"/>
      <c r="Q3450" s="9"/>
      <c r="R3450" s="5"/>
      <c r="S3450" s="5"/>
      <c r="T3450" s="5"/>
      <c r="U3450" s="5"/>
      <c r="V3450" s="5"/>
      <c r="W3450" s="5"/>
      <c r="X3450" s="5"/>
      <c r="Y3450" s="9"/>
      <c r="Z3450" s="2"/>
    </row>
    <row r="3451" spans="1:26">
      <c r="A3451" s="4"/>
      <c r="B3451" s="4"/>
      <c r="C3451" s="4"/>
      <c r="D3451" s="4"/>
      <c r="E3451" s="4"/>
      <c r="F3451" s="4"/>
      <c r="G3451" s="4"/>
      <c r="H3451" s="4"/>
      <c r="I3451" s="4"/>
      <c r="J3451" s="4"/>
      <c r="K3451" s="4"/>
      <c r="L3451" s="3"/>
      <c r="M3451" s="6"/>
      <c r="N3451" s="6"/>
      <c r="O3451" s="6"/>
      <c r="P3451" s="5"/>
      <c r="Q3451" s="9"/>
      <c r="R3451" s="5"/>
      <c r="S3451" s="5"/>
      <c r="T3451" s="5"/>
      <c r="U3451" s="5"/>
      <c r="V3451" s="5"/>
      <c r="W3451" s="5"/>
      <c r="X3451" s="5"/>
      <c r="Y3451" s="9"/>
      <c r="Z3451" s="2"/>
    </row>
    <row r="3452" spans="1:26">
      <c r="A3452" s="4"/>
      <c r="B3452" s="4"/>
      <c r="C3452" s="4"/>
      <c r="D3452" s="4"/>
      <c r="E3452" s="4"/>
      <c r="F3452" s="4"/>
      <c r="G3452" s="4"/>
      <c r="H3452" s="4"/>
      <c r="I3452" s="4"/>
      <c r="J3452" s="4"/>
      <c r="K3452" s="4"/>
      <c r="L3452" s="3"/>
      <c r="M3452" s="6"/>
      <c r="N3452" s="6"/>
      <c r="O3452" s="6"/>
      <c r="P3452" s="5"/>
      <c r="Q3452" s="9"/>
      <c r="R3452" s="5"/>
      <c r="S3452" s="5"/>
      <c r="T3452" s="5"/>
      <c r="U3452" s="5"/>
      <c r="V3452" s="5"/>
      <c r="W3452" s="5"/>
      <c r="X3452" s="5"/>
      <c r="Y3452" s="9"/>
      <c r="Z3452" s="2"/>
    </row>
    <row r="3453" spans="1:26">
      <c r="A3453" s="4"/>
      <c r="B3453" s="4"/>
      <c r="C3453" s="4"/>
      <c r="D3453" s="4"/>
      <c r="E3453" s="4"/>
      <c r="F3453" s="4"/>
      <c r="G3453" s="4"/>
      <c r="H3453" s="4"/>
      <c r="I3453" s="4"/>
      <c r="J3453" s="4"/>
      <c r="K3453" s="4"/>
      <c r="L3453" s="3"/>
      <c r="M3453" s="6"/>
      <c r="N3453" s="6"/>
      <c r="O3453" s="6"/>
      <c r="P3453" s="5"/>
      <c r="Q3453" s="9"/>
      <c r="R3453" s="5"/>
      <c r="S3453" s="5"/>
      <c r="T3453" s="5"/>
      <c r="U3453" s="5"/>
      <c r="V3453" s="5"/>
      <c r="W3453" s="5"/>
      <c r="X3453" s="5"/>
      <c r="Y3453" s="9"/>
      <c r="Z3453" s="2"/>
    </row>
    <row r="3454" spans="1:26">
      <c r="A3454" s="4"/>
      <c r="B3454" s="4"/>
      <c r="C3454" s="4"/>
      <c r="D3454" s="4"/>
      <c r="E3454" s="4"/>
      <c r="F3454" s="4"/>
      <c r="G3454" s="4"/>
      <c r="H3454" s="4"/>
      <c r="I3454" s="4"/>
      <c r="J3454" s="4"/>
      <c r="K3454" s="4"/>
      <c r="L3454" s="3"/>
      <c r="M3454" s="6"/>
      <c r="N3454" s="6"/>
      <c r="O3454" s="6"/>
      <c r="P3454" s="5"/>
      <c r="Q3454" s="9"/>
      <c r="R3454" s="5"/>
      <c r="S3454" s="5"/>
      <c r="T3454" s="5"/>
      <c r="U3454" s="5"/>
      <c r="V3454" s="5"/>
      <c r="W3454" s="5"/>
      <c r="X3454" s="5"/>
      <c r="Y3454" s="9"/>
      <c r="Z3454" s="2"/>
    </row>
    <row r="3455" spans="1:26">
      <c r="A3455" s="4"/>
      <c r="B3455" s="4"/>
      <c r="C3455" s="4"/>
      <c r="D3455" s="4"/>
      <c r="E3455" s="4"/>
      <c r="F3455" s="4"/>
      <c r="G3455" s="4"/>
      <c r="H3455" s="4"/>
      <c r="I3455" s="4"/>
      <c r="J3455" s="4"/>
      <c r="K3455" s="4"/>
      <c r="L3455" s="3"/>
      <c r="M3455" s="6"/>
      <c r="N3455" s="6"/>
      <c r="O3455" s="6"/>
      <c r="P3455" s="5"/>
      <c r="Q3455" s="9"/>
      <c r="R3455" s="5"/>
      <c r="S3455" s="5"/>
      <c r="T3455" s="5"/>
      <c r="U3455" s="5"/>
      <c r="V3455" s="5"/>
      <c r="W3455" s="5"/>
      <c r="X3455" s="5"/>
      <c r="Y3455" s="9"/>
      <c r="Z3455" s="2"/>
    </row>
    <row r="3456" spans="1:26">
      <c r="A3456" s="4"/>
      <c r="B3456" s="4"/>
      <c r="C3456" s="4"/>
      <c r="D3456" s="4"/>
      <c r="E3456" s="4"/>
      <c r="F3456" s="4"/>
      <c r="G3456" s="4"/>
      <c r="H3456" s="4"/>
      <c r="I3456" s="4"/>
      <c r="J3456" s="4"/>
      <c r="K3456" s="4"/>
      <c r="L3456" s="3"/>
      <c r="M3456" s="6"/>
      <c r="N3456" s="6"/>
      <c r="O3456" s="6"/>
      <c r="P3456" s="5"/>
      <c r="Q3456" s="9"/>
      <c r="R3456" s="5"/>
      <c r="S3456" s="5"/>
      <c r="T3456" s="5"/>
      <c r="U3456" s="5"/>
      <c r="V3456" s="5"/>
      <c r="W3456" s="5"/>
      <c r="X3456" s="5"/>
      <c r="Y3456" s="9"/>
      <c r="Z3456" s="2"/>
    </row>
    <row r="3457" spans="1:26">
      <c r="A3457" s="4"/>
      <c r="B3457" s="4"/>
      <c r="C3457" s="4"/>
      <c r="D3457" s="4"/>
      <c r="E3457" s="4"/>
      <c r="F3457" s="4"/>
      <c r="G3457" s="4"/>
      <c r="H3457" s="4"/>
      <c r="I3457" s="4"/>
      <c r="J3457" s="4"/>
      <c r="K3457" s="4"/>
      <c r="L3457" s="3"/>
      <c r="M3457" s="6"/>
      <c r="N3457" s="6"/>
      <c r="O3457" s="6"/>
      <c r="P3457" s="5"/>
      <c r="Q3457" s="9"/>
      <c r="R3457" s="5"/>
      <c r="S3457" s="5"/>
      <c r="T3457" s="5"/>
      <c r="U3457" s="5"/>
      <c r="V3457" s="5"/>
      <c r="W3457" s="5"/>
      <c r="X3457" s="5"/>
      <c r="Y3457" s="9"/>
      <c r="Z3457" s="2"/>
    </row>
    <row r="3458" spans="1:26">
      <c r="A3458" s="4"/>
      <c r="B3458" s="4"/>
      <c r="C3458" s="4"/>
      <c r="D3458" s="4"/>
      <c r="E3458" s="4"/>
      <c r="F3458" s="4"/>
      <c r="G3458" s="4"/>
      <c r="H3458" s="4"/>
      <c r="I3458" s="4"/>
      <c r="J3458" s="4"/>
      <c r="K3458" s="4"/>
      <c r="L3458" s="3"/>
      <c r="M3458" s="6"/>
      <c r="N3458" s="6"/>
      <c r="O3458" s="6"/>
      <c r="P3458" s="5"/>
      <c r="Q3458" s="9"/>
      <c r="R3458" s="5"/>
      <c r="S3458" s="5"/>
      <c r="T3458" s="5"/>
      <c r="U3458" s="5"/>
      <c r="V3458" s="5"/>
      <c r="W3458" s="5"/>
      <c r="X3458" s="5"/>
      <c r="Y3458" s="9"/>
      <c r="Z3458" s="2"/>
    </row>
    <row r="3459" spans="1:26">
      <c r="A3459" s="4"/>
      <c r="B3459" s="4"/>
      <c r="C3459" s="4"/>
      <c r="D3459" s="4"/>
      <c r="E3459" s="4"/>
      <c r="F3459" s="4"/>
      <c r="G3459" s="4"/>
      <c r="H3459" s="4"/>
      <c r="I3459" s="4"/>
      <c r="J3459" s="4"/>
      <c r="K3459" s="4"/>
      <c r="L3459" s="3"/>
      <c r="M3459" s="6"/>
      <c r="N3459" s="6"/>
      <c r="O3459" s="6"/>
      <c r="P3459" s="5"/>
      <c r="Q3459" s="9"/>
      <c r="R3459" s="5"/>
      <c r="S3459" s="5"/>
      <c r="T3459" s="5"/>
      <c r="U3459" s="5"/>
      <c r="V3459" s="5"/>
      <c r="W3459" s="5"/>
      <c r="X3459" s="5"/>
      <c r="Y3459" s="9"/>
      <c r="Z3459" s="2"/>
    </row>
    <row r="3460" spans="1:26">
      <c r="A3460" s="4"/>
      <c r="B3460" s="4"/>
      <c r="C3460" s="4"/>
      <c r="D3460" s="4"/>
      <c r="E3460" s="4"/>
      <c r="F3460" s="4"/>
      <c r="G3460" s="4"/>
      <c r="H3460" s="4"/>
      <c r="I3460" s="4"/>
      <c r="J3460" s="4"/>
      <c r="K3460" s="4"/>
      <c r="L3460" s="3"/>
      <c r="M3460" s="6"/>
      <c r="N3460" s="6"/>
      <c r="O3460" s="6"/>
      <c r="P3460" s="5"/>
      <c r="Q3460" s="9"/>
      <c r="R3460" s="5"/>
      <c r="S3460" s="5"/>
      <c r="T3460" s="5"/>
      <c r="U3460" s="5"/>
      <c r="V3460" s="5"/>
      <c r="W3460" s="5"/>
      <c r="X3460" s="5"/>
      <c r="Y3460" s="9"/>
      <c r="Z3460" s="2"/>
    </row>
    <row r="3461" spans="1:26">
      <c r="A3461" s="4"/>
      <c r="B3461" s="4"/>
      <c r="C3461" s="4"/>
      <c r="D3461" s="4"/>
      <c r="E3461" s="4"/>
      <c r="F3461" s="4"/>
      <c r="G3461" s="4"/>
      <c r="H3461" s="4"/>
      <c r="I3461" s="4"/>
      <c r="J3461" s="4"/>
      <c r="K3461" s="4"/>
      <c r="L3461" s="3"/>
      <c r="M3461" s="6"/>
      <c r="N3461" s="6"/>
      <c r="O3461" s="6"/>
      <c r="P3461" s="5"/>
      <c r="Q3461" s="9"/>
      <c r="R3461" s="5"/>
      <c r="S3461" s="5"/>
      <c r="T3461" s="5"/>
      <c r="U3461" s="5"/>
      <c r="V3461" s="5"/>
      <c r="W3461" s="5"/>
      <c r="X3461" s="5"/>
      <c r="Y3461" s="9"/>
      <c r="Z3461" s="2"/>
    </row>
    <row r="3462" spans="1:26">
      <c r="A3462" s="4"/>
      <c r="B3462" s="4"/>
      <c r="C3462" s="4"/>
      <c r="D3462" s="4"/>
      <c r="E3462" s="4"/>
      <c r="F3462" s="4"/>
      <c r="G3462" s="4"/>
      <c r="H3462" s="4"/>
      <c r="I3462" s="4"/>
      <c r="J3462" s="4"/>
      <c r="K3462" s="4"/>
      <c r="L3462" s="3"/>
      <c r="M3462" s="6"/>
      <c r="N3462" s="6"/>
      <c r="O3462" s="6"/>
      <c r="P3462" s="5"/>
      <c r="Q3462" s="9"/>
      <c r="R3462" s="5"/>
      <c r="S3462" s="5"/>
      <c r="T3462" s="5"/>
      <c r="U3462" s="5"/>
      <c r="V3462" s="5"/>
      <c r="W3462" s="5"/>
      <c r="X3462" s="5"/>
      <c r="Y3462" s="9"/>
      <c r="Z3462" s="2"/>
    </row>
    <row r="3463" spans="1:26">
      <c r="A3463" s="4"/>
      <c r="B3463" s="4"/>
      <c r="C3463" s="4"/>
      <c r="D3463" s="4"/>
      <c r="E3463" s="4"/>
      <c r="F3463" s="4"/>
      <c r="G3463" s="4"/>
      <c r="H3463" s="4"/>
      <c r="I3463" s="4"/>
      <c r="J3463" s="4"/>
      <c r="K3463" s="4"/>
      <c r="L3463" s="3"/>
      <c r="M3463" s="6"/>
      <c r="N3463" s="6"/>
      <c r="O3463" s="6"/>
      <c r="P3463" s="5"/>
      <c r="Q3463" s="9"/>
      <c r="R3463" s="5"/>
      <c r="S3463" s="5"/>
      <c r="T3463" s="5"/>
      <c r="U3463" s="5"/>
      <c r="V3463" s="5"/>
      <c r="W3463" s="5"/>
      <c r="X3463" s="5"/>
      <c r="Y3463" s="9"/>
      <c r="Z3463" s="2"/>
    </row>
    <row r="3464" spans="1:26">
      <c r="A3464" s="4"/>
      <c r="B3464" s="4"/>
      <c r="C3464" s="4"/>
      <c r="D3464" s="4"/>
      <c r="E3464" s="4"/>
      <c r="F3464" s="4"/>
      <c r="G3464" s="4"/>
      <c r="H3464" s="4"/>
      <c r="I3464" s="4"/>
      <c r="J3464" s="4"/>
      <c r="K3464" s="4"/>
      <c r="L3464" s="3"/>
      <c r="M3464" s="6"/>
      <c r="N3464" s="6"/>
      <c r="O3464" s="6"/>
      <c r="P3464" s="5"/>
      <c r="Q3464" s="9"/>
      <c r="R3464" s="5"/>
      <c r="S3464" s="5"/>
      <c r="T3464" s="5"/>
      <c r="U3464" s="5"/>
      <c r="V3464" s="5"/>
      <c r="W3464" s="5"/>
      <c r="X3464" s="5"/>
      <c r="Y3464" s="9"/>
      <c r="Z3464" s="2"/>
    </row>
    <row r="3465" spans="1:26">
      <c r="A3465" s="4"/>
      <c r="B3465" s="4"/>
      <c r="C3465" s="4"/>
      <c r="D3465" s="4"/>
      <c r="E3465" s="4"/>
      <c r="F3465" s="4"/>
      <c r="G3465" s="4"/>
      <c r="H3465" s="4"/>
      <c r="I3465" s="4"/>
      <c r="J3465" s="4"/>
      <c r="K3465" s="4"/>
      <c r="L3465" s="3"/>
      <c r="M3465" s="6"/>
      <c r="N3465" s="6"/>
      <c r="O3465" s="6"/>
      <c r="P3465" s="5"/>
      <c r="Q3465" s="9"/>
      <c r="R3465" s="5"/>
      <c r="S3465" s="5"/>
      <c r="T3465" s="5"/>
      <c r="U3465" s="5"/>
      <c r="V3465" s="5"/>
      <c r="W3465" s="5"/>
      <c r="X3465" s="5"/>
      <c r="Y3465" s="9"/>
      <c r="Z3465" s="2"/>
    </row>
    <row r="3466" spans="1:26">
      <c r="A3466" s="4"/>
      <c r="B3466" s="4"/>
      <c r="C3466" s="4"/>
      <c r="D3466" s="4"/>
      <c r="E3466" s="4"/>
      <c r="F3466" s="4"/>
      <c r="G3466" s="4"/>
      <c r="H3466" s="4"/>
      <c r="I3466" s="4"/>
      <c r="J3466" s="4"/>
      <c r="K3466" s="4"/>
      <c r="L3466" s="3"/>
      <c r="M3466" s="6"/>
      <c r="N3466" s="6"/>
      <c r="O3466" s="6"/>
      <c r="P3466" s="5"/>
      <c r="Q3466" s="9"/>
      <c r="R3466" s="5"/>
      <c r="S3466" s="5"/>
      <c r="T3466" s="5"/>
      <c r="U3466" s="5"/>
      <c r="V3466" s="5"/>
      <c r="W3466" s="5"/>
      <c r="X3466" s="5"/>
      <c r="Y3466" s="9"/>
      <c r="Z3466" s="2"/>
    </row>
    <row r="3467" spans="1:26">
      <c r="A3467" s="4"/>
      <c r="B3467" s="4"/>
      <c r="C3467" s="4"/>
      <c r="D3467" s="4"/>
      <c r="E3467" s="4"/>
      <c r="F3467" s="4"/>
      <c r="G3467" s="4"/>
      <c r="H3467" s="4"/>
      <c r="I3467" s="4"/>
      <c r="J3467" s="4"/>
      <c r="K3467" s="4"/>
      <c r="L3467" s="3"/>
      <c r="M3467" s="6"/>
      <c r="N3467" s="6"/>
      <c r="O3467" s="6"/>
      <c r="P3467" s="5"/>
      <c r="Q3467" s="9"/>
      <c r="R3467" s="5"/>
      <c r="S3467" s="5"/>
      <c r="T3467" s="5"/>
      <c r="U3467" s="5"/>
      <c r="V3467" s="5"/>
      <c r="W3467" s="5"/>
      <c r="X3467" s="5"/>
      <c r="Y3467" s="9"/>
      <c r="Z3467" s="2"/>
    </row>
    <row r="3468" spans="1:26">
      <c r="A3468" s="4"/>
      <c r="B3468" s="4"/>
      <c r="C3468" s="4"/>
      <c r="D3468" s="4"/>
      <c r="E3468" s="4"/>
      <c r="F3468" s="4"/>
      <c r="G3468" s="4"/>
      <c r="H3468" s="4"/>
      <c r="I3468" s="4"/>
      <c r="J3468" s="4"/>
      <c r="K3468" s="4"/>
      <c r="L3468" s="3"/>
      <c r="M3468" s="6"/>
      <c r="N3468" s="6"/>
      <c r="O3468" s="6"/>
      <c r="P3468" s="5"/>
      <c r="Q3468" s="9"/>
      <c r="R3468" s="5"/>
      <c r="S3468" s="5"/>
      <c r="T3468" s="5"/>
      <c r="U3468" s="5"/>
      <c r="V3468" s="5"/>
      <c r="W3468" s="5"/>
      <c r="X3468" s="5"/>
      <c r="Y3468" s="9"/>
      <c r="Z3468" s="2"/>
    </row>
    <row r="3469" spans="1:26">
      <c r="A3469" s="4"/>
      <c r="B3469" s="4"/>
      <c r="C3469" s="4"/>
      <c r="D3469" s="4"/>
      <c r="E3469" s="4"/>
      <c r="F3469" s="4"/>
      <c r="G3469" s="4"/>
      <c r="H3469" s="4"/>
      <c r="I3469" s="4"/>
      <c r="J3469" s="4"/>
      <c r="K3469" s="4"/>
      <c r="L3469" s="3"/>
      <c r="M3469" s="6"/>
      <c r="N3469" s="6"/>
      <c r="O3469" s="6"/>
      <c r="P3469" s="5"/>
      <c r="Q3469" s="9"/>
      <c r="R3469" s="5"/>
      <c r="S3469" s="5"/>
      <c r="T3469" s="5"/>
      <c r="U3469" s="5"/>
      <c r="V3469" s="5"/>
      <c r="W3469" s="5"/>
      <c r="X3469" s="5"/>
      <c r="Y3469" s="9"/>
      <c r="Z3469" s="2"/>
    </row>
    <row r="3470" spans="1:26">
      <c r="A3470" s="4"/>
      <c r="B3470" s="4"/>
      <c r="C3470" s="4"/>
      <c r="D3470" s="4"/>
      <c r="E3470" s="4"/>
      <c r="F3470" s="4"/>
      <c r="G3470" s="4"/>
      <c r="H3470" s="4"/>
      <c r="I3470" s="4"/>
      <c r="J3470" s="4"/>
      <c r="K3470" s="4"/>
      <c r="L3470" s="3"/>
      <c r="M3470" s="6"/>
      <c r="N3470" s="6"/>
      <c r="O3470" s="6"/>
      <c r="P3470" s="5"/>
      <c r="Q3470" s="9"/>
      <c r="R3470" s="5"/>
      <c r="S3470" s="5"/>
      <c r="T3470" s="5"/>
      <c r="U3470" s="5"/>
      <c r="V3470" s="5"/>
      <c r="W3470" s="5"/>
      <c r="X3470" s="5"/>
      <c r="Y3470" s="9"/>
      <c r="Z3470" s="2"/>
    </row>
    <row r="3471" spans="1:26">
      <c r="A3471" s="4"/>
      <c r="B3471" s="4"/>
      <c r="C3471" s="4"/>
      <c r="D3471" s="4"/>
      <c r="E3471" s="4"/>
      <c r="F3471" s="4"/>
      <c r="G3471" s="4"/>
      <c r="H3471" s="4"/>
      <c r="I3471" s="4"/>
      <c r="J3471" s="4"/>
      <c r="K3471" s="4"/>
      <c r="L3471" s="3"/>
      <c r="M3471" s="6"/>
      <c r="N3471" s="6"/>
      <c r="O3471" s="6"/>
      <c r="P3471" s="5"/>
      <c r="Q3471" s="9"/>
      <c r="R3471" s="5"/>
      <c r="S3471" s="5"/>
      <c r="T3471" s="5"/>
      <c r="U3471" s="5"/>
      <c r="V3471" s="5"/>
      <c r="W3471" s="5"/>
      <c r="X3471" s="5"/>
      <c r="Y3471" s="9"/>
      <c r="Z3471" s="2"/>
    </row>
    <row r="3472" spans="1:26">
      <c r="A3472" s="4"/>
      <c r="B3472" s="4"/>
      <c r="C3472" s="4"/>
      <c r="D3472" s="4"/>
      <c r="E3472" s="4"/>
      <c r="F3472" s="4"/>
      <c r="G3472" s="4"/>
      <c r="H3472" s="4"/>
      <c r="I3472" s="4"/>
      <c r="J3472" s="4"/>
      <c r="K3472" s="4"/>
      <c r="L3472" s="3"/>
      <c r="M3472" s="6"/>
      <c r="N3472" s="6"/>
      <c r="O3472" s="6"/>
      <c r="P3472" s="5"/>
      <c r="Q3472" s="9"/>
      <c r="R3472" s="5"/>
      <c r="S3472" s="5"/>
      <c r="T3472" s="5"/>
      <c r="U3472" s="5"/>
      <c r="V3472" s="5"/>
      <c r="W3472" s="5"/>
      <c r="X3472" s="5"/>
      <c r="Y3472" s="9"/>
      <c r="Z3472" s="2"/>
    </row>
    <row r="3473" spans="1:26">
      <c r="A3473" s="4"/>
      <c r="B3473" s="4"/>
      <c r="C3473" s="4"/>
      <c r="D3473" s="4"/>
      <c r="E3473" s="4"/>
      <c r="F3473" s="4"/>
      <c r="G3473" s="4"/>
      <c r="H3473" s="4"/>
      <c r="I3473" s="4"/>
      <c r="J3473" s="4"/>
      <c r="K3473" s="4"/>
      <c r="L3473" s="3"/>
      <c r="M3473" s="6"/>
      <c r="N3473" s="6"/>
      <c r="O3473" s="6"/>
      <c r="P3473" s="5"/>
      <c r="Q3473" s="9"/>
      <c r="R3473" s="5"/>
      <c r="S3473" s="5"/>
      <c r="T3473" s="5"/>
      <c r="U3473" s="5"/>
      <c r="V3473" s="5"/>
      <c r="W3473" s="5"/>
      <c r="X3473" s="5"/>
      <c r="Y3473" s="9"/>
      <c r="Z3473" s="2"/>
    </row>
    <row r="3474" spans="1:26">
      <c r="A3474" s="4"/>
      <c r="B3474" s="4"/>
      <c r="C3474" s="4"/>
      <c r="D3474" s="4"/>
      <c r="E3474" s="4"/>
      <c r="F3474" s="4"/>
      <c r="G3474" s="4"/>
      <c r="H3474" s="4"/>
      <c r="I3474" s="4"/>
      <c r="J3474" s="4"/>
      <c r="K3474" s="4"/>
      <c r="L3474" s="3"/>
      <c r="M3474" s="6"/>
      <c r="N3474" s="6"/>
      <c r="O3474" s="6"/>
      <c r="P3474" s="5"/>
      <c r="Q3474" s="9"/>
      <c r="R3474" s="5"/>
      <c r="S3474" s="5"/>
      <c r="T3474" s="5"/>
      <c r="U3474" s="5"/>
      <c r="V3474" s="5"/>
      <c r="W3474" s="5"/>
      <c r="X3474" s="5"/>
      <c r="Y3474" s="9"/>
      <c r="Z3474" s="2"/>
    </row>
    <row r="3475" spans="1:26">
      <c r="A3475" s="4"/>
      <c r="B3475" s="4"/>
      <c r="C3475" s="4"/>
      <c r="D3475" s="4"/>
      <c r="E3475" s="4"/>
      <c r="F3475" s="4"/>
      <c r="G3475" s="4"/>
      <c r="H3475" s="4"/>
      <c r="I3475" s="4"/>
      <c r="J3475" s="4"/>
      <c r="K3475" s="4"/>
      <c r="L3475" s="3"/>
      <c r="M3475" s="6"/>
      <c r="N3475" s="6"/>
      <c r="O3475" s="6"/>
      <c r="P3475" s="5"/>
      <c r="Q3475" s="9"/>
      <c r="R3475" s="5"/>
      <c r="S3475" s="5"/>
      <c r="T3475" s="5"/>
      <c r="U3475" s="5"/>
      <c r="V3475" s="5"/>
      <c r="W3475" s="5"/>
      <c r="X3475" s="5"/>
      <c r="Y3475" s="9"/>
      <c r="Z3475" s="2"/>
    </row>
    <row r="3476" spans="1:26">
      <c r="A3476" s="4"/>
      <c r="B3476" s="4"/>
      <c r="C3476" s="4"/>
      <c r="D3476" s="4"/>
      <c r="E3476" s="4"/>
      <c r="F3476" s="4"/>
      <c r="G3476" s="4"/>
      <c r="H3476" s="4"/>
      <c r="I3476" s="4"/>
      <c r="J3476" s="4"/>
      <c r="K3476" s="4"/>
      <c r="L3476" s="3"/>
      <c r="M3476" s="6"/>
      <c r="N3476" s="6"/>
      <c r="O3476" s="6"/>
      <c r="P3476" s="5"/>
      <c r="Q3476" s="9"/>
      <c r="R3476" s="5"/>
      <c r="S3476" s="5"/>
      <c r="T3476" s="5"/>
      <c r="U3476" s="5"/>
      <c r="V3476" s="5"/>
      <c r="W3476" s="5"/>
      <c r="X3476" s="5"/>
      <c r="Y3476" s="9"/>
      <c r="Z3476" s="2"/>
    </row>
    <row r="3477" spans="1:26">
      <c r="A3477" s="4"/>
      <c r="B3477" s="4"/>
      <c r="C3477" s="4"/>
      <c r="D3477" s="4"/>
      <c r="E3477" s="4"/>
      <c r="F3477" s="4"/>
      <c r="G3477" s="4"/>
      <c r="H3477" s="4"/>
      <c r="I3477" s="4"/>
      <c r="J3477" s="4"/>
      <c r="K3477" s="4"/>
      <c r="L3477" s="3"/>
      <c r="M3477" s="6"/>
      <c r="N3477" s="6"/>
      <c r="O3477" s="6"/>
      <c r="P3477" s="5"/>
      <c r="Q3477" s="9"/>
      <c r="R3477" s="5"/>
      <c r="S3477" s="5"/>
      <c r="T3477" s="5"/>
      <c r="U3477" s="5"/>
      <c r="V3477" s="5"/>
      <c r="W3477" s="5"/>
      <c r="X3477" s="5"/>
      <c r="Y3477" s="9"/>
      <c r="Z3477" s="2"/>
    </row>
    <row r="3478" spans="1:26">
      <c r="A3478" s="4"/>
      <c r="B3478" s="4"/>
      <c r="C3478" s="4"/>
      <c r="D3478" s="4"/>
      <c r="E3478" s="4"/>
      <c r="F3478" s="4"/>
      <c r="G3478" s="4"/>
      <c r="H3478" s="4"/>
      <c r="I3478" s="4"/>
      <c r="J3478" s="4"/>
      <c r="K3478" s="4"/>
      <c r="L3478" s="3"/>
      <c r="M3478" s="6"/>
      <c r="N3478" s="6"/>
      <c r="O3478" s="6"/>
      <c r="P3478" s="5"/>
      <c r="Q3478" s="9"/>
      <c r="R3478" s="5"/>
      <c r="S3478" s="5"/>
      <c r="T3478" s="5"/>
      <c r="U3478" s="5"/>
      <c r="V3478" s="5"/>
      <c r="W3478" s="5"/>
      <c r="X3478" s="5"/>
      <c r="Y3478" s="9"/>
      <c r="Z3478" s="2"/>
    </row>
    <row r="3479" spans="1:26">
      <c r="A3479" s="4"/>
      <c r="B3479" s="4"/>
      <c r="C3479" s="4"/>
      <c r="D3479" s="4"/>
      <c r="E3479" s="4"/>
      <c r="F3479" s="4"/>
      <c r="G3479" s="4"/>
      <c r="H3479" s="4"/>
      <c r="I3479" s="4"/>
      <c r="J3479" s="4"/>
      <c r="K3479" s="4"/>
      <c r="L3479" s="3"/>
      <c r="M3479" s="6"/>
      <c r="N3479" s="6"/>
      <c r="O3479" s="6"/>
      <c r="P3479" s="5"/>
      <c r="Q3479" s="9"/>
      <c r="R3479" s="5"/>
      <c r="S3479" s="5"/>
      <c r="T3479" s="5"/>
      <c r="U3479" s="5"/>
      <c r="V3479" s="5"/>
      <c r="W3479" s="5"/>
      <c r="X3479" s="5"/>
      <c r="Y3479" s="9"/>
      <c r="Z3479" s="2"/>
    </row>
    <row r="3480" spans="1:26">
      <c r="A3480" s="4"/>
      <c r="B3480" s="4"/>
      <c r="C3480" s="4"/>
      <c r="D3480" s="4"/>
      <c r="E3480" s="4"/>
      <c r="F3480" s="4"/>
      <c r="G3480" s="4"/>
      <c r="H3480" s="4"/>
      <c r="I3480" s="4"/>
      <c r="J3480" s="4"/>
      <c r="K3480" s="4"/>
      <c r="L3480" s="3"/>
      <c r="M3480" s="6"/>
      <c r="N3480" s="6"/>
      <c r="O3480" s="6"/>
      <c r="P3480" s="5"/>
      <c r="Q3480" s="9"/>
      <c r="R3480" s="5"/>
      <c r="S3480" s="5"/>
      <c r="T3480" s="5"/>
      <c r="U3480" s="5"/>
      <c r="V3480" s="5"/>
      <c r="W3480" s="5"/>
      <c r="X3480" s="5"/>
      <c r="Y3480" s="9"/>
      <c r="Z3480" s="2"/>
    </row>
    <row r="3481" spans="1:26">
      <c r="A3481" s="4"/>
      <c r="B3481" s="4"/>
      <c r="C3481" s="4"/>
      <c r="D3481" s="4"/>
      <c r="E3481" s="4"/>
      <c r="F3481" s="4"/>
      <c r="G3481" s="4"/>
      <c r="H3481" s="4"/>
      <c r="I3481" s="4"/>
      <c r="J3481" s="4"/>
      <c r="K3481" s="4"/>
      <c r="L3481" s="3"/>
      <c r="M3481" s="6"/>
      <c r="N3481" s="6"/>
      <c r="O3481" s="6"/>
      <c r="P3481" s="5"/>
      <c r="Q3481" s="9"/>
      <c r="R3481" s="5"/>
      <c r="S3481" s="5"/>
      <c r="T3481" s="5"/>
      <c r="U3481" s="5"/>
      <c r="V3481" s="5"/>
      <c r="W3481" s="5"/>
      <c r="X3481" s="5"/>
      <c r="Y3481" s="9"/>
      <c r="Z3481" s="2"/>
    </row>
    <row r="3482" spans="1:26">
      <c r="A3482" s="4"/>
      <c r="B3482" s="4"/>
      <c r="C3482" s="4"/>
      <c r="D3482" s="4"/>
      <c r="E3482" s="4"/>
      <c r="F3482" s="4"/>
      <c r="G3482" s="4"/>
      <c r="H3482" s="4"/>
      <c r="I3482" s="4"/>
      <c r="J3482" s="4"/>
      <c r="K3482" s="4"/>
      <c r="L3482" s="3"/>
      <c r="M3482" s="6"/>
      <c r="N3482" s="6"/>
      <c r="O3482" s="6"/>
      <c r="P3482" s="5"/>
      <c r="Q3482" s="9"/>
      <c r="R3482" s="5"/>
      <c r="S3482" s="5"/>
      <c r="T3482" s="5"/>
      <c r="U3482" s="5"/>
      <c r="V3482" s="5"/>
      <c r="W3482" s="5"/>
      <c r="X3482" s="5"/>
      <c r="Y3482" s="9"/>
      <c r="Z3482" s="2"/>
    </row>
    <row r="3483" spans="1:26">
      <c r="A3483" s="4"/>
      <c r="B3483" s="4"/>
      <c r="C3483" s="4"/>
      <c r="D3483" s="4"/>
      <c r="E3483" s="4"/>
      <c r="F3483" s="4"/>
      <c r="G3483" s="4"/>
      <c r="H3483" s="4"/>
      <c r="I3483" s="4"/>
      <c r="J3483" s="4"/>
      <c r="K3483" s="4"/>
      <c r="L3483" s="3"/>
      <c r="M3483" s="6"/>
      <c r="N3483" s="6"/>
      <c r="O3483" s="6"/>
      <c r="P3483" s="5"/>
      <c r="Q3483" s="9"/>
      <c r="R3483" s="5"/>
      <c r="S3483" s="5"/>
      <c r="T3483" s="5"/>
      <c r="U3483" s="5"/>
      <c r="V3483" s="5"/>
      <c r="W3483" s="5"/>
      <c r="X3483" s="5"/>
      <c r="Y3483" s="9"/>
      <c r="Z3483" s="2"/>
    </row>
    <row r="3484" spans="1:26">
      <c r="A3484" s="4"/>
      <c r="B3484" s="4"/>
      <c r="C3484" s="4"/>
      <c r="D3484" s="4"/>
      <c r="E3484" s="4"/>
      <c r="F3484" s="4"/>
      <c r="G3484" s="4"/>
      <c r="H3484" s="4"/>
      <c r="I3484" s="4"/>
      <c r="J3484" s="4"/>
      <c r="K3484" s="4"/>
      <c r="L3484" s="3"/>
      <c r="M3484" s="6"/>
      <c r="N3484" s="6"/>
      <c r="O3484" s="6"/>
      <c r="P3484" s="5"/>
      <c r="Q3484" s="9"/>
      <c r="R3484" s="5"/>
      <c r="S3484" s="5"/>
      <c r="T3484" s="5"/>
      <c r="U3484" s="5"/>
      <c r="V3484" s="5"/>
      <c r="W3484" s="5"/>
      <c r="X3484" s="5"/>
      <c r="Y3484" s="9"/>
      <c r="Z3484" s="2"/>
    </row>
    <row r="3485" spans="1:26">
      <c r="A3485" s="4"/>
      <c r="B3485" s="4"/>
      <c r="C3485" s="4"/>
      <c r="D3485" s="4"/>
      <c r="E3485" s="4"/>
      <c r="F3485" s="4"/>
      <c r="G3485" s="4"/>
      <c r="H3485" s="4"/>
      <c r="I3485" s="4"/>
      <c r="J3485" s="4"/>
      <c r="K3485" s="4"/>
      <c r="L3485" s="3"/>
      <c r="M3485" s="6"/>
      <c r="N3485" s="6"/>
      <c r="O3485" s="6"/>
      <c r="P3485" s="5"/>
      <c r="Q3485" s="9"/>
      <c r="R3485" s="5"/>
      <c r="S3485" s="5"/>
      <c r="T3485" s="5"/>
      <c r="U3485" s="5"/>
      <c r="V3485" s="5"/>
      <c r="W3485" s="5"/>
      <c r="X3485" s="5"/>
      <c r="Y3485" s="9"/>
      <c r="Z3485" s="2"/>
    </row>
    <row r="3486" spans="1:26">
      <c r="A3486" s="4"/>
      <c r="B3486" s="4"/>
      <c r="C3486" s="4"/>
      <c r="D3486" s="4"/>
      <c r="E3486" s="4"/>
      <c r="F3486" s="4"/>
      <c r="G3486" s="4"/>
      <c r="H3486" s="4"/>
      <c r="I3486" s="4"/>
      <c r="J3486" s="4"/>
      <c r="K3486" s="4"/>
      <c r="L3486" s="3"/>
      <c r="M3486" s="6"/>
      <c r="N3486" s="6"/>
      <c r="O3486" s="6"/>
      <c r="P3486" s="5"/>
      <c r="Q3486" s="9"/>
      <c r="R3486" s="5"/>
      <c r="S3486" s="5"/>
      <c r="T3486" s="5"/>
      <c r="U3486" s="5"/>
      <c r="V3486" s="5"/>
      <c r="W3486" s="5"/>
      <c r="X3486" s="5"/>
      <c r="Y3486" s="9"/>
      <c r="Z3486" s="2"/>
    </row>
    <row r="3487" spans="1:26">
      <c r="A3487" s="4"/>
      <c r="B3487" s="4"/>
      <c r="C3487" s="4"/>
      <c r="D3487" s="4"/>
      <c r="E3487" s="4"/>
      <c r="F3487" s="4"/>
      <c r="G3487" s="4"/>
      <c r="H3487" s="4"/>
      <c r="I3487" s="4"/>
      <c r="J3487" s="4"/>
      <c r="K3487" s="4"/>
      <c r="L3487" s="3"/>
      <c r="M3487" s="6"/>
      <c r="N3487" s="6"/>
      <c r="O3487" s="6"/>
      <c r="P3487" s="5"/>
      <c r="Q3487" s="9"/>
      <c r="R3487" s="5"/>
      <c r="S3487" s="5"/>
      <c r="T3487" s="5"/>
      <c r="U3487" s="5"/>
      <c r="V3487" s="5"/>
      <c r="W3487" s="5"/>
      <c r="X3487" s="5"/>
      <c r="Y3487" s="9"/>
      <c r="Z3487" s="2"/>
    </row>
    <row r="3488" spans="1:26">
      <c r="A3488" s="4"/>
      <c r="B3488" s="4"/>
      <c r="C3488" s="4"/>
      <c r="D3488" s="4"/>
      <c r="E3488" s="4"/>
      <c r="F3488" s="4"/>
      <c r="G3488" s="4"/>
      <c r="H3488" s="4"/>
      <c r="I3488" s="4"/>
      <c r="J3488" s="4"/>
      <c r="K3488" s="4"/>
      <c r="L3488" s="3"/>
      <c r="M3488" s="6"/>
      <c r="N3488" s="6"/>
      <c r="O3488" s="6"/>
      <c r="P3488" s="5"/>
      <c r="Q3488" s="9"/>
      <c r="R3488" s="5"/>
      <c r="S3488" s="5"/>
      <c r="T3488" s="5"/>
      <c r="U3488" s="5"/>
      <c r="V3488" s="5"/>
      <c r="W3488" s="5"/>
      <c r="X3488" s="5"/>
      <c r="Y3488" s="9"/>
      <c r="Z3488" s="2"/>
    </row>
    <row r="3489" spans="1:26">
      <c r="A3489" s="4"/>
      <c r="B3489" s="4"/>
      <c r="C3489" s="4"/>
      <c r="D3489" s="4"/>
      <c r="E3489" s="4"/>
      <c r="F3489" s="4"/>
      <c r="G3489" s="4"/>
      <c r="H3489" s="4"/>
      <c r="I3489" s="4"/>
      <c r="J3489" s="4"/>
      <c r="K3489" s="4"/>
      <c r="L3489" s="3"/>
      <c r="M3489" s="6"/>
      <c r="N3489" s="6"/>
      <c r="O3489" s="6"/>
      <c r="P3489" s="5"/>
      <c r="Q3489" s="9"/>
      <c r="R3489" s="5"/>
      <c r="S3489" s="5"/>
      <c r="T3489" s="5"/>
      <c r="U3489" s="5"/>
      <c r="V3489" s="5"/>
      <c r="W3489" s="5"/>
      <c r="X3489" s="5"/>
      <c r="Y3489" s="9"/>
      <c r="Z3489" s="2"/>
    </row>
    <row r="3490" spans="1:26">
      <c r="A3490" s="4"/>
      <c r="B3490" s="4"/>
      <c r="C3490" s="4"/>
      <c r="D3490" s="4"/>
      <c r="E3490" s="4"/>
      <c r="F3490" s="4"/>
      <c r="G3490" s="4"/>
      <c r="H3490" s="4"/>
      <c r="I3490" s="4"/>
      <c r="J3490" s="4"/>
      <c r="K3490" s="4"/>
      <c r="L3490" s="3"/>
      <c r="M3490" s="6"/>
      <c r="N3490" s="6"/>
      <c r="O3490" s="6"/>
      <c r="P3490" s="5"/>
      <c r="Q3490" s="9"/>
      <c r="R3490" s="5"/>
      <c r="S3490" s="5"/>
      <c r="T3490" s="5"/>
      <c r="U3490" s="5"/>
      <c r="V3490" s="5"/>
      <c r="W3490" s="5"/>
      <c r="X3490" s="5"/>
      <c r="Y3490" s="9"/>
      <c r="Z3490" s="2"/>
    </row>
    <row r="3491" spans="1:26">
      <c r="A3491" s="4"/>
      <c r="B3491" s="4"/>
      <c r="C3491" s="4"/>
      <c r="D3491" s="4"/>
      <c r="E3491" s="4"/>
      <c r="F3491" s="4"/>
      <c r="G3491" s="4"/>
      <c r="H3491" s="4"/>
      <c r="I3491" s="4"/>
      <c r="J3491" s="4"/>
      <c r="K3491" s="4"/>
      <c r="L3491" s="3"/>
      <c r="M3491" s="6"/>
      <c r="N3491" s="6"/>
      <c r="O3491" s="6"/>
      <c r="P3491" s="5"/>
      <c r="Q3491" s="9"/>
      <c r="R3491" s="5"/>
      <c r="S3491" s="5"/>
      <c r="T3491" s="5"/>
      <c r="U3491" s="5"/>
      <c r="V3491" s="5"/>
      <c r="W3491" s="5"/>
      <c r="X3491" s="5"/>
      <c r="Y3491" s="9"/>
      <c r="Z3491" s="2"/>
    </row>
    <row r="3492" spans="1:26">
      <c r="A3492" s="4"/>
      <c r="B3492" s="4"/>
      <c r="C3492" s="4"/>
      <c r="D3492" s="4"/>
      <c r="E3492" s="4"/>
      <c r="F3492" s="4"/>
      <c r="G3492" s="4"/>
      <c r="H3492" s="4"/>
      <c r="I3492" s="4"/>
      <c r="J3492" s="4"/>
      <c r="K3492" s="4"/>
      <c r="L3492" s="3"/>
      <c r="M3492" s="6"/>
      <c r="N3492" s="6"/>
      <c r="O3492" s="6"/>
      <c r="P3492" s="5"/>
      <c r="Q3492" s="9"/>
      <c r="R3492" s="5"/>
      <c r="S3492" s="5"/>
      <c r="T3492" s="5"/>
      <c r="U3492" s="5"/>
      <c r="V3492" s="5"/>
      <c r="W3492" s="5"/>
      <c r="X3492" s="5"/>
      <c r="Y3492" s="9"/>
      <c r="Z3492" s="2"/>
    </row>
    <row r="3493" spans="1:26">
      <c r="A3493" s="4"/>
      <c r="B3493" s="4"/>
      <c r="C3493" s="4"/>
      <c r="D3493" s="4"/>
      <c r="E3493" s="4"/>
      <c r="F3493" s="4"/>
      <c r="G3493" s="4"/>
      <c r="H3493" s="4"/>
      <c r="I3493" s="4"/>
      <c r="J3493" s="4"/>
      <c r="K3493" s="4"/>
      <c r="L3493" s="3"/>
      <c r="M3493" s="6"/>
      <c r="N3493" s="6"/>
      <c r="O3493" s="6"/>
      <c r="P3493" s="5"/>
      <c r="Q3493" s="9"/>
      <c r="R3493" s="5"/>
      <c r="S3493" s="5"/>
      <c r="T3493" s="5"/>
      <c r="U3493" s="5"/>
      <c r="V3493" s="5"/>
      <c r="W3493" s="5"/>
      <c r="X3493" s="5"/>
      <c r="Y3493" s="9"/>
      <c r="Z3493" s="2"/>
    </row>
    <row r="3494" spans="1:26">
      <c r="A3494" s="4"/>
      <c r="B3494" s="4"/>
      <c r="C3494" s="4"/>
      <c r="D3494" s="4"/>
      <c r="E3494" s="4"/>
      <c r="F3494" s="4"/>
      <c r="G3494" s="4"/>
      <c r="H3494" s="4"/>
      <c r="I3494" s="4"/>
      <c r="J3494" s="4"/>
      <c r="K3494" s="4"/>
      <c r="L3494" s="3"/>
      <c r="M3494" s="6"/>
      <c r="N3494" s="6"/>
      <c r="O3494" s="6"/>
      <c r="P3494" s="5"/>
      <c r="Q3494" s="9"/>
      <c r="R3494" s="5"/>
      <c r="S3494" s="5"/>
      <c r="T3494" s="5"/>
      <c r="U3494" s="5"/>
      <c r="V3494" s="5"/>
      <c r="W3494" s="5"/>
      <c r="X3494" s="5"/>
      <c r="Y3494" s="9"/>
      <c r="Z3494" s="2"/>
    </row>
    <row r="3495" spans="1:26">
      <c r="A3495" s="4"/>
      <c r="B3495" s="4"/>
      <c r="C3495" s="4"/>
      <c r="D3495" s="4"/>
      <c r="E3495" s="4"/>
      <c r="F3495" s="4"/>
      <c r="G3495" s="4"/>
      <c r="H3495" s="4"/>
      <c r="I3495" s="4"/>
      <c r="J3495" s="4"/>
      <c r="K3495" s="4"/>
      <c r="L3495" s="3"/>
      <c r="M3495" s="6"/>
      <c r="N3495" s="6"/>
      <c r="O3495" s="6"/>
      <c r="P3495" s="5"/>
      <c r="Q3495" s="9"/>
      <c r="R3495" s="5"/>
      <c r="S3495" s="5"/>
      <c r="T3495" s="5"/>
      <c r="U3495" s="5"/>
      <c r="V3495" s="5"/>
      <c r="W3495" s="5"/>
      <c r="X3495" s="5"/>
      <c r="Y3495" s="9"/>
      <c r="Z3495" s="2"/>
    </row>
    <row r="3496" spans="1:26">
      <c r="A3496" s="4"/>
      <c r="B3496" s="4"/>
      <c r="C3496" s="4"/>
      <c r="D3496" s="4"/>
      <c r="E3496" s="4"/>
      <c r="F3496" s="4"/>
      <c r="G3496" s="4"/>
      <c r="H3496" s="4"/>
      <c r="I3496" s="4"/>
      <c r="J3496" s="4"/>
      <c r="K3496" s="4"/>
      <c r="L3496" s="3"/>
      <c r="M3496" s="6"/>
      <c r="N3496" s="6"/>
      <c r="O3496" s="6"/>
      <c r="P3496" s="5"/>
      <c r="Q3496" s="9"/>
      <c r="R3496" s="5"/>
      <c r="S3496" s="5"/>
      <c r="T3496" s="5"/>
      <c r="U3496" s="5"/>
      <c r="V3496" s="5"/>
      <c r="W3496" s="5"/>
      <c r="X3496" s="5"/>
      <c r="Y3496" s="9"/>
      <c r="Z3496" s="2"/>
    </row>
    <row r="3497" spans="1:26">
      <c r="A3497" s="4"/>
      <c r="B3497" s="4"/>
      <c r="C3497" s="4"/>
      <c r="D3497" s="4"/>
      <c r="E3497" s="4"/>
      <c r="F3497" s="4"/>
      <c r="G3497" s="4"/>
      <c r="H3497" s="4"/>
      <c r="I3497" s="4"/>
      <c r="J3497" s="4"/>
      <c r="K3497" s="4"/>
      <c r="L3497" s="3"/>
      <c r="M3497" s="6"/>
      <c r="N3497" s="6"/>
      <c r="O3497" s="6"/>
      <c r="P3497" s="5"/>
      <c r="Q3497" s="9"/>
      <c r="R3497" s="5"/>
      <c r="S3497" s="5"/>
      <c r="T3497" s="5"/>
      <c r="U3497" s="5"/>
      <c r="V3497" s="5"/>
      <c r="W3497" s="5"/>
      <c r="X3497" s="5"/>
      <c r="Y3497" s="9"/>
      <c r="Z3497" s="2"/>
    </row>
    <row r="3498" spans="1:26">
      <c r="A3498" s="4"/>
      <c r="B3498" s="4"/>
      <c r="C3498" s="4"/>
      <c r="D3498" s="4"/>
      <c r="E3498" s="4"/>
      <c r="F3498" s="4"/>
      <c r="G3498" s="4"/>
      <c r="H3498" s="4"/>
      <c r="I3498" s="4"/>
      <c r="J3498" s="4"/>
      <c r="K3498" s="4"/>
      <c r="L3498" s="3"/>
      <c r="M3498" s="6"/>
      <c r="N3498" s="6"/>
      <c r="O3498" s="6"/>
      <c r="P3498" s="5"/>
      <c r="Q3498" s="9"/>
      <c r="R3498" s="5"/>
      <c r="S3498" s="5"/>
      <c r="T3498" s="5"/>
      <c r="U3498" s="5"/>
      <c r="V3498" s="5"/>
      <c r="W3498" s="5"/>
      <c r="X3498" s="5"/>
      <c r="Y3498" s="9"/>
      <c r="Z3498" s="2"/>
    </row>
    <row r="3499" spans="1:26">
      <c r="A3499" s="4"/>
      <c r="B3499" s="4"/>
      <c r="C3499" s="4"/>
      <c r="D3499" s="4"/>
      <c r="E3499" s="4"/>
      <c r="F3499" s="4"/>
      <c r="G3499" s="4"/>
      <c r="H3499" s="4"/>
      <c r="I3499" s="4"/>
      <c r="J3499" s="4"/>
      <c r="K3499" s="4"/>
      <c r="L3499" s="3"/>
      <c r="M3499" s="6"/>
      <c r="N3499" s="6"/>
      <c r="O3499" s="6"/>
      <c r="P3499" s="5"/>
      <c r="Q3499" s="9"/>
      <c r="R3499" s="5"/>
      <c r="S3499" s="5"/>
      <c r="T3499" s="5"/>
      <c r="U3499" s="5"/>
      <c r="V3499" s="5"/>
      <c r="W3499" s="5"/>
      <c r="X3499" s="5"/>
      <c r="Y3499" s="9"/>
      <c r="Z3499" s="2"/>
    </row>
    <row r="3500" spans="1:26">
      <c r="A3500" s="4"/>
      <c r="B3500" s="4"/>
      <c r="C3500" s="4"/>
      <c r="D3500" s="4"/>
      <c r="E3500" s="4"/>
      <c r="F3500" s="4"/>
      <c r="G3500" s="4"/>
      <c r="H3500" s="4"/>
      <c r="I3500" s="4"/>
      <c r="J3500" s="4"/>
      <c r="K3500" s="4"/>
      <c r="L3500" s="3"/>
      <c r="M3500" s="6"/>
      <c r="N3500" s="6"/>
      <c r="O3500" s="6"/>
      <c r="P3500" s="5"/>
      <c r="Q3500" s="9"/>
      <c r="R3500" s="5"/>
      <c r="S3500" s="5"/>
      <c r="T3500" s="5"/>
      <c r="U3500" s="5"/>
      <c r="V3500" s="5"/>
      <c r="W3500" s="5"/>
      <c r="X3500" s="5"/>
      <c r="Y3500" s="9"/>
      <c r="Z3500" s="2"/>
    </row>
    <row r="3501" spans="1:26">
      <c r="A3501" s="4"/>
      <c r="B3501" s="4"/>
      <c r="C3501" s="4"/>
      <c r="D3501" s="4"/>
      <c r="E3501" s="4"/>
      <c r="F3501" s="4"/>
      <c r="G3501" s="4"/>
      <c r="H3501" s="4"/>
      <c r="I3501" s="4"/>
      <c r="J3501" s="4"/>
      <c r="K3501" s="4"/>
      <c r="L3501" s="3"/>
      <c r="M3501" s="6"/>
      <c r="N3501" s="6"/>
      <c r="O3501" s="6"/>
      <c r="P3501" s="5"/>
      <c r="Q3501" s="9"/>
      <c r="R3501" s="5"/>
      <c r="S3501" s="5"/>
      <c r="T3501" s="5"/>
      <c r="U3501" s="5"/>
      <c r="V3501" s="5"/>
      <c r="W3501" s="5"/>
      <c r="X3501" s="5"/>
      <c r="Y3501" s="9"/>
      <c r="Z3501" s="2"/>
    </row>
    <row r="3502" spans="1:26">
      <c r="A3502" s="4"/>
      <c r="B3502" s="4"/>
      <c r="C3502" s="4"/>
      <c r="D3502" s="4"/>
      <c r="E3502" s="4"/>
      <c r="F3502" s="4"/>
      <c r="G3502" s="4"/>
      <c r="H3502" s="4"/>
      <c r="I3502" s="4"/>
      <c r="J3502" s="4"/>
      <c r="K3502" s="4"/>
      <c r="L3502" s="3"/>
      <c r="M3502" s="6"/>
      <c r="N3502" s="6"/>
      <c r="O3502" s="6"/>
      <c r="P3502" s="5"/>
      <c r="Q3502" s="9"/>
      <c r="R3502" s="5"/>
      <c r="S3502" s="5"/>
      <c r="T3502" s="5"/>
      <c r="U3502" s="5"/>
      <c r="V3502" s="5"/>
      <c r="W3502" s="5"/>
      <c r="X3502" s="5"/>
      <c r="Y3502" s="9"/>
      <c r="Z3502" s="2"/>
    </row>
    <row r="3503" spans="1:26">
      <c r="A3503" s="4"/>
      <c r="B3503" s="4"/>
      <c r="C3503" s="4"/>
      <c r="D3503" s="4"/>
      <c r="E3503" s="4"/>
      <c r="F3503" s="4"/>
      <c r="G3503" s="4"/>
      <c r="H3503" s="4"/>
      <c r="I3503" s="4"/>
      <c r="J3503" s="4"/>
      <c r="K3503" s="4"/>
      <c r="L3503" s="3"/>
      <c r="M3503" s="6"/>
      <c r="N3503" s="6"/>
      <c r="O3503" s="6"/>
      <c r="P3503" s="5"/>
      <c r="Q3503" s="9"/>
      <c r="R3503" s="5"/>
      <c r="S3503" s="5"/>
      <c r="T3503" s="5"/>
      <c r="U3503" s="5"/>
      <c r="V3503" s="5"/>
      <c r="W3503" s="5"/>
      <c r="X3503" s="5"/>
      <c r="Y3503" s="9"/>
      <c r="Z3503" s="2"/>
    </row>
    <row r="3504" spans="1:26">
      <c r="A3504" s="4"/>
      <c r="B3504" s="4"/>
      <c r="C3504" s="4"/>
      <c r="D3504" s="4"/>
      <c r="E3504" s="4"/>
      <c r="F3504" s="4"/>
      <c r="G3504" s="4"/>
      <c r="H3504" s="4"/>
      <c r="I3504" s="4"/>
      <c r="J3504" s="4"/>
      <c r="K3504" s="4"/>
      <c r="L3504" s="3"/>
      <c r="M3504" s="6"/>
      <c r="N3504" s="6"/>
      <c r="O3504" s="6"/>
      <c r="P3504" s="5"/>
      <c r="Q3504" s="9"/>
      <c r="R3504" s="5"/>
      <c r="S3504" s="5"/>
      <c r="T3504" s="5"/>
      <c r="U3504" s="5"/>
      <c r="V3504" s="5"/>
      <c r="W3504" s="5"/>
      <c r="X3504" s="5"/>
      <c r="Y3504" s="9"/>
      <c r="Z3504" s="2"/>
    </row>
    <row r="3505" spans="1:26">
      <c r="A3505" s="4"/>
      <c r="B3505" s="4"/>
      <c r="C3505" s="4"/>
      <c r="D3505" s="4"/>
      <c r="E3505" s="4"/>
      <c r="F3505" s="4"/>
      <c r="G3505" s="4"/>
      <c r="H3505" s="4"/>
      <c r="I3505" s="4"/>
      <c r="J3505" s="4"/>
      <c r="K3505" s="4"/>
      <c r="L3505" s="3"/>
      <c r="M3505" s="6"/>
      <c r="N3505" s="6"/>
      <c r="O3505" s="6"/>
      <c r="P3505" s="5"/>
      <c r="Q3505" s="9"/>
      <c r="R3505" s="5"/>
      <c r="S3505" s="5"/>
      <c r="T3505" s="5"/>
      <c r="U3505" s="5"/>
      <c r="V3505" s="5"/>
      <c r="W3505" s="5"/>
      <c r="X3505" s="5"/>
      <c r="Y3505" s="9"/>
      <c r="Z3505" s="2"/>
    </row>
    <row r="3506" spans="1:26">
      <c r="A3506" s="4"/>
      <c r="B3506" s="4"/>
      <c r="C3506" s="4"/>
      <c r="D3506" s="4"/>
      <c r="E3506" s="4"/>
      <c r="F3506" s="4"/>
      <c r="G3506" s="4"/>
      <c r="H3506" s="4"/>
      <c r="I3506" s="4"/>
      <c r="J3506" s="4"/>
      <c r="K3506" s="4"/>
      <c r="L3506" s="3"/>
      <c r="M3506" s="6"/>
      <c r="N3506" s="6"/>
      <c r="O3506" s="6"/>
      <c r="P3506" s="5"/>
      <c r="Q3506" s="9"/>
      <c r="R3506" s="5"/>
      <c r="S3506" s="5"/>
      <c r="T3506" s="5"/>
      <c r="U3506" s="5"/>
      <c r="V3506" s="5"/>
      <c r="W3506" s="5"/>
      <c r="X3506" s="5"/>
      <c r="Y3506" s="9"/>
      <c r="Z3506" s="2"/>
    </row>
    <row r="3507" spans="1:26">
      <c r="A3507" s="4"/>
      <c r="B3507" s="4"/>
      <c r="C3507" s="4"/>
      <c r="D3507" s="4"/>
      <c r="E3507" s="4"/>
      <c r="F3507" s="4"/>
      <c r="G3507" s="4"/>
      <c r="H3507" s="4"/>
      <c r="I3507" s="4"/>
      <c r="J3507" s="4"/>
      <c r="K3507" s="4"/>
      <c r="L3507" s="3"/>
      <c r="M3507" s="6"/>
      <c r="N3507" s="6"/>
      <c r="O3507" s="6"/>
      <c r="P3507" s="5"/>
      <c r="Q3507" s="9"/>
      <c r="R3507" s="5"/>
      <c r="S3507" s="5"/>
      <c r="T3507" s="5"/>
      <c r="U3507" s="5"/>
      <c r="V3507" s="5"/>
      <c r="W3507" s="5"/>
      <c r="X3507" s="5"/>
      <c r="Y3507" s="9"/>
      <c r="Z3507" s="2"/>
    </row>
    <row r="3508" spans="1:26">
      <c r="A3508" s="4"/>
      <c r="B3508" s="4"/>
      <c r="C3508" s="4"/>
      <c r="D3508" s="4"/>
      <c r="E3508" s="4"/>
      <c r="F3508" s="4"/>
      <c r="G3508" s="4"/>
      <c r="H3508" s="4"/>
      <c r="I3508" s="4"/>
      <c r="J3508" s="4"/>
      <c r="K3508" s="4"/>
      <c r="L3508" s="3"/>
      <c r="M3508" s="6"/>
      <c r="N3508" s="6"/>
      <c r="O3508" s="6"/>
      <c r="P3508" s="5"/>
      <c r="Q3508" s="9"/>
      <c r="R3508" s="5"/>
      <c r="S3508" s="5"/>
      <c r="T3508" s="5"/>
      <c r="U3508" s="5"/>
      <c r="V3508" s="5"/>
      <c r="W3508" s="5"/>
      <c r="X3508" s="5"/>
      <c r="Y3508" s="9"/>
      <c r="Z3508" s="2"/>
    </row>
    <row r="3509" spans="1:26">
      <c r="A3509" s="4"/>
      <c r="B3509" s="4"/>
      <c r="C3509" s="4"/>
      <c r="D3509" s="4"/>
      <c r="E3509" s="4"/>
      <c r="F3509" s="4"/>
      <c r="G3509" s="4"/>
      <c r="H3509" s="4"/>
      <c r="I3509" s="4"/>
      <c r="J3509" s="4"/>
      <c r="K3509" s="4"/>
      <c r="L3509" s="3"/>
      <c r="M3509" s="6"/>
      <c r="N3509" s="6"/>
      <c r="O3509" s="6"/>
      <c r="P3509" s="5"/>
      <c r="Q3509" s="9"/>
      <c r="R3509" s="5"/>
      <c r="S3509" s="5"/>
      <c r="T3509" s="5"/>
      <c r="U3509" s="5"/>
      <c r="V3509" s="5"/>
      <c r="W3509" s="5"/>
      <c r="X3509" s="5"/>
      <c r="Y3509" s="9"/>
      <c r="Z3509" s="2"/>
    </row>
    <row r="3510" spans="1:26">
      <c r="A3510" s="4"/>
      <c r="B3510" s="4"/>
      <c r="C3510" s="4"/>
      <c r="D3510" s="4"/>
      <c r="E3510" s="4"/>
      <c r="F3510" s="4"/>
      <c r="G3510" s="4"/>
      <c r="H3510" s="4"/>
      <c r="I3510" s="4"/>
      <c r="J3510" s="4"/>
      <c r="K3510" s="4"/>
      <c r="L3510" s="3"/>
      <c r="M3510" s="6"/>
      <c r="N3510" s="6"/>
      <c r="O3510" s="6"/>
      <c r="P3510" s="5"/>
      <c r="Q3510" s="9"/>
      <c r="R3510" s="5"/>
      <c r="S3510" s="5"/>
      <c r="T3510" s="5"/>
      <c r="U3510" s="5"/>
      <c r="V3510" s="5"/>
      <c r="W3510" s="5"/>
      <c r="X3510" s="5"/>
      <c r="Y3510" s="9"/>
      <c r="Z3510" s="2"/>
    </row>
    <row r="3511" spans="1:26">
      <c r="A3511" s="4"/>
      <c r="B3511" s="4"/>
      <c r="C3511" s="4"/>
      <c r="D3511" s="4"/>
      <c r="E3511" s="4"/>
      <c r="F3511" s="4"/>
      <c r="G3511" s="4"/>
      <c r="H3511" s="4"/>
      <c r="I3511" s="4"/>
      <c r="J3511" s="4"/>
      <c r="K3511" s="4"/>
      <c r="L3511" s="3"/>
      <c r="M3511" s="6"/>
      <c r="N3511" s="6"/>
      <c r="O3511" s="6"/>
      <c r="P3511" s="5"/>
      <c r="Q3511" s="9"/>
      <c r="R3511" s="5"/>
      <c r="S3511" s="5"/>
      <c r="T3511" s="5"/>
      <c r="U3511" s="5"/>
      <c r="V3511" s="5"/>
      <c r="W3511" s="5"/>
      <c r="X3511" s="5"/>
      <c r="Y3511" s="9"/>
      <c r="Z3511" s="2"/>
    </row>
    <row r="3512" spans="1:26">
      <c r="A3512" s="4"/>
      <c r="B3512" s="4"/>
      <c r="C3512" s="4"/>
      <c r="D3512" s="4"/>
      <c r="E3512" s="4"/>
      <c r="F3512" s="4"/>
      <c r="G3512" s="4"/>
      <c r="H3512" s="4"/>
      <c r="I3512" s="4"/>
      <c r="J3512" s="4"/>
      <c r="K3512" s="4"/>
      <c r="L3512" s="3"/>
      <c r="M3512" s="6"/>
      <c r="N3512" s="6"/>
      <c r="O3512" s="6"/>
      <c r="P3512" s="5"/>
      <c r="Q3512" s="9"/>
      <c r="R3512" s="5"/>
      <c r="S3512" s="5"/>
      <c r="T3512" s="5"/>
      <c r="U3512" s="5"/>
      <c r="V3512" s="5"/>
      <c r="W3512" s="5"/>
      <c r="X3512" s="5"/>
      <c r="Y3512" s="9"/>
      <c r="Z3512" s="2"/>
    </row>
    <row r="3513" spans="1:26">
      <c r="A3513" s="4"/>
      <c r="B3513" s="4"/>
      <c r="C3513" s="4"/>
      <c r="D3513" s="4"/>
      <c r="E3513" s="4"/>
      <c r="F3513" s="4"/>
      <c r="G3513" s="4"/>
      <c r="H3513" s="4"/>
      <c r="I3513" s="4"/>
      <c r="J3513" s="4"/>
      <c r="K3513" s="4"/>
      <c r="L3513" s="3"/>
      <c r="M3513" s="6"/>
      <c r="N3513" s="6"/>
      <c r="O3513" s="6"/>
      <c r="P3513" s="5"/>
      <c r="Q3513" s="9"/>
      <c r="R3513" s="5"/>
      <c r="S3513" s="5"/>
      <c r="T3513" s="5"/>
      <c r="U3513" s="5"/>
      <c r="V3513" s="5"/>
      <c r="W3513" s="5"/>
      <c r="X3513" s="5"/>
      <c r="Y3513" s="9"/>
      <c r="Z3513" s="2"/>
    </row>
    <row r="3514" spans="1:26">
      <c r="A3514" s="4"/>
      <c r="B3514" s="4"/>
      <c r="C3514" s="4"/>
      <c r="D3514" s="4"/>
      <c r="E3514" s="4"/>
      <c r="F3514" s="4"/>
      <c r="G3514" s="4"/>
      <c r="H3514" s="4"/>
      <c r="I3514" s="4"/>
      <c r="J3514" s="4"/>
      <c r="K3514" s="4"/>
      <c r="L3514" s="3"/>
      <c r="M3514" s="6"/>
      <c r="N3514" s="6"/>
      <c r="O3514" s="6"/>
      <c r="P3514" s="5"/>
      <c r="Q3514" s="9"/>
      <c r="R3514" s="5"/>
      <c r="S3514" s="5"/>
      <c r="T3514" s="5"/>
      <c r="U3514" s="5"/>
      <c r="V3514" s="5"/>
      <c r="W3514" s="5"/>
      <c r="X3514" s="5"/>
      <c r="Y3514" s="9"/>
      <c r="Z3514" s="2"/>
    </row>
    <row r="3515" spans="1:26">
      <c r="A3515" s="4"/>
      <c r="B3515" s="4"/>
      <c r="C3515" s="4"/>
      <c r="D3515" s="4"/>
      <c r="E3515" s="4"/>
      <c r="F3515" s="4"/>
      <c r="G3515" s="4"/>
      <c r="H3515" s="4"/>
      <c r="I3515" s="4"/>
      <c r="J3515" s="4"/>
      <c r="K3515" s="4"/>
      <c r="L3515" s="3"/>
      <c r="M3515" s="6"/>
      <c r="N3515" s="6"/>
      <c r="O3515" s="6"/>
      <c r="P3515" s="5"/>
      <c r="Q3515" s="9"/>
      <c r="R3515" s="5"/>
      <c r="S3515" s="5"/>
      <c r="T3515" s="5"/>
      <c r="U3515" s="5"/>
      <c r="V3515" s="5"/>
      <c r="W3515" s="5"/>
      <c r="X3515" s="5"/>
      <c r="Y3515" s="9"/>
      <c r="Z3515" s="2"/>
    </row>
    <row r="3516" spans="1:26">
      <c r="A3516" s="4"/>
      <c r="B3516" s="4"/>
      <c r="C3516" s="4"/>
      <c r="D3516" s="4"/>
      <c r="E3516" s="4"/>
      <c r="F3516" s="4"/>
      <c r="G3516" s="4"/>
      <c r="H3516" s="4"/>
      <c r="I3516" s="4"/>
      <c r="J3516" s="4"/>
      <c r="K3516" s="4"/>
      <c r="L3516" s="3"/>
      <c r="M3516" s="6"/>
      <c r="N3516" s="6"/>
      <c r="O3516" s="6"/>
      <c r="P3516" s="5"/>
      <c r="Q3516" s="9"/>
      <c r="R3516" s="5"/>
      <c r="S3516" s="5"/>
      <c r="T3516" s="5"/>
      <c r="U3516" s="5"/>
      <c r="V3516" s="5"/>
      <c r="W3516" s="5"/>
      <c r="X3516" s="5"/>
      <c r="Y3516" s="9"/>
      <c r="Z3516" s="2"/>
    </row>
    <row r="3517" spans="1:26">
      <c r="A3517" s="4"/>
      <c r="B3517" s="4"/>
      <c r="C3517" s="4"/>
      <c r="D3517" s="4"/>
      <c r="E3517" s="4"/>
      <c r="F3517" s="4"/>
      <c r="G3517" s="4"/>
      <c r="H3517" s="4"/>
      <c r="I3517" s="4"/>
      <c r="J3517" s="4"/>
      <c r="K3517" s="4"/>
      <c r="L3517" s="3"/>
      <c r="M3517" s="6"/>
      <c r="N3517" s="6"/>
      <c r="O3517" s="6"/>
      <c r="P3517" s="5"/>
      <c r="Q3517" s="9"/>
      <c r="R3517" s="5"/>
      <c r="S3517" s="5"/>
      <c r="T3517" s="5"/>
      <c r="U3517" s="5"/>
      <c r="V3517" s="5"/>
      <c r="W3517" s="5"/>
      <c r="X3517" s="5"/>
      <c r="Y3517" s="9"/>
      <c r="Z3517" s="2"/>
    </row>
    <row r="3518" spans="1:26">
      <c r="A3518" s="4"/>
      <c r="B3518" s="4"/>
      <c r="C3518" s="4"/>
      <c r="D3518" s="4"/>
      <c r="E3518" s="4"/>
      <c r="F3518" s="4"/>
      <c r="G3518" s="4"/>
      <c r="H3518" s="4"/>
      <c r="I3518" s="4"/>
      <c r="J3518" s="4"/>
      <c r="K3518" s="4"/>
      <c r="L3518" s="3"/>
      <c r="M3518" s="6"/>
      <c r="N3518" s="6"/>
      <c r="O3518" s="6"/>
      <c r="P3518" s="5"/>
      <c r="Q3518" s="9"/>
      <c r="R3518" s="5"/>
      <c r="S3518" s="5"/>
      <c r="T3518" s="5"/>
      <c r="U3518" s="5"/>
      <c r="V3518" s="5"/>
      <c r="W3518" s="5"/>
      <c r="X3518" s="5"/>
      <c r="Y3518" s="9"/>
      <c r="Z3518" s="2"/>
    </row>
    <row r="3519" spans="1:26">
      <c r="A3519" s="4"/>
      <c r="B3519" s="4"/>
      <c r="C3519" s="4"/>
      <c r="D3519" s="4"/>
      <c r="E3519" s="4"/>
      <c r="F3519" s="4"/>
      <c r="G3519" s="4"/>
      <c r="H3519" s="4"/>
      <c r="I3519" s="4"/>
      <c r="J3519" s="4"/>
      <c r="K3519" s="4"/>
      <c r="L3519" s="3"/>
      <c r="M3519" s="6"/>
      <c r="N3519" s="6"/>
      <c r="O3519" s="6"/>
      <c r="P3519" s="5"/>
      <c r="Q3519" s="9"/>
      <c r="R3519" s="5"/>
      <c r="S3519" s="5"/>
      <c r="T3519" s="5"/>
      <c r="U3519" s="5"/>
      <c r="V3519" s="5"/>
      <c r="W3519" s="5"/>
      <c r="X3519" s="5"/>
      <c r="Y3519" s="9"/>
      <c r="Z3519" s="2"/>
    </row>
    <row r="3520" spans="1:26">
      <c r="A3520" s="4"/>
      <c r="B3520" s="4"/>
      <c r="C3520" s="4"/>
      <c r="D3520" s="4"/>
      <c r="E3520" s="4"/>
      <c r="F3520" s="4"/>
      <c r="G3520" s="4"/>
      <c r="H3520" s="4"/>
      <c r="I3520" s="4"/>
      <c r="J3520" s="4"/>
      <c r="K3520" s="4"/>
      <c r="L3520" s="3"/>
      <c r="M3520" s="6"/>
      <c r="N3520" s="6"/>
      <c r="O3520" s="6"/>
      <c r="P3520" s="5"/>
      <c r="Q3520" s="9"/>
      <c r="R3520" s="5"/>
      <c r="S3520" s="5"/>
      <c r="T3520" s="5"/>
      <c r="U3520" s="5"/>
      <c r="V3520" s="5"/>
      <c r="W3520" s="5"/>
      <c r="X3520" s="5"/>
      <c r="Y3520" s="9"/>
      <c r="Z3520" s="2"/>
    </row>
    <row r="3521" spans="1:26">
      <c r="A3521" s="4"/>
      <c r="B3521" s="4"/>
      <c r="C3521" s="4"/>
      <c r="D3521" s="4"/>
      <c r="E3521" s="4"/>
      <c r="F3521" s="4"/>
      <c r="G3521" s="4"/>
      <c r="H3521" s="4"/>
      <c r="I3521" s="4"/>
      <c r="J3521" s="4"/>
      <c r="K3521" s="4"/>
      <c r="L3521" s="3"/>
      <c r="M3521" s="6"/>
      <c r="N3521" s="6"/>
      <c r="O3521" s="6"/>
      <c r="P3521" s="5"/>
      <c r="Q3521" s="9"/>
      <c r="R3521" s="5"/>
      <c r="S3521" s="5"/>
      <c r="T3521" s="5"/>
      <c r="U3521" s="5"/>
      <c r="V3521" s="5"/>
      <c r="W3521" s="5"/>
      <c r="X3521" s="5"/>
      <c r="Y3521" s="9"/>
      <c r="Z3521" s="2"/>
    </row>
    <row r="3522" spans="1:26">
      <c r="A3522" s="4"/>
      <c r="B3522" s="4"/>
      <c r="C3522" s="4"/>
      <c r="D3522" s="4"/>
      <c r="E3522" s="4"/>
      <c r="F3522" s="4"/>
      <c r="G3522" s="4"/>
      <c r="H3522" s="4"/>
      <c r="I3522" s="4"/>
      <c r="J3522" s="4"/>
      <c r="K3522" s="4"/>
      <c r="L3522" s="3"/>
      <c r="M3522" s="6"/>
      <c r="N3522" s="6"/>
      <c r="O3522" s="6"/>
      <c r="P3522" s="5"/>
      <c r="Q3522" s="9"/>
      <c r="R3522" s="5"/>
      <c r="S3522" s="5"/>
      <c r="T3522" s="5"/>
      <c r="U3522" s="5"/>
      <c r="V3522" s="5"/>
      <c r="W3522" s="5"/>
      <c r="X3522" s="5"/>
      <c r="Y3522" s="9"/>
      <c r="Z3522" s="2"/>
    </row>
    <row r="3523" spans="1:26">
      <c r="A3523" s="4"/>
      <c r="B3523" s="4"/>
      <c r="C3523" s="4"/>
      <c r="D3523" s="4"/>
      <c r="E3523" s="4"/>
      <c r="F3523" s="4"/>
      <c r="G3523" s="4"/>
      <c r="H3523" s="4"/>
      <c r="I3523" s="4"/>
      <c r="J3523" s="4"/>
      <c r="K3523" s="4"/>
      <c r="L3523" s="3"/>
      <c r="M3523" s="6"/>
      <c r="N3523" s="6"/>
      <c r="O3523" s="6"/>
      <c r="P3523" s="5"/>
      <c r="Q3523" s="9"/>
      <c r="R3523" s="5"/>
      <c r="S3523" s="5"/>
      <c r="T3523" s="5"/>
      <c r="U3523" s="5"/>
      <c r="V3523" s="5"/>
      <c r="W3523" s="5"/>
      <c r="X3523" s="5"/>
      <c r="Y3523" s="9"/>
      <c r="Z3523" s="2"/>
    </row>
    <row r="3524" spans="1:26">
      <c r="A3524" s="4"/>
      <c r="B3524" s="4"/>
      <c r="C3524" s="4"/>
      <c r="D3524" s="4"/>
      <c r="E3524" s="4"/>
      <c r="F3524" s="4"/>
      <c r="G3524" s="4"/>
      <c r="H3524" s="4"/>
      <c r="I3524" s="4"/>
      <c r="J3524" s="4"/>
      <c r="K3524" s="4"/>
      <c r="L3524" s="3"/>
      <c r="M3524" s="6"/>
      <c r="N3524" s="6"/>
      <c r="O3524" s="6"/>
      <c r="P3524" s="5"/>
      <c r="Q3524" s="9"/>
      <c r="R3524" s="5"/>
      <c r="S3524" s="5"/>
      <c r="T3524" s="5"/>
      <c r="U3524" s="5"/>
      <c r="V3524" s="5"/>
      <c r="W3524" s="5"/>
      <c r="X3524" s="5"/>
      <c r="Y3524" s="9"/>
      <c r="Z3524" s="2"/>
    </row>
    <row r="3525" spans="1:26">
      <c r="A3525" s="4"/>
      <c r="B3525" s="4"/>
      <c r="C3525" s="4"/>
      <c r="D3525" s="4"/>
      <c r="E3525" s="4"/>
      <c r="F3525" s="4"/>
      <c r="G3525" s="4"/>
      <c r="H3525" s="4"/>
      <c r="I3525" s="4"/>
      <c r="J3525" s="4"/>
      <c r="K3525" s="4"/>
      <c r="L3525" s="3"/>
      <c r="M3525" s="6"/>
      <c r="N3525" s="6"/>
      <c r="O3525" s="6"/>
      <c r="P3525" s="5"/>
      <c r="Q3525" s="9"/>
      <c r="R3525" s="5"/>
      <c r="S3525" s="5"/>
      <c r="T3525" s="5"/>
      <c r="U3525" s="5"/>
      <c r="V3525" s="5"/>
      <c r="W3525" s="5"/>
      <c r="X3525" s="5"/>
      <c r="Y3525" s="9"/>
      <c r="Z3525" s="2"/>
    </row>
    <row r="3526" spans="1:26">
      <c r="A3526" s="4"/>
      <c r="B3526" s="4"/>
      <c r="C3526" s="4"/>
      <c r="D3526" s="4"/>
      <c r="E3526" s="4"/>
      <c r="F3526" s="4"/>
      <c r="G3526" s="4"/>
      <c r="H3526" s="4"/>
      <c r="I3526" s="4"/>
      <c r="J3526" s="4"/>
      <c r="K3526" s="4"/>
      <c r="L3526" s="3"/>
      <c r="M3526" s="6"/>
      <c r="N3526" s="6"/>
      <c r="O3526" s="6"/>
      <c r="P3526" s="5"/>
      <c r="Q3526" s="9"/>
      <c r="R3526" s="5"/>
      <c r="S3526" s="5"/>
      <c r="T3526" s="5"/>
      <c r="U3526" s="5"/>
      <c r="V3526" s="5"/>
      <c r="W3526" s="5"/>
      <c r="X3526" s="5"/>
      <c r="Y3526" s="9"/>
      <c r="Z3526" s="2"/>
    </row>
    <row r="3527" spans="1:26">
      <c r="A3527" s="4"/>
      <c r="B3527" s="4"/>
      <c r="C3527" s="4"/>
      <c r="D3527" s="4"/>
      <c r="E3527" s="4"/>
      <c r="F3527" s="4"/>
      <c r="G3527" s="4"/>
      <c r="H3527" s="4"/>
      <c r="I3527" s="4"/>
      <c r="J3527" s="4"/>
      <c r="K3527" s="4"/>
      <c r="L3527" s="3"/>
      <c r="M3527" s="6"/>
      <c r="N3527" s="6"/>
      <c r="O3527" s="6"/>
      <c r="P3527" s="5"/>
      <c r="Q3527" s="9"/>
      <c r="R3527" s="5"/>
      <c r="S3527" s="5"/>
      <c r="T3527" s="5"/>
      <c r="U3527" s="5"/>
      <c r="V3527" s="5"/>
      <c r="W3527" s="5"/>
      <c r="X3527" s="5"/>
      <c r="Y3527" s="9"/>
      <c r="Z3527" s="2"/>
    </row>
    <row r="3528" spans="1:26">
      <c r="A3528" s="4"/>
      <c r="B3528" s="4"/>
      <c r="C3528" s="4"/>
      <c r="D3528" s="4"/>
      <c r="E3528" s="4"/>
      <c r="F3528" s="4"/>
      <c r="G3528" s="4"/>
      <c r="H3528" s="4"/>
      <c r="I3528" s="4"/>
      <c r="J3528" s="4"/>
      <c r="K3528" s="4"/>
      <c r="L3528" s="3"/>
      <c r="M3528" s="6"/>
      <c r="N3528" s="6"/>
      <c r="O3528" s="6"/>
      <c r="P3528" s="5"/>
      <c r="Q3528" s="9"/>
      <c r="R3528" s="5"/>
      <c r="S3528" s="5"/>
      <c r="T3528" s="5"/>
      <c r="U3528" s="5"/>
      <c r="V3528" s="5"/>
      <c r="W3528" s="5"/>
      <c r="X3528" s="5"/>
      <c r="Y3528" s="9"/>
      <c r="Z3528" s="2"/>
    </row>
    <row r="3529" spans="1:26">
      <c r="A3529" s="4"/>
      <c r="B3529" s="4"/>
      <c r="C3529" s="4"/>
      <c r="D3529" s="4"/>
      <c r="E3529" s="4"/>
      <c r="F3529" s="4"/>
      <c r="G3529" s="4"/>
      <c r="H3529" s="4"/>
      <c r="I3529" s="4"/>
      <c r="J3529" s="4"/>
      <c r="K3529" s="4"/>
      <c r="L3529" s="3"/>
      <c r="M3529" s="6"/>
      <c r="N3529" s="6"/>
      <c r="O3529" s="6"/>
      <c r="P3529" s="5"/>
      <c r="Q3529" s="9"/>
      <c r="R3529" s="5"/>
      <c r="S3529" s="5"/>
      <c r="T3529" s="5"/>
      <c r="U3529" s="5"/>
      <c r="V3529" s="5"/>
      <c r="W3529" s="5"/>
      <c r="X3529" s="5"/>
      <c r="Y3529" s="9"/>
      <c r="Z3529" s="2"/>
    </row>
    <row r="3530" spans="1:26">
      <c r="A3530" s="4"/>
      <c r="B3530" s="4"/>
      <c r="C3530" s="4"/>
      <c r="D3530" s="4"/>
      <c r="E3530" s="4"/>
      <c r="F3530" s="4"/>
      <c r="G3530" s="4"/>
      <c r="H3530" s="4"/>
      <c r="I3530" s="4"/>
      <c r="J3530" s="4"/>
      <c r="K3530" s="4"/>
      <c r="L3530" s="3"/>
      <c r="M3530" s="6"/>
      <c r="N3530" s="6"/>
      <c r="O3530" s="6"/>
      <c r="P3530" s="5"/>
      <c r="Q3530" s="9"/>
      <c r="R3530" s="5"/>
      <c r="S3530" s="5"/>
      <c r="T3530" s="5"/>
      <c r="U3530" s="5"/>
      <c r="V3530" s="5"/>
      <c r="W3530" s="5"/>
      <c r="X3530" s="5"/>
      <c r="Y3530" s="9"/>
      <c r="Z3530" s="2"/>
    </row>
    <row r="3531" spans="1:26">
      <c r="A3531" s="4"/>
      <c r="B3531" s="4"/>
      <c r="C3531" s="4"/>
      <c r="D3531" s="4"/>
      <c r="E3531" s="4"/>
      <c r="F3531" s="4"/>
      <c r="G3531" s="4"/>
      <c r="H3531" s="4"/>
      <c r="I3531" s="4"/>
      <c r="J3531" s="4"/>
      <c r="K3531" s="4"/>
      <c r="L3531" s="3"/>
      <c r="M3531" s="6"/>
      <c r="N3531" s="6"/>
      <c r="O3531" s="6"/>
      <c r="P3531" s="5"/>
      <c r="Q3531" s="9"/>
      <c r="R3531" s="5"/>
      <c r="S3531" s="5"/>
      <c r="T3531" s="5"/>
      <c r="U3531" s="5"/>
      <c r="V3531" s="5"/>
      <c r="W3531" s="5"/>
      <c r="X3531" s="5"/>
      <c r="Y3531" s="9"/>
      <c r="Z3531" s="2"/>
    </row>
    <row r="3532" spans="1:26">
      <c r="A3532" s="4"/>
      <c r="B3532" s="4"/>
      <c r="C3532" s="4"/>
      <c r="D3532" s="4"/>
      <c r="E3532" s="4"/>
      <c r="F3532" s="4"/>
      <c r="G3532" s="4"/>
      <c r="H3532" s="4"/>
      <c r="I3532" s="4"/>
      <c r="J3532" s="4"/>
      <c r="K3532" s="4"/>
      <c r="L3532" s="3"/>
      <c r="M3532" s="6"/>
      <c r="N3532" s="6"/>
      <c r="O3532" s="6"/>
      <c r="P3532" s="5"/>
      <c r="Q3532" s="9"/>
      <c r="R3532" s="5"/>
      <c r="S3532" s="5"/>
      <c r="T3532" s="5"/>
      <c r="U3532" s="5"/>
      <c r="V3532" s="5"/>
      <c r="W3532" s="5"/>
      <c r="X3532" s="5"/>
      <c r="Y3532" s="9"/>
      <c r="Z3532" s="2"/>
    </row>
    <row r="3533" spans="1:26">
      <c r="A3533" s="4"/>
      <c r="B3533" s="4"/>
      <c r="C3533" s="4"/>
      <c r="D3533" s="4"/>
      <c r="E3533" s="4"/>
      <c r="F3533" s="4"/>
      <c r="G3533" s="4"/>
      <c r="H3533" s="4"/>
      <c r="I3533" s="4"/>
      <c r="J3533" s="4"/>
      <c r="K3533" s="4"/>
      <c r="L3533" s="3"/>
      <c r="M3533" s="6"/>
      <c r="N3533" s="6"/>
      <c r="O3533" s="6"/>
      <c r="P3533" s="5"/>
      <c r="Q3533" s="9"/>
      <c r="R3533" s="5"/>
      <c r="S3533" s="5"/>
      <c r="T3533" s="5"/>
      <c r="U3533" s="5"/>
      <c r="V3533" s="5"/>
      <c r="W3533" s="5"/>
      <c r="X3533" s="5"/>
      <c r="Y3533" s="9"/>
      <c r="Z3533" s="2"/>
    </row>
    <row r="3534" spans="1:26">
      <c r="A3534" s="4"/>
      <c r="B3534" s="4"/>
      <c r="C3534" s="4"/>
      <c r="D3534" s="4"/>
      <c r="E3534" s="4"/>
      <c r="F3534" s="4"/>
      <c r="G3534" s="4"/>
      <c r="H3534" s="4"/>
      <c r="I3534" s="4"/>
      <c r="J3534" s="4"/>
      <c r="K3534" s="4"/>
      <c r="L3534" s="3"/>
      <c r="M3534" s="6"/>
      <c r="N3534" s="6"/>
      <c r="O3534" s="6"/>
      <c r="P3534" s="5"/>
      <c r="Q3534" s="9"/>
      <c r="R3534" s="5"/>
      <c r="S3534" s="5"/>
      <c r="T3534" s="5"/>
      <c r="U3534" s="5"/>
      <c r="V3534" s="5"/>
      <c r="W3534" s="5"/>
      <c r="X3534" s="5"/>
      <c r="Y3534" s="9"/>
      <c r="Z3534" s="2"/>
    </row>
    <row r="3535" spans="1:26">
      <c r="A3535" s="4"/>
      <c r="B3535" s="4"/>
      <c r="C3535" s="4"/>
      <c r="D3535" s="4"/>
      <c r="E3535" s="4"/>
      <c r="F3535" s="4"/>
      <c r="G3535" s="4"/>
      <c r="H3535" s="4"/>
      <c r="I3535" s="4"/>
      <c r="J3535" s="4"/>
      <c r="K3535" s="4"/>
      <c r="L3535" s="3"/>
      <c r="M3535" s="6"/>
      <c r="N3535" s="6"/>
      <c r="O3535" s="6"/>
      <c r="P3535" s="5"/>
      <c r="Q3535" s="9"/>
      <c r="R3535" s="5"/>
      <c r="S3535" s="5"/>
      <c r="T3535" s="5"/>
      <c r="U3535" s="5"/>
      <c r="V3535" s="5"/>
      <c r="W3535" s="5"/>
      <c r="X3535" s="5"/>
      <c r="Y3535" s="9"/>
      <c r="Z3535" s="2"/>
    </row>
    <row r="3536" spans="1:26">
      <c r="A3536" s="4"/>
      <c r="B3536" s="4"/>
      <c r="C3536" s="4"/>
      <c r="D3536" s="4"/>
      <c r="E3536" s="4"/>
      <c r="F3536" s="4"/>
      <c r="G3536" s="4"/>
      <c r="H3536" s="4"/>
      <c r="I3536" s="4"/>
      <c r="J3536" s="4"/>
      <c r="K3536" s="4"/>
      <c r="L3536" s="3"/>
      <c r="M3536" s="6"/>
      <c r="N3536" s="6"/>
      <c r="O3536" s="6"/>
      <c r="P3536" s="5"/>
      <c r="Q3536" s="9"/>
      <c r="R3536" s="5"/>
      <c r="S3536" s="5"/>
      <c r="T3536" s="5"/>
      <c r="U3536" s="5"/>
      <c r="V3536" s="5"/>
      <c r="W3536" s="5"/>
      <c r="X3536" s="5"/>
      <c r="Y3536" s="9"/>
      <c r="Z3536" s="2"/>
    </row>
    <row r="3537" spans="1:26">
      <c r="A3537" s="4"/>
      <c r="B3537" s="4"/>
      <c r="C3537" s="4"/>
      <c r="D3537" s="4"/>
      <c r="E3537" s="4"/>
      <c r="F3537" s="4"/>
      <c r="G3537" s="4"/>
      <c r="H3537" s="4"/>
      <c r="I3537" s="4"/>
      <c r="J3537" s="4"/>
      <c r="K3537" s="4"/>
      <c r="L3537" s="3"/>
      <c r="M3537" s="6"/>
      <c r="N3537" s="6"/>
      <c r="O3537" s="6"/>
      <c r="P3537" s="5"/>
      <c r="Q3537" s="9"/>
      <c r="R3537" s="5"/>
      <c r="S3537" s="5"/>
      <c r="T3537" s="5"/>
      <c r="U3537" s="5"/>
      <c r="V3537" s="5"/>
      <c r="W3537" s="5"/>
      <c r="X3537" s="5"/>
      <c r="Y3537" s="9"/>
      <c r="Z3537" s="2"/>
    </row>
    <row r="3538" spans="1:26">
      <c r="A3538" s="4"/>
      <c r="B3538" s="4"/>
      <c r="C3538" s="4"/>
      <c r="D3538" s="4"/>
      <c r="E3538" s="4"/>
      <c r="F3538" s="4"/>
      <c r="G3538" s="4"/>
      <c r="H3538" s="4"/>
      <c r="I3538" s="4"/>
      <c r="J3538" s="4"/>
      <c r="K3538" s="4"/>
      <c r="L3538" s="3"/>
      <c r="M3538" s="6"/>
      <c r="N3538" s="6"/>
      <c r="O3538" s="6"/>
      <c r="P3538" s="5"/>
      <c r="Q3538" s="9"/>
      <c r="R3538" s="5"/>
      <c r="S3538" s="5"/>
      <c r="T3538" s="5"/>
      <c r="U3538" s="5"/>
      <c r="V3538" s="5"/>
      <c r="W3538" s="5"/>
      <c r="X3538" s="5"/>
      <c r="Y3538" s="9"/>
      <c r="Z3538" s="2"/>
    </row>
    <row r="3539" spans="1:26">
      <c r="A3539" s="4"/>
      <c r="B3539" s="4"/>
      <c r="C3539" s="4"/>
      <c r="D3539" s="4"/>
      <c r="E3539" s="4"/>
      <c r="F3539" s="4"/>
      <c r="G3539" s="4"/>
      <c r="H3539" s="4"/>
      <c r="I3539" s="4"/>
      <c r="J3539" s="4"/>
      <c r="K3539" s="4"/>
      <c r="L3539" s="3"/>
      <c r="M3539" s="6"/>
      <c r="N3539" s="6"/>
      <c r="O3539" s="6"/>
      <c r="P3539" s="5"/>
      <c r="Q3539" s="9"/>
      <c r="R3539" s="5"/>
      <c r="S3539" s="5"/>
      <c r="T3539" s="5"/>
      <c r="U3539" s="5"/>
      <c r="V3539" s="5"/>
      <c r="W3539" s="5"/>
      <c r="X3539" s="5"/>
      <c r="Y3539" s="9"/>
      <c r="Z3539" s="2"/>
    </row>
    <row r="3540" spans="1:26">
      <c r="A3540" s="4"/>
      <c r="B3540" s="4"/>
      <c r="C3540" s="4"/>
      <c r="D3540" s="4"/>
      <c r="E3540" s="4"/>
      <c r="F3540" s="4"/>
      <c r="G3540" s="4"/>
      <c r="H3540" s="4"/>
      <c r="I3540" s="4"/>
      <c r="J3540" s="4"/>
      <c r="K3540" s="4"/>
      <c r="L3540" s="3"/>
      <c r="M3540" s="6"/>
      <c r="N3540" s="6"/>
      <c r="O3540" s="6"/>
      <c r="P3540" s="5"/>
      <c r="Q3540" s="9"/>
      <c r="R3540" s="5"/>
      <c r="S3540" s="5"/>
      <c r="T3540" s="5"/>
      <c r="U3540" s="5"/>
      <c r="V3540" s="5"/>
      <c r="W3540" s="5"/>
      <c r="X3540" s="5"/>
      <c r="Y3540" s="9"/>
      <c r="Z3540" s="2"/>
    </row>
    <row r="3541" spans="1:26">
      <c r="A3541" s="4"/>
      <c r="B3541" s="4"/>
      <c r="C3541" s="4"/>
      <c r="D3541" s="4"/>
      <c r="E3541" s="4"/>
      <c r="F3541" s="4"/>
      <c r="G3541" s="4"/>
      <c r="H3541" s="4"/>
      <c r="I3541" s="4"/>
      <c r="J3541" s="4"/>
      <c r="K3541" s="4"/>
      <c r="L3541" s="3"/>
      <c r="M3541" s="6"/>
      <c r="N3541" s="6"/>
      <c r="O3541" s="6"/>
      <c r="P3541" s="5"/>
      <c r="Q3541" s="9"/>
      <c r="R3541" s="5"/>
      <c r="S3541" s="5"/>
      <c r="T3541" s="5"/>
      <c r="U3541" s="5"/>
      <c r="V3541" s="5"/>
      <c r="W3541" s="5"/>
      <c r="X3541" s="5"/>
      <c r="Y3541" s="9"/>
      <c r="Z3541" s="2"/>
    </row>
    <row r="3542" spans="1:26">
      <c r="A3542" s="4"/>
      <c r="B3542" s="4"/>
      <c r="C3542" s="4"/>
      <c r="D3542" s="4"/>
      <c r="E3542" s="4"/>
      <c r="F3542" s="4"/>
      <c r="G3542" s="4"/>
      <c r="H3542" s="4"/>
      <c r="I3542" s="4"/>
      <c r="J3542" s="4"/>
      <c r="K3542" s="4"/>
      <c r="L3542" s="3"/>
      <c r="M3542" s="6"/>
      <c r="N3542" s="6"/>
      <c r="O3542" s="6"/>
      <c r="P3542" s="5"/>
      <c r="Q3542" s="9"/>
      <c r="R3542" s="5"/>
      <c r="S3542" s="5"/>
      <c r="T3542" s="5"/>
      <c r="U3542" s="5"/>
      <c r="V3542" s="5"/>
      <c r="W3542" s="5"/>
      <c r="X3542" s="5"/>
      <c r="Y3542" s="9"/>
      <c r="Z3542" s="2"/>
    </row>
    <row r="3543" spans="1:26">
      <c r="A3543" s="4"/>
      <c r="B3543" s="4"/>
      <c r="C3543" s="4"/>
      <c r="D3543" s="4"/>
      <c r="E3543" s="4"/>
      <c r="F3543" s="4"/>
      <c r="G3543" s="4"/>
      <c r="H3543" s="4"/>
      <c r="I3543" s="4"/>
      <c r="J3543" s="4"/>
      <c r="K3543" s="4"/>
      <c r="L3543" s="3"/>
      <c r="M3543" s="6"/>
      <c r="N3543" s="6"/>
      <c r="O3543" s="6"/>
      <c r="P3543" s="5"/>
      <c r="Q3543" s="9"/>
      <c r="R3543" s="5"/>
      <c r="S3543" s="5"/>
      <c r="T3543" s="5"/>
      <c r="U3543" s="5"/>
      <c r="V3543" s="5"/>
      <c r="W3543" s="5"/>
      <c r="X3543" s="5"/>
      <c r="Y3543" s="9"/>
      <c r="Z3543" s="2"/>
    </row>
    <row r="3544" spans="1:26">
      <c r="A3544" s="4"/>
      <c r="B3544" s="4"/>
      <c r="C3544" s="4"/>
      <c r="D3544" s="4"/>
      <c r="E3544" s="4"/>
      <c r="F3544" s="4"/>
      <c r="G3544" s="4"/>
      <c r="H3544" s="4"/>
      <c r="I3544" s="4"/>
      <c r="J3544" s="4"/>
      <c r="K3544" s="4"/>
      <c r="L3544" s="3"/>
      <c r="M3544" s="6"/>
      <c r="N3544" s="6"/>
      <c r="O3544" s="6"/>
      <c r="P3544" s="5"/>
      <c r="Q3544" s="9"/>
      <c r="R3544" s="5"/>
      <c r="S3544" s="5"/>
      <c r="T3544" s="5"/>
      <c r="U3544" s="5"/>
      <c r="V3544" s="5"/>
      <c r="W3544" s="5"/>
      <c r="X3544" s="5"/>
      <c r="Y3544" s="9"/>
      <c r="Z3544" s="2"/>
    </row>
    <row r="3545" spans="1:26">
      <c r="A3545" s="4"/>
      <c r="B3545" s="4"/>
      <c r="C3545" s="4"/>
      <c r="D3545" s="4"/>
      <c r="E3545" s="4"/>
      <c r="F3545" s="4"/>
      <c r="G3545" s="4"/>
      <c r="H3545" s="4"/>
      <c r="I3545" s="4"/>
      <c r="J3545" s="4"/>
      <c r="K3545" s="4"/>
      <c r="L3545" s="3"/>
      <c r="M3545" s="6"/>
      <c r="N3545" s="6"/>
      <c r="O3545" s="6"/>
      <c r="P3545" s="5"/>
      <c r="Q3545" s="9"/>
      <c r="R3545" s="5"/>
      <c r="S3545" s="5"/>
      <c r="T3545" s="5"/>
      <c r="U3545" s="5"/>
      <c r="V3545" s="5"/>
      <c r="W3545" s="5"/>
      <c r="X3545" s="5"/>
      <c r="Y3545" s="9"/>
      <c r="Z3545" s="2"/>
    </row>
    <row r="3546" spans="1:26">
      <c r="A3546" s="4"/>
      <c r="B3546" s="4"/>
      <c r="C3546" s="4"/>
      <c r="D3546" s="4"/>
      <c r="E3546" s="4"/>
      <c r="F3546" s="4"/>
      <c r="G3546" s="4"/>
      <c r="H3546" s="4"/>
      <c r="I3546" s="4"/>
      <c r="J3546" s="4"/>
      <c r="K3546" s="4"/>
      <c r="L3546" s="3"/>
      <c r="M3546" s="6"/>
      <c r="N3546" s="6"/>
      <c r="O3546" s="6"/>
      <c r="P3546" s="5"/>
      <c r="Q3546" s="9"/>
      <c r="R3546" s="5"/>
      <c r="S3546" s="5"/>
      <c r="T3546" s="5"/>
      <c r="U3546" s="5"/>
      <c r="V3546" s="5"/>
      <c r="W3546" s="5"/>
      <c r="X3546" s="5"/>
      <c r="Y3546" s="9"/>
      <c r="Z3546" s="2"/>
    </row>
    <row r="3547" spans="1:26">
      <c r="A3547" s="4"/>
      <c r="B3547" s="4"/>
      <c r="C3547" s="4"/>
      <c r="D3547" s="4"/>
      <c r="E3547" s="4"/>
      <c r="F3547" s="4"/>
      <c r="G3547" s="4"/>
      <c r="H3547" s="4"/>
      <c r="I3547" s="4"/>
      <c r="J3547" s="4"/>
      <c r="K3547" s="4"/>
      <c r="L3547" s="3"/>
      <c r="M3547" s="6"/>
      <c r="N3547" s="6"/>
      <c r="O3547" s="6"/>
      <c r="P3547" s="5"/>
      <c r="Q3547" s="9"/>
      <c r="R3547" s="5"/>
      <c r="S3547" s="5"/>
      <c r="T3547" s="5"/>
      <c r="U3547" s="5"/>
      <c r="V3547" s="5"/>
      <c r="W3547" s="5"/>
      <c r="X3547" s="5"/>
      <c r="Y3547" s="9"/>
      <c r="Z3547" s="2"/>
    </row>
    <row r="3548" spans="1:26">
      <c r="A3548" s="4"/>
      <c r="B3548" s="4"/>
      <c r="C3548" s="4"/>
      <c r="D3548" s="4"/>
      <c r="E3548" s="4"/>
      <c r="F3548" s="4"/>
      <c r="G3548" s="4"/>
      <c r="H3548" s="4"/>
      <c r="I3548" s="4"/>
      <c r="J3548" s="4"/>
      <c r="K3548" s="4"/>
      <c r="L3548" s="3"/>
      <c r="M3548" s="6"/>
      <c r="N3548" s="6"/>
      <c r="O3548" s="6"/>
      <c r="P3548" s="5"/>
      <c r="Q3548" s="9"/>
      <c r="R3548" s="5"/>
      <c r="S3548" s="5"/>
      <c r="T3548" s="5"/>
      <c r="U3548" s="5"/>
      <c r="V3548" s="5"/>
      <c r="W3548" s="5"/>
      <c r="X3548" s="5"/>
      <c r="Y3548" s="9"/>
      <c r="Z3548" s="2"/>
    </row>
    <row r="3549" spans="1:26">
      <c r="A3549" s="4"/>
      <c r="B3549" s="4"/>
      <c r="C3549" s="4"/>
      <c r="D3549" s="4"/>
      <c r="E3549" s="4"/>
      <c r="F3549" s="4"/>
      <c r="G3549" s="4"/>
      <c r="H3549" s="4"/>
      <c r="I3549" s="4"/>
      <c r="J3549" s="4"/>
      <c r="K3549" s="4"/>
      <c r="L3549" s="3"/>
      <c r="M3549" s="6"/>
      <c r="N3549" s="6"/>
      <c r="O3549" s="6"/>
      <c r="P3549" s="5"/>
      <c r="Q3549" s="9"/>
      <c r="R3549" s="5"/>
      <c r="S3549" s="5"/>
      <c r="T3549" s="5"/>
      <c r="U3549" s="5"/>
      <c r="V3549" s="5"/>
      <c r="W3549" s="5"/>
      <c r="X3549" s="5"/>
      <c r="Y3549" s="9"/>
      <c r="Z3549" s="2"/>
    </row>
    <row r="3550" spans="1:26">
      <c r="A3550" s="4"/>
      <c r="B3550" s="4"/>
      <c r="C3550" s="4"/>
      <c r="D3550" s="4"/>
      <c r="E3550" s="4"/>
      <c r="F3550" s="4"/>
      <c r="G3550" s="4"/>
      <c r="H3550" s="4"/>
      <c r="I3550" s="4"/>
      <c r="J3550" s="4"/>
      <c r="K3550" s="4"/>
      <c r="L3550" s="3"/>
      <c r="M3550" s="6"/>
      <c r="N3550" s="6"/>
      <c r="O3550" s="6"/>
      <c r="P3550" s="5"/>
      <c r="Q3550" s="9"/>
      <c r="R3550" s="5"/>
      <c r="S3550" s="5"/>
      <c r="T3550" s="5"/>
      <c r="U3550" s="5"/>
      <c r="V3550" s="5"/>
      <c r="W3550" s="5"/>
      <c r="X3550" s="5"/>
      <c r="Y3550" s="9"/>
      <c r="Z3550" s="2"/>
    </row>
    <row r="3551" spans="1:26">
      <c r="A3551" s="4"/>
      <c r="B3551" s="4"/>
      <c r="C3551" s="4"/>
      <c r="D3551" s="4"/>
      <c r="E3551" s="4"/>
      <c r="F3551" s="4"/>
      <c r="G3551" s="4"/>
      <c r="H3551" s="4"/>
      <c r="I3551" s="4"/>
      <c r="J3551" s="4"/>
      <c r="K3551" s="4"/>
      <c r="L3551" s="3"/>
      <c r="M3551" s="6"/>
      <c r="N3551" s="6"/>
      <c r="O3551" s="6"/>
      <c r="P3551" s="5"/>
      <c r="Q3551" s="9"/>
      <c r="R3551" s="5"/>
      <c r="S3551" s="5"/>
      <c r="T3551" s="5"/>
      <c r="U3551" s="5"/>
      <c r="V3551" s="5"/>
      <c r="W3551" s="5"/>
      <c r="X3551" s="5"/>
      <c r="Y3551" s="9"/>
      <c r="Z3551" s="2"/>
    </row>
    <row r="3552" spans="1:26">
      <c r="A3552" s="4"/>
      <c r="B3552" s="4"/>
      <c r="C3552" s="4"/>
      <c r="D3552" s="4"/>
      <c r="E3552" s="4"/>
      <c r="F3552" s="4"/>
      <c r="G3552" s="4"/>
      <c r="H3552" s="4"/>
      <c r="I3552" s="4"/>
      <c r="J3552" s="4"/>
      <c r="K3552" s="4"/>
      <c r="L3552" s="3"/>
      <c r="M3552" s="6"/>
      <c r="N3552" s="6"/>
      <c r="O3552" s="6"/>
      <c r="P3552" s="5"/>
      <c r="Q3552" s="9"/>
      <c r="R3552" s="5"/>
      <c r="S3552" s="5"/>
      <c r="T3552" s="5"/>
      <c r="U3552" s="5"/>
      <c r="V3552" s="5"/>
      <c r="W3552" s="5"/>
      <c r="X3552" s="5"/>
      <c r="Y3552" s="9"/>
      <c r="Z3552" s="2"/>
    </row>
    <row r="3553" spans="1:26">
      <c r="A3553" s="4"/>
      <c r="B3553" s="4"/>
      <c r="C3553" s="4"/>
      <c r="D3553" s="4"/>
      <c r="E3553" s="4"/>
      <c r="F3553" s="4"/>
      <c r="G3553" s="4"/>
      <c r="H3553" s="4"/>
      <c r="I3553" s="4"/>
      <c r="J3553" s="4"/>
      <c r="K3553" s="4"/>
      <c r="L3553" s="3"/>
      <c r="M3553" s="6"/>
      <c r="N3553" s="6"/>
      <c r="O3553" s="6"/>
      <c r="P3553" s="5"/>
      <c r="Q3553" s="9"/>
      <c r="R3553" s="5"/>
      <c r="S3553" s="5"/>
      <c r="T3553" s="5"/>
      <c r="U3553" s="5"/>
      <c r="V3553" s="5"/>
      <c r="W3553" s="5"/>
      <c r="X3553" s="5"/>
      <c r="Y3553" s="9"/>
      <c r="Z3553" s="2"/>
    </row>
    <row r="3554" spans="1:26">
      <c r="A3554" s="4"/>
      <c r="B3554" s="4"/>
      <c r="C3554" s="4"/>
      <c r="D3554" s="4"/>
      <c r="E3554" s="4"/>
      <c r="F3554" s="4"/>
      <c r="G3554" s="4"/>
      <c r="H3554" s="4"/>
      <c r="I3554" s="4"/>
      <c r="J3554" s="4"/>
      <c r="K3554" s="4"/>
      <c r="L3554" s="3"/>
      <c r="M3554" s="6"/>
      <c r="N3554" s="6"/>
      <c r="O3554" s="6"/>
      <c r="P3554" s="5"/>
      <c r="Q3554" s="9"/>
      <c r="R3554" s="5"/>
      <c r="S3554" s="5"/>
      <c r="T3554" s="5"/>
      <c r="U3554" s="5"/>
      <c r="V3554" s="5"/>
      <c r="W3554" s="5"/>
      <c r="X3554" s="5"/>
      <c r="Y3554" s="9"/>
      <c r="Z3554" s="2"/>
    </row>
    <row r="3555" spans="1:26">
      <c r="A3555" s="4"/>
      <c r="B3555" s="4"/>
      <c r="C3555" s="4"/>
      <c r="D3555" s="4"/>
      <c r="E3555" s="4"/>
      <c r="F3555" s="4"/>
      <c r="G3555" s="4"/>
      <c r="H3555" s="4"/>
      <c r="I3555" s="4"/>
      <c r="J3555" s="4"/>
      <c r="K3555" s="4"/>
      <c r="L3555" s="3"/>
      <c r="M3555" s="6"/>
      <c r="N3555" s="6"/>
      <c r="O3555" s="6"/>
      <c r="P3555" s="5"/>
      <c r="Q3555" s="9"/>
      <c r="R3555" s="5"/>
      <c r="S3555" s="5"/>
      <c r="T3555" s="5"/>
      <c r="U3555" s="5"/>
      <c r="V3555" s="5"/>
      <c r="W3555" s="5"/>
      <c r="X3555" s="5"/>
      <c r="Y3555" s="9"/>
      <c r="Z3555" s="2"/>
    </row>
    <row r="3556" spans="1:26">
      <c r="A3556" s="4"/>
      <c r="B3556" s="4"/>
      <c r="C3556" s="4"/>
      <c r="D3556" s="4"/>
      <c r="E3556" s="4"/>
      <c r="F3556" s="4"/>
      <c r="G3556" s="4"/>
      <c r="H3556" s="4"/>
      <c r="I3556" s="4"/>
      <c r="J3556" s="4"/>
      <c r="K3556" s="4"/>
      <c r="L3556" s="3"/>
      <c r="M3556" s="6"/>
      <c r="N3556" s="6"/>
      <c r="O3556" s="6"/>
      <c r="P3556" s="5"/>
      <c r="Q3556" s="9"/>
      <c r="R3556" s="5"/>
      <c r="S3556" s="5"/>
      <c r="T3556" s="5"/>
      <c r="U3556" s="5"/>
      <c r="V3556" s="5"/>
      <c r="W3556" s="5"/>
      <c r="X3556" s="5"/>
      <c r="Y3556" s="9"/>
      <c r="Z3556" s="2"/>
    </row>
    <row r="3557" spans="1:26">
      <c r="A3557" s="4"/>
      <c r="B3557" s="4"/>
      <c r="C3557" s="4"/>
      <c r="D3557" s="4"/>
      <c r="E3557" s="4"/>
      <c r="F3557" s="4"/>
      <c r="G3557" s="4"/>
      <c r="H3557" s="4"/>
      <c r="I3557" s="4"/>
      <c r="J3557" s="4"/>
      <c r="K3557" s="4"/>
      <c r="L3557" s="3"/>
      <c r="M3557" s="6"/>
      <c r="N3557" s="6"/>
      <c r="O3557" s="6"/>
      <c r="P3557" s="5"/>
      <c r="Q3557" s="9"/>
      <c r="R3557" s="5"/>
      <c r="S3557" s="5"/>
      <c r="T3557" s="5"/>
      <c r="U3557" s="5"/>
      <c r="V3557" s="5"/>
      <c r="W3557" s="5"/>
      <c r="X3557" s="5"/>
      <c r="Y3557" s="9"/>
      <c r="Z3557" s="2"/>
    </row>
    <row r="3558" spans="1:26">
      <c r="A3558" s="4"/>
      <c r="B3558" s="4"/>
      <c r="C3558" s="4"/>
      <c r="D3558" s="4"/>
      <c r="E3558" s="4"/>
      <c r="F3558" s="4"/>
      <c r="G3558" s="4"/>
      <c r="H3558" s="4"/>
      <c r="I3558" s="4"/>
      <c r="J3558" s="4"/>
      <c r="K3558" s="4"/>
      <c r="L3558" s="3"/>
      <c r="M3558" s="6"/>
      <c r="N3558" s="6"/>
      <c r="O3558" s="6"/>
      <c r="P3558" s="5"/>
      <c r="Q3558" s="9"/>
      <c r="R3558" s="5"/>
      <c r="S3558" s="5"/>
      <c r="T3558" s="5"/>
      <c r="U3558" s="5"/>
      <c r="V3558" s="5"/>
      <c r="W3558" s="5"/>
      <c r="X3558" s="5"/>
      <c r="Y3558" s="9"/>
      <c r="Z3558" s="2"/>
    </row>
    <row r="3559" spans="1:26">
      <c r="A3559" s="4"/>
      <c r="B3559" s="4"/>
      <c r="C3559" s="4"/>
      <c r="D3559" s="4"/>
      <c r="E3559" s="4"/>
      <c r="F3559" s="4"/>
      <c r="G3559" s="4"/>
      <c r="H3559" s="4"/>
      <c r="I3559" s="4"/>
      <c r="J3559" s="4"/>
      <c r="K3559" s="4"/>
      <c r="L3559" s="3"/>
      <c r="M3559" s="6"/>
      <c r="N3559" s="6"/>
      <c r="O3559" s="6"/>
      <c r="P3559" s="5"/>
      <c r="Q3559" s="9"/>
      <c r="R3559" s="5"/>
      <c r="S3559" s="5"/>
      <c r="T3559" s="5"/>
      <c r="U3559" s="5"/>
      <c r="V3559" s="5"/>
      <c r="W3559" s="5"/>
      <c r="X3559" s="5"/>
      <c r="Y3559" s="9"/>
      <c r="Z3559" s="2"/>
    </row>
    <row r="3560" spans="1:26">
      <c r="A3560" s="4"/>
      <c r="B3560" s="4"/>
      <c r="C3560" s="4"/>
      <c r="D3560" s="4"/>
      <c r="E3560" s="4"/>
      <c r="F3560" s="4"/>
      <c r="G3560" s="4"/>
      <c r="H3560" s="4"/>
      <c r="I3560" s="4"/>
      <c r="J3560" s="4"/>
      <c r="K3560" s="4"/>
      <c r="L3560" s="3"/>
      <c r="M3560" s="6"/>
      <c r="N3560" s="6"/>
      <c r="O3560" s="6"/>
      <c r="P3560" s="5"/>
      <c r="Q3560" s="9"/>
      <c r="R3560" s="5"/>
      <c r="S3560" s="5"/>
      <c r="T3560" s="5"/>
      <c r="U3560" s="5"/>
      <c r="V3560" s="5"/>
      <c r="W3560" s="5"/>
      <c r="X3560" s="5"/>
      <c r="Y3560" s="9"/>
      <c r="Z3560" s="2"/>
    </row>
    <row r="3561" spans="1:26">
      <c r="A3561" s="4"/>
      <c r="B3561" s="4"/>
      <c r="C3561" s="4"/>
      <c r="D3561" s="4"/>
      <c r="E3561" s="4"/>
      <c r="F3561" s="4"/>
      <c r="G3561" s="4"/>
      <c r="H3561" s="4"/>
      <c r="I3561" s="4"/>
      <c r="J3561" s="4"/>
      <c r="K3561" s="4"/>
      <c r="L3561" s="3"/>
      <c r="M3561" s="6"/>
      <c r="N3561" s="6"/>
      <c r="O3561" s="6"/>
      <c r="P3561" s="5"/>
      <c r="Q3561" s="9"/>
      <c r="R3561" s="5"/>
      <c r="S3561" s="5"/>
      <c r="T3561" s="5"/>
      <c r="U3561" s="5"/>
      <c r="V3561" s="5"/>
      <c r="W3561" s="5"/>
      <c r="X3561" s="5"/>
      <c r="Y3561" s="9"/>
      <c r="Z3561" s="2"/>
    </row>
    <row r="3562" spans="1:26">
      <c r="A3562" s="4"/>
      <c r="B3562" s="4"/>
      <c r="C3562" s="4"/>
      <c r="D3562" s="4"/>
      <c r="E3562" s="4"/>
      <c r="F3562" s="4"/>
      <c r="G3562" s="4"/>
      <c r="H3562" s="4"/>
      <c r="I3562" s="4"/>
      <c r="J3562" s="4"/>
      <c r="K3562" s="4"/>
      <c r="L3562" s="3"/>
      <c r="M3562" s="6"/>
      <c r="N3562" s="6"/>
      <c r="O3562" s="6"/>
      <c r="P3562" s="5"/>
      <c r="Q3562" s="9"/>
      <c r="R3562" s="5"/>
      <c r="S3562" s="5"/>
      <c r="T3562" s="5"/>
      <c r="U3562" s="5"/>
      <c r="V3562" s="5"/>
      <c r="W3562" s="5"/>
      <c r="X3562" s="5"/>
      <c r="Y3562" s="9"/>
      <c r="Z3562" s="2"/>
    </row>
    <row r="3563" spans="1:26">
      <c r="A3563" s="4"/>
      <c r="B3563" s="4"/>
      <c r="C3563" s="4"/>
      <c r="D3563" s="4"/>
      <c r="E3563" s="4"/>
      <c r="F3563" s="4"/>
      <c r="G3563" s="4"/>
      <c r="H3563" s="4"/>
      <c r="I3563" s="4"/>
      <c r="J3563" s="4"/>
      <c r="K3563" s="4"/>
      <c r="L3563" s="3"/>
      <c r="M3563" s="6"/>
      <c r="N3563" s="6"/>
      <c r="O3563" s="6"/>
      <c r="P3563" s="5"/>
      <c r="Q3563" s="9"/>
      <c r="R3563" s="5"/>
      <c r="S3563" s="5"/>
      <c r="T3563" s="5"/>
      <c r="U3563" s="5"/>
      <c r="V3563" s="5"/>
      <c r="W3563" s="5"/>
      <c r="X3563" s="5"/>
      <c r="Y3563" s="9"/>
      <c r="Z3563" s="2"/>
    </row>
    <row r="3564" spans="1:26">
      <c r="A3564" s="4"/>
      <c r="B3564" s="4"/>
      <c r="C3564" s="4"/>
      <c r="D3564" s="4"/>
      <c r="E3564" s="4"/>
      <c r="F3564" s="4"/>
      <c r="G3564" s="4"/>
      <c r="H3564" s="4"/>
      <c r="I3564" s="4"/>
      <c r="J3564" s="4"/>
      <c r="K3564" s="4"/>
      <c r="L3564" s="3"/>
      <c r="M3564" s="6"/>
      <c r="N3564" s="6"/>
      <c r="O3564" s="6"/>
      <c r="P3564" s="5"/>
      <c r="Q3564" s="9"/>
      <c r="R3564" s="5"/>
      <c r="S3564" s="5"/>
      <c r="T3564" s="5"/>
      <c r="U3564" s="5"/>
      <c r="V3564" s="5"/>
      <c r="W3564" s="5"/>
      <c r="X3564" s="5"/>
      <c r="Y3564" s="9"/>
      <c r="Z3564" s="2"/>
    </row>
    <row r="3565" spans="1:26">
      <c r="A3565" s="4"/>
      <c r="B3565" s="4"/>
      <c r="C3565" s="4"/>
      <c r="D3565" s="4"/>
      <c r="E3565" s="4"/>
      <c r="F3565" s="4"/>
      <c r="G3565" s="4"/>
      <c r="H3565" s="4"/>
      <c r="I3565" s="4"/>
      <c r="J3565" s="4"/>
      <c r="K3565" s="4"/>
      <c r="L3565" s="3"/>
      <c r="M3565" s="6"/>
      <c r="N3565" s="6"/>
      <c r="O3565" s="6"/>
      <c r="P3565" s="5"/>
      <c r="Q3565" s="9"/>
      <c r="R3565" s="5"/>
      <c r="S3565" s="5"/>
      <c r="T3565" s="5"/>
      <c r="U3565" s="5"/>
      <c r="V3565" s="5"/>
      <c r="W3565" s="5"/>
      <c r="X3565" s="5"/>
      <c r="Y3565" s="9"/>
      <c r="Z3565" s="2"/>
    </row>
    <row r="3566" spans="1:26">
      <c r="A3566" s="4"/>
      <c r="B3566" s="4"/>
      <c r="C3566" s="4"/>
      <c r="D3566" s="4"/>
      <c r="E3566" s="4"/>
      <c r="F3566" s="4"/>
      <c r="G3566" s="4"/>
      <c r="H3566" s="4"/>
      <c r="I3566" s="4"/>
      <c r="J3566" s="4"/>
      <c r="K3566" s="4"/>
      <c r="L3566" s="3"/>
      <c r="M3566" s="6"/>
      <c r="N3566" s="6"/>
      <c r="O3566" s="6"/>
      <c r="P3566" s="5"/>
      <c r="Q3566" s="9"/>
      <c r="R3566" s="5"/>
      <c r="S3566" s="5"/>
      <c r="T3566" s="5"/>
      <c r="U3566" s="5"/>
      <c r="V3566" s="5"/>
      <c r="W3566" s="5"/>
      <c r="X3566" s="5"/>
      <c r="Y3566" s="9"/>
      <c r="Z3566" s="2"/>
    </row>
    <row r="3567" spans="1:26">
      <c r="A3567" s="4"/>
      <c r="B3567" s="4"/>
      <c r="C3567" s="4"/>
      <c r="D3567" s="4"/>
      <c r="E3567" s="4"/>
      <c r="F3567" s="4"/>
      <c r="G3567" s="4"/>
      <c r="H3567" s="4"/>
      <c r="I3567" s="4"/>
      <c r="J3567" s="4"/>
      <c r="K3567" s="4"/>
      <c r="L3567" s="3"/>
      <c r="M3567" s="6"/>
      <c r="N3567" s="6"/>
      <c r="O3567" s="6"/>
      <c r="P3567" s="5"/>
      <c r="Q3567" s="9"/>
      <c r="R3567" s="5"/>
      <c r="S3567" s="5"/>
      <c r="T3567" s="5"/>
      <c r="U3567" s="5"/>
      <c r="V3567" s="5"/>
      <c r="W3567" s="5"/>
      <c r="X3567" s="5"/>
      <c r="Y3567" s="9"/>
      <c r="Z3567" s="2"/>
    </row>
    <row r="3568" spans="1:26">
      <c r="A3568" s="4"/>
      <c r="B3568" s="4"/>
      <c r="C3568" s="4"/>
      <c r="D3568" s="4"/>
      <c r="E3568" s="4"/>
      <c r="F3568" s="4"/>
      <c r="G3568" s="4"/>
      <c r="H3568" s="4"/>
      <c r="I3568" s="4"/>
      <c r="J3568" s="4"/>
      <c r="K3568" s="4"/>
      <c r="L3568" s="3"/>
      <c r="M3568" s="6"/>
      <c r="N3568" s="6"/>
      <c r="O3568" s="6"/>
      <c r="P3568" s="5"/>
      <c r="Q3568" s="9"/>
      <c r="R3568" s="5"/>
      <c r="S3568" s="5"/>
      <c r="T3568" s="5"/>
      <c r="U3568" s="5"/>
      <c r="V3568" s="5"/>
      <c r="W3568" s="5"/>
      <c r="X3568" s="5"/>
      <c r="Y3568" s="9"/>
      <c r="Z3568" s="2"/>
    </row>
    <row r="3569" spans="1:26">
      <c r="A3569" s="4"/>
      <c r="B3569" s="4"/>
      <c r="C3569" s="4"/>
      <c r="D3569" s="4"/>
      <c r="E3569" s="4"/>
      <c r="F3569" s="4"/>
      <c r="G3569" s="4"/>
      <c r="H3569" s="4"/>
      <c r="I3569" s="4"/>
      <c r="J3569" s="4"/>
      <c r="K3569" s="4"/>
      <c r="L3569" s="3"/>
      <c r="M3569" s="6"/>
      <c r="N3569" s="6"/>
      <c r="O3569" s="6"/>
      <c r="P3569" s="5"/>
      <c r="Q3569" s="9"/>
      <c r="R3569" s="5"/>
      <c r="S3569" s="5"/>
      <c r="T3569" s="5"/>
      <c r="U3569" s="5"/>
      <c r="V3569" s="5"/>
      <c r="W3569" s="5"/>
      <c r="X3569" s="5"/>
      <c r="Y3569" s="9"/>
      <c r="Z3569" s="2"/>
    </row>
    <row r="3570" spans="1:26">
      <c r="A3570" s="4"/>
      <c r="B3570" s="4"/>
      <c r="C3570" s="4"/>
      <c r="D3570" s="4"/>
      <c r="E3570" s="4"/>
      <c r="F3570" s="4"/>
      <c r="G3570" s="4"/>
      <c r="H3570" s="4"/>
      <c r="I3570" s="4"/>
      <c r="J3570" s="4"/>
      <c r="K3570" s="4"/>
      <c r="L3570" s="3"/>
      <c r="M3570" s="6"/>
      <c r="N3570" s="6"/>
      <c r="O3570" s="6"/>
      <c r="P3570" s="5"/>
      <c r="Q3570" s="9"/>
      <c r="R3570" s="5"/>
      <c r="S3570" s="5"/>
      <c r="T3570" s="5"/>
      <c r="U3570" s="5"/>
      <c r="V3570" s="5"/>
      <c r="W3570" s="5"/>
      <c r="X3570" s="5"/>
      <c r="Y3570" s="9"/>
      <c r="Z3570" s="2"/>
    </row>
    <row r="3571" spans="1:26">
      <c r="A3571" s="4"/>
      <c r="B3571" s="4"/>
      <c r="C3571" s="4"/>
      <c r="D3571" s="4"/>
      <c r="E3571" s="4"/>
      <c r="F3571" s="4"/>
      <c r="G3571" s="4"/>
      <c r="H3571" s="4"/>
      <c r="I3571" s="4"/>
      <c r="J3571" s="4"/>
      <c r="K3571" s="4"/>
      <c r="L3571" s="3"/>
      <c r="M3571" s="6"/>
      <c r="N3571" s="6"/>
      <c r="O3571" s="6"/>
      <c r="P3571" s="5"/>
      <c r="Q3571" s="9"/>
      <c r="R3571" s="5"/>
      <c r="S3571" s="5"/>
      <c r="T3571" s="5"/>
      <c r="U3571" s="5"/>
      <c r="V3571" s="5"/>
      <c r="W3571" s="5"/>
      <c r="X3571" s="5"/>
      <c r="Y3571" s="9"/>
      <c r="Z3571" s="2"/>
    </row>
    <row r="3572" spans="1:26">
      <c r="A3572" s="4"/>
      <c r="B3572" s="4"/>
      <c r="C3572" s="4"/>
      <c r="D3572" s="4"/>
      <c r="E3572" s="4"/>
      <c r="F3572" s="4"/>
      <c r="G3572" s="4"/>
      <c r="H3572" s="4"/>
      <c r="I3572" s="4"/>
      <c r="J3572" s="4"/>
      <c r="K3572" s="4"/>
      <c r="L3572" s="3"/>
      <c r="M3572" s="6"/>
      <c r="N3572" s="6"/>
      <c r="O3572" s="6"/>
      <c r="P3572" s="5"/>
      <c r="Q3572" s="9"/>
      <c r="R3572" s="5"/>
      <c r="S3572" s="5"/>
      <c r="T3572" s="5"/>
      <c r="U3572" s="5"/>
      <c r="V3572" s="5"/>
      <c r="W3572" s="5"/>
      <c r="X3572" s="5"/>
      <c r="Y3572" s="9"/>
      <c r="Z3572" s="2"/>
    </row>
    <row r="3573" spans="1:26">
      <c r="A3573" s="4"/>
      <c r="B3573" s="4"/>
      <c r="C3573" s="4"/>
      <c r="D3573" s="4"/>
      <c r="E3573" s="4"/>
      <c r="F3573" s="4"/>
      <c r="G3573" s="4"/>
      <c r="H3573" s="4"/>
      <c r="I3573" s="4"/>
      <c r="J3573" s="4"/>
      <c r="K3573" s="4"/>
      <c r="L3573" s="3"/>
      <c r="M3573" s="6"/>
      <c r="N3573" s="6"/>
      <c r="O3573" s="6"/>
      <c r="P3573" s="5"/>
      <c r="Q3573" s="9"/>
      <c r="R3573" s="5"/>
      <c r="S3573" s="5"/>
      <c r="T3573" s="5"/>
      <c r="U3573" s="5"/>
      <c r="V3573" s="5"/>
      <c r="W3573" s="5"/>
      <c r="X3573" s="5"/>
      <c r="Y3573" s="9"/>
      <c r="Z3573" s="2"/>
    </row>
    <row r="3574" spans="1:26">
      <c r="A3574" s="4"/>
      <c r="B3574" s="4"/>
      <c r="C3574" s="4"/>
      <c r="D3574" s="4"/>
      <c r="E3574" s="4"/>
      <c r="F3574" s="4"/>
      <c r="G3574" s="4"/>
      <c r="H3574" s="4"/>
      <c r="I3574" s="4"/>
      <c r="J3574" s="4"/>
      <c r="K3574" s="4"/>
      <c r="L3574" s="3"/>
      <c r="M3574" s="6"/>
      <c r="N3574" s="6"/>
      <c r="O3574" s="6"/>
      <c r="P3574" s="5"/>
      <c r="Q3574" s="9"/>
      <c r="R3574" s="5"/>
      <c r="S3574" s="5"/>
      <c r="T3574" s="5"/>
      <c r="U3574" s="5"/>
      <c r="V3574" s="5"/>
      <c r="W3574" s="5"/>
      <c r="X3574" s="5"/>
      <c r="Y3574" s="9"/>
      <c r="Z3574" s="2"/>
    </row>
    <row r="3575" spans="1:26">
      <c r="A3575" s="4"/>
      <c r="B3575" s="4"/>
      <c r="C3575" s="4"/>
      <c r="D3575" s="4"/>
      <c r="E3575" s="4"/>
      <c r="F3575" s="4"/>
      <c r="G3575" s="4"/>
      <c r="H3575" s="4"/>
      <c r="I3575" s="4"/>
      <c r="J3575" s="4"/>
      <c r="K3575" s="4"/>
      <c r="L3575" s="3"/>
      <c r="M3575" s="6"/>
      <c r="N3575" s="6"/>
      <c r="O3575" s="6"/>
      <c r="P3575" s="5"/>
      <c r="Q3575" s="9"/>
      <c r="R3575" s="5"/>
      <c r="S3575" s="5"/>
      <c r="T3575" s="5"/>
      <c r="U3575" s="5"/>
      <c r="V3575" s="5"/>
      <c r="W3575" s="5"/>
      <c r="X3575" s="5"/>
      <c r="Y3575" s="9"/>
      <c r="Z3575" s="2"/>
    </row>
    <row r="3576" spans="1:26">
      <c r="A3576" s="4"/>
      <c r="B3576" s="4"/>
      <c r="C3576" s="4"/>
      <c r="D3576" s="4"/>
      <c r="E3576" s="4"/>
      <c r="F3576" s="4"/>
      <c r="G3576" s="4"/>
      <c r="H3576" s="4"/>
      <c r="I3576" s="4"/>
      <c r="J3576" s="4"/>
      <c r="K3576" s="4"/>
      <c r="L3576" s="3"/>
      <c r="M3576" s="6"/>
      <c r="N3576" s="6"/>
      <c r="O3576" s="6"/>
      <c r="P3576" s="5"/>
      <c r="Q3576" s="9"/>
      <c r="R3576" s="5"/>
      <c r="S3576" s="5"/>
      <c r="T3576" s="5"/>
      <c r="U3576" s="5"/>
      <c r="V3576" s="5"/>
      <c r="W3576" s="5"/>
      <c r="X3576" s="5"/>
      <c r="Y3576" s="9"/>
      <c r="Z3576" s="2"/>
    </row>
    <row r="3577" spans="1:26">
      <c r="A3577" s="4"/>
      <c r="B3577" s="4"/>
      <c r="C3577" s="4"/>
      <c r="D3577" s="4"/>
      <c r="E3577" s="4"/>
      <c r="F3577" s="4"/>
      <c r="G3577" s="4"/>
      <c r="H3577" s="4"/>
      <c r="I3577" s="4"/>
      <c r="J3577" s="4"/>
      <c r="K3577" s="4"/>
      <c r="L3577" s="3"/>
      <c r="M3577" s="6"/>
      <c r="N3577" s="6"/>
      <c r="O3577" s="6"/>
      <c r="P3577" s="5"/>
      <c r="Q3577" s="9"/>
      <c r="R3577" s="5"/>
      <c r="S3577" s="5"/>
      <c r="T3577" s="5"/>
      <c r="U3577" s="5"/>
      <c r="V3577" s="5"/>
      <c r="W3577" s="5"/>
      <c r="X3577" s="5"/>
      <c r="Y3577" s="9"/>
      <c r="Z3577" s="2"/>
    </row>
    <row r="3578" spans="1:26">
      <c r="A3578" s="4"/>
      <c r="B3578" s="4"/>
      <c r="C3578" s="4"/>
      <c r="D3578" s="4"/>
      <c r="E3578" s="4"/>
      <c r="F3578" s="4"/>
      <c r="G3578" s="4"/>
      <c r="H3578" s="4"/>
      <c r="I3578" s="4"/>
      <c r="J3578" s="4"/>
      <c r="K3578" s="4"/>
      <c r="L3578" s="3"/>
      <c r="M3578" s="6"/>
      <c r="N3578" s="6"/>
      <c r="O3578" s="6"/>
      <c r="P3578" s="5"/>
      <c r="Q3578" s="9"/>
      <c r="R3578" s="5"/>
      <c r="S3578" s="5"/>
      <c r="T3578" s="5"/>
      <c r="U3578" s="5"/>
      <c r="V3578" s="5"/>
      <c r="W3578" s="5"/>
      <c r="X3578" s="5"/>
      <c r="Y3578" s="9"/>
      <c r="Z3578" s="2"/>
    </row>
    <row r="3579" spans="1:26">
      <c r="A3579" s="4"/>
      <c r="B3579" s="4"/>
      <c r="C3579" s="4"/>
      <c r="D3579" s="4"/>
      <c r="E3579" s="4"/>
      <c r="F3579" s="4"/>
      <c r="G3579" s="4"/>
      <c r="H3579" s="4"/>
      <c r="I3579" s="4"/>
      <c r="J3579" s="4"/>
      <c r="K3579" s="4"/>
      <c r="L3579" s="3"/>
      <c r="M3579" s="6"/>
      <c r="N3579" s="6"/>
      <c r="O3579" s="6"/>
      <c r="P3579" s="5"/>
      <c r="Q3579" s="9"/>
      <c r="R3579" s="5"/>
      <c r="S3579" s="5"/>
      <c r="T3579" s="5"/>
      <c r="U3579" s="5"/>
      <c r="V3579" s="5"/>
      <c r="W3579" s="5"/>
      <c r="X3579" s="5"/>
      <c r="Y3579" s="9"/>
      <c r="Z3579" s="2"/>
    </row>
    <row r="3580" spans="1:26">
      <c r="A3580" s="4"/>
      <c r="B3580" s="4"/>
      <c r="C3580" s="4"/>
      <c r="D3580" s="4"/>
      <c r="E3580" s="4"/>
      <c r="F3580" s="4"/>
      <c r="G3580" s="4"/>
      <c r="H3580" s="4"/>
      <c r="I3580" s="4"/>
      <c r="J3580" s="4"/>
      <c r="K3580" s="4"/>
      <c r="L3580" s="3"/>
      <c r="M3580" s="6"/>
      <c r="N3580" s="6"/>
      <c r="O3580" s="6"/>
      <c r="P3580" s="5"/>
      <c r="Q3580" s="9"/>
      <c r="R3580" s="5"/>
      <c r="S3580" s="5"/>
      <c r="T3580" s="5"/>
      <c r="U3580" s="5"/>
      <c r="V3580" s="5"/>
      <c r="W3580" s="5"/>
      <c r="X3580" s="5"/>
      <c r="Y3580" s="9"/>
      <c r="Z3580" s="2"/>
    </row>
    <row r="3581" spans="1:26">
      <c r="A3581" s="4"/>
      <c r="B3581" s="4"/>
      <c r="C3581" s="4"/>
      <c r="D3581" s="4"/>
      <c r="E3581" s="4"/>
      <c r="F3581" s="4"/>
      <c r="G3581" s="4"/>
      <c r="H3581" s="4"/>
      <c r="I3581" s="4"/>
      <c r="J3581" s="4"/>
      <c r="K3581" s="4"/>
      <c r="L3581" s="3"/>
      <c r="M3581" s="6"/>
      <c r="N3581" s="6"/>
      <c r="O3581" s="6"/>
      <c r="P3581" s="5"/>
      <c r="Q3581" s="9"/>
      <c r="R3581" s="5"/>
      <c r="S3581" s="5"/>
      <c r="T3581" s="5"/>
      <c r="U3581" s="5"/>
      <c r="V3581" s="5"/>
      <c r="W3581" s="5"/>
      <c r="X3581" s="5"/>
      <c r="Y3581" s="9"/>
      <c r="Z3581" s="2"/>
    </row>
    <row r="3582" spans="1:26">
      <c r="A3582" s="4"/>
      <c r="B3582" s="4"/>
      <c r="C3582" s="4"/>
      <c r="D3582" s="4"/>
      <c r="E3582" s="4"/>
      <c r="F3582" s="4"/>
      <c r="G3582" s="4"/>
      <c r="H3582" s="4"/>
      <c r="I3582" s="4"/>
      <c r="J3582" s="4"/>
      <c r="K3582" s="4"/>
      <c r="L3582" s="3"/>
      <c r="M3582" s="6"/>
      <c r="N3582" s="6"/>
      <c r="O3582" s="6"/>
      <c r="P3582" s="5"/>
      <c r="Q3582" s="9"/>
      <c r="R3582" s="5"/>
      <c r="S3582" s="5"/>
      <c r="T3582" s="5"/>
      <c r="U3582" s="5"/>
      <c r="V3582" s="5"/>
      <c r="W3582" s="5"/>
      <c r="X3582" s="5"/>
      <c r="Y3582" s="9"/>
      <c r="Z3582" s="2"/>
    </row>
    <row r="3583" spans="1:26">
      <c r="A3583" s="4"/>
      <c r="B3583" s="4"/>
      <c r="C3583" s="4"/>
      <c r="D3583" s="4"/>
      <c r="E3583" s="4"/>
      <c r="F3583" s="4"/>
      <c r="G3583" s="4"/>
      <c r="H3583" s="4"/>
      <c r="I3583" s="4"/>
      <c r="J3583" s="4"/>
      <c r="K3583" s="4"/>
      <c r="L3583" s="3"/>
      <c r="M3583" s="6"/>
      <c r="N3583" s="6"/>
      <c r="O3583" s="6"/>
      <c r="P3583" s="5"/>
      <c r="Q3583" s="9"/>
      <c r="R3583" s="5"/>
      <c r="S3583" s="5"/>
      <c r="T3583" s="5"/>
      <c r="U3583" s="5"/>
      <c r="V3583" s="5"/>
      <c r="W3583" s="5"/>
      <c r="X3583" s="5"/>
      <c r="Y3583" s="9"/>
      <c r="Z3583" s="2"/>
    </row>
    <row r="3584" spans="1:26">
      <c r="A3584" s="4"/>
      <c r="B3584" s="4"/>
      <c r="C3584" s="4"/>
      <c r="D3584" s="4"/>
      <c r="E3584" s="4"/>
      <c r="F3584" s="4"/>
      <c r="G3584" s="4"/>
      <c r="H3584" s="4"/>
      <c r="I3584" s="4"/>
      <c r="J3584" s="4"/>
      <c r="K3584" s="4"/>
      <c r="L3584" s="3"/>
      <c r="M3584" s="6"/>
      <c r="N3584" s="6"/>
      <c r="O3584" s="6"/>
      <c r="P3584" s="5"/>
      <c r="Q3584" s="9"/>
      <c r="R3584" s="5"/>
      <c r="S3584" s="5"/>
      <c r="T3584" s="5"/>
      <c r="U3584" s="5"/>
      <c r="V3584" s="5"/>
      <c r="W3584" s="5"/>
      <c r="X3584" s="5"/>
      <c r="Y3584" s="9"/>
      <c r="Z3584" s="2"/>
    </row>
    <row r="3585" spans="1:26">
      <c r="A3585" s="4"/>
      <c r="B3585" s="4"/>
      <c r="C3585" s="4"/>
      <c r="D3585" s="4"/>
      <c r="E3585" s="4"/>
      <c r="F3585" s="4"/>
      <c r="G3585" s="4"/>
      <c r="H3585" s="4"/>
      <c r="I3585" s="4"/>
      <c r="J3585" s="4"/>
      <c r="K3585" s="4"/>
      <c r="L3585" s="3"/>
      <c r="M3585" s="6"/>
      <c r="N3585" s="6"/>
      <c r="O3585" s="6"/>
      <c r="P3585" s="5"/>
      <c r="Q3585" s="9"/>
      <c r="R3585" s="5"/>
      <c r="S3585" s="5"/>
      <c r="T3585" s="5"/>
      <c r="U3585" s="5"/>
      <c r="V3585" s="5"/>
      <c r="W3585" s="5"/>
      <c r="X3585" s="5"/>
      <c r="Y3585" s="9"/>
      <c r="Z3585" s="2"/>
    </row>
    <row r="3586" spans="1:26">
      <c r="A3586" s="4"/>
      <c r="B3586" s="4"/>
      <c r="C3586" s="4"/>
      <c r="D3586" s="4"/>
      <c r="E3586" s="4"/>
      <c r="F3586" s="4"/>
      <c r="G3586" s="4"/>
      <c r="H3586" s="4"/>
      <c r="I3586" s="4"/>
      <c r="J3586" s="4"/>
      <c r="K3586" s="4"/>
      <c r="L3586" s="3"/>
      <c r="M3586" s="6"/>
      <c r="N3586" s="6"/>
      <c r="O3586" s="6"/>
      <c r="P3586" s="5"/>
      <c r="Q3586" s="9"/>
      <c r="R3586" s="5"/>
      <c r="S3586" s="5"/>
      <c r="T3586" s="5"/>
      <c r="U3586" s="5"/>
      <c r="V3586" s="5"/>
      <c r="W3586" s="5"/>
      <c r="X3586" s="5"/>
      <c r="Y3586" s="9"/>
      <c r="Z3586" s="2"/>
    </row>
    <row r="3587" spans="1:26">
      <c r="A3587" s="4"/>
      <c r="B3587" s="4"/>
      <c r="C3587" s="4"/>
      <c r="D3587" s="4"/>
      <c r="E3587" s="4"/>
      <c r="F3587" s="4"/>
      <c r="G3587" s="4"/>
      <c r="H3587" s="4"/>
      <c r="I3587" s="4"/>
      <c r="J3587" s="4"/>
      <c r="K3587" s="4"/>
      <c r="L3587" s="3"/>
      <c r="M3587" s="6"/>
      <c r="N3587" s="6"/>
      <c r="O3587" s="6"/>
      <c r="P3587" s="5"/>
      <c r="Q3587" s="9"/>
      <c r="R3587" s="5"/>
      <c r="S3587" s="5"/>
      <c r="T3587" s="5"/>
      <c r="U3587" s="5"/>
      <c r="V3587" s="5"/>
      <c r="W3587" s="5"/>
      <c r="X3587" s="5"/>
      <c r="Y3587" s="9"/>
      <c r="Z3587" s="2"/>
    </row>
    <row r="3588" spans="1:26">
      <c r="A3588" s="4"/>
      <c r="B3588" s="4"/>
      <c r="C3588" s="4"/>
      <c r="D3588" s="4"/>
      <c r="E3588" s="4"/>
      <c r="F3588" s="4"/>
      <c r="G3588" s="4"/>
      <c r="H3588" s="4"/>
      <c r="I3588" s="4"/>
      <c r="J3588" s="4"/>
      <c r="K3588" s="4"/>
      <c r="L3588" s="3"/>
      <c r="M3588" s="6"/>
      <c r="N3588" s="6"/>
      <c r="O3588" s="6"/>
      <c r="P3588" s="5"/>
      <c r="Q3588" s="9"/>
      <c r="R3588" s="5"/>
      <c r="S3588" s="5"/>
      <c r="T3588" s="5"/>
      <c r="U3588" s="5"/>
      <c r="V3588" s="5"/>
      <c r="W3588" s="5"/>
      <c r="X3588" s="5"/>
      <c r="Y3588" s="9"/>
      <c r="Z3588" s="2"/>
    </row>
    <row r="3589" spans="1:26">
      <c r="A3589" s="4"/>
      <c r="B3589" s="4"/>
      <c r="C3589" s="4"/>
      <c r="D3589" s="4"/>
      <c r="E3589" s="4"/>
      <c r="F3589" s="4"/>
      <c r="G3589" s="4"/>
      <c r="H3589" s="4"/>
      <c r="I3589" s="4"/>
      <c r="J3589" s="4"/>
      <c r="K3589" s="4"/>
      <c r="L3589" s="3"/>
      <c r="M3589" s="6"/>
      <c r="N3589" s="6"/>
      <c r="O3589" s="6"/>
      <c r="P3589" s="5"/>
      <c r="Q3589" s="9"/>
      <c r="R3589" s="5"/>
      <c r="S3589" s="5"/>
      <c r="T3589" s="5"/>
      <c r="U3589" s="5"/>
      <c r="V3589" s="5"/>
      <c r="W3589" s="5"/>
      <c r="X3589" s="5"/>
      <c r="Y3589" s="9"/>
      <c r="Z3589" s="2"/>
    </row>
    <row r="3590" spans="1:26">
      <c r="A3590" s="4"/>
      <c r="B3590" s="4"/>
      <c r="C3590" s="4"/>
      <c r="D3590" s="4"/>
      <c r="E3590" s="4"/>
      <c r="F3590" s="4"/>
      <c r="G3590" s="4"/>
      <c r="H3590" s="4"/>
      <c r="I3590" s="4"/>
      <c r="J3590" s="4"/>
      <c r="K3590" s="4"/>
      <c r="L3590" s="3"/>
      <c r="M3590" s="6"/>
      <c r="N3590" s="6"/>
      <c r="O3590" s="6"/>
      <c r="P3590" s="5"/>
      <c r="Q3590" s="9"/>
      <c r="R3590" s="5"/>
      <c r="S3590" s="5"/>
      <c r="T3590" s="5"/>
      <c r="U3590" s="5"/>
      <c r="V3590" s="5"/>
      <c r="W3590" s="5"/>
      <c r="X3590" s="5"/>
      <c r="Y3590" s="9"/>
      <c r="Z3590" s="2"/>
    </row>
    <row r="3591" spans="1:26">
      <c r="A3591" s="4"/>
      <c r="B3591" s="4"/>
      <c r="C3591" s="4"/>
      <c r="D3591" s="4"/>
      <c r="E3591" s="4"/>
      <c r="F3591" s="4"/>
      <c r="G3591" s="4"/>
      <c r="H3591" s="4"/>
      <c r="I3591" s="4"/>
      <c r="J3591" s="4"/>
      <c r="K3591" s="4"/>
      <c r="L3591" s="3"/>
      <c r="M3591" s="6"/>
      <c r="N3591" s="6"/>
      <c r="O3591" s="6"/>
      <c r="P3591" s="5"/>
      <c r="Q3591" s="9"/>
      <c r="R3591" s="5"/>
      <c r="S3591" s="5"/>
      <c r="T3591" s="5"/>
      <c r="U3591" s="5"/>
      <c r="V3591" s="5"/>
      <c r="W3591" s="5"/>
      <c r="X3591" s="5"/>
      <c r="Y3591" s="9"/>
      <c r="Z3591" s="2"/>
    </row>
    <row r="3592" spans="1:26">
      <c r="A3592" s="4"/>
      <c r="B3592" s="4"/>
      <c r="C3592" s="4"/>
      <c r="D3592" s="4"/>
      <c r="E3592" s="4"/>
      <c r="F3592" s="4"/>
      <c r="G3592" s="4"/>
      <c r="H3592" s="4"/>
      <c r="I3592" s="4"/>
      <c r="J3592" s="4"/>
      <c r="K3592" s="4"/>
      <c r="L3592" s="3"/>
      <c r="M3592" s="6"/>
      <c r="N3592" s="6"/>
      <c r="O3592" s="6"/>
      <c r="P3592" s="5"/>
      <c r="Q3592" s="9"/>
      <c r="R3592" s="5"/>
      <c r="S3592" s="5"/>
      <c r="T3592" s="5"/>
      <c r="U3592" s="5"/>
      <c r="V3592" s="5"/>
      <c r="W3592" s="5"/>
      <c r="X3592" s="5"/>
      <c r="Y3592" s="9"/>
      <c r="Z3592" s="2"/>
    </row>
    <row r="3593" spans="1:26">
      <c r="A3593" s="4"/>
      <c r="B3593" s="4"/>
      <c r="C3593" s="4"/>
      <c r="D3593" s="4"/>
      <c r="E3593" s="4"/>
      <c r="F3593" s="4"/>
      <c r="G3593" s="4"/>
      <c r="H3593" s="4"/>
      <c r="I3593" s="4"/>
      <c r="J3593" s="4"/>
      <c r="K3593" s="4"/>
      <c r="L3593" s="3"/>
      <c r="M3593" s="6"/>
      <c r="N3593" s="6"/>
      <c r="O3593" s="6"/>
      <c r="P3593" s="5"/>
      <c r="Q3593" s="9"/>
      <c r="R3593" s="5"/>
      <c r="S3593" s="5"/>
      <c r="T3593" s="5"/>
      <c r="U3593" s="5"/>
      <c r="V3593" s="5"/>
      <c r="W3593" s="5"/>
      <c r="X3593" s="5"/>
      <c r="Y3593" s="9"/>
      <c r="Z3593" s="2"/>
    </row>
    <row r="3594" spans="1:26">
      <c r="A3594" s="4"/>
      <c r="B3594" s="4"/>
      <c r="C3594" s="4"/>
      <c r="D3594" s="4"/>
      <c r="E3594" s="4"/>
      <c r="F3594" s="4"/>
      <c r="G3594" s="4"/>
      <c r="H3594" s="4"/>
      <c r="I3594" s="4"/>
      <c r="J3594" s="4"/>
      <c r="K3594" s="4"/>
      <c r="L3594" s="3"/>
      <c r="M3594" s="6"/>
      <c r="N3594" s="6"/>
      <c r="O3594" s="6"/>
      <c r="P3594" s="5"/>
      <c r="Q3594" s="9"/>
      <c r="R3594" s="5"/>
      <c r="S3594" s="5"/>
      <c r="T3594" s="5"/>
      <c r="U3594" s="5"/>
      <c r="V3594" s="5"/>
      <c r="W3594" s="5"/>
      <c r="X3594" s="5"/>
      <c r="Y3594" s="9"/>
      <c r="Z3594" s="2"/>
    </row>
    <row r="3595" spans="1:26">
      <c r="A3595" s="4"/>
      <c r="B3595" s="4"/>
      <c r="C3595" s="4"/>
      <c r="D3595" s="4"/>
      <c r="E3595" s="4"/>
      <c r="F3595" s="4"/>
      <c r="G3595" s="4"/>
      <c r="H3595" s="4"/>
      <c r="I3595" s="4"/>
      <c r="J3595" s="4"/>
      <c r="K3595" s="4"/>
      <c r="L3595" s="3"/>
      <c r="M3595" s="6"/>
      <c r="N3595" s="6"/>
      <c r="O3595" s="6"/>
      <c r="P3595" s="5"/>
      <c r="Q3595" s="9"/>
      <c r="R3595" s="5"/>
      <c r="S3595" s="5"/>
      <c r="T3595" s="5"/>
      <c r="U3595" s="5"/>
      <c r="V3595" s="5"/>
      <c r="W3595" s="5"/>
      <c r="X3595" s="5"/>
      <c r="Y3595" s="9"/>
      <c r="Z3595" s="2"/>
    </row>
    <row r="3596" spans="1:26">
      <c r="A3596" s="4"/>
      <c r="B3596" s="4"/>
      <c r="C3596" s="4"/>
      <c r="D3596" s="4"/>
      <c r="E3596" s="4"/>
      <c r="F3596" s="4"/>
      <c r="G3596" s="4"/>
      <c r="H3596" s="4"/>
      <c r="I3596" s="4"/>
      <c r="J3596" s="4"/>
      <c r="K3596" s="4"/>
      <c r="L3596" s="3"/>
      <c r="M3596" s="6"/>
      <c r="N3596" s="6"/>
      <c r="O3596" s="6"/>
      <c r="P3596" s="5"/>
      <c r="Q3596" s="9"/>
      <c r="R3596" s="5"/>
      <c r="S3596" s="5"/>
      <c r="T3596" s="5"/>
      <c r="U3596" s="5"/>
      <c r="V3596" s="5"/>
      <c r="W3596" s="5"/>
      <c r="X3596" s="5"/>
      <c r="Y3596" s="9"/>
      <c r="Z3596" s="2"/>
    </row>
    <row r="3597" spans="1:26">
      <c r="A3597" s="4"/>
      <c r="B3597" s="4"/>
      <c r="C3597" s="4"/>
      <c r="D3597" s="4"/>
      <c r="E3597" s="4"/>
      <c r="F3597" s="4"/>
      <c r="G3597" s="4"/>
      <c r="H3597" s="4"/>
      <c r="I3597" s="4"/>
      <c r="J3597" s="4"/>
      <c r="K3597" s="4"/>
      <c r="L3597" s="3"/>
      <c r="M3597" s="6"/>
      <c r="N3597" s="6"/>
      <c r="O3597" s="6"/>
      <c r="P3597" s="5"/>
      <c r="Q3597" s="9"/>
      <c r="R3597" s="5"/>
      <c r="S3597" s="5"/>
      <c r="T3597" s="5"/>
      <c r="U3597" s="5"/>
      <c r="V3597" s="5"/>
      <c r="W3597" s="5"/>
      <c r="X3597" s="5"/>
      <c r="Y3597" s="9"/>
      <c r="Z3597" s="2"/>
    </row>
    <row r="3598" spans="1:26">
      <c r="A3598" s="4"/>
      <c r="B3598" s="4"/>
      <c r="C3598" s="4"/>
      <c r="D3598" s="4"/>
      <c r="E3598" s="4"/>
      <c r="F3598" s="4"/>
      <c r="G3598" s="4"/>
      <c r="H3598" s="4"/>
      <c r="I3598" s="4"/>
      <c r="J3598" s="4"/>
      <c r="K3598" s="4"/>
      <c r="L3598" s="3"/>
      <c r="M3598" s="6"/>
      <c r="N3598" s="6"/>
      <c r="O3598" s="6"/>
      <c r="P3598" s="5"/>
      <c r="Q3598" s="9"/>
      <c r="R3598" s="5"/>
      <c r="S3598" s="5"/>
      <c r="T3598" s="5"/>
      <c r="U3598" s="5"/>
      <c r="V3598" s="5"/>
      <c r="W3598" s="5"/>
      <c r="X3598" s="5"/>
      <c r="Y3598" s="9"/>
      <c r="Z3598" s="2"/>
    </row>
    <row r="3599" spans="1:26">
      <c r="A3599" s="4"/>
      <c r="B3599" s="4"/>
      <c r="C3599" s="4"/>
      <c r="D3599" s="4"/>
      <c r="E3599" s="4"/>
      <c r="F3599" s="4"/>
      <c r="G3599" s="4"/>
      <c r="H3599" s="4"/>
      <c r="I3599" s="4"/>
      <c r="J3599" s="4"/>
      <c r="K3599" s="4"/>
      <c r="L3599" s="3"/>
      <c r="M3599" s="6"/>
      <c r="N3599" s="6"/>
      <c r="O3599" s="6"/>
      <c r="P3599" s="5"/>
      <c r="Q3599" s="9"/>
      <c r="R3599" s="5"/>
      <c r="S3599" s="5"/>
      <c r="T3599" s="5"/>
      <c r="U3599" s="5"/>
      <c r="V3599" s="5"/>
      <c r="W3599" s="5"/>
      <c r="X3599" s="5"/>
      <c r="Y3599" s="9"/>
      <c r="Z3599" s="2"/>
    </row>
    <row r="3600" spans="1:26">
      <c r="A3600" s="4"/>
      <c r="B3600" s="4"/>
      <c r="C3600" s="4"/>
      <c r="D3600" s="4"/>
      <c r="E3600" s="4"/>
      <c r="F3600" s="4"/>
      <c r="G3600" s="4"/>
      <c r="H3600" s="4"/>
      <c r="I3600" s="4"/>
      <c r="J3600" s="4"/>
      <c r="K3600" s="4"/>
      <c r="L3600" s="3"/>
      <c r="M3600" s="6"/>
      <c r="N3600" s="6"/>
      <c r="O3600" s="6"/>
      <c r="P3600" s="5"/>
      <c r="Q3600" s="9"/>
      <c r="R3600" s="5"/>
      <c r="S3600" s="5"/>
      <c r="T3600" s="5"/>
      <c r="U3600" s="5"/>
      <c r="V3600" s="5"/>
      <c r="W3600" s="5"/>
      <c r="X3600" s="5"/>
      <c r="Y3600" s="9"/>
      <c r="Z3600" s="2"/>
    </row>
    <row r="3601" spans="1:26">
      <c r="A3601" s="4"/>
      <c r="B3601" s="4"/>
      <c r="C3601" s="4"/>
      <c r="D3601" s="4"/>
      <c r="E3601" s="4"/>
      <c r="F3601" s="4"/>
      <c r="G3601" s="4"/>
      <c r="H3601" s="4"/>
      <c r="I3601" s="4"/>
      <c r="J3601" s="4"/>
      <c r="K3601" s="4"/>
      <c r="L3601" s="3"/>
      <c r="M3601" s="6"/>
      <c r="N3601" s="6"/>
      <c r="O3601" s="6"/>
      <c r="P3601" s="5"/>
      <c r="Q3601" s="9"/>
      <c r="R3601" s="5"/>
      <c r="S3601" s="5"/>
      <c r="T3601" s="5"/>
      <c r="U3601" s="5"/>
      <c r="V3601" s="5"/>
      <c r="W3601" s="5"/>
      <c r="X3601" s="5"/>
      <c r="Y3601" s="9"/>
      <c r="Z3601" s="2"/>
    </row>
    <row r="3602" spans="1:26">
      <c r="A3602" s="4"/>
      <c r="B3602" s="4"/>
      <c r="C3602" s="4"/>
      <c r="D3602" s="4"/>
      <c r="E3602" s="4"/>
      <c r="F3602" s="4"/>
      <c r="G3602" s="4"/>
      <c r="H3602" s="4"/>
      <c r="I3602" s="4"/>
      <c r="J3602" s="4"/>
      <c r="K3602" s="4"/>
      <c r="L3602" s="3"/>
      <c r="M3602" s="6"/>
      <c r="N3602" s="6"/>
      <c r="O3602" s="6"/>
      <c r="P3602" s="5"/>
      <c r="Q3602" s="9"/>
      <c r="R3602" s="5"/>
      <c r="S3602" s="5"/>
      <c r="T3602" s="5"/>
      <c r="U3602" s="5"/>
      <c r="V3602" s="5"/>
      <c r="W3602" s="5"/>
      <c r="X3602" s="5"/>
      <c r="Y3602" s="9"/>
      <c r="Z3602" s="2"/>
    </row>
    <row r="3603" spans="1:26">
      <c r="A3603" s="4"/>
      <c r="B3603" s="4"/>
      <c r="C3603" s="4"/>
      <c r="D3603" s="4"/>
      <c r="E3603" s="4"/>
      <c r="F3603" s="4"/>
      <c r="G3603" s="4"/>
      <c r="H3603" s="4"/>
      <c r="I3603" s="4"/>
      <c r="J3603" s="4"/>
      <c r="K3603" s="4"/>
      <c r="L3603" s="3"/>
      <c r="M3603" s="6"/>
      <c r="N3603" s="6"/>
      <c r="O3603" s="6"/>
      <c r="P3603" s="5"/>
      <c r="Q3603" s="9"/>
      <c r="R3603" s="5"/>
      <c r="S3603" s="5"/>
      <c r="T3603" s="5"/>
      <c r="U3603" s="5"/>
      <c r="V3603" s="5"/>
      <c r="W3603" s="5"/>
      <c r="X3603" s="5"/>
      <c r="Y3603" s="9"/>
      <c r="Z3603" s="2"/>
    </row>
    <row r="3604" spans="1:26">
      <c r="A3604" s="4"/>
      <c r="B3604" s="4"/>
      <c r="C3604" s="4"/>
      <c r="D3604" s="4"/>
      <c r="E3604" s="4"/>
      <c r="F3604" s="4"/>
      <c r="G3604" s="4"/>
      <c r="H3604" s="4"/>
      <c r="I3604" s="4"/>
      <c r="J3604" s="4"/>
      <c r="K3604" s="4"/>
      <c r="L3604" s="3"/>
      <c r="M3604" s="6"/>
      <c r="N3604" s="6"/>
      <c r="O3604" s="6"/>
      <c r="P3604" s="5"/>
      <c r="Q3604" s="9"/>
      <c r="R3604" s="5"/>
      <c r="S3604" s="5"/>
      <c r="T3604" s="5"/>
      <c r="U3604" s="5"/>
      <c r="V3604" s="5"/>
      <c r="W3604" s="5"/>
      <c r="X3604" s="5"/>
      <c r="Y3604" s="9"/>
      <c r="Z3604" s="2"/>
    </row>
    <row r="3605" spans="1:26">
      <c r="A3605" s="4"/>
      <c r="B3605" s="4"/>
      <c r="C3605" s="4"/>
      <c r="D3605" s="4"/>
      <c r="E3605" s="4"/>
      <c r="F3605" s="4"/>
      <c r="G3605" s="4"/>
      <c r="H3605" s="4"/>
      <c r="I3605" s="4"/>
      <c r="J3605" s="4"/>
      <c r="K3605" s="4"/>
      <c r="L3605" s="3"/>
      <c r="M3605" s="6"/>
      <c r="N3605" s="6"/>
      <c r="O3605" s="6"/>
      <c r="P3605" s="5"/>
      <c r="Q3605" s="9"/>
      <c r="R3605" s="5"/>
      <c r="S3605" s="5"/>
      <c r="T3605" s="5"/>
      <c r="U3605" s="5"/>
      <c r="V3605" s="5"/>
      <c r="W3605" s="5"/>
      <c r="X3605" s="5"/>
      <c r="Y3605" s="9"/>
      <c r="Z3605" s="2"/>
    </row>
    <row r="3606" spans="1:26">
      <c r="A3606" s="4"/>
      <c r="B3606" s="4"/>
      <c r="C3606" s="4"/>
      <c r="D3606" s="4"/>
      <c r="E3606" s="4"/>
      <c r="F3606" s="4"/>
      <c r="G3606" s="4"/>
      <c r="H3606" s="4"/>
      <c r="I3606" s="4"/>
      <c r="J3606" s="4"/>
      <c r="K3606" s="4"/>
      <c r="L3606" s="3"/>
      <c r="M3606" s="6"/>
      <c r="N3606" s="6"/>
      <c r="O3606" s="6"/>
      <c r="P3606" s="5"/>
      <c r="Q3606" s="9"/>
      <c r="R3606" s="5"/>
      <c r="S3606" s="5"/>
      <c r="T3606" s="5"/>
      <c r="U3606" s="5"/>
      <c r="V3606" s="5"/>
      <c r="W3606" s="5"/>
      <c r="X3606" s="5"/>
      <c r="Y3606" s="9"/>
      <c r="Z3606" s="2"/>
    </row>
    <row r="3607" spans="1:26">
      <c r="A3607" s="4"/>
      <c r="B3607" s="4"/>
      <c r="C3607" s="4"/>
      <c r="D3607" s="4"/>
      <c r="E3607" s="4"/>
      <c r="F3607" s="4"/>
      <c r="G3607" s="4"/>
      <c r="H3607" s="4"/>
      <c r="I3607" s="4"/>
      <c r="J3607" s="4"/>
      <c r="K3607" s="4"/>
      <c r="L3607" s="3"/>
      <c r="M3607" s="6"/>
      <c r="N3607" s="6"/>
      <c r="O3607" s="6"/>
      <c r="P3607" s="5"/>
      <c r="Q3607" s="9"/>
      <c r="R3607" s="5"/>
      <c r="S3607" s="5"/>
      <c r="T3607" s="5"/>
      <c r="U3607" s="5"/>
      <c r="V3607" s="5"/>
      <c r="W3607" s="5"/>
      <c r="X3607" s="5"/>
      <c r="Y3607" s="9"/>
      <c r="Z3607" s="2"/>
    </row>
    <row r="3608" spans="1:26">
      <c r="A3608" s="4"/>
      <c r="B3608" s="4"/>
      <c r="C3608" s="4"/>
      <c r="D3608" s="4"/>
      <c r="E3608" s="4"/>
      <c r="F3608" s="4"/>
      <c r="G3608" s="4"/>
      <c r="H3608" s="4"/>
      <c r="I3608" s="4"/>
      <c r="J3608" s="4"/>
      <c r="K3608" s="4"/>
      <c r="L3608" s="3"/>
      <c r="M3608" s="6"/>
      <c r="N3608" s="6"/>
      <c r="O3608" s="6"/>
      <c r="P3608" s="5"/>
      <c r="Q3608" s="9"/>
      <c r="R3608" s="5"/>
      <c r="S3608" s="5"/>
      <c r="T3608" s="5"/>
      <c r="U3608" s="5"/>
      <c r="V3608" s="5"/>
      <c r="W3608" s="5"/>
      <c r="X3608" s="5"/>
      <c r="Y3608" s="9"/>
      <c r="Z3608" s="2"/>
    </row>
    <row r="3609" spans="1:26">
      <c r="A3609" s="4"/>
      <c r="B3609" s="4"/>
      <c r="C3609" s="4"/>
      <c r="D3609" s="4"/>
      <c r="E3609" s="4"/>
      <c r="F3609" s="4"/>
      <c r="G3609" s="4"/>
      <c r="H3609" s="4"/>
      <c r="I3609" s="4"/>
      <c r="J3609" s="4"/>
      <c r="K3609" s="4"/>
      <c r="L3609" s="3"/>
      <c r="M3609" s="6"/>
      <c r="N3609" s="6"/>
      <c r="O3609" s="6"/>
      <c r="P3609" s="5"/>
      <c r="Q3609" s="9"/>
      <c r="R3609" s="5"/>
      <c r="S3609" s="5"/>
      <c r="T3609" s="5"/>
      <c r="U3609" s="5"/>
      <c r="V3609" s="5"/>
      <c r="W3609" s="5"/>
      <c r="X3609" s="5"/>
      <c r="Y3609" s="9"/>
      <c r="Z3609" s="2"/>
    </row>
    <row r="3610" spans="1:26">
      <c r="A3610" s="4"/>
      <c r="B3610" s="4"/>
      <c r="C3610" s="4"/>
      <c r="D3610" s="4"/>
      <c r="E3610" s="4"/>
      <c r="F3610" s="4"/>
      <c r="G3610" s="4"/>
      <c r="H3610" s="4"/>
      <c r="I3610" s="4"/>
      <c r="J3610" s="4"/>
      <c r="K3610" s="4"/>
      <c r="L3610" s="3"/>
      <c r="M3610" s="6"/>
      <c r="N3610" s="6"/>
      <c r="O3610" s="6"/>
      <c r="P3610" s="5"/>
      <c r="Q3610" s="9"/>
      <c r="R3610" s="5"/>
      <c r="S3610" s="5"/>
      <c r="T3610" s="5"/>
      <c r="U3610" s="5"/>
      <c r="V3610" s="5"/>
      <c r="W3610" s="5"/>
      <c r="X3610" s="5"/>
      <c r="Y3610" s="9"/>
      <c r="Z3610" s="2"/>
    </row>
    <row r="3611" spans="1:26">
      <c r="A3611" s="4"/>
      <c r="B3611" s="4"/>
      <c r="C3611" s="4"/>
      <c r="D3611" s="4"/>
      <c r="E3611" s="4"/>
      <c r="F3611" s="4"/>
      <c r="G3611" s="4"/>
      <c r="H3611" s="4"/>
      <c r="I3611" s="4"/>
      <c r="J3611" s="4"/>
      <c r="K3611" s="4"/>
      <c r="L3611" s="3"/>
      <c r="M3611" s="6"/>
      <c r="N3611" s="6"/>
      <c r="O3611" s="6"/>
      <c r="P3611" s="5"/>
      <c r="Q3611" s="9"/>
      <c r="R3611" s="5"/>
      <c r="S3611" s="5"/>
      <c r="T3611" s="5"/>
      <c r="U3611" s="5"/>
      <c r="V3611" s="5"/>
      <c r="W3611" s="5"/>
      <c r="X3611" s="5"/>
      <c r="Y3611" s="9"/>
      <c r="Z3611" s="2"/>
    </row>
    <row r="3612" spans="1:26">
      <c r="A3612" s="4"/>
      <c r="B3612" s="4"/>
      <c r="C3612" s="4"/>
      <c r="D3612" s="4"/>
      <c r="E3612" s="4"/>
      <c r="F3612" s="4"/>
      <c r="G3612" s="4"/>
      <c r="H3612" s="4"/>
      <c r="I3612" s="4"/>
      <c r="J3612" s="4"/>
      <c r="K3612" s="4"/>
      <c r="L3612" s="3"/>
      <c r="M3612" s="6"/>
      <c r="N3612" s="6"/>
      <c r="O3612" s="6"/>
      <c r="P3612" s="5"/>
      <c r="Q3612" s="9"/>
      <c r="R3612" s="5"/>
      <c r="S3612" s="5"/>
      <c r="T3612" s="5"/>
      <c r="U3612" s="5"/>
      <c r="V3612" s="5"/>
      <c r="W3612" s="5"/>
      <c r="X3612" s="5"/>
      <c r="Y3612" s="9"/>
      <c r="Z3612" s="2"/>
    </row>
    <row r="3613" spans="1:26">
      <c r="A3613" s="4"/>
      <c r="B3613" s="4"/>
      <c r="C3613" s="4"/>
      <c r="D3613" s="4"/>
      <c r="E3613" s="4"/>
      <c r="F3613" s="4"/>
      <c r="G3613" s="4"/>
      <c r="H3613" s="4"/>
      <c r="I3613" s="4"/>
      <c r="J3613" s="4"/>
      <c r="K3613" s="4"/>
      <c r="L3613" s="3"/>
      <c r="M3613" s="6"/>
      <c r="N3613" s="6"/>
      <c r="O3613" s="6"/>
      <c r="P3613" s="5"/>
      <c r="Q3613" s="9"/>
      <c r="R3613" s="5"/>
      <c r="S3613" s="5"/>
      <c r="T3613" s="5"/>
      <c r="U3613" s="5"/>
      <c r="V3613" s="5"/>
      <c r="W3613" s="5"/>
      <c r="X3613" s="5"/>
      <c r="Y3613" s="9"/>
      <c r="Z3613" s="2"/>
    </row>
    <row r="3614" spans="1:26">
      <c r="A3614" s="4"/>
      <c r="B3614" s="4"/>
      <c r="C3614" s="4"/>
      <c r="D3614" s="4"/>
      <c r="E3614" s="4"/>
      <c r="F3614" s="4"/>
      <c r="G3614" s="4"/>
      <c r="H3614" s="4"/>
      <c r="I3614" s="4"/>
      <c r="J3614" s="4"/>
      <c r="K3614" s="4"/>
      <c r="L3614" s="3"/>
      <c r="M3614" s="6"/>
      <c r="N3614" s="6"/>
      <c r="O3614" s="6"/>
      <c r="P3614" s="5"/>
      <c r="Q3614" s="9"/>
      <c r="R3614" s="5"/>
      <c r="S3614" s="5"/>
      <c r="T3614" s="5"/>
      <c r="U3614" s="5"/>
      <c r="V3614" s="5"/>
      <c r="W3614" s="5"/>
      <c r="X3614" s="5"/>
      <c r="Y3614" s="9"/>
      <c r="Z3614" s="2"/>
    </row>
    <row r="3615" spans="1:26">
      <c r="A3615" s="4"/>
      <c r="B3615" s="4"/>
      <c r="C3615" s="4"/>
      <c r="D3615" s="4"/>
      <c r="E3615" s="4"/>
      <c r="F3615" s="4"/>
      <c r="G3615" s="4"/>
      <c r="H3615" s="4"/>
      <c r="I3615" s="4"/>
      <c r="J3615" s="4"/>
      <c r="K3615" s="4"/>
      <c r="L3615" s="3"/>
      <c r="M3615" s="6"/>
      <c r="N3615" s="6"/>
      <c r="O3615" s="6"/>
      <c r="P3615" s="5"/>
      <c r="Q3615" s="9"/>
      <c r="R3615" s="5"/>
      <c r="S3615" s="5"/>
      <c r="T3615" s="5"/>
      <c r="U3615" s="5"/>
      <c r="V3615" s="5"/>
      <c r="W3615" s="5"/>
      <c r="X3615" s="5"/>
      <c r="Y3615" s="9"/>
      <c r="Z3615" s="2"/>
    </row>
    <row r="3616" spans="1:26">
      <c r="A3616" s="4"/>
      <c r="B3616" s="4"/>
      <c r="C3616" s="4"/>
      <c r="D3616" s="4"/>
      <c r="E3616" s="4"/>
      <c r="F3616" s="4"/>
      <c r="G3616" s="4"/>
      <c r="H3616" s="4"/>
      <c r="I3616" s="4"/>
      <c r="J3616" s="4"/>
      <c r="K3616" s="4"/>
      <c r="L3616" s="3"/>
      <c r="M3616" s="6"/>
      <c r="N3616" s="6"/>
      <c r="O3616" s="6"/>
      <c r="P3616" s="5"/>
      <c r="Q3616" s="9"/>
      <c r="R3616" s="5"/>
      <c r="S3616" s="5"/>
      <c r="T3616" s="5"/>
      <c r="U3616" s="5"/>
      <c r="V3616" s="5"/>
      <c r="W3616" s="5"/>
      <c r="X3616" s="5"/>
      <c r="Y3616" s="9"/>
      <c r="Z3616" s="2"/>
    </row>
    <row r="3617" spans="1:26">
      <c r="A3617" s="4"/>
      <c r="B3617" s="4"/>
      <c r="C3617" s="4"/>
      <c r="D3617" s="4"/>
      <c r="E3617" s="4"/>
      <c r="F3617" s="4"/>
      <c r="G3617" s="4"/>
      <c r="H3617" s="4"/>
      <c r="I3617" s="4"/>
      <c r="J3617" s="4"/>
      <c r="K3617" s="4"/>
      <c r="L3617" s="3"/>
      <c r="M3617" s="6"/>
      <c r="N3617" s="6"/>
      <c r="O3617" s="6"/>
      <c r="P3617" s="5"/>
      <c r="Q3617" s="9"/>
      <c r="R3617" s="5"/>
      <c r="S3617" s="5"/>
      <c r="T3617" s="5"/>
      <c r="U3617" s="5"/>
      <c r="V3617" s="5"/>
      <c r="W3617" s="5"/>
      <c r="X3617" s="5"/>
      <c r="Y3617" s="9"/>
      <c r="Z3617" s="2"/>
    </row>
    <row r="3618" spans="1:26">
      <c r="A3618" s="4"/>
      <c r="B3618" s="4"/>
      <c r="C3618" s="4"/>
      <c r="D3618" s="4"/>
      <c r="E3618" s="4"/>
      <c r="F3618" s="4"/>
      <c r="G3618" s="4"/>
      <c r="H3618" s="4"/>
      <c r="I3618" s="4"/>
      <c r="J3618" s="4"/>
      <c r="K3618" s="4"/>
      <c r="L3618" s="3"/>
      <c r="M3618" s="6"/>
      <c r="N3618" s="6"/>
      <c r="O3618" s="6"/>
      <c r="P3618" s="5"/>
      <c r="Q3618" s="9"/>
      <c r="R3618" s="5"/>
      <c r="S3618" s="5"/>
      <c r="T3618" s="5"/>
      <c r="U3618" s="5"/>
      <c r="V3618" s="5"/>
      <c r="W3618" s="5"/>
      <c r="X3618" s="5"/>
      <c r="Y3618" s="9"/>
      <c r="Z3618" s="2"/>
    </row>
    <row r="3619" spans="1:26">
      <c r="A3619" s="4"/>
      <c r="B3619" s="4"/>
      <c r="C3619" s="4"/>
      <c r="D3619" s="4"/>
      <c r="E3619" s="4"/>
      <c r="F3619" s="4"/>
      <c r="G3619" s="4"/>
      <c r="H3619" s="4"/>
      <c r="I3619" s="4"/>
      <c r="J3619" s="4"/>
      <c r="K3619" s="4"/>
      <c r="L3619" s="3"/>
      <c r="M3619" s="6"/>
      <c r="N3619" s="6"/>
      <c r="O3619" s="6"/>
      <c r="P3619" s="5"/>
      <c r="Q3619" s="9"/>
      <c r="R3619" s="5"/>
      <c r="S3619" s="5"/>
      <c r="T3619" s="5"/>
      <c r="U3619" s="5"/>
      <c r="V3619" s="5"/>
      <c r="W3619" s="5"/>
      <c r="X3619" s="5"/>
      <c r="Y3619" s="9"/>
      <c r="Z3619" s="2"/>
    </row>
    <row r="3620" spans="1:26">
      <c r="A3620" s="4"/>
      <c r="B3620" s="4"/>
      <c r="C3620" s="4"/>
      <c r="D3620" s="4"/>
      <c r="E3620" s="4"/>
      <c r="F3620" s="4"/>
      <c r="G3620" s="4"/>
      <c r="H3620" s="4"/>
      <c r="I3620" s="4"/>
      <c r="J3620" s="4"/>
      <c r="K3620" s="4"/>
      <c r="L3620" s="3"/>
      <c r="M3620" s="6"/>
      <c r="N3620" s="6"/>
      <c r="O3620" s="6"/>
      <c r="P3620" s="5"/>
      <c r="Q3620" s="9"/>
      <c r="R3620" s="5"/>
      <c r="S3620" s="5"/>
      <c r="T3620" s="5"/>
      <c r="U3620" s="5"/>
      <c r="V3620" s="5"/>
      <c r="W3620" s="5"/>
      <c r="X3620" s="5"/>
      <c r="Y3620" s="9"/>
      <c r="Z3620" s="2"/>
    </row>
    <row r="3621" spans="1:26">
      <c r="A3621" s="4"/>
      <c r="B3621" s="4"/>
      <c r="C3621" s="4"/>
      <c r="D3621" s="4"/>
      <c r="E3621" s="4"/>
      <c r="F3621" s="4"/>
      <c r="G3621" s="4"/>
      <c r="H3621" s="4"/>
      <c r="I3621" s="4"/>
      <c r="J3621" s="4"/>
      <c r="K3621" s="4"/>
      <c r="L3621" s="3"/>
      <c r="M3621" s="6"/>
      <c r="N3621" s="6"/>
      <c r="O3621" s="6"/>
      <c r="P3621" s="5"/>
      <c r="Q3621" s="9"/>
      <c r="R3621" s="5"/>
      <c r="S3621" s="5"/>
      <c r="T3621" s="5"/>
      <c r="U3621" s="5"/>
      <c r="V3621" s="5"/>
      <c r="W3621" s="5"/>
      <c r="X3621" s="5"/>
      <c r="Y3621" s="9"/>
      <c r="Z3621" s="2"/>
    </row>
    <row r="3622" spans="1:26">
      <c r="A3622" s="4"/>
      <c r="B3622" s="4"/>
      <c r="C3622" s="4"/>
      <c r="D3622" s="4"/>
      <c r="E3622" s="4"/>
      <c r="F3622" s="4"/>
      <c r="G3622" s="4"/>
      <c r="H3622" s="4"/>
      <c r="I3622" s="4"/>
      <c r="J3622" s="4"/>
      <c r="K3622" s="4"/>
      <c r="L3622" s="3"/>
      <c r="M3622" s="6"/>
      <c r="N3622" s="6"/>
      <c r="O3622" s="6"/>
      <c r="P3622" s="5"/>
      <c r="Q3622" s="9"/>
      <c r="R3622" s="5"/>
      <c r="S3622" s="5"/>
      <c r="T3622" s="5"/>
      <c r="U3622" s="5"/>
      <c r="V3622" s="5"/>
      <c r="W3622" s="5"/>
      <c r="X3622" s="5"/>
      <c r="Y3622" s="9"/>
      <c r="Z3622" s="2"/>
    </row>
    <row r="3623" spans="1:26">
      <c r="A3623" s="4"/>
      <c r="B3623" s="4"/>
      <c r="C3623" s="4"/>
      <c r="D3623" s="4"/>
      <c r="E3623" s="4"/>
      <c r="F3623" s="4"/>
      <c r="G3623" s="4"/>
      <c r="H3623" s="4"/>
      <c r="I3623" s="4"/>
      <c r="J3623" s="4"/>
      <c r="K3623" s="4"/>
      <c r="L3623" s="3"/>
      <c r="M3623" s="6"/>
      <c r="N3623" s="6"/>
      <c r="O3623" s="6"/>
      <c r="P3623" s="5"/>
      <c r="Q3623" s="9"/>
      <c r="R3623" s="5"/>
      <c r="S3623" s="5"/>
      <c r="T3623" s="5"/>
      <c r="U3623" s="5"/>
      <c r="V3623" s="5"/>
      <c r="W3623" s="5"/>
      <c r="X3623" s="5"/>
      <c r="Y3623" s="9"/>
      <c r="Z3623" s="2"/>
    </row>
    <row r="3624" spans="1:26">
      <c r="A3624" s="4"/>
      <c r="B3624" s="4"/>
      <c r="C3624" s="4"/>
      <c r="D3624" s="4"/>
      <c r="E3624" s="4"/>
      <c r="F3624" s="4"/>
      <c r="G3624" s="4"/>
      <c r="H3624" s="4"/>
      <c r="I3624" s="4"/>
      <c r="J3624" s="4"/>
      <c r="K3624" s="4"/>
      <c r="L3624" s="3"/>
      <c r="M3624" s="6"/>
      <c r="N3624" s="6"/>
      <c r="O3624" s="6"/>
      <c r="P3624" s="5"/>
      <c r="Q3624" s="9"/>
      <c r="R3624" s="5"/>
      <c r="S3624" s="5"/>
      <c r="T3624" s="5"/>
      <c r="U3624" s="5"/>
      <c r="V3624" s="5"/>
      <c r="W3624" s="5"/>
      <c r="X3624" s="5"/>
      <c r="Y3624" s="9"/>
      <c r="Z3624" s="2"/>
    </row>
    <row r="3625" spans="1:26">
      <c r="A3625" s="4"/>
      <c r="B3625" s="4"/>
      <c r="C3625" s="4"/>
      <c r="D3625" s="4"/>
      <c r="E3625" s="4"/>
      <c r="F3625" s="4"/>
      <c r="G3625" s="4"/>
      <c r="H3625" s="4"/>
      <c r="I3625" s="4"/>
      <c r="J3625" s="4"/>
      <c r="K3625" s="4"/>
      <c r="L3625" s="3"/>
      <c r="M3625" s="6"/>
      <c r="N3625" s="6"/>
      <c r="O3625" s="6"/>
      <c r="P3625" s="5"/>
      <c r="Q3625" s="9"/>
      <c r="R3625" s="5"/>
      <c r="S3625" s="5"/>
      <c r="T3625" s="5"/>
      <c r="U3625" s="5"/>
      <c r="V3625" s="5"/>
      <c r="W3625" s="5"/>
      <c r="X3625" s="5"/>
      <c r="Y3625" s="9"/>
      <c r="Z3625" s="2"/>
    </row>
    <row r="3626" spans="1:26">
      <c r="A3626" s="4"/>
      <c r="B3626" s="4"/>
      <c r="C3626" s="4"/>
      <c r="D3626" s="4"/>
      <c r="E3626" s="4"/>
      <c r="F3626" s="4"/>
      <c r="G3626" s="4"/>
      <c r="H3626" s="4"/>
      <c r="I3626" s="4"/>
      <c r="J3626" s="4"/>
      <c r="K3626" s="4"/>
      <c r="L3626" s="3"/>
      <c r="M3626" s="6"/>
      <c r="N3626" s="6"/>
      <c r="O3626" s="6"/>
      <c r="P3626" s="5"/>
      <c r="Q3626" s="9"/>
      <c r="R3626" s="5"/>
      <c r="S3626" s="5"/>
      <c r="T3626" s="5"/>
      <c r="U3626" s="5"/>
      <c r="V3626" s="5"/>
      <c r="W3626" s="5"/>
      <c r="X3626" s="5"/>
      <c r="Y3626" s="9"/>
      <c r="Z3626" s="2"/>
    </row>
    <row r="3627" spans="1:26">
      <c r="A3627" s="4"/>
      <c r="B3627" s="4"/>
      <c r="C3627" s="4"/>
      <c r="D3627" s="4"/>
      <c r="E3627" s="4"/>
      <c r="F3627" s="4"/>
      <c r="G3627" s="4"/>
      <c r="H3627" s="4"/>
      <c r="I3627" s="4"/>
      <c r="J3627" s="4"/>
      <c r="K3627" s="4"/>
      <c r="L3627" s="3"/>
      <c r="M3627" s="6"/>
      <c r="N3627" s="6"/>
      <c r="O3627" s="6"/>
      <c r="P3627" s="5"/>
      <c r="Q3627" s="9"/>
      <c r="R3627" s="5"/>
      <c r="S3627" s="5"/>
      <c r="T3627" s="5"/>
      <c r="U3627" s="5"/>
      <c r="V3627" s="5"/>
      <c r="W3627" s="5"/>
      <c r="X3627" s="5"/>
      <c r="Y3627" s="9"/>
      <c r="Z3627" s="2"/>
    </row>
    <row r="3628" spans="1:26">
      <c r="A3628" s="4"/>
      <c r="B3628" s="4"/>
      <c r="C3628" s="4"/>
      <c r="D3628" s="4"/>
      <c r="E3628" s="4"/>
      <c r="F3628" s="4"/>
      <c r="G3628" s="4"/>
      <c r="H3628" s="4"/>
      <c r="I3628" s="4"/>
      <c r="J3628" s="4"/>
      <c r="K3628" s="4"/>
      <c r="L3628" s="3"/>
      <c r="M3628" s="6"/>
      <c r="N3628" s="6"/>
      <c r="O3628" s="6"/>
      <c r="P3628" s="5"/>
      <c r="Q3628" s="9"/>
      <c r="R3628" s="5"/>
      <c r="S3628" s="5"/>
      <c r="T3628" s="5"/>
      <c r="U3628" s="5"/>
      <c r="V3628" s="5"/>
      <c r="W3628" s="5"/>
      <c r="X3628" s="5"/>
      <c r="Y3628" s="9"/>
      <c r="Z3628" s="2"/>
    </row>
    <row r="3629" spans="1:26">
      <c r="A3629" s="4"/>
      <c r="B3629" s="4"/>
      <c r="C3629" s="4"/>
      <c r="D3629" s="4"/>
      <c r="E3629" s="4"/>
      <c r="F3629" s="4"/>
      <c r="G3629" s="4"/>
      <c r="H3629" s="4"/>
      <c r="I3629" s="4"/>
      <c r="J3629" s="4"/>
      <c r="K3629" s="4"/>
      <c r="L3629" s="3"/>
      <c r="M3629" s="6"/>
      <c r="N3629" s="6"/>
      <c r="O3629" s="6"/>
      <c r="P3629" s="5"/>
      <c r="Q3629" s="9"/>
      <c r="R3629" s="5"/>
      <c r="S3629" s="5"/>
      <c r="T3629" s="5"/>
      <c r="U3629" s="5"/>
      <c r="V3629" s="5"/>
      <c r="W3629" s="5"/>
      <c r="X3629" s="5"/>
      <c r="Y3629" s="9"/>
      <c r="Z3629" s="2"/>
    </row>
    <row r="3630" spans="1:26">
      <c r="A3630" s="4"/>
      <c r="B3630" s="4"/>
      <c r="C3630" s="4"/>
      <c r="D3630" s="4"/>
      <c r="E3630" s="4"/>
      <c r="F3630" s="4"/>
      <c r="G3630" s="4"/>
      <c r="H3630" s="4"/>
      <c r="I3630" s="4"/>
      <c r="J3630" s="4"/>
      <c r="K3630" s="4"/>
      <c r="L3630" s="3"/>
      <c r="M3630" s="6"/>
      <c r="N3630" s="6"/>
      <c r="O3630" s="6"/>
      <c r="P3630" s="5"/>
      <c r="Q3630" s="9"/>
      <c r="R3630" s="5"/>
      <c r="S3630" s="5"/>
      <c r="T3630" s="5"/>
      <c r="U3630" s="5"/>
      <c r="V3630" s="5"/>
      <c r="W3630" s="5"/>
      <c r="X3630" s="5"/>
      <c r="Y3630" s="9"/>
      <c r="Z3630" s="2"/>
    </row>
    <row r="3631" spans="1:26">
      <c r="A3631" s="4"/>
      <c r="B3631" s="4"/>
      <c r="C3631" s="4"/>
      <c r="D3631" s="4"/>
      <c r="E3631" s="4"/>
      <c r="F3631" s="4"/>
      <c r="G3631" s="4"/>
      <c r="H3631" s="4"/>
      <c r="I3631" s="4"/>
      <c r="J3631" s="4"/>
      <c r="K3631" s="4"/>
      <c r="L3631" s="3"/>
      <c r="M3631" s="6"/>
      <c r="N3631" s="6"/>
      <c r="O3631" s="6"/>
      <c r="P3631" s="5"/>
      <c r="Q3631" s="9"/>
      <c r="R3631" s="5"/>
      <c r="S3631" s="5"/>
      <c r="T3631" s="5"/>
      <c r="U3631" s="5"/>
      <c r="V3631" s="5"/>
      <c r="W3631" s="5"/>
      <c r="X3631" s="5"/>
      <c r="Y3631" s="9"/>
      <c r="Z3631" s="2"/>
    </row>
    <row r="3632" spans="1:26">
      <c r="A3632" s="4"/>
      <c r="B3632" s="4"/>
      <c r="C3632" s="4"/>
      <c r="D3632" s="4"/>
      <c r="E3632" s="4"/>
      <c r="F3632" s="4"/>
      <c r="G3632" s="4"/>
      <c r="H3632" s="4"/>
      <c r="I3632" s="4"/>
      <c r="J3632" s="4"/>
      <c r="K3632" s="4"/>
      <c r="L3632" s="3"/>
      <c r="M3632" s="6"/>
      <c r="N3632" s="6"/>
      <c r="O3632" s="6"/>
      <c r="P3632" s="5"/>
      <c r="Q3632" s="9"/>
      <c r="R3632" s="5"/>
      <c r="S3632" s="5"/>
      <c r="T3632" s="5"/>
      <c r="U3632" s="5"/>
      <c r="V3632" s="5"/>
      <c r="W3632" s="5"/>
      <c r="X3632" s="5"/>
      <c r="Y3632" s="9"/>
      <c r="Z3632" s="2"/>
    </row>
    <row r="3633" spans="1:26">
      <c r="A3633" s="4"/>
      <c r="B3633" s="4"/>
      <c r="C3633" s="4"/>
      <c r="D3633" s="4"/>
      <c r="E3633" s="4"/>
      <c r="F3633" s="4"/>
      <c r="G3633" s="4"/>
      <c r="H3633" s="4"/>
      <c r="I3633" s="4"/>
      <c r="J3633" s="4"/>
      <c r="K3633" s="4"/>
      <c r="L3633" s="3"/>
      <c r="M3633" s="6"/>
      <c r="N3633" s="6"/>
      <c r="O3633" s="6"/>
      <c r="P3633" s="5"/>
      <c r="Q3633" s="9"/>
      <c r="R3633" s="5"/>
      <c r="S3633" s="5"/>
      <c r="T3633" s="5"/>
      <c r="U3633" s="5"/>
      <c r="V3633" s="5"/>
      <c r="W3633" s="5"/>
      <c r="X3633" s="5"/>
      <c r="Y3633" s="9"/>
      <c r="Z3633" s="2"/>
    </row>
    <row r="3634" spans="1:26">
      <c r="A3634" s="4"/>
      <c r="B3634" s="4"/>
      <c r="C3634" s="4"/>
      <c r="D3634" s="4"/>
      <c r="E3634" s="4"/>
      <c r="F3634" s="4"/>
      <c r="G3634" s="4"/>
      <c r="H3634" s="4"/>
      <c r="I3634" s="4"/>
      <c r="J3634" s="4"/>
      <c r="K3634" s="4"/>
      <c r="L3634" s="3"/>
      <c r="M3634" s="6"/>
      <c r="N3634" s="6"/>
      <c r="O3634" s="6"/>
      <c r="P3634" s="5"/>
      <c r="Q3634" s="9"/>
      <c r="R3634" s="5"/>
      <c r="S3634" s="5"/>
      <c r="T3634" s="5"/>
      <c r="U3634" s="5"/>
      <c r="V3634" s="5"/>
      <c r="W3634" s="5"/>
      <c r="X3634" s="5"/>
      <c r="Y3634" s="9"/>
      <c r="Z3634" s="2"/>
    </row>
    <row r="3635" spans="1:26">
      <c r="A3635" s="4"/>
      <c r="B3635" s="4"/>
      <c r="C3635" s="4"/>
      <c r="D3635" s="4"/>
      <c r="E3635" s="4"/>
      <c r="F3635" s="4"/>
      <c r="G3635" s="4"/>
      <c r="H3635" s="4"/>
      <c r="I3635" s="4"/>
      <c r="J3635" s="4"/>
      <c r="K3635" s="4"/>
      <c r="L3635" s="3"/>
      <c r="M3635" s="6"/>
      <c r="N3635" s="6"/>
      <c r="O3635" s="6"/>
      <c r="P3635" s="5"/>
      <c r="Q3635" s="9"/>
      <c r="R3635" s="5"/>
      <c r="S3635" s="5"/>
      <c r="T3635" s="5"/>
      <c r="U3635" s="5"/>
      <c r="V3635" s="5"/>
      <c r="W3635" s="5"/>
      <c r="X3635" s="5"/>
      <c r="Y3635" s="9"/>
      <c r="Z3635" s="2"/>
    </row>
    <row r="3636" spans="1:26">
      <c r="A3636" s="4"/>
      <c r="B3636" s="4"/>
      <c r="C3636" s="4"/>
      <c r="D3636" s="4"/>
      <c r="E3636" s="4"/>
      <c r="F3636" s="4"/>
      <c r="G3636" s="4"/>
      <c r="H3636" s="4"/>
      <c r="I3636" s="4"/>
      <c r="J3636" s="4"/>
      <c r="K3636" s="4"/>
      <c r="L3636" s="3"/>
      <c r="M3636" s="6"/>
      <c r="N3636" s="6"/>
      <c r="O3636" s="6"/>
      <c r="P3636" s="5"/>
      <c r="Q3636" s="9"/>
      <c r="R3636" s="5"/>
      <c r="S3636" s="5"/>
      <c r="T3636" s="5"/>
      <c r="U3636" s="5"/>
      <c r="V3636" s="5"/>
      <c r="W3636" s="5"/>
      <c r="X3636" s="5"/>
      <c r="Y3636" s="9"/>
      <c r="Z3636" s="2"/>
    </row>
    <row r="3637" spans="1:26">
      <c r="A3637" s="4"/>
      <c r="B3637" s="4"/>
      <c r="C3637" s="4"/>
      <c r="D3637" s="4"/>
      <c r="E3637" s="4"/>
      <c r="F3637" s="4"/>
      <c r="G3637" s="4"/>
      <c r="H3637" s="4"/>
      <c r="I3637" s="4"/>
      <c r="J3637" s="4"/>
      <c r="K3637" s="4"/>
      <c r="L3637" s="3"/>
      <c r="M3637" s="6"/>
      <c r="N3637" s="6"/>
      <c r="O3637" s="6"/>
      <c r="P3637" s="5"/>
      <c r="Q3637" s="9"/>
      <c r="R3637" s="5"/>
      <c r="S3637" s="5"/>
      <c r="T3637" s="5"/>
      <c r="U3637" s="5"/>
      <c r="V3637" s="5"/>
      <c r="W3637" s="5"/>
      <c r="X3637" s="5"/>
      <c r="Y3637" s="9"/>
      <c r="Z3637" s="2"/>
    </row>
    <row r="3638" spans="1:26">
      <c r="A3638" s="4"/>
      <c r="B3638" s="4"/>
      <c r="C3638" s="4"/>
      <c r="D3638" s="4"/>
      <c r="E3638" s="4"/>
      <c r="F3638" s="4"/>
      <c r="G3638" s="4"/>
      <c r="H3638" s="4"/>
      <c r="I3638" s="4"/>
      <c r="J3638" s="4"/>
      <c r="K3638" s="4"/>
      <c r="L3638" s="3"/>
      <c r="M3638" s="6"/>
      <c r="N3638" s="6"/>
      <c r="O3638" s="6"/>
      <c r="P3638" s="5"/>
      <c r="Q3638" s="9"/>
      <c r="R3638" s="5"/>
      <c r="S3638" s="5"/>
      <c r="T3638" s="5"/>
      <c r="U3638" s="5"/>
      <c r="V3638" s="5"/>
      <c r="W3638" s="5"/>
      <c r="X3638" s="5"/>
      <c r="Y3638" s="9"/>
      <c r="Z3638" s="2"/>
    </row>
    <row r="3639" spans="1:26">
      <c r="A3639" s="4"/>
      <c r="B3639" s="4"/>
      <c r="C3639" s="4"/>
      <c r="D3639" s="4"/>
      <c r="E3639" s="4"/>
      <c r="F3639" s="4"/>
      <c r="G3639" s="4"/>
      <c r="H3639" s="4"/>
      <c r="I3639" s="4"/>
      <c r="J3639" s="4"/>
      <c r="K3639" s="4"/>
      <c r="L3639" s="3"/>
      <c r="M3639" s="6"/>
      <c r="N3639" s="6"/>
      <c r="O3639" s="6"/>
      <c r="P3639" s="5"/>
      <c r="Q3639" s="9"/>
      <c r="R3639" s="5"/>
      <c r="S3639" s="5"/>
      <c r="T3639" s="5"/>
      <c r="U3639" s="5"/>
      <c r="V3639" s="5"/>
      <c r="W3639" s="5"/>
      <c r="X3639" s="5"/>
      <c r="Y3639" s="9"/>
      <c r="Z3639" s="2"/>
    </row>
    <row r="3640" spans="1:26">
      <c r="A3640" s="4"/>
      <c r="B3640" s="4"/>
      <c r="C3640" s="4"/>
      <c r="D3640" s="4"/>
      <c r="E3640" s="4"/>
      <c r="F3640" s="4"/>
      <c r="G3640" s="4"/>
      <c r="H3640" s="4"/>
      <c r="I3640" s="4"/>
      <c r="J3640" s="4"/>
      <c r="K3640" s="4"/>
      <c r="L3640" s="3"/>
      <c r="M3640" s="6"/>
      <c r="N3640" s="6"/>
      <c r="O3640" s="6"/>
      <c r="P3640" s="5"/>
      <c r="Q3640" s="9"/>
      <c r="R3640" s="5"/>
      <c r="S3640" s="5"/>
      <c r="T3640" s="5"/>
      <c r="U3640" s="5"/>
      <c r="V3640" s="5"/>
      <c r="W3640" s="5"/>
      <c r="X3640" s="5"/>
      <c r="Y3640" s="9"/>
      <c r="Z3640" s="2"/>
    </row>
    <row r="3641" spans="1:26">
      <c r="A3641" s="4"/>
      <c r="B3641" s="4"/>
      <c r="C3641" s="4"/>
      <c r="D3641" s="4"/>
      <c r="E3641" s="4"/>
      <c r="F3641" s="4"/>
      <c r="G3641" s="4"/>
      <c r="H3641" s="4"/>
      <c r="I3641" s="4"/>
      <c r="J3641" s="4"/>
      <c r="K3641" s="4"/>
      <c r="L3641" s="3"/>
      <c r="M3641" s="6"/>
      <c r="N3641" s="6"/>
      <c r="O3641" s="6"/>
      <c r="P3641" s="5"/>
      <c r="Q3641" s="9"/>
      <c r="R3641" s="5"/>
      <c r="S3641" s="5"/>
      <c r="T3641" s="5"/>
      <c r="U3641" s="5"/>
      <c r="V3641" s="5"/>
      <c r="W3641" s="5"/>
      <c r="X3641" s="5"/>
      <c r="Y3641" s="9"/>
      <c r="Z3641" s="2"/>
    </row>
    <row r="3642" spans="1:26">
      <c r="A3642" s="4"/>
      <c r="B3642" s="4"/>
      <c r="C3642" s="4"/>
      <c r="D3642" s="4"/>
      <c r="E3642" s="4"/>
      <c r="F3642" s="4"/>
      <c r="G3642" s="4"/>
      <c r="H3642" s="4"/>
      <c r="I3642" s="4"/>
      <c r="J3642" s="4"/>
      <c r="K3642" s="4"/>
      <c r="L3642" s="3"/>
      <c r="M3642" s="6"/>
      <c r="N3642" s="6"/>
      <c r="O3642" s="6"/>
      <c r="P3642" s="5"/>
      <c r="Q3642" s="9"/>
      <c r="R3642" s="5"/>
      <c r="S3642" s="5"/>
      <c r="T3642" s="5"/>
      <c r="U3642" s="5"/>
      <c r="V3642" s="5"/>
      <c r="W3642" s="5"/>
      <c r="X3642" s="5"/>
      <c r="Y3642" s="9"/>
      <c r="Z3642" s="2"/>
    </row>
    <row r="3643" spans="1:26">
      <c r="A3643" s="4"/>
      <c r="B3643" s="4"/>
      <c r="C3643" s="4"/>
      <c r="D3643" s="4"/>
      <c r="E3643" s="4"/>
      <c r="F3643" s="4"/>
      <c r="G3643" s="4"/>
      <c r="H3643" s="4"/>
      <c r="I3643" s="4"/>
      <c r="J3643" s="4"/>
      <c r="K3643" s="4"/>
      <c r="L3643" s="3"/>
      <c r="M3643" s="6"/>
      <c r="N3643" s="6"/>
      <c r="O3643" s="6"/>
      <c r="P3643" s="5"/>
      <c r="Q3643" s="9"/>
      <c r="R3643" s="5"/>
      <c r="S3643" s="5"/>
      <c r="T3643" s="5"/>
      <c r="U3643" s="5"/>
      <c r="V3643" s="5"/>
      <c r="W3643" s="5"/>
      <c r="X3643" s="5"/>
      <c r="Y3643" s="9"/>
      <c r="Z3643" s="2"/>
    </row>
    <row r="3644" spans="1:26">
      <c r="A3644" s="4"/>
      <c r="B3644" s="4"/>
      <c r="C3644" s="4"/>
      <c r="D3644" s="4"/>
      <c r="E3644" s="4"/>
      <c r="F3644" s="4"/>
      <c r="G3644" s="4"/>
      <c r="H3644" s="4"/>
      <c r="I3644" s="4"/>
      <c r="J3644" s="4"/>
      <c r="K3644" s="4"/>
      <c r="L3644" s="3"/>
      <c r="M3644" s="6"/>
      <c r="N3644" s="6"/>
      <c r="O3644" s="6"/>
      <c r="P3644" s="5"/>
      <c r="Q3644" s="9"/>
      <c r="R3644" s="5"/>
      <c r="S3644" s="5"/>
      <c r="T3644" s="5"/>
      <c r="U3644" s="5"/>
      <c r="V3644" s="5"/>
      <c r="W3644" s="5"/>
      <c r="X3644" s="5"/>
      <c r="Y3644" s="9"/>
      <c r="Z3644" s="2"/>
    </row>
    <row r="3645" spans="1:26">
      <c r="A3645" s="4"/>
      <c r="B3645" s="4"/>
      <c r="C3645" s="4"/>
      <c r="D3645" s="4"/>
      <c r="E3645" s="4"/>
      <c r="F3645" s="4"/>
      <c r="G3645" s="4"/>
      <c r="H3645" s="4"/>
      <c r="I3645" s="4"/>
      <c r="J3645" s="4"/>
      <c r="K3645" s="4"/>
      <c r="L3645" s="3"/>
      <c r="M3645" s="6"/>
      <c r="N3645" s="6"/>
      <c r="O3645" s="6"/>
      <c r="P3645" s="5"/>
      <c r="Q3645" s="9"/>
      <c r="R3645" s="5"/>
      <c r="S3645" s="5"/>
      <c r="T3645" s="5"/>
      <c r="U3645" s="5"/>
      <c r="V3645" s="5"/>
      <c r="W3645" s="5"/>
      <c r="X3645" s="5"/>
      <c r="Y3645" s="9"/>
      <c r="Z3645" s="2"/>
    </row>
    <row r="3646" spans="1:26">
      <c r="A3646" s="4"/>
      <c r="B3646" s="4"/>
      <c r="C3646" s="4"/>
      <c r="D3646" s="4"/>
      <c r="E3646" s="4"/>
      <c r="F3646" s="4"/>
      <c r="G3646" s="4"/>
      <c r="H3646" s="4"/>
      <c r="I3646" s="4"/>
      <c r="J3646" s="4"/>
      <c r="K3646" s="4"/>
      <c r="L3646" s="3"/>
      <c r="M3646" s="6"/>
      <c r="N3646" s="6"/>
      <c r="O3646" s="6"/>
      <c r="P3646" s="5"/>
      <c r="Q3646" s="9"/>
      <c r="R3646" s="5"/>
      <c r="S3646" s="5"/>
      <c r="T3646" s="5"/>
      <c r="U3646" s="5"/>
      <c r="V3646" s="5"/>
      <c r="W3646" s="5"/>
      <c r="X3646" s="5"/>
      <c r="Y3646" s="9"/>
      <c r="Z3646" s="2"/>
    </row>
    <row r="3647" spans="1:26">
      <c r="A3647" s="4"/>
      <c r="B3647" s="4"/>
      <c r="C3647" s="4"/>
      <c r="D3647" s="4"/>
      <c r="E3647" s="4"/>
      <c r="F3647" s="4"/>
      <c r="G3647" s="4"/>
      <c r="H3647" s="4"/>
      <c r="I3647" s="4"/>
      <c r="J3647" s="4"/>
      <c r="K3647" s="4"/>
      <c r="L3647" s="3"/>
      <c r="M3647" s="6"/>
      <c r="N3647" s="6"/>
      <c r="O3647" s="6"/>
      <c r="P3647" s="5"/>
      <c r="Q3647" s="9"/>
      <c r="R3647" s="5"/>
      <c r="S3647" s="5"/>
      <c r="T3647" s="5"/>
      <c r="U3647" s="5"/>
      <c r="V3647" s="5"/>
      <c r="W3647" s="5"/>
      <c r="X3647" s="5"/>
      <c r="Y3647" s="9"/>
      <c r="Z3647" s="2"/>
    </row>
    <row r="3648" spans="1:26">
      <c r="A3648" s="4"/>
      <c r="B3648" s="4"/>
      <c r="C3648" s="4"/>
      <c r="D3648" s="4"/>
      <c r="E3648" s="4"/>
      <c r="F3648" s="4"/>
      <c r="G3648" s="4"/>
      <c r="H3648" s="4"/>
      <c r="I3648" s="4"/>
      <c r="J3648" s="4"/>
      <c r="K3648" s="4"/>
      <c r="L3648" s="3"/>
      <c r="M3648" s="6"/>
      <c r="N3648" s="6"/>
      <c r="O3648" s="6"/>
      <c r="P3648" s="5"/>
      <c r="Q3648" s="9"/>
      <c r="R3648" s="5"/>
      <c r="S3648" s="5"/>
      <c r="T3648" s="5"/>
      <c r="U3648" s="5"/>
      <c r="V3648" s="5"/>
      <c r="W3648" s="5"/>
      <c r="X3648" s="5"/>
      <c r="Y3648" s="9"/>
      <c r="Z3648" s="2"/>
    </row>
    <row r="3649" spans="1:26">
      <c r="A3649" s="4"/>
      <c r="B3649" s="4"/>
      <c r="C3649" s="4"/>
      <c r="D3649" s="4"/>
      <c r="E3649" s="4"/>
      <c r="F3649" s="4"/>
      <c r="G3649" s="4"/>
      <c r="H3649" s="4"/>
      <c r="I3649" s="4"/>
      <c r="J3649" s="4"/>
      <c r="K3649" s="4"/>
      <c r="L3649" s="3"/>
      <c r="M3649" s="6"/>
      <c r="N3649" s="6"/>
      <c r="O3649" s="6"/>
      <c r="P3649" s="5"/>
      <c r="Q3649" s="9"/>
      <c r="R3649" s="5"/>
      <c r="S3649" s="5"/>
      <c r="T3649" s="5"/>
      <c r="U3649" s="5"/>
      <c r="V3649" s="5"/>
      <c r="W3649" s="5"/>
      <c r="X3649" s="5"/>
      <c r="Y3649" s="9"/>
      <c r="Z3649" s="2"/>
    </row>
    <row r="3650" spans="1:26">
      <c r="A3650" s="4"/>
      <c r="B3650" s="4"/>
      <c r="C3650" s="4"/>
      <c r="D3650" s="4"/>
      <c r="E3650" s="4"/>
      <c r="F3650" s="4"/>
      <c r="G3650" s="4"/>
      <c r="H3650" s="4"/>
      <c r="I3650" s="4"/>
      <c r="J3650" s="4"/>
      <c r="K3650" s="4"/>
      <c r="L3650" s="3"/>
      <c r="M3650" s="6"/>
      <c r="N3650" s="6"/>
      <c r="O3650" s="6"/>
      <c r="P3650" s="5"/>
      <c r="Q3650" s="9"/>
      <c r="R3650" s="5"/>
      <c r="S3650" s="5"/>
      <c r="T3650" s="5"/>
      <c r="U3650" s="5"/>
      <c r="V3650" s="5"/>
      <c r="W3650" s="5"/>
      <c r="X3650" s="5"/>
      <c r="Y3650" s="9"/>
      <c r="Z3650" s="2"/>
    </row>
    <row r="3651" spans="1:26">
      <c r="A3651" s="4"/>
      <c r="B3651" s="4"/>
      <c r="C3651" s="4"/>
      <c r="D3651" s="4"/>
      <c r="E3651" s="4"/>
      <c r="F3651" s="4"/>
      <c r="G3651" s="4"/>
      <c r="H3651" s="4"/>
      <c r="I3651" s="4"/>
      <c r="J3651" s="4"/>
      <c r="K3651" s="4"/>
      <c r="L3651" s="3"/>
      <c r="M3651" s="6"/>
      <c r="N3651" s="6"/>
      <c r="O3651" s="6"/>
      <c r="P3651" s="5"/>
      <c r="Q3651" s="9"/>
      <c r="R3651" s="5"/>
      <c r="S3651" s="5"/>
      <c r="T3651" s="5"/>
      <c r="U3651" s="5"/>
      <c r="V3651" s="5"/>
      <c r="W3651" s="5"/>
      <c r="X3651" s="5"/>
      <c r="Y3651" s="9"/>
      <c r="Z3651" s="2"/>
    </row>
    <row r="3652" spans="1:26">
      <c r="A3652" s="4"/>
      <c r="B3652" s="4"/>
      <c r="C3652" s="4"/>
      <c r="D3652" s="4"/>
      <c r="E3652" s="4"/>
      <c r="F3652" s="4"/>
      <c r="G3652" s="4"/>
      <c r="H3652" s="4"/>
      <c r="I3652" s="4"/>
      <c r="J3652" s="4"/>
      <c r="K3652" s="4"/>
      <c r="L3652" s="3"/>
      <c r="M3652" s="6"/>
      <c r="N3652" s="6"/>
      <c r="O3652" s="6"/>
      <c r="P3652" s="5"/>
      <c r="Q3652" s="9"/>
      <c r="R3652" s="5"/>
      <c r="S3652" s="5"/>
      <c r="T3652" s="5"/>
      <c r="U3652" s="5"/>
      <c r="V3652" s="5"/>
      <c r="W3652" s="5"/>
      <c r="X3652" s="5"/>
      <c r="Y3652" s="9"/>
      <c r="Z3652" s="2"/>
    </row>
    <row r="3653" spans="1:26">
      <c r="A3653" s="4"/>
      <c r="B3653" s="4"/>
      <c r="C3653" s="4"/>
      <c r="D3653" s="4"/>
      <c r="E3653" s="4"/>
      <c r="F3653" s="4"/>
      <c r="G3653" s="4"/>
      <c r="H3653" s="4"/>
      <c r="I3653" s="4"/>
      <c r="J3653" s="4"/>
      <c r="K3653" s="4"/>
      <c r="L3653" s="3"/>
      <c r="M3653" s="6"/>
      <c r="N3653" s="6"/>
      <c r="O3653" s="6"/>
      <c r="P3653" s="5"/>
      <c r="Q3653" s="9"/>
      <c r="R3653" s="5"/>
      <c r="S3653" s="5"/>
      <c r="T3653" s="5"/>
      <c r="U3653" s="5"/>
      <c r="V3653" s="5"/>
      <c r="W3653" s="5"/>
      <c r="X3653" s="5"/>
      <c r="Y3653" s="9"/>
      <c r="Z3653" s="2"/>
    </row>
    <row r="3654" spans="1:26">
      <c r="A3654" s="4"/>
      <c r="B3654" s="4"/>
      <c r="C3654" s="4"/>
      <c r="D3654" s="4"/>
      <c r="E3654" s="4"/>
      <c r="F3654" s="4"/>
      <c r="G3654" s="4"/>
      <c r="H3654" s="4"/>
      <c r="I3654" s="4"/>
      <c r="J3654" s="4"/>
      <c r="K3654" s="4"/>
      <c r="L3654" s="3"/>
      <c r="M3654" s="6"/>
      <c r="N3654" s="6"/>
      <c r="O3654" s="6"/>
      <c r="P3654" s="5"/>
      <c r="Q3654" s="9"/>
      <c r="R3654" s="5"/>
      <c r="S3654" s="5"/>
      <c r="T3654" s="5"/>
      <c r="U3654" s="5"/>
      <c r="V3654" s="5"/>
      <c r="W3654" s="5"/>
      <c r="X3654" s="5"/>
      <c r="Y3654" s="9"/>
      <c r="Z3654" s="2"/>
    </row>
    <row r="3655" spans="1:26">
      <c r="A3655" s="4"/>
      <c r="B3655" s="4"/>
      <c r="C3655" s="4"/>
      <c r="D3655" s="4"/>
      <c r="E3655" s="4"/>
      <c r="F3655" s="4"/>
      <c r="G3655" s="4"/>
      <c r="H3655" s="4"/>
      <c r="I3655" s="4"/>
      <c r="J3655" s="4"/>
      <c r="K3655" s="4"/>
      <c r="L3655" s="3"/>
      <c r="M3655" s="6"/>
      <c r="N3655" s="6"/>
      <c r="O3655" s="6"/>
      <c r="P3655" s="5"/>
      <c r="Q3655" s="9"/>
      <c r="R3655" s="5"/>
      <c r="S3655" s="5"/>
      <c r="T3655" s="5"/>
      <c r="U3655" s="5"/>
      <c r="V3655" s="5"/>
      <c r="W3655" s="5"/>
      <c r="X3655" s="5"/>
      <c r="Y3655" s="9"/>
      <c r="Z3655" s="2"/>
    </row>
    <row r="3656" spans="1:26">
      <c r="A3656" s="4"/>
      <c r="B3656" s="4"/>
      <c r="C3656" s="4"/>
      <c r="D3656" s="4"/>
      <c r="E3656" s="4"/>
      <c r="F3656" s="4"/>
      <c r="G3656" s="4"/>
      <c r="H3656" s="4"/>
      <c r="I3656" s="4"/>
      <c r="J3656" s="4"/>
      <c r="K3656" s="4"/>
      <c r="L3656" s="3"/>
      <c r="M3656" s="6"/>
      <c r="N3656" s="6"/>
      <c r="O3656" s="6"/>
      <c r="P3656" s="5"/>
      <c r="Q3656" s="9"/>
      <c r="R3656" s="5"/>
      <c r="S3656" s="5"/>
      <c r="T3656" s="5"/>
      <c r="U3656" s="5"/>
      <c r="V3656" s="5"/>
      <c r="W3656" s="5"/>
      <c r="X3656" s="5"/>
      <c r="Y3656" s="9"/>
      <c r="Z3656" s="2"/>
    </row>
    <row r="3657" spans="1:26">
      <c r="A3657" s="4"/>
      <c r="B3657" s="4"/>
      <c r="C3657" s="4"/>
      <c r="D3657" s="4"/>
      <c r="E3657" s="4"/>
      <c r="F3657" s="4"/>
      <c r="G3657" s="4"/>
      <c r="H3657" s="4"/>
      <c r="I3657" s="4"/>
      <c r="J3657" s="4"/>
      <c r="K3657" s="4"/>
      <c r="L3657" s="3"/>
      <c r="M3657" s="6"/>
      <c r="N3657" s="6"/>
      <c r="O3657" s="6"/>
      <c r="P3657" s="5"/>
      <c r="Q3657" s="9"/>
      <c r="R3657" s="5"/>
      <c r="S3657" s="5"/>
      <c r="T3657" s="5"/>
      <c r="U3657" s="5"/>
      <c r="V3657" s="5"/>
      <c r="W3657" s="5"/>
      <c r="X3657" s="5"/>
      <c r="Y3657" s="9"/>
      <c r="Z3657" s="2"/>
    </row>
    <row r="3658" spans="1:26">
      <c r="A3658" s="4"/>
      <c r="B3658" s="4"/>
      <c r="C3658" s="4"/>
      <c r="D3658" s="4"/>
      <c r="E3658" s="4"/>
      <c r="F3658" s="4"/>
      <c r="G3658" s="4"/>
      <c r="H3658" s="4"/>
      <c r="I3658" s="4"/>
      <c r="J3658" s="4"/>
      <c r="K3658" s="4"/>
      <c r="L3658" s="3"/>
      <c r="M3658" s="6"/>
      <c r="N3658" s="6"/>
      <c r="O3658" s="6"/>
      <c r="P3658" s="5"/>
      <c r="Q3658" s="9"/>
      <c r="R3658" s="5"/>
      <c r="S3658" s="5"/>
      <c r="T3658" s="5"/>
      <c r="U3658" s="5"/>
      <c r="V3658" s="5"/>
      <c r="W3658" s="5"/>
      <c r="X3658" s="5"/>
      <c r="Y3658" s="9"/>
      <c r="Z3658" s="2"/>
    </row>
    <row r="3659" spans="1:26">
      <c r="A3659" s="4"/>
      <c r="B3659" s="4"/>
      <c r="C3659" s="4"/>
      <c r="D3659" s="4"/>
      <c r="E3659" s="4"/>
      <c r="F3659" s="4"/>
      <c r="G3659" s="4"/>
      <c r="H3659" s="4"/>
      <c r="I3659" s="4"/>
      <c r="J3659" s="4"/>
      <c r="K3659" s="4"/>
      <c r="L3659" s="3"/>
      <c r="M3659" s="6"/>
      <c r="N3659" s="6"/>
      <c r="O3659" s="6"/>
      <c r="P3659" s="5"/>
      <c r="Q3659" s="9"/>
      <c r="R3659" s="5"/>
      <c r="S3659" s="5"/>
      <c r="T3659" s="5"/>
      <c r="U3659" s="5"/>
      <c r="V3659" s="5"/>
      <c r="W3659" s="5"/>
      <c r="X3659" s="5"/>
      <c r="Y3659" s="9"/>
      <c r="Z3659" s="2"/>
    </row>
    <row r="3660" spans="1:26">
      <c r="A3660" s="4"/>
      <c r="B3660" s="4"/>
      <c r="C3660" s="4"/>
      <c r="D3660" s="4"/>
      <c r="E3660" s="4"/>
      <c r="F3660" s="4"/>
      <c r="G3660" s="4"/>
      <c r="H3660" s="4"/>
      <c r="I3660" s="4"/>
      <c r="J3660" s="4"/>
      <c r="K3660" s="4"/>
      <c r="L3660" s="3"/>
      <c r="M3660" s="6"/>
      <c r="N3660" s="6"/>
      <c r="O3660" s="6"/>
      <c r="P3660" s="5"/>
      <c r="Q3660" s="9"/>
      <c r="R3660" s="5"/>
      <c r="S3660" s="5"/>
      <c r="T3660" s="5"/>
      <c r="U3660" s="5"/>
      <c r="V3660" s="5"/>
      <c r="W3660" s="5"/>
      <c r="X3660" s="5"/>
      <c r="Y3660" s="9"/>
      <c r="Z3660" s="2"/>
    </row>
    <row r="3661" spans="1:26">
      <c r="A3661" s="4"/>
      <c r="B3661" s="4"/>
      <c r="C3661" s="4"/>
      <c r="D3661" s="4"/>
      <c r="E3661" s="4"/>
      <c r="F3661" s="4"/>
      <c r="G3661" s="4"/>
      <c r="H3661" s="4"/>
      <c r="I3661" s="4"/>
      <c r="J3661" s="4"/>
      <c r="K3661" s="4"/>
      <c r="L3661" s="3"/>
      <c r="M3661" s="6"/>
      <c r="N3661" s="6"/>
      <c r="O3661" s="6"/>
      <c r="P3661" s="5"/>
      <c r="Q3661" s="9"/>
      <c r="R3661" s="5"/>
      <c r="S3661" s="5"/>
      <c r="T3661" s="5"/>
      <c r="U3661" s="5"/>
      <c r="V3661" s="5"/>
      <c r="W3661" s="5"/>
      <c r="X3661" s="5"/>
      <c r="Y3661" s="9"/>
      <c r="Z3661" s="2"/>
    </row>
    <row r="3662" spans="1:26">
      <c r="A3662" s="4"/>
      <c r="B3662" s="4"/>
      <c r="C3662" s="4"/>
      <c r="D3662" s="4"/>
      <c r="E3662" s="4"/>
      <c r="F3662" s="4"/>
      <c r="G3662" s="4"/>
      <c r="H3662" s="4"/>
      <c r="I3662" s="4"/>
      <c r="J3662" s="4"/>
      <c r="K3662" s="4"/>
      <c r="L3662" s="3"/>
      <c r="M3662" s="6"/>
      <c r="N3662" s="6"/>
      <c r="O3662" s="6"/>
      <c r="P3662" s="5"/>
      <c r="Q3662" s="9"/>
      <c r="R3662" s="5"/>
      <c r="S3662" s="5"/>
      <c r="T3662" s="5"/>
      <c r="U3662" s="5"/>
      <c r="V3662" s="5"/>
      <c r="W3662" s="5"/>
      <c r="X3662" s="5"/>
      <c r="Y3662" s="9"/>
      <c r="Z3662" s="2"/>
    </row>
    <row r="3663" spans="1:26">
      <c r="A3663" s="4"/>
      <c r="B3663" s="4"/>
      <c r="C3663" s="4"/>
      <c r="D3663" s="4"/>
      <c r="E3663" s="4"/>
      <c r="F3663" s="4"/>
      <c r="G3663" s="4"/>
      <c r="H3663" s="4"/>
      <c r="I3663" s="4"/>
      <c r="J3663" s="4"/>
      <c r="K3663" s="4"/>
      <c r="L3663" s="3"/>
      <c r="M3663" s="6"/>
      <c r="N3663" s="6"/>
      <c r="O3663" s="6"/>
      <c r="P3663" s="5"/>
      <c r="Q3663" s="9"/>
      <c r="R3663" s="5"/>
      <c r="S3663" s="5"/>
      <c r="T3663" s="5"/>
      <c r="U3663" s="5"/>
      <c r="V3663" s="5"/>
      <c r="W3663" s="5"/>
      <c r="X3663" s="5"/>
      <c r="Y3663" s="9"/>
      <c r="Z3663" s="2"/>
    </row>
    <row r="3664" spans="1:26">
      <c r="A3664" s="4"/>
      <c r="B3664" s="4"/>
      <c r="C3664" s="4"/>
      <c r="D3664" s="4"/>
      <c r="E3664" s="4"/>
      <c r="F3664" s="4"/>
      <c r="G3664" s="4"/>
      <c r="H3664" s="4"/>
      <c r="I3664" s="4"/>
      <c r="J3664" s="4"/>
      <c r="K3664" s="4"/>
      <c r="L3664" s="3"/>
      <c r="M3664" s="6"/>
      <c r="N3664" s="6"/>
      <c r="O3664" s="6"/>
      <c r="P3664" s="5"/>
      <c r="Q3664" s="9"/>
      <c r="R3664" s="5"/>
      <c r="S3664" s="5"/>
      <c r="T3664" s="5"/>
      <c r="U3664" s="5"/>
      <c r="V3664" s="5"/>
      <c r="W3664" s="5"/>
      <c r="X3664" s="5"/>
      <c r="Y3664" s="9"/>
      <c r="Z3664" s="2"/>
    </row>
    <row r="3665" spans="1:26">
      <c r="A3665" s="4"/>
      <c r="B3665" s="4"/>
      <c r="C3665" s="4"/>
      <c r="D3665" s="4"/>
      <c r="E3665" s="4"/>
      <c r="F3665" s="4"/>
      <c r="G3665" s="4"/>
      <c r="H3665" s="4"/>
      <c r="I3665" s="4"/>
      <c r="J3665" s="4"/>
      <c r="K3665" s="4"/>
      <c r="L3665" s="3"/>
      <c r="M3665" s="6"/>
      <c r="N3665" s="6"/>
      <c r="O3665" s="6"/>
      <c r="P3665" s="5"/>
      <c r="Q3665" s="9"/>
      <c r="R3665" s="5"/>
      <c r="S3665" s="5"/>
      <c r="T3665" s="5"/>
      <c r="U3665" s="5"/>
      <c r="V3665" s="5"/>
      <c r="W3665" s="5"/>
      <c r="X3665" s="5"/>
      <c r="Y3665" s="9"/>
      <c r="Z3665" s="2"/>
    </row>
    <row r="3666" spans="1:26">
      <c r="A3666" s="4"/>
      <c r="B3666" s="4"/>
      <c r="C3666" s="4"/>
      <c r="D3666" s="4"/>
      <c r="E3666" s="4"/>
      <c r="F3666" s="4"/>
      <c r="G3666" s="4"/>
      <c r="H3666" s="4"/>
      <c r="I3666" s="4"/>
      <c r="J3666" s="4"/>
      <c r="K3666" s="4"/>
      <c r="L3666" s="3"/>
      <c r="M3666" s="6"/>
      <c r="N3666" s="6"/>
      <c r="O3666" s="6"/>
      <c r="P3666" s="5"/>
      <c r="Q3666" s="9"/>
      <c r="R3666" s="5"/>
      <c r="S3666" s="5"/>
      <c r="T3666" s="5"/>
      <c r="U3666" s="5"/>
      <c r="V3666" s="5"/>
      <c r="W3666" s="5"/>
      <c r="X3666" s="5"/>
      <c r="Y3666" s="9"/>
      <c r="Z3666" s="2"/>
    </row>
    <row r="3667" spans="1:26">
      <c r="A3667" s="4"/>
      <c r="B3667" s="4"/>
      <c r="C3667" s="4"/>
      <c r="D3667" s="4"/>
      <c r="E3667" s="4"/>
      <c r="F3667" s="4"/>
      <c r="G3667" s="4"/>
      <c r="H3667" s="4"/>
      <c r="I3667" s="4"/>
      <c r="J3667" s="4"/>
      <c r="K3667" s="4"/>
      <c r="L3667" s="3"/>
      <c r="M3667" s="6"/>
      <c r="N3667" s="6"/>
      <c r="O3667" s="6"/>
      <c r="P3667" s="5"/>
      <c r="Q3667" s="9"/>
      <c r="R3667" s="5"/>
      <c r="S3667" s="5"/>
      <c r="T3667" s="5"/>
      <c r="U3667" s="5"/>
      <c r="V3667" s="5"/>
      <c r="W3667" s="5"/>
      <c r="X3667" s="5"/>
      <c r="Y3667" s="9"/>
      <c r="Z3667" s="2"/>
    </row>
    <row r="3668" spans="1:26">
      <c r="A3668" s="4"/>
      <c r="B3668" s="4"/>
      <c r="C3668" s="4"/>
      <c r="D3668" s="4"/>
      <c r="E3668" s="4"/>
      <c r="F3668" s="4"/>
      <c r="G3668" s="4"/>
      <c r="H3668" s="4"/>
      <c r="I3668" s="4"/>
      <c r="J3668" s="4"/>
      <c r="K3668" s="4"/>
      <c r="L3668" s="3"/>
      <c r="M3668" s="6"/>
      <c r="N3668" s="6"/>
      <c r="O3668" s="6"/>
      <c r="P3668" s="5"/>
      <c r="Q3668" s="9"/>
      <c r="R3668" s="5"/>
      <c r="S3668" s="5"/>
      <c r="T3668" s="5"/>
      <c r="U3668" s="5"/>
      <c r="V3668" s="5"/>
      <c r="W3668" s="5"/>
      <c r="X3668" s="5"/>
      <c r="Y3668" s="9"/>
      <c r="Z3668" s="2"/>
    </row>
    <row r="3669" spans="1:26">
      <c r="A3669" s="4"/>
      <c r="B3669" s="4"/>
      <c r="C3669" s="4"/>
      <c r="D3669" s="4"/>
      <c r="E3669" s="4"/>
      <c r="F3669" s="4"/>
      <c r="G3669" s="4"/>
      <c r="H3669" s="4"/>
      <c r="I3669" s="4"/>
      <c r="J3669" s="4"/>
      <c r="K3669" s="4"/>
      <c r="L3669" s="3"/>
      <c r="M3669" s="6"/>
      <c r="N3669" s="6"/>
      <c r="O3669" s="6"/>
      <c r="P3669" s="5"/>
      <c r="Q3669" s="9"/>
      <c r="R3669" s="5"/>
      <c r="S3669" s="5"/>
      <c r="T3669" s="5"/>
      <c r="U3669" s="5"/>
      <c r="V3669" s="5"/>
      <c r="W3669" s="5"/>
      <c r="X3669" s="5"/>
      <c r="Y3669" s="9"/>
      <c r="Z3669" s="2"/>
    </row>
    <row r="3670" spans="1:26">
      <c r="A3670" s="4"/>
      <c r="B3670" s="4"/>
      <c r="C3670" s="4"/>
      <c r="D3670" s="4"/>
      <c r="E3670" s="4"/>
      <c r="F3670" s="4"/>
      <c r="G3670" s="4"/>
      <c r="H3670" s="4"/>
      <c r="I3670" s="4"/>
      <c r="J3670" s="4"/>
      <c r="K3670" s="4"/>
      <c r="L3670" s="3"/>
      <c r="M3670" s="6"/>
      <c r="N3670" s="6"/>
      <c r="O3670" s="6"/>
      <c r="P3670" s="5"/>
      <c r="Q3670" s="9"/>
      <c r="R3670" s="5"/>
      <c r="S3670" s="5"/>
      <c r="T3670" s="5"/>
      <c r="U3670" s="5"/>
      <c r="V3670" s="5"/>
      <c r="W3670" s="5"/>
      <c r="X3670" s="5"/>
      <c r="Y3670" s="9"/>
      <c r="Z3670" s="2"/>
    </row>
    <row r="3671" spans="1:26">
      <c r="A3671" s="4"/>
      <c r="B3671" s="4"/>
      <c r="C3671" s="4"/>
      <c r="D3671" s="4"/>
      <c r="E3671" s="4"/>
      <c r="F3671" s="4"/>
      <c r="G3671" s="4"/>
      <c r="H3671" s="4"/>
      <c r="I3671" s="4"/>
      <c r="J3671" s="4"/>
      <c r="K3671" s="4"/>
      <c r="L3671" s="3"/>
      <c r="M3671" s="6"/>
      <c r="N3671" s="6"/>
      <c r="O3671" s="6"/>
      <c r="P3671" s="5"/>
      <c r="Q3671" s="9"/>
      <c r="R3671" s="5"/>
      <c r="S3671" s="5"/>
      <c r="T3671" s="5"/>
      <c r="U3671" s="5"/>
      <c r="V3671" s="5"/>
      <c r="W3671" s="5"/>
      <c r="X3671" s="5"/>
      <c r="Y3671" s="9"/>
      <c r="Z3671" s="2"/>
    </row>
    <row r="3672" spans="1:26">
      <c r="A3672" s="4"/>
      <c r="B3672" s="4"/>
      <c r="C3672" s="4"/>
      <c r="D3672" s="4"/>
      <c r="E3672" s="4"/>
      <c r="F3672" s="4"/>
      <c r="G3672" s="4"/>
      <c r="H3672" s="4"/>
      <c r="I3672" s="4"/>
      <c r="J3672" s="4"/>
      <c r="K3672" s="4"/>
      <c r="L3672" s="3"/>
      <c r="M3672" s="6"/>
      <c r="N3672" s="6"/>
      <c r="O3672" s="6"/>
      <c r="P3672" s="5"/>
      <c r="Q3672" s="9"/>
      <c r="R3672" s="5"/>
      <c r="S3672" s="5"/>
      <c r="T3672" s="5"/>
      <c r="U3672" s="5"/>
      <c r="V3672" s="5"/>
      <c r="W3672" s="5"/>
      <c r="X3672" s="5"/>
      <c r="Y3672" s="9"/>
      <c r="Z3672" s="2"/>
    </row>
    <row r="3673" spans="1:26">
      <c r="A3673" s="4"/>
      <c r="B3673" s="4"/>
      <c r="C3673" s="4"/>
      <c r="D3673" s="4"/>
      <c r="E3673" s="4"/>
      <c r="F3673" s="4"/>
      <c r="G3673" s="4"/>
      <c r="H3673" s="4"/>
      <c r="I3673" s="4"/>
      <c r="J3673" s="4"/>
      <c r="K3673" s="4"/>
      <c r="L3673" s="3"/>
      <c r="M3673" s="6"/>
      <c r="N3673" s="6"/>
      <c r="O3673" s="6"/>
      <c r="P3673" s="5"/>
      <c r="Q3673" s="9"/>
      <c r="R3673" s="5"/>
      <c r="S3673" s="5"/>
      <c r="T3673" s="5"/>
      <c r="U3673" s="5"/>
      <c r="V3673" s="5"/>
      <c r="W3673" s="5"/>
      <c r="X3673" s="5"/>
      <c r="Y3673" s="9"/>
      <c r="Z3673" s="2"/>
    </row>
    <row r="3674" spans="1:26">
      <c r="A3674" s="4"/>
      <c r="B3674" s="4"/>
      <c r="C3674" s="4"/>
      <c r="D3674" s="4"/>
      <c r="E3674" s="4"/>
      <c r="F3674" s="4"/>
      <c r="G3674" s="4"/>
      <c r="H3674" s="4"/>
      <c r="I3674" s="4"/>
      <c r="J3674" s="4"/>
      <c r="K3674" s="4"/>
      <c r="L3674" s="3"/>
      <c r="M3674" s="6"/>
      <c r="N3674" s="6"/>
      <c r="O3674" s="6"/>
      <c r="P3674" s="5"/>
      <c r="Q3674" s="9"/>
      <c r="R3674" s="5"/>
      <c r="S3674" s="5"/>
      <c r="T3674" s="5"/>
      <c r="U3674" s="5"/>
      <c r="V3674" s="5"/>
      <c r="W3674" s="5"/>
      <c r="X3674" s="5"/>
      <c r="Y3674" s="9"/>
      <c r="Z3674" s="2"/>
    </row>
    <row r="3675" spans="1:26">
      <c r="A3675" s="4"/>
      <c r="B3675" s="4"/>
      <c r="C3675" s="4"/>
      <c r="D3675" s="4"/>
      <c r="E3675" s="4"/>
      <c r="F3675" s="4"/>
      <c r="G3675" s="4"/>
      <c r="H3675" s="4"/>
      <c r="I3675" s="4"/>
      <c r="J3675" s="4"/>
      <c r="K3675" s="4"/>
      <c r="L3675" s="3"/>
      <c r="M3675" s="6"/>
      <c r="N3675" s="6"/>
      <c r="O3675" s="6"/>
      <c r="P3675" s="5"/>
      <c r="Q3675" s="9"/>
      <c r="R3675" s="5"/>
      <c r="S3675" s="5"/>
      <c r="T3675" s="5"/>
      <c r="U3675" s="5"/>
      <c r="V3675" s="5"/>
      <c r="W3675" s="5"/>
      <c r="X3675" s="5"/>
      <c r="Y3675" s="9"/>
      <c r="Z3675" s="2"/>
    </row>
    <row r="3676" spans="1:26">
      <c r="A3676" s="4"/>
      <c r="B3676" s="4"/>
      <c r="C3676" s="4"/>
      <c r="D3676" s="4"/>
      <c r="E3676" s="4"/>
      <c r="F3676" s="4"/>
      <c r="G3676" s="4"/>
      <c r="H3676" s="4"/>
      <c r="I3676" s="4"/>
      <c r="J3676" s="4"/>
      <c r="K3676" s="4"/>
      <c r="L3676" s="3"/>
      <c r="M3676" s="6"/>
      <c r="N3676" s="6"/>
      <c r="O3676" s="6"/>
      <c r="P3676" s="5"/>
      <c r="Q3676" s="9"/>
      <c r="R3676" s="5"/>
      <c r="S3676" s="5"/>
      <c r="T3676" s="5"/>
      <c r="U3676" s="5"/>
      <c r="V3676" s="5"/>
      <c r="W3676" s="5"/>
      <c r="X3676" s="5"/>
      <c r="Y3676" s="9"/>
      <c r="Z3676" s="2"/>
    </row>
    <row r="3677" spans="1:26">
      <c r="A3677" s="4"/>
      <c r="B3677" s="4"/>
      <c r="C3677" s="4"/>
      <c r="D3677" s="4"/>
      <c r="E3677" s="4"/>
      <c r="F3677" s="4"/>
      <c r="G3677" s="4"/>
      <c r="H3677" s="4"/>
      <c r="I3677" s="4"/>
      <c r="J3677" s="4"/>
      <c r="K3677" s="4"/>
      <c r="L3677" s="3"/>
      <c r="M3677" s="6"/>
      <c r="N3677" s="6"/>
      <c r="O3677" s="6"/>
      <c r="P3677" s="5"/>
      <c r="Q3677" s="9"/>
      <c r="R3677" s="5"/>
      <c r="S3677" s="5"/>
      <c r="T3677" s="5"/>
      <c r="U3677" s="5"/>
      <c r="V3677" s="5"/>
      <c r="W3677" s="5"/>
      <c r="X3677" s="5"/>
      <c r="Y3677" s="9"/>
      <c r="Z3677" s="2"/>
    </row>
    <row r="3678" spans="1:26">
      <c r="A3678" s="4"/>
      <c r="B3678" s="4"/>
      <c r="C3678" s="4"/>
      <c r="D3678" s="4"/>
      <c r="E3678" s="4"/>
      <c r="F3678" s="4"/>
      <c r="G3678" s="4"/>
      <c r="H3678" s="4"/>
      <c r="I3678" s="4"/>
      <c r="J3678" s="4"/>
      <c r="K3678" s="4"/>
      <c r="L3678" s="3"/>
      <c r="M3678" s="6"/>
      <c r="N3678" s="6"/>
      <c r="O3678" s="6"/>
      <c r="P3678" s="5"/>
      <c r="Q3678" s="9"/>
      <c r="R3678" s="5"/>
      <c r="S3678" s="5"/>
      <c r="T3678" s="5"/>
      <c r="U3678" s="5"/>
      <c r="V3678" s="5"/>
      <c r="W3678" s="5"/>
      <c r="X3678" s="5"/>
      <c r="Y3678" s="9"/>
      <c r="Z3678" s="2"/>
    </row>
    <row r="3679" spans="1:26">
      <c r="A3679" s="4"/>
      <c r="B3679" s="4"/>
      <c r="C3679" s="4"/>
      <c r="D3679" s="4"/>
      <c r="E3679" s="4"/>
      <c r="F3679" s="4"/>
      <c r="G3679" s="4"/>
      <c r="H3679" s="4"/>
      <c r="I3679" s="4"/>
      <c r="J3679" s="4"/>
      <c r="K3679" s="4"/>
      <c r="L3679" s="3"/>
      <c r="M3679" s="6"/>
      <c r="N3679" s="6"/>
      <c r="O3679" s="6"/>
      <c r="P3679" s="5"/>
      <c r="Q3679" s="9"/>
      <c r="R3679" s="5"/>
      <c r="S3679" s="5"/>
      <c r="T3679" s="5"/>
      <c r="U3679" s="5"/>
      <c r="V3679" s="5"/>
      <c r="W3679" s="5"/>
      <c r="X3679" s="5"/>
      <c r="Y3679" s="9"/>
      <c r="Z3679" s="2"/>
    </row>
    <row r="3680" spans="1:26">
      <c r="A3680" s="4"/>
      <c r="B3680" s="4"/>
      <c r="C3680" s="4"/>
      <c r="D3680" s="4"/>
      <c r="E3680" s="4"/>
      <c r="F3680" s="4"/>
      <c r="G3680" s="4"/>
      <c r="H3680" s="4"/>
      <c r="I3680" s="4"/>
      <c r="J3680" s="4"/>
      <c r="K3680" s="4"/>
      <c r="L3680" s="3"/>
      <c r="M3680" s="6"/>
      <c r="N3680" s="6"/>
      <c r="O3680" s="6"/>
      <c r="P3680" s="5"/>
      <c r="Q3680" s="9"/>
      <c r="R3680" s="5"/>
      <c r="S3680" s="5"/>
      <c r="T3680" s="5"/>
      <c r="U3680" s="5"/>
      <c r="V3680" s="5"/>
      <c r="W3680" s="5"/>
      <c r="X3680" s="5"/>
      <c r="Y3680" s="9"/>
      <c r="Z3680" s="2"/>
    </row>
    <row r="3681" spans="1:26">
      <c r="A3681" s="4"/>
      <c r="B3681" s="4"/>
      <c r="C3681" s="4"/>
      <c r="D3681" s="4"/>
      <c r="E3681" s="4"/>
      <c r="F3681" s="4"/>
      <c r="G3681" s="4"/>
      <c r="H3681" s="4"/>
      <c r="I3681" s="4"/>
      <c r="J3681" s="4"/>
      <c r="K3681" s="4"/>
      <c r="L3681" s="3"/>
      <c r="M3681" s="6"/>
      <c r="N3681" s="6"/>
      <c r="O3681" s="6"/>
      <c r="P3681" s="5"/>
      <c r="Q3681" s="9"/>
      <c r="R3681" s="5"/>
      <c r="S3681" s="5"/>
      <c r="T3681" s="5"/>
      <c r="U3681" s="5"/>
      <c r="V3681" s="5"/>
      <c r="W3681" s="5"/>
      <c r="X3681" s="5"/>
      <c r="Y3681" s="9"/>
      <c r="Z3681" s="2"/>
    </row>
    <row r="3682" spans="1:26">
      <c r="A3682" s="4"/>
      <c r="B3682" s="4"/>
      <c r="C3682" s="4"/>
      <c r="D3682" s="4"/>
      <c r="E3682" s="4"/>
      <c r="F3682" s="4"/>
      <c r="G3682" s="4"/>
      <c r="H3682" s="4"/>
      <c r="I3682" s="4"/>
      <c r="J3682" s="4"/>
      <c r="K3682" s="4"/>
      <c r="L3682" s="3"/>
      <c r="M3682" s="6"/>
      <c r="N3682" s="6"/>
      <c r="O3682" s="6"/>
      <c r="P3682" s="5"/>
      <c r="Q3682" s="9"/>
      <c r="R3682" s="5"/>
      <c r="S3682" s="5"/>
      <c r="T3682" s="5"/>
      <c r="U3682" s="5"/>
      <c r="V3682" s="5"/>
      <c r="W3682" s="5"/>
      <c r="X3682" s="5"/>
      <c r="Y3682" s="9"/>
      <c r="Z3682" s="2"/>
    </row>
    <row r="3683" spans="1:26">
      <c r="A3683" s="4"/>
      <c r="B3683" s="4"/>
      <c r="C3683" s="4"/>
      <c r="D3683" s="4"/>
      <c r="E3683" s="4"/>
      <c r="F3683" s="4"/>
      <c r="G3683" s="4"/>
      <c r="H3683" s="4"/>
      <c r="I3683" s="4"/>
      <c r="J3683" s="4"/>
      <c r="K3683" s="4"/>
      <c r="L3683" s="3"/>
      <c r="M3683" s="6"/>
      <c r="N3683" s="6"/>
      <c r="O3683" s="6"/>
      <c r="P3683" s="5"/>
      <c r="Q3683" s="9"/>
      <c r="R3683" s="5"/>
      <c r="S3683" s="5"/>
      <c r="T3683" s="5"/>
      <c r="U3683" s="5"/>
      <c r="V3683" s="5"/>
      <c r="W3683" s="5"/>
      <c r="X3683" s="5"/>
      <c r="Y3683" s="9"/>
      <c r="Z3683" s="2"/>
    </row>
    <row r="3684" spans="1:26">
      <c r="A3684" s="4"/>
      <c r="B3684" s="4"/>
      <c r="C3684" s="4"/>
      <c r="D3684" s="4"/>
      <c r="E3684" s="4"/>
      <c r="F3684" s="4"/>
      <c r="G3684" s="4"/>
      <c r="H3684" s="4"/>
      <c r="I3684" s="4"/>
      <c r="J3684" s="4"/>
      <c r="K3684" s="4"/>
      <c r="L3684" s="3"/>
      <c r="M3684" s="6"/>
      <c r="N3684" s="6"/>
      <c r="O3684" s="6"/>
      <c r="P3684" s="5"/>
      <c r="Q3684" s="9"/>
      <c r="R3684" s="5"/>
      <c r="S3684" s="5"/>
      <c r="T3684" s="5"/>
      <c r="U3684" s="5"/>
      <c r="V3684" s="5"/>
      <c r="W3684" s="5"/>
      <c r="X3684" s="5"/>
      <c r="Y3684" s="9"/>
      <c r="Z3684" s="2"/>
    </row>
    <row r="3685" spans="1:26">
      <c r="A3685" s="4"/>
      <c r="B3685" s="4"/>
      <c r="C3685" s="4"/>
      <c r="D3685" s="4"/>
      <c r="E3685" s="4"/>
      <c r="F3685" s="4"/>
      <c r="G3685" s="4"/>
      <c r="H3685" s="4"/>
      <c r="I3685" s="4"/>
      <c r="J3685" s="4"/>
      <c r="K3685" s="4"/>
      <c r="L3685" s="3"/>
      <c r="M3685" s="6"/>
      <c r="N3685" s="6"/>
      <c r="O3685" s="6"/>
      <c r="P3685" s="5"/>
      <c r="Q3685" s="9"/>
      <c r="R3685" s="5"/>
      <c r="S3685" s="5"/>
      <c r="T3685" s="5"/>
      <c r="U3685" s="5"/>
      <c r="V3685" s="5"/>
      <c r="W3685" s="5"/>
      <c r="X3685" s="5"/>
      <c r="Y3685" s="9"/>
      <c r="Z3685" s="2"/>
    </row>
    <row r="3686" spans="1:26">
      <c r="A3686" s="4"/>
      <c r="B3686" s="4"/>
      <c r="C3686" s="4"/>
      <c r="D3686" s="4"/>
      <c r="E3686" s="4"/>
      <c r="F3686" s="4"/>
      <c r="G3686" s="4"/>
      <c r="H3686" s="4"/>
      <c r="I3686" s="4"/>
      <c r="J3686" s="4"/>
      <c r="K3686" s="4"/>
      <c r="L3686" s="3"/>
      <c r="M3686" s="6"/>
      <c r="N3686" s="6"/>
      <c r="O3686" s="6"/>
      <c r="P3686" s="5"/>
      <c r="Q3686" s="9"/>
      <c r="R3686" s="5"/>
      <c r="S3686" s="5"/>
      <c r="T3686" s="5"/>
      <c r="U3686" s="5"/>
      <c r="V3686" s="5"/>
      <c r="W3686" s="5"/>
      <c r="X3686" s="5"/>
      <c r="Y3686" s="9"/>
      <c r="Z3686" s="2"/>
    </row>
    <row r="3687" spans="1:26">
      <c r="A3687" s="4"/>
      <c r="B3687" s="4"/>
      <c r="C3687" s="4"/>
      <c r="D3687" s="4"/>
      <c r="E3687" s="4"/>
      <c r="F3687" s="4"/>
      <c r="G3687" s="4"/>
      <c r="H3687" s="4"/>
      <c r="I3687" s="4"/>
      <c r="J3687" s="4"/>
      <c r="K3687" s="4"/>
      <c r="L3687" s="3"/>
      <c r="M3687" s="6"/>
      <c r="N3687" s="6"/>
      <c r="O3687" s="6"/>
      <c r="P3687" s="5"/>
      <c r="Q3687" s="9"/>
      <c r="R3687" s="5"/>
      <c r="S3687" s="5"/>
      <c r="T3687" s="5"/>
      <c r="U3687" s="5"/>
      <c r="V3687" s="5"/>
      <c r="W3687" s="5"/>
      <c r="X3687" s="5"/>
      <c r="Y3687" s="9"/>
      <c r="Z3687" s="2"/>
    </row>
    <row r="3688" spans="1:26">
      <c r="A3688" s="4"/>
      <c r="B3688" s="4"/>
      <c r="C3688" s="4"/>
      <c r="D3688" s="4"/>
      <c r="E3688" s="4"/>
      <c r="F3688" s="4"/>
      <c r="G3688" s="4"/>
      <c r="H3688" s="4"/>
      <c r="I3688" s="4"/>
      <c r="J3688" s="4"/>
      <c r="K3688" s="4"/>
      <c r="L3688" s="3"/>
      <c r="M3688" s="6"/>
      <c r="N3688" s="6"/>
      <c r="O3688" s="6"/>
      <c r="P3688" s="5"/>
      <c r="Q3688" s="9"/>
      <c r="R3688" s="5"/>
      <c r="S3688" s="5"/>
      <c r="T3688" s="5"/>
      <c r="U3688" s="5"/>
      <c r="V3688" s="5"/>
      <c r="W3688" s="5"/>
      <c r="X3688" s="5"/>
      <c r="Y3688" s="9"/>
      <c r="Z3688" s="2"/>
    </row>
    <row r="3689" spans="1:26">
      <c r="A3689" s="4"/>
      <c r="B3689" s="4"/>
      <c r="C3689" s="4"/>
      <c r="D3689" s="4"/>
      <c r="E3689" s="4"/>
      <c r="F3689" s="4"/>
      <c r="G3689" s="4"/>
      <c r="H3689" s="4"/>
      <c r="I3689" s="4"/>
      <c r="J3689" s="4"/>
      <c r="K3689" s="4"/>
      <c r="L3689" s="3"/>
      <c r="M3689" s="6"/>
      <c r="N3689" s="6"/>
      <c r="O3689" s="6"/>
      <c r="P3689" s="5"/>
      <c r="Q3689" s="9"/>
      <c r="R3689" s="5"/>
      <c r="S3689" s="5"/>
      <c r="T3689" s="5"/>
      <c r="U3689" s="5"/>
      <c r="V3689" s="5"/>
      <c r="W3689" s="5"/>
      <c r="X3689" s="5"/>
      <c r="Y3689" s="9"/>
      <c r="Z3689" s="2"/>
    </row>
    <row r="3690" spans="1:26">
      <c r="A3690" s="4"/>
      <c r="B3690" s="4"/>
      <c r="C3690" s="4"/>
      <c r="D3690" s="4"/>
      <c r="E3690" s="4"/>
      <c r="F3690" s="4"/>
      <c r="G3690" s="4"/>
      <c r="H3690" s="4"/>
      <c r="I3690" s="4"/>
      <c r="J3690" s="4"/>
      <c r="K3690" s="4"/>
      <c r="L3690" s="3"/>
      <c r="M3690" s="6"/>
      <c r="N3690" s="6"/>
      <c r="O3690" s="6"/>
      <c r="P3690" s="5"/>
      <c r="Q3690" s="9"/>
      <c r="R3690" s="5"/>
      <c r="S3690" s="5"/>
      <c r="T3690" s="5"/>
      <c r="U3690" s="5"/>
      <c r="V3690" s="5"/>
      <c r="W3690" s="5"/>
      <c r="X3690" s="5"/>
      <c r="Y3690" s="9"/>
      <c r="Z3690" s="2"/>
    </row>
    <row r="3691" spans="1:26">
      <c r="A3691" s="4"/>
      <c r="B3691" s="4"/>
      <c r="C3691" s="4"/>
      <c r="D3691" s="4"/>
      <c r="E3691" s="4"/>
      <c r="F3691" s="4"/>
      <c r="G3691" s="4"/>
      <c r="H3691" s="4"/>
      <c r="I3691" s="4"/>
      <c r="J3691" s="4"/>
      <c r="K3691" s="4"/>
      <c r="L3691" s="3"/>
      <c r="M3691" s="6"/>
      <c r="N3691" s="6"/>
      <c r="O3691" s="6"/>
      <c r="P3691" s="5"/>
      <c r="Q3691" s="9"/>
      <c r="R3691" s="5"/>
      <c r="S3691" s="5"/>
      <c r="T3691" s="5"/>
      <c r="U3691" s="5"/>
      <c r="V3691" s="5"/>
      <c r="W3691" s="5"/>
      <c r="X3691" s="5"/>
      <c r="Y3691" s="9"/>
      <c r="Z3691" s="2"/>
    </row>
    <row r="3692" spans="1:26">
      <c r="A3692" s="4"/>
      <c r="B3692" s="4"/>
      <c r="C3692" s="4"/>
      <c r="D3692" s="4"/>
      <c r="E3692" s="4"/>
      <c r="F3692" s="4"/>
      <c r="G3692" s="4"/>
      <c r="H3692" s="4"/>
      <c r="I3692" s="4"/>
      <c r="J3692" s="4"/>
      <c r="K3692" s="4"/>
      <c r="L3692" s="3"/>
      <c r="M3692" s="6"/>
      <c r="N3692" s="6"/>
      <c r="O3692" s="6"/>
      <c r="P3692" s="5"/>
      <c r="Q3692" s="9"/>
      <c r="R3692" s="5"/>
      <c r="S3692" s="5"/>
      <c r="T3692" s="5"/>
      <c r="U3692" s="5"/>
      <c r="V3692" s="5"/>
      <c r="W3692" s="5"/>
      <c r="X3692" s="5"/>
      <c r="Y3692" s="9"/>
      <c r="Z3692" s="2"/>
    </row>
    <row r="3693" spans="1:26">
      <c r="A3693" s="4"/>
      <c r="B3693" s="4"/>
      <c r="C3693" s="4"/>
      <c r="D3693" s="4"/>
      <c r="E3693" s="4"/>
      <c r="F3693" s="4"/>
      <c r="G3693" s="4"/>
      <c r="H3693" s="4"/>
      <c r="I3693" s="4"/>
      <c r="J3693" s="4"/>
      <c r="K3693" s="4"/>
      <c r="L3693" s="3"/>
      <c r="M3693" s="6"/>
      <c r="N3693" s="6"/>
      <c r="O3693" s="6"/>
      <c r="P3693" s="5"/>
      <c r="Q3693" s="9"/>
      <c r="R3693" s="5"/>
      <c r="S3693" s="5"/>
      <c r="T3693" s="5"/>
      <c r="U3693" s="5"/>
      <c r="V3693" s="5"/>
      <c r="W3693" s="5"/>
      <c r="X3693" s="5"/>
      <c r="Y3693" s="9"/>
      <c r="Z3693" s="2"/>
    </row>
    <row r="3694" spans="1:26">
      <c r="A3694" s="4"/>
      <c r="B3694" s="4"/>
      <c r="C3694" s="4"/>
      <c r="D3694" s="4"/>
      <c r="E3694" s="4"/>
      <c r="F3694" s="4"/>
      <c r="G3694" s="4"/>
      <c r="H3694" s="4"/>
      <c r="I3694" s="4"/>
      <c r="J3694" s="4"/>
      <c r="K3694" s="4"/>
      <c r="L3694" s="3"/>
      <c r="M3694" s="6"/>
      <c r="N3694" s="6"/>
      <c r="O3694" s="6"/>
      <c r="P3694" s="5"/>
      <c r="Q3694" s="9"/>
      <c r="R3694" s="5"/>
      <c r="S3694" s="5"/>
      <c r="T3694" s="5"/>
      <c r="U3694" s="5"/>
      <c r="V3694" s="5"/>
      <c r="W3694" s="5"/>
      <c r="X3694" s="5"/>
      <c r="Y3694" s="9"/>
      <c r="Z3694" s="2"/>
    </row>
    <row r="3695" spans="1:26">
      <c r="A3695" s="4"/>
      <c r="B3695" s="4"/>
      <c r="C3695" s="4"/>
      <c r="D3695" s="4"/>
      <c r="E3695" s="4"/>
      <c r="F3695" s="4"/>
      <c r="G3695" s="4"/>
      <c r="H3695" s="4"/>
      <c r="I3695" s="4"/>
      <c r="J3695" s="4"/>
      <c r="K3695" s="4"/>
      <c r="L3695" s="3"/>
      <c r="M3695" s="6"/>
      <c r="N3695" s="6"/>
      <c r="O3695" s="6"/>
      <c r="P3695" s="5"/>
      <c r="Q3695" s="9"/>
      <c r="R3695" s="5"/>
      <c r="S3695" s="5"/>
      <c r="T3695" s="5"/>
      <c r="U3695" s="5"/>
      <c r="V3695" s="5"/>
      <c r="W3695" s="5"/>
      <c r="X3695" s="5"/>
      <c r="Y3695" s="9"/>
      <c r="Z3695" s="2"/>
    </row>
    <row r="3696" spans="1:26">
      <c r="A3696" s="4"/>
      <c r="B3696" s="4"/>
      <c r="C3696" s="4"/>
      <c r="D3696" s="4"/>
      <c r="E3696" s="4"/>
      <c r="F3696" s="4"/>
      <c r="G3696" s="4"/>
      <c r="H3696" s="4"/>
      <c r="I3696" s="4"/>
      <c r="J3696" s="4"/>
      <c r="K3696" s="4"/>
      <c r="L3696" s="3"/>
      <c r="M3696" s="6"/>
      <c r="N3696" s="6"/>
      <c r="O3696" s="6"/>
      <c r="P3696" s="5"/>
      <c r="Q3696" s="9"/>
      <c r="R3696" s="5"/>
      <c r="S3696" s="5"/>
      <c r="T3696" s="5"/>
      <c r="U3696" s="5"/>
      <c r="V3696" s="5"/>
      <c r="W3696" s="5"/>
      <c r="X3696" s="5"/>
      <c r="Y3696" s="9"/>
      <c r="Z3696" s="2"/>
    </row>
    <row r="3697" spans="1:26">
      <c r="A3697" s="4"/>
      <c r="B3697" s="4"/>
      <c r="C3697" s="4"/>
      <c r="D3697" s="4"/>
      <c r="E3697" s="4"/>
      <c r="F3697" s="4"/>
      <c r="G3697" s="4"/>
      <c r="H3697" s="4"/>
      <c r="I3697" s="4"/>
      <c r="J3697" s="4"/>
      <c r="K3697" s="4"/>
      <c r="L3697" s="3"/>
      <c r="M3697" s="6"/>
      <c r="N3697" s="6"/>
      <c r="O3697" s="6"/>
      <c r="P3697" s="5"/>
      <c r="Q3697" s="9"/>
      <c r="R3697" s="5"/>
      <c r="S3697" s="5"/>
      <c r="T3697" s="5"/>
      <c r="U3697" s="5"/>
      <c r="V3697" s="5"/>
      <c r="W3697" s="5"/>
      <c r="X3697" s="5"/>
      <c r="Y3697" s="9"/>
      <c r="Z3697" s="2"/>
    </row>
    <row r="3698" spans="1:26">
      <c r="A3698" s="4"/>
      <c r="B3698" s="4"/>
      <c r="C3698" s="4"/>
      <c r="D3698" s="4"/>
      <c r="E3698" s="4"/>
      <c r="F3698" s="4"/>
      <c r="G3698" s="4"/>
      <c r="H3698" s="4"/>
      <c r="I3698" s="4"/>
      <c r="J3698" s="4"/>
      <c r="K3698" s="4"/>
      <c r="L3698" s="3"/>
      <c r="M3698" s="6"/>
      <c r="N3698" s="6"/>
      <c r="O3698" s="6"/>
      <c r="P3698" s="5"/>
      <c r="Q3698" s="9"/>
      <c r="R3698" s="5"/>
      <c r="S3698" s="5"/>
      <c r="T3698" s="5"/>
      <c r="U3698" s="5"/>
      <c r="V3698" s="5"/>
      <c r="W3698" s="5"/>
      <c r="X3698" s="5"/>
      <c r="Y3698" s="9"/>
      <c r="Z3698" s="2"/>
    </row>
    <row r="3699" spans="1:26">
      <c r="A3699" s="4"/>
      <c r="B3699" s="4"/>
      <c r="C3699" s="4"/>
      <c r="D3699" s="4"/>
      <c r="E3699" s="4"/>
      <c r="F3699" s="4"/>
      <c r="G3699" s="4"/>
      <c r="H3699" s="4"/>
      <c r="I3699" s="4"/>
      <c r="J3699" s="4"/>
      <c r="K3699" s="4"/>
      <c r="L3699" s="3"/>
      <c r="M3699" s="6"/>
      <c r="N3699" s="6"/>
      <c r="O3699" s="6"/>
      <c r="P3699" s="5"/>
      <c r="Q3699" s="9"/>
      <c r="R3699" s="5"/>
      <c r="S3699" s="5"/>
      <c r="T3699" s="5"/>
      <c r="U3699" s="5"/>
      <c r="V3699" s="5"/>
      <c r="W3699" s="5"/>
      <c r="X3699" s="5"/>
      <c r="Y3699" s="9"/>
      <c r="Z3699" s="2"/>
    </row>
    <row r="3700" spans="1:26">
      <c r="A3700" s="4"/>
      <c r="B3700" s="4"/>
      <c r="C3700" s="4"/>
      <c r="D3700" s="4"/>
      <c r="E3700" s="4"/>
      <c r="F3700" s="4"/>
      <c r="G3700" s="4"/>
      <c r="H3700" s="4"/>
      <c r="I3700" s="4"/>
      <c r="J3700" s="4"/>
      <c r="K3700" s="4"/>
      <c r="L3700" s="3"/>
      <c r="M3700" s="6"/>
      <c r="N3700" s="6"/>
      <c r="O3700" s="6"/>
      <c r="P3700" s="5"/>
      <c r="Q3700" s="9"/>
      <c r="R3700" s="5"/>
      <c r="S3700" s="5"/>
      <c r="T3700" s="5"/>
      <c r="U3700" s="5"/>
      <c r="V3700" s="5"/>
      <c r="W3700" s="5"/>
      <c r="X3700" s="5"/>
      <c r="Y3700" s="9"/>
      <c r="Z3700" s="2"/>
    </row>
    <row r="3701" spans="1:26">
      <c r="A3701" s="4"/>
      <c r="B3701" s="4"/>
      <c r="C3701" s="4"/>
      <c r="D3701" s="4"/>
      <c r="E3701" s="4"/>
      <c r="F3701" s="4"/>
      <c r="G3701" s="4"/>
      <c r="H3701" s="4"/>
      <c r="I3701" s="4"/>
      <c r="J3701" s="4"/>
      <c r="K3701" s="4"/>
      <c r="L3701" s="3"/>
      <c r="M3701" s="6"/>
      <c r="N3701" s="6"/>
      <c r="O3701" s="6"/>
      <c r="P3701" s="5"/>
      <c r="Q3701" s="9"/>
      <c r="R3701" s="5"/>
      <c r="S3701" s="5"/>
      <c r="T3701" s="5"/>
      <c r="U3701" s="5"/>
      <c r="V3701" s="5"/>
      <c r="W3701" s="5"/>
      <c r="X3701" s="5"/>
      <c r="Y3701" s="9"/>
      <c r="Z3701" s="2"/>
    </row>
    <row r="3702" spans="1:26">
      <c r="A3702" s="4"/>
      <c r="B3702" s="4"/>
      <c r="C3702" s="4"/>
      <c r="D3702" s="4"/>
      <c r="E3702" s="4"/>
      <c r="F3702" s="4"/>
      <c r="G3702" s="4"/>
      <c r="H3702" s="4"/>
      <c r="I3702" s="4"/>
      <c r="J3702" s="4"/>
      <c r="K3702" s="4"/>
      <c r="L3702" s="3"/>
      <c r="M3702" s="6"/>
      <c r="N3702" s="6"/>
      <c r="O3702" s="6"/>
      <c r="P3702" s="5"/>
      <c r="Q3702" s="9"/>
      <c r="R3702" s="5"/>
      <c r="S3702" s="5"/>
      <c r="T3702" s="5"/>
      <c r="U3702" s="5"/>
      <c r="V3702" s="5"/>
      <c r="W3702" s="5"/>
      <c r="X3702" s="5"/>
      <c r="Y3702" s="9"/>
      <c r="Z3702" s="2"/>
    </row>
    <row r="3703" spans="1:26">
      <c r="A3703" s="4"/>
      <c r="B3703" s="4"/>
      <c r="C3703" s="4"/>
      <c r="D3703" s="4"/>
      <c r="E3703" s="4"/>
      <c r="F3703" s="4"/>
      <c r="G3703" s="4"/>
      <c r="H3703" s="4"/>
      <c r="I3703" s="4"/>
      <c r="J3703" s="4"/>
      <c r="K3703" s="4"/>
      <c r="L3703" s="3"/>
      <c r="M3703" s="6"/>
      <c r="N3703" s="6"/>
      <c r="O3703" s="6"/>
      <c r="P3703" s="5"/>
      <c r="Q3703" s="9"/>
      <c r="R3703" s="5"/>
      <c r="S3703" s="5"/>
      <c r="T3703" s="5"/>
      <c r="U3703" s="5"/>
      <c r="V3703" s="5"/>
      <c r="W3703" s="5"/>
      <c r="X3703" s="5"/>
      <c r="Y3703" s="9"/>
      <c r="Z3703" s="2"/>
    </row>
    <row r="3704" spans="1:26">
      <c r="A3704" s="4"/>
      <c r="B3704" s="4"/>
      <c r="C3704" s="4"/>
      <c r="D3704" s="4"/>
      <c r="E3704" s="4"/>
      <c r="F3704" s="4"/>
      <c r="G3704" s="4"/>
      <c r="H3704" s="4"/>
      <c r="I3704" s="4"/>
      <c r="J3704" s="4"/>
      <c r="K3704" s="4"/>
      <c r="L3704" s="3"/>
      <c r="M3704" s="6"/>
      <c r="N3704" s="6"/>
      <c r="O3704" s="6"/>
      <c r="P3704" s="5"/>
      <c r="Q3704" s="9"/>
      <c r="R3704" s="5"/>
      <c r="S3704" s="5"/>
      <c r="T3704" s="5"/>
      <c r="U3704" s="5"/>
      <c r="V3704" s="5"/>
      <c r="W3704" s="5"/>
      <c r="X3704" s="5"/>
      <c r="Y3704" s="9"/>
      <c r="Z3704" s="2"/>
    </row>
    <row r="3705" spans="1:26">
      <c r="A3705" s="4"/>
      <c r="B3705" s="4"/>
      <c r="C3705" s="4"/>
      <c r="D3705" s="4"/>
      <c r="E3705" s="4"/>
      <c r="F3705" s="4"/>
      <c r="G3705" s="4"/>
      <c r="H3705" s="4"/>
      <c r="I3705" s="4"/>
      <c r="J3705" s="4"/>
      <c r="K3705" s="4"/>
      <c r="L3705" s="3"/>
      <c r="M3705" s="6"/>
      <c r="N3705" s="6"/>
      <c r="O3705" s="6"/>
      <c r="P3705" s="5"/>
      <c r="Q3705" s="9"/>
      <c r="R3705" s="5"/>
      <c r="S3705" s="5"/>
      <c r="T3705" s="5"/>
      <c r="U3705" s="5"/>
      <c r="V3705" s="5"/>
      <c r="W3705" s="5"/>
      <c r="X3705" s="5"/>
      <c r="Y3705" s="9"/>
      <c r="Z3705" s="2"/>
    </row>
    <row r="3706" spans="1:26">
      <c r="A3706" s="4"/>
      <c r="B3706" s="4"/>
      <c r="C3706" s="4"/>
      <c r="D3706" s="4"/>
      <c r="E3706" s="4"/>
      <c r="F3706" s="4"/>
      <c r="G3706" s="4"/>
      <c r="H3706" s="4"/>
      <c r="I3706" s="4"/>
      <c r="J3706" s="4"/>
      <c r="K3706" s="4"/>
      <c r="L3706" s="3"/>
      <c r="M3706" s="6"/>
      <c r="N3706" s="6"/>
      <c r="O3706" s="6"/>
      <c r="P3706" s="5"/>
      <c r="Q3706" s="9"/>
      <c r="R3706" s="5"/>
      <c r="S3706" s="5"/>
      <c r="T3706" s="5"/>
      <c r="U3706" s="5"/>
      <c r="V3706" s="5"/>
      <c r="W3706" s="5"/>
      <c r="X3706" s="5"/>
      <c r="Y3706" s="9"/>
      <c r="Z3706" s="2"/>
    </row>
    <row r="3707" spans="1:26">
      <c r="A3707" s="4"/>
      <c r="B3707" s="4"/>
      <c r="C3707" s="4"/>
      <c r="D3707" s="4"/>
      <c r="E3707" s="4"/>
      <c r="F3707" s="4"/>
      <c r="G3707" s="4"/>
      <c r="H3707" s="4"/>
      <c r="I3707" s="4"/>
      <c r="J3707" s="4"/>
      <c r="K3707" s="4"/>
      <c r="L3707" s="3"/>
      <c r="M3707" s="6"/>
      <c r="N3707" s="6"/>
      <c r="O3707" s="6"/>
      <c r="P3707" s="5"/>
      <c r="Q3707" s="9"/>
      <c r="R3707" s="5"/>
      <c r="S3707" s="5"/>
      <c r="T3707" s="5"/>
      <c r="U3707" s="5"/>
      <c r="V3707" s="5"/>
      <c r="W3707" s="5"/>
      <c r="X3707" s="5"/>
      <c r="Y3707" s="9"/>
      <c r="Z3707" s="2"/>
    </row>
    <row r="3708" spans="1:26">
      <c r="A3708" s="4"/>
      <c r="B3708" s="4"/>
      <c r="C3708" s="4"/>
      <c r="D3708" s="4"/>
      <c r="E3708" s="4"/>
      <c r="F3708" s="4"/>
      <c r="G3708" s="4"/>
      <c r="H3708" s="4"/>
      <c r="I3708" s="4"/>
      <c r="J3708" s="4"/>
      <c r="K3708" s="4"/>
      <c r="L3708" s="3"/>
      <c r="M3708" s="6"/>
      <c r="N3708" s="6"/>
      <c r="O3708" s="6"/>
      <c r="P3708" s="5"/>
      <c r="Q3708" s="9"/>
      <c r="R3708" s="5"/>
      <c r="S3708" s="5"/>
      <c r="T3708" s="5"/>
      <c r="U3708" s="5"/>
      <c r="V3708" s="5"/>
      <c r="W3708" s="5"/>
      <c r="X3708" s="5"/>
      <c r="Y3708" s="9"/>
      <c r="Z3708" s="2"/>
    </row>
    <row r="3709" spans="1:26">
      <c r="A3709" s="4"/>
      <c r="B3709" s="4"/>
      <c r="C3709" s="4"/>
      <c r="D3709" s="4"/>
      <c r="E3709" s="4"/>
      <c r="F3709" s="4"/>
      <c r="G3709" s="4"/>
      <c r="H3709" s="4"/>
      <c r="I3709" s="4"/>
      <c r="J3709" s="4"/>
      <c r="K3709" s="4"/>
      <c r="L3709" s="3"/>
      <c r="M3709" s="6"/>
      <c r="N3709" s="6"/>
      <c r="O3709" s="6"/>
      <c r="P3709" s="5"/>
      <c r="Q3709" s="9"/>
      <c r="R3709" s="5"/>
      <c r="S3709" s="5"/>
      <c r="T3709" s="5"/>
      <c r="U3709" s="5"/>
      <c r="V3709" s="5"/>
      <c r="W3709" s="5"/>
      <c r="X3709" s="5"/>
      <c r="Y3709" s="9"/>
      <c r="Z3709" s="2"/>
    </row>
    <row r="3710" spans="1:26">
      <c r="A3710" s="4"/>
      <c r="B3710" s="4"/>
      <c r="C3710" s="4"/>
      <c r="D3710" s="4"/>
      <c r="E3710" s="4"/>
      <c r="F3710" s="4"/>
      <c r="G3710" s="4"/>
      <c r="H3710" s="4"/>
      <c r="I3710" s="4"/>
      <c r="J3710" s="4"/>
      <c r="K3710" s="4"/>
      <c r="L3710" s="3"/>
      <c r="M3710" s="6"/>
      <c r="N3710" s="6"/>
      <c r="O3710" s="6"/>
      <c r="P3710" s="5"/>
      <c r="Q3710" s="9"/>
      <c r="R3710" s="5"/>
      <c r="S3710" s="5"/>
      <c r="T3710" s="5"/>
      <c r="U3710" s="5"/>
      <c r="V3710" s="5"/>
      <c r="W3710" s="5"/>
      <c r="X3710" s="5"/>
      <c r="Y3710" s="9"/>
      <c r="Z3710" s="2"/>
    </row>
    <row r="3711" spans="1:26">
      <c r="A3711" s="4"/>
      <c r="B3711" s="4"/>
      <c r="C3711" s="4"/>
      <c r="D3711" s="4"/>
      <c r="E3711" s="4"/>
      <c r="F3711" s="4"/>
      <c r="G3711" s="4"/>
      <c r="H3711" s="4"/>
      <c r="I3711" s="4"/>
      <c r="J3711" s="4"/>
      <c r="K3711" s="4"/>
      <c r="L3711" s="3"/>
      <c r="M3711" s="6"/>
      <c r="N3711" s="6"/>
      <c r="O3711" s="6"/>
      <c r="P3711" s="5"/>
      <c r="Q3711" s="9"/>
      <c r="R3711" s="5"/>
      <c r="S3711" s="5"/>
      <c r="T3711" s="5"/>
      <c r="U3711" s="5"/>
      <c r="V3711" s="5"/>
      <c r="W3711" s="5"/>
      <c r="X3711" s="5"/>
      <c r="Y3711" s="9"/>
      <c r="Z3711" s="2"/>
    </row>
    <row r="3712" spans="1:26">
      <c r="A3712" s="4"/>
      <c r="B3712" s="4"/>
      <c r="C3712" s="4"/>
      <c r="D3712" s="4"/>
      <c r="E3712" s="4"/>
      <c r="F3712" s="4"/>
      <c r="G3712" s="4"/>
      <c r="H3712" s="4"/>
      <c r="I3712" s="4"/>
      <c r="J3712" s="4"/>
      <c r="K3712" s="4"/>
      <c r="L3712" s="3"/>
      <c r="M3712" s="6"/>
      <c r="N3712" s="6"/>
      <c r="O3712" s="6"/>
      <c r="P3712" s="5"/>
      <c r="Q3712" s="9"/>
      <c r="R3712" s="5"/>
      <c r="S3712" s="5"/>
      <c r="T3712" s="5"/>
      <c r="U3712" s="5"/>
      <c r="V3712" s="5"/>
      <c r="W3712" s="5"/>
      <c r="X3712" s="5"/>
      <c r="Y3712" s="9"/>
      <c r="Z3712" s="2"/>
    </row>
    <row r="3713" spans="1:26">
      <c r="A3713" s="4"/>
      <c r="B3713" s="4"/>
      <c r="C3713" s="4"/>
      <c r="D3713" s="4"/>
      <c r="E3713" s="4"/>
      <c r="F3713" s="4"/>
      <c r="G3713" s="4"/>
      <c r="H3713" s="4"/>
      <c r="I3713" s="4"/>
      <c r="J3713" s="4"/>
      <c r="K3713" s="4"/>
      <c r="L3713" s="3"/>
      <c r="M3713" s="6"/>
      <c r="N3713" s="6"/>
      <c r="O3713" s="6"/>
      <c r="P3713" s="5"/>
      <c r="Q3713" s="9"/>
      <c r="R3713" s="5"/>
      <c r="S3713" s="5"/>
      <c r="T3713" s="5"/>
      <c r="U3713" s="5"/>
      <c r="V3713" s="5"/>
      <c r="W3713" s="5"/>
      <c r="X3713" s="5"/>
      <c r="Y3713" s="9"/>
      <c r="Z3713" s="2"/>
    </row>
    <row r="3714" spans="1:26">
      <c r="A3714" s="4"/>
      <c r="B3714" s="4"/>
      <c r="C3714" s="4"/>
      <c r="D3714" s="4"/>
      <c r="E3714" s="4"/>
      <c r="F3714" s="4"/>
      <c r="G3714" s="4"/>
      <c r="H3714" s="4"/>
      <c r="I3714" s="4"/>
      <c r="J3714" s="4"/>
      <c r="K3714" s="4"/>
      <c r="L3714" s="3"/>
      <c r="M3714" s="6"/>
      <c r="N3714" s="6"/>
      <c r="O3714" s="6"/>
      <c r="P3714" s="5"/>
      <c r="Q3714" s="9"/>
      <c r="R3714" s="5"/>
      <c r="S3714" s="5"/>
      <c r="T3714" s="5"/>
      <c r="U3714" s="5"/>
      <c r="V3714" s="5"/>
      <c r="W3714" s="5"/>
      <c r="X3714" s="5"/>
      <c r="Y3714" s="9"/>
      <c r="Z3714" s="2"/>
    </row>
    <row r="3715" spans="1:26">
      <c r="A3715" s="4"/>
      <c r="B3715" s="4"/>
      <c r="C3715" s="4"/>
      <c r="D3715" s="4"/>
      <c r="E3715" s="4"/>
      <c r="F3715" s="4"/>
      <c r="G3715" s="4"/>
      <c r="H3715" s="4"/>
      <c r="I3715" s="4"/>
      <c r="J3715" s="4"/>
      <c r="K3715" s="4"/>
      <c r="L3715" s="3"/>
      <c r="M3715" s="6"/>
      <c r="N3715" s="6"/>
      <c r="O3715" s="6"/>
      <c r="P3715" s="5"/>
      <c r="Q3715" s="9"/>
      <c r="R3715" s="5"/>
      <c r="S3715" s="5"/>
      <c r="T3715" s="5"/>
      <c r="U3715" s="5"/>
      <c r="V3715" s="5"/>
      <c r="W3715" s="5"/>
      <c r="X3715" s="5"/>
      <c r="Y3715" s="9"/>
      <c r="Z3715" s="2"/>
    </row>
    <row r="3716" spans="1:26">
      <c r="A3716" s="4"/>
      <c r="B3716" s="4"/>
      <c r="C3716" s="4"/>
      <c r="D3716" s="4"/>
      <c r="E3716" s="4"/>
      <c r="F3716" s="4"/>
      <c r="G3716" s="4"/>
      <c r="H3716" s="4"/>
      <c r="I3716" s="4"/>
      <c r="J3716" s="4"/>
      <c r="K3716" s="4"/>
      <c r="L3716" s="3"/>
      <c r="M3716" s="6"/>
      <c r="N3716" s="6"/>
      <c r="O3716" s="6"/>
      <c r="P3716" s="5"/>
      <c r="Q3716" s="9"/>
      <c r="R3716" s="5"/>
      <c r="S3716" s="5"/>
      <c r="T3716" s="5"/>
      <c r="U3716" s="5"/>
      <c r="V3716" s="5"/>
      <c r="W3716" s="5"/>
      <c r="X3716" s="5"/>
      <c r="Y3716" s="9"/>
      <c r="Z3716" s="2"/>
    </row>
    <row r="3717" spans="1:26">
      <c r="A3717" s="4"/>
      <c r="B3717" s="4"/>
      <c r="C3717" s="4"/>
      <c r="D3717" s="4"/>
      <c r="E3717" s="4"/>
      <c r="F3717" s="4"/>
      <c r="G3717" s="4"/>
      <c r="H3717" s="4"/>
      <c r="I3717" s="4"/>
      <c r="J3717" s="4"/>
      <c r="K3717" s="4"/>
      <c r="L3717" s="3"/>
      <c r="M3717" s="6"/>
      <c r="N3717" s="6"/>
      <c r="O3717" s="6"/>
      <c r="P3717" s="5"/>
      <c r="Q3717" s="9"/>
      <c r="R3717" s="5"/>
      <c r="S3717" s="5"/>
      <c r="T3717" s="5"/>
      <c r="U3717" s="5"/>
      <c r="V3717" s="5"/>
      <c r="W3717" s="5"/>
      <c r="X3717" s="5"/>
      <c r="Y3717" s="9"/>
      <c r="Z3717" s="2"/>
    </row>
    <row r="3718" spans="1:26">
      <c r="A3718" s="4"/>
      <c r="B3718" s="4"/>
      <c r="C3718" s="4"/>
      <c r="D3718" s="4"/>
      <c r="E3718" s="4"/>
      <c r="F3718" s="4"/>
      <c r="G3718" s="4"/>
      <c r="H3718" s="4"/>
      <c r="I3718" s="4"/>
      <c r="J3718" s="4"/>
      <c r="K3718" s="4"/>
      <c r="L3718" s="3"/>
      <c r="M3718" s="6"/>
      <c r="N3718" s="6"/>
      <c r="O3718" s="6"/>
      <c r="P3718" s="5"/>
      <c r="Q3718" s="9"/>
      <c r="R3718" s="5"/>
      <c r="S3718" s="5"/>
      <c r="T3718" s="5"/>
      <c r="U3718" s="5"/>
      <c r="V3718" s="5"/>
      <c r="W3718" s="5"/>
      <c r="X3718" s="5"/>
      <c r="Y3718" s="9"/>
      <c r="Z3718" s="2"/>
    </row>
    <row r="3719" spans="1:26">
      <c r="A3719" s="4"/>
      <c r="B3719" s="4"/>
      <c r="C3719" s="4"/>
      <c r="D3719" s="4"/>
      <c r="E3719" s="4"/>
      <c r="F3719" s="4"/>
      <c r="G3719" s="4"/>
      <c r="H3719" s="4"/>
      <c r="I3719" s="4"/>
      <c r="J3719" s="4"/>
      <c r="K3719" s="4"/>
      <c r="L3719" s="3"/>
      <c r="M3719" s="6"/>
      <c r="N3719" s="6"/>
      <c r="O3719" s="6"/>
      <c r="P3719" s="5"/>
      <c r="Q3719" s="9"/>
      <c r="R3719" s="5"/>
      <c r="S3719" s="5"/>
      <c r="T3719" s="5"/>
      <c r="U3719" s="5"/>
      <c r="V3719" s="5"/>
      <c r="W3719" s="5"/>
      <c r="X3719" s="5"/>
      <c r="Y3719" s="9"/>
      <c r="Z3719" s="2"/>
    </row>
    <row r="3720" spans="1:26">
      <c r="A3720" s="4"/>
      <c r="B3720" s="4"/>
      <c r="C3720" s="4"/>
      <c r="D3720" s="4"/>
      <c r="E3720" s="4"/>
      <c r="F3720" s="4"/>
      <c r="G3720" s="4"/>
      <c r="H3720" s="4"/>
      <c r="I3720" s="4"/>
      <c r="J3720" s="4"/>
      <c r="K3720" s="4"/>
      <c r="L3720" s="3"/>
      <c r="M3720" s="6"/>
      <c r="N3720" s="6"/>
      <c r="O3720" s="6"/>
      <c r="P3720" s="5"/>
      <c r="Q3720" s="9"/>
      <c r="R3720" s="5"/>
      <c r="S3720" s="5"/>
      <c r="T3720" s="5"/>
      <c r="U3720" s="5"/>
      <c r="V3720" s="5"/>
      <c r="W3720" s="5"/>
      <c r="X3720" s="5"/>
      <c r="Y3720" s="9"/>
      <c r="Z3720" s="2"/>
    </row>
    <row r="3721" spans="1:26">
      <c r="A3721" s="4"/>
      <c r="B3721" s="4"/>
      <c r="C3721" s="4"/>
      <c r="D3721" s="4"/>
      <c r="E3721" s="4"/>
      <c r="F3721" s="4"/>
      <c r="G3721" s="4"/>
      <c r="H3721" s="4"/>
      <c r="I3721" s="4"/>
      <c r="J3721" s="4"/>
      <c r="K3721" s="4"/>
      <c r="L3721" s="3"/>
      <c r="M3721" s="6"/>
      <c r="N3721" s="6"/>
      <c r="O3721" s="6"/>
      <c r="P3721" s="5"/>
      <c r="Q3721" s="9"/>
      <c r="R3721" s="5"/>
      <c r="S3721" s="5"/>
      <c r="T3721" s="5"/>
      <c r="U3721" s="5"/>
      <c r="V3721" s="5"/>
      <c r="W3721" s="5"/>
      <c r="X3721" s="5"/>
      <c r="Y3721" s="9"/>
      <c r="Z3721" s="2"/>
    </row>
    <row r="3722" spans="1:26">
      <c r="A3722" s="4"/>
      <c r="B3722" s="4"/>
      <c r="C3722" s="4"/>
      <c r="D3722" s="4"/>
      <c r="E3722" s="4"/>
      <c r="F3722" s="4"/>
      <c r="G3722" s="4"/>
      <c r="H3722" s="4"/>
      <c r="I3722" s="4"/>
      <c r="J3722" s="4"/>
      <c r="K3722" s="4"/>
      <c r="L3722" s="3"/>
      <c r="M3722" s="6"/>
      <c r="N3722" s="6"/>
      <c r="O3722" s="6"/>
      <c r="P3722" s="5"/>
      <c r="Q3722" s="9"/>
      <c r="R3722" s="5"/>
      <c r="S3722" s="5"/>
      <c r="T3722" s="5"/>
      <c r="U3722" s="5"/>
      <c r="V3722" s="5"/>
      <c r="W3722" s="5"/>
      <c r="X3722" s="5"/>
      <c r="Y3722" s="9"/>
      <c r="Z3722" s="2"/>
    </row>
    <row r="3723" spans="1:26">
      <c r="A3723" s="4"/>
      <c r="B3723" s="4"/>
      <c r="C3723" s="4"/>
      <c r="D3723" s="4"/>
      <c r="E3723" s="4"/>
      <c r="F3723" s="4"/>
      <c r="G3723" s="4"/>
      <c r="H3723" s="4"/>
      <c r="I3723" s="4"/>
      <c r="J3723" s="4"/>
      <c r="K3723" s="4"/>
      <c r="L3723" s="3"/>
      <c r="M3723" s="6"/>
      <c r="N3723" s="6"/>
      <c r="O3723" s="6"/>
      <c r="P3723" s="5"/>
      <c r="Q3723" s="9"/>
      <c r="R3723" s="5"/>
      <c r="S3723" s="5"/>
      <c r="T3723" s="5"/>
      <c r="U3723" s="5"/>
      <c r="V3723" s="5"/>
      <c r="W3723" s="5"/>
      <c r="X3723" s="5"/>
      <c r="Y3723" s="9"/>
      <c r="Z3723" s="2"/>
    </row>
    <row r="3724" spans="1:26">
      <c r="A3724" s="4"/>
      <c r="B3724" s="4"/>
      <c r="C3724" s="4"/>
      <c r="D3724" s="4"/>
      <c r="E3724" s="4"/>
      <c r="F3724" s="4"/>
      <c r="G3724" s="4"/>
      <c r="H3724" s="4"/>
      <c r="I3724" s="4"/>
      <c r="J3724" s="4"/>
      <c r="K3724" s="4"/>
      <c r="L3724" s="3"/>
      <c r="M3724" s="6"/>
      <c r="N3724" s="6"/>
      <c r="O3724" s="6"/>
      <c r="P3724" s="5"/>
      <c r="Q3724" s="9"/>
      <c r="R3724" s="5"/>
      <c r="S3724" s="5"/>
      <c r="T3724" s="5"/>
      <c r="U3724" s="5"/>
      <c r="V3724" s="5"/>
      <c r="W3724" s="5"/>
      <c r="X3724" s="5"/>
      <c r="Y3724" s="9"/>
      <c r="Z3724" s="2"/>
    </row>
    <row r="3725" spans="1:26">
      <c r="A3725" s="4"/>
      <c r="B3725" s="4"/>
      <c r="C3725" s="4"/>
      <c r="D3725" s="4"/>
      <c r="E3725" s="4"/>
      <c r="F3725" s="4"/>
      <c r="G3725" s="4"/>
      <c r="H3725" s="4"/>
      <c r="I3725" s="4"/>
      <c r="J3725" s="4"/>
      <c r="K3725" s="4"/>
      <c r="L3725" s="3"/>
      <c r="M3725" s="6"/>
      <c r="N3725" s="6"/>
      <c r="O3725" s="6"/>
      <c r="P3725" s="5"/>
      <c r="Q3725" s="9"/>
      <c r="R3725" s="5"/>
      <c r="S3725" s="5"/>
      <c r="T3725" s="5"/>
      <c r="U3725" s="5"/>
      <c r="V3725" s="5"/>
      <c r="W3725" s="5"/>
      <c r="X3725" s="5"/>
      <c r="Y3725" s="9"/>
      <c r="Z3725" s="2"/>
    </row>
    <row r="3726" spans="1:26">
      <c r="A3726" s="4"/>
      <c r="B3726" s="4"/>
      <c r="C3726" s="4"/>
      <c r="D3726" s="4"/>
      <c r="E3726" s="4"/>
      <c r="F3726" s="4"/>
      <c r="G3726" s="4"/>
      <c r="H3726" s="4"/>
      <c r="I3726" s="4"/>
      <c r="J3726" s="4"/>
      <c r="K3726" s="4"/>
      <c r="L3726" s="3"/>
      <c r="M3726" s="6"/>
      <c r="N3726" s="6"/>
      <c r="O3726" s="6"/>
      <c r="P3726" s="5"/>
      <c r="Q3726" s="9"/>
      <c r="R3726" s="5"/>
      <c r="S3726" s="5"/>
      <c r="T3726" s="5"/>
      <c r="U3726" s="5"/>
      <c r="V3726" s="5"/>
      <c r="W3726" s="5"/>
      <c r="X3726" s="5"/>
      <c r="Y3726" s="9"/>
      <c r="Z3726" s="2"/>
    </row>
    <row r="3727" spans="1:26">
      <c r="A3727" s="4"/>
      <c r="B3727" s="4"/>
      <c r="C3727" s="4"/>
      <c r="D3727" s="4"/>
      <c r="E3727" s="4"/>
      <c r="F3727" s="4"/>
      <c r="G3727" s="4"/>
      <c r="H3727" s="4"/>
      <c r="I3727" s="4"/>
      <c r="J3727" s="4"/>
      <c r="K3727" s="4"/>
      <c r="L3727" s="3"/>
      <c r="M3727" s="6"/>
      <c r="N3727" s="6"/>
      <c r="O3727" s="6"/>
      <c r="P3727" s="5"/>
      <c r="Q3727" s="9"/>
      <c r="R3727" s="5"/>
      <c r="S3727" s="5"/>
      <c r="T3727" s="5"/>
      <c r="U3727" s="5"/>
      <c r="V3727" s="5"/>
      <c r="W3727" s="5"/>
      <c r="X3727" s="5"/>
      <c r="Y3727" s="9"/>
      <c r="Z3727" s="2"/>
    </row>
    <row r="3728" spans="1:26">
      <c r="A3728" s="4"/>
      <c r="B3728" s="4"/>
      <c r="C3728" s="4"/>
      <c r="D3728" s="4"/>
      <c r="E3728" s="4"/>
      <c r="F3728" s="4"/>
      <c r="G3728" s="4"/>
      <c r="H3728" s="4"/>
      <c r="I3728" s="4"/>
      <c r="J3728" s="4"/>
      <c r="K3728" s="4"/>
      <c r="L3728" s="3"/>
      <c r="M3728" s="6"/>
      <c r="N3728" s="6"/>
      <c r="O3728" s="6"/>
      <c r="P3728" s="5"/>
      <c r="Q3728" s="9"/>
      <c r="R3728" s="5"/>
      <c r="S3728" s="5"/>
      <c r="T3728" s="5"/>
      <c r="U3728" s="5"/>
      <c r="V3728" s="5"/>
      <c r="W3728" s="5"/>
      <c r="X3728" s="5"/>
      <c r="Y3728" s="9"/>
      <c r="Z3728" s="2"/>
    </row>
    <row r="3729" spans="1:26">
      <c r="A3729" s="4"/>
      <c r="B3729" s="4"/>
      <c r="C3729" s="4"/>
      <c r="D3729" s="4"/>
      <c r="E3729" s="4"/>
      <c r="F3729" s="4"/>
      <c r="G3729" s="4"/>
      <c r="H3729" s="4"/>
      <c r="I3729" s="4"/>
      <c r="J3729" s="4"/>
      <c r="K3729" s="4"/>
      <c r="L3729" s="3"/>
      <c r="M3729" s="6"/>
      <c r="N3729" s="6"/>
      <c r="O3729" s="6"/>
      <c r="P3729" s="5"/>
      <c r="Q3729" s="9"/>
      <c r="R3729" s="5"/>
      <c r="S3729" s="5"/>
      <c r="T3729" s="5"/>
      <c r="U3729" s="5"/>
      <c r="V3729" s="5"/>
      <c r="W3729" s="5"/>
      <c r="X3729" s="5"/>
      <c r="Y3729" s="9"/>
      <c r="Z3729" s="2"/>
    </row>
    <row r="3730" spans="1:26">
      <c r="A3730" s="4"/>
      <c r="B3730" s="4"/>
      <c r="C3730" s="4"/>
      <c r="D3730" s="4"/>
      <c r="E3730" s="4"/>
      <c r="F3730" s="4"/>
      <c r="G3730" s="4"/>
      <c r="H3730" s="4"/>
      <c r="I3730" s="4"/>
      <c r="J3730" s="4"/>
      <c r="K3730" s="4"/>
      <c r="L3730" s="3"/>
      <c r="M3730" s="6"/>
      <c r="N3730" s="6"/>
      <c r="O3730" s="6"/>
      <c r="P3730" s="5"/>
      <c r="Q3730" s="9"/>
      <c r="R3730" s="5"/>
      <c r="S3730" s="5"/>
      <c r="T3730" s="5"/>
      <c r="U3730" s="5"/>
      <c r="V3730" s="5"/>
      <c r="W3730" s="5"/>
      <c r="X3730" s="5"/>
      <c r="Y3730" s="9"/>
      <c r="Z3730" s="2"/>
    </row>
    <row r="3731" spans="1:26">
      <c r="A3731" s="4"/>
      <c r="B3731" s="4"/>
      <c r="C3731" s="4"/>
      <c r="D3731" s="4"/>
      <c r="E3731" s="4"/>
      <c r="F3731" s="4"/>
      <c r="G3731" s="4"/>
      <c r="H3731" s="4"/>
      <c r="I3731" s="4"/>
      <c r="J3731" s="4"/>
      <c r="K3731" s="4"/>
      <c r="L3731" s="3"/>
      <c r="M3731" s="6"/>
      <c r="N3731" s="6"/>
      <c r="O3731" s="6"/>
      <c r="P3731" s="5"/>
      <c r="Q3731" s="9"/>
      <c r="R3731" s="5"/>
      <c r="S3731" s="5"/>
      <c r="T3731" s="5"/>
      <c r="U3731" s="5"/>
      <c r="V3731" s="5"/>
      <c r="W3731" s="5"/>
      <c r="X3731" s="5"/>
      <c r="Y3731" s="9"/>
      <c r="Z3731" s="2"/>
    </row>
    <row r="3732" spans="1:26">
      <c r="A3732" s="4"/>
      <c r="B3732" s="4"/>
      <c r="C3732" s="4"/>
      <c r="D3732" s="4"/>
      <c r="E3732" s="4"/>
      <c r="F3732" s="4"/>
      <c r="G3732" s="4"/>
      <c r="H3732" s="4"/>
      <c r="I3732" s="4"/>
      <c r="J3732" s="4"/>
      <c r="K3732" s="4"/>
      <c r="L3732" s="3"/>
      <c r="M3732" s="6"/>
      <c r="N3732" s="6"/>
      <c r="O3732" s="6"/>
      <c r="P3732" s="5"/>
      <c r="Q3732" s="9"/>
      <c r="R3732" s="5"/>
      <c r="S3732" s="5"/>
      <c r="T3732" s="5"/>
      <c r="U3732" s="5"/>
      <c r="V3732" s="5"/>
      <c r="W3732" s="5"/>
      <c r="X3732" s="5"/>
      <c r="Y3732" s="9"/>
      <c r="Z3732" s="2"/>
    </row>
    <row r="3733" spans="1:26">
      <c r="A3733" s="4"/>
      <c r="B3733" s="4"/>
      <c r="C3733" s="4"/>
      <c r="D3733" s="4"/>
      <c r="E3733" s="4"/>
      <c r="F3733" s="4"/>
      <c r="G3733" s="4"/>
      <c r="H3733" s="4"/>
      <c r="I3733" s="4"/>
      <c r="J3733" s="4"/>
      <c r="K3733" s="4"/>
      <c r="L3733" s="3"/>
      <c r="M3733" s="6"/>
      <c r="N3733" s="6"/>
      <c r="O3733" s="6"/>
      <c r="P3733" s="5"/>
      <c r="Q3733" s="9"/>
      <c r="R3733" s="5"/>
      <c r="S3733" s="5"/>
      <c r="T3733" s="5"/>
      <c r="U3733" s="5"/>
      <c r="V3733" s="5"/>
      <c r="W3733" s="5"/>
      <c r="X3733" s="5"/>
      <c r="Y3733" s="9"/>
      <c r="Z3733" s="2"/>
    </row>
    <row r="3734" spans="1:26">
      <c r="A3734" s="4"/>
      <c r="B3734" s="4"/>
      <c r="C3734" s="4"/>
      <c r="D3734" s="4"/>
      <c r="E3734" s="4"/>
      <c r="F3734" s="4"/>
      <c r="G3734" s="4"/>
      <c r="H3734" s="4"/>
      <c r="I3734" s="4"/>
      <c r="J3734" s="4"/>
      <c r="K3734" s="4"/>
      <c r="L3734" s="3"/>
      <c r="M3734" s="6"/>
      <c r="N3734" s="6"/>
      <c r="O3734" s="6"/>
      <c r="P3734" s="5"/>
      <c r="Q3734" s="9"/>
      <c r="R3734" s="5"/>
      <c r="S3734" s="5"/>
      <c r="T3734" s="5"/>
      <c r="U3734" s="5"/>
      <c r="V3734" s="5"/>
      <c r="W3734" s="5"/>
      <c r="X3734" s="5"/>
      <c r="Y3734" s="9"/>
      <c r="Z3734" s="2"/>
    </row>
    <row r="3735" spans="1:26">
      <c r="A3735" s="4"/>
      <c r="B3735" s="4"/>
      <c r="C3735" s="4"/>
      <c r="D3735" s="4"/>
      <c r="E3735" s="4"/>
      <c r="F3735" s="4"/>
      <c r="G3735" s="4"/>
      <c r="H3735" s="4"/>
      <c r="I3735" s="4"/>
      <c r="J3735" s="4"/>
      <c r="K3735" s="4"/>
      <c r="L3735" s="3"/>
      <c r="M3735" s="6"/>
      <c r="N3735" s="6"/>
      <c r="O3735" s="6"/>
      <c r="P3735" s="5"/>
      <c r="Q3735" s="9"/>
      <c r="R3735" s="5"/>
      <c r="S3735" s="5"/>
      <c r="T3735" s="5"/>
      <c r="U3735" s="5"/>
      <c r="V3735" s="5"/>
      <c r="W3735" s="5"/>
      <c r="X3735" s="5"/>
      <c r="Y3735" s="9"/>
      <c r="Z3735" s="2"/>
    </row>
    <row r="3736" spans="1:26">
      <c r="A3736" s="4"/>
      <c r="B3736" s="4"/>
      <c r="C3736" s="4"/>
      <c r="D3736" s="4"/>
      <c r="E3736" s="4"/>
      <c r="F3736" s="4"/>
      <c r="G3736" s="4"/>
      <c r="H3736" s="4"/>
      <c r="I3736" s="4"/>
      <c r="J3736" s="4"/>
      <c r="K3736" s="4"/>
      <c r="L3736" s="3"/>
      <c r="M3736" s="6"/>
      <c r="N3736" s="6"/>
      <c r="O3736" s="6"/>
      <c r="P3736" s="5"/>
      <c r="Q3736" s="9"/>
      <c r="R3736" s="5"/>
      <c r="S3736" s="5"/>
      <c r="T3736" s="5"/>
      <c r="U3736" s="5"/>
      <c r="V3736" s="5"/>
      <c r="W3736" s="5"/>
      <c r="X3736" s="5"/>
      <c r="Y3736" s="9"/>
      <c r="Z3736" s="2"/>
    </row>
    <row r="3737" spans="1:26">
      <c r="A3737" s="4"/>
      <c r="B3737" s="4"/>
      <c r="C3737" s="4"/>
      <c r="D3737" s="4"/>
      <c r="E3737" s="4"/>
      <c r="F3737" s="4"/>
      <c r="G3737" s="4"/>
      <c r="H3737" s="4"/>
      <c r="I3737" s="4"/>
      <c r="J3737" s="4"/>
      <c r="K3737" s="4"/>
      <c r="L3737" s="3"/>
      <c r="M3737" s="6"/>
      <c r="N3737" s="6"/>
      <c r="O3737" s="6"/>
      <c r="P3737" s="5"/>
      <c r="Q3737" s="9"/>
      <c r="R3737" s="5"/>
      <c r="S3737" s="5"/>
      <c r="T3737" s="5"/>
      <c r="U3737" s="5"/>
      <c r="V3737" s="5"/>
      <c r="W3737" s="5"/>
      <c r="X3737" s="5"/>
      <c r="Y3737" s="9"/>
      <c r="Z3737" s="2"/>
    </row>
    <row r="3738" spans="1:26">
      <c r="A3738" s="4"/>
      <c r="B3738" s="4"/>
      <c r="C3738" s="4"/>
      <c r="D3738" s="4"/>
      <c r="E3738" s="4"/>
      <c r="F3738" s="4"/>
      <c r="G3738" s="4"/>
      <c r="H3738" s="4"/>
      <c r="I3738" s="4"/>
      <c r="J3738" s="4"/>
      <c r="K3738" s="4"/>
      <c r="L3738" s="3"/>
      <c r="M3738" s="6"/>
      <c r="N3738" s="6"/>
      <c r="O3738" s="6"/>
      <c r="P3738" s="5"/>
      <c r="Q3738" s="9"/>
      <c r="R3738" s="5"/>
      <c r="S3738" s="5"/>
      <c r="T3738" s="5"/>
      <c r="U3738" s="5"/>
      <c r="V3738" s="5"/>
      <c r="W3738" s="5"/>
      <c r="X3738" s="5"/>
      <c r="Y3738" s="9"/>
      <c r="Z3738" s="2"/>
    </row>
    <row r="3739" spans="1:26">
      <c r="A3739" s="4"/>
      <c r="B3739" s="4"/>
      <c r="C3739" s="4"/>
      <c r="D3739" s="4"/>
      <c r="E3739" s="4"/>
      <c r="F3739" s="4"/>
      <c r="G3739" s="4"/>
      <c r="H3739" s="4"/>
      <c r="I3739" s="4"/>
      <c r="J3739" s="4"/>
      <c r="K3739" s="4"/>
      <c r="L3739" s="3"/>
      <c r="M3739" s="6"/>
      <c r="N3739" s="6"/>
      <c r="O3739" s="6"/>
      <c r="P3739" s="5"/>
      <c r="Q3739" s="9"/>
      <c r="R3739" s="5"/>
      <c r="S3739" s="5"/>
      <c r="T3739" s="5"/>
      <c r="U3739" s="5"/>
      <c r="V3739" s="5"/>
      <c r="W3739" s="5"/>
      <c r="X3739" s="5"/>
      <c r="Y3739" s="9"/>
      <c r="Z3739" s="2"/>
    </row>
    <row r="3740" spans="1:26">
      <c r="A3740" s="4"/>
      <c r="B3740" s="4"/>
      <c r="C3740" s="4"/>
      <c r="D3740" s="4"/>
      <c r="E3740" s="4"/>
      <c r="F3740" s="4"/>
      <c r="G3740" s="4"/>
      <c r="H3740" s="4"/>
      <c r="I3740" s="4"/>
      <c r="J3740" s="4"/>
      <c r="K3740" s="4"/>
      <c r="L3740" s="3"/>
      <c r="M3740" s="6"/>
      <c r="N3740" s="6"/>
      <c r="O3740" s="6"/>
      <c r="P3740" s="5"/>
      <c r="Q3740" s="9"/>
      <c r="R3740" s="5"/>
      <c r="S3740" s="5"/>
      <c r="T3740" s="5"/>
      <c r="U3740" s="5"/>
      <c r="V3740" s="5"/>
      <c r="W3740" s="5"/>
      <c r="X3740" s="5"/>
      <c r="Y3740" s="9"/>
      <c r="Z3740" s="2"/>
    </row>
    <row r="3741" spans="1:26">
      <c r="A3741" s="4"/>
      <c r="B3741" s="4"/>
      <c r="C3741" s="4"/>
      <c r="D3741" s="4"/>
      <c r="E3741" s="4"/>
      <c r="F3741" s="4"/>
      <c r="G3741" s="4"/>
      <c r="H3741" s="4"/>
      <c r="I3741" s="4"/>
      <c r="J3741" s="4"/>
      <c r="K3741" s="4"/>
      <c r="L3741" s="3"/>
      <c r="M3741" s="6"/>
      <c r="N3741" s="6"/>
      <c r="O3741" s="6"/>
      <c r="P3741" s="5"/>
      <c r="Q3741" s="9"/>
      <c r="R3741" s="5"/>
      <c r="S3741" s="5"/>
      <c r="T3741" s="5"/>
      <c r="U3741" s="5"/>
      <c r="V3741" s="5"/>
      <c r="W3741" s="5"/>
      <c r="X3741" s="5"/>
      <c r="Y3741" s="9"/>
      <c r="Z3741" s="2"/>
    </row>
    <row r="3742" spans="1:26">
      <c r="A3742" s="4"/>
      <c r="B3742" s="4"/>
      <c r="C3742" s="4"/>
      <c r="D3742" s="4"/>
      <c r="E3742" s="4"/>
      <c r="F3742" s="4"/>
      <c r="G3742" s="4"/>
      <c r="H3742" s="4"/>
      <c r="I3742" s="4"/>
      <c r="J3742" s="4"/>
      <c r="K3742" s="4"/>
      <c r="L3742" s="3"/>
      <c r="M3742" s="6"/>
      <c r="N3742" s="6"/>
      <c r="O3742" s="6"/>
      <c r="P3742" s="5"/>
      <c r="Q3742" s="9"/>
      <c r="R3742" s="5"/>
      <c r="S3742" s="5"/>
      <c r="T3742" s="5"/>
      <c r="U3742" s="5"/>
      <c r="V3742" s="5"/>
      <c r="W3742" s="5"/>
      <c r="X3742" s="5"/>
      <c r="Y3742" s="9"/>
      <c r="Z3742" s="2"/>
    </row>
    <row r="3743" spans="1:26">
      <c r="A3743" s="4"/>
      <c r="B3743" s="4"/>
      <c r="C3743" s="4"/>
      <c r="D3743" s="4"/>
      <c r="E3743" s="4"/>
      <c r="F3743" s="4"/>
      <c r="G3743" s="4"/>
      <c r="H3743" s="4"/>
      <c r="I3743" s="4"/>
      <c r="J3743" s="4"/>
      <c r="K3743" s="4"/>
      <c r="L3743" s="3"/>
      <c r="M3743" s="6"/>
      <c r="N3743" s="6"/>
      <c r="O3743" s="6"/>
      <c r="P3743" s="5"/>
      <c r="Q3743" s="9"/>
      <c r="R3743" s="5"/>
      <c r="S3743" s="5"/>
      <c r="T3743" s="5"/>
      <c r="U3743" s="5"/>
      <c r="V3743" s="5"/>
      <c r="W3743" s="5"/>
      <c r="X3743" s="5"/>
      <c r="Y3743" s="9"/>
      <c r="Z3743" s="2"/>
    </row>
    <row r="3744" spans="1:26">
      <c r="A3744" s="4"/>
      <c r="B3744" s="4"/>
      <c r="C3744" s="4"/>
      <c r="D3744" s="4"/>
      <c r="E3744" s="4"/>
      <c r="F3744" s="4"/>
      <c r="G3744" s="4"/>
      <c r="H3744" s="4"/>
      <c r="I3744" s="4"/>
      <c r="J3744" s="4"/>
      <c r="K3744" s="4"/>
      <c r="L3744" s="3"/>
      <c r="M3744" s="6"/>
      <c r="N3744" s="6"/>
      <c r="O3744" s="6"/>
      <c r="P3744" s="5"/>
      <c r="Q3744" s="9"/>
      <c r="R3744" s="5"/>
      <c r="S3744" s="5"/>
      <c r="T3744" s="5"/>
      <c r="U3744" s="5"/>
      <c r="V3744" s="5"/>
      <c r="W3744" s="5"/>
      <c r="X3744" s="5"/>
      <c r="Y3744" s="9"/>
      <c r="Z3744" s="2"/>
    </row>
    <row r="3745" spans="1:26">
      <c r="A3745" s="4"/>
      <c r="B3745" s="4"/>
      <c r="C3745" s="4"/>
      <c r="D3745" s="4"/>
      <c r="E3745" s="4"/>
      <c r="F3745" s="4"/>
      <c r="G3745" s="4"/>
      <c r="H3745" s="4"/>
      <c r="I3745" s="4"/>
      <c r="J3745" s="4"/>
      <c r="K3745" s="4"/>
      <c r="L3745" s="3"/>
      <c r="M3745" s="6"/>
      <c r="N3745" s="6"/>
      <c r="O3745" s="6"/>
      <c r="P3745" s="5"/>
      <c r="Q3745" s="9"/>
      <c r="R3745" s="5"/>
      <c r="S3745" s="5"/>
      <c r="T3745" s="5"/>
      <c r="U3745" s="5"/>
      <c r="V3745" s="5"/>
      <c r="W3745" s="5"/>
      <c r="X3745" s="5"/>
      <c r="Y3745" s="9"/>
      <c r="Z3745" s="2"/>
    </row>
    <row r="3746" spans="1:26">
      <c r="A3746" s="4"/>
      <c r="B3746" s="4"/>
      <c r="C3746" s="4"/>
      <c r="D3746" s="4"/>
      <c r="E3746" s="4"/>
      <c r="F3746" s="4"/>
      <c r="G3746" s="4"/>
      <c r="H3746" s="4"/>
      <c r="I3746" s="4"/>
      <c r="J3746" s="4"/>
      <c r="K3746" s="4"/>
      <c r="L3746" s="3"/>
      <c r="M3746" s="6"/>
      <c r="N3746" s="6"/>
      <c r="O3746" s="6"/>
      <c r="P3746" s="5"/>
      <c r="Q3746" s="9"/>
      <c r="R3746" s="5"/>
      <c r="S3746" s="5"/>
      <c r="T3746" s="5"/>
      <c r="U3746" s="5"/>
      <c r="V3746" s="5"/>
      <c r="W3746" s="5"/>
      <c r="X3746" s="5"/>
      <c r="Y3746" s="9"/>
      <c r="Z3746" s="2"/>
    </row>
    <row r="3747" spans="1:26">
      <c r="A3747" s="4"/>
      <c r="B3747" s="4"/>
      <c r="C3747" s="4"/>
      <c r="D3747" s="4"/>
      <c r="E3747" s="4"/>
      <c r="F3747" s="4"/>
      <c r="G3747" s="4"/>
      <c r="H3747" s="4"/>
      <c r="I3747" s="4"/>
      <c r="J3747" s="4"/>
      <c r="K3747" s="4"/>
      <c r="L3747" s="3"/>
      <c r="M3747" s="6"/>
      <c r="N3747" s="6"/>
      <c r="O3747" s="6"/>
      <c r="P3747" s="5"/>
      <c r="Q3747" s="9"/>
      <c r="R3747" s="5"/>
      <c r="S3747" s="5"/>
      <c r="T3747" s="5"/>
      <c r="U3747" s="5"/>
      <c r="V3747" s="5"/>
      <c r="W3747" s="5"/>
      <c r="X3747" s="5"/>
      <c r="Y3747" s="9"/>
      <c r="Z3747" s="2"/>
    </row>
    <row r="3748" spans="1:26">
      <c r="A3748" s="4"/>
      <c r="B3748" s="4"/>
      <c r="C3748" s="4"/>
      <c r="D3748" s="4"/>
      <c r="E3748" s="4"/>
      <c r="F3748" s="4"/>
      <c r="G3748" s="4"/>
      <c r="H3748" s="4"/>
      <c r="I3748" s="4"/>
      <c r="J3748" s="4"/>
      <c r="K3748" s="4"/>
      <c r="L3748" s="3"/>
      <c r="M3748" s="6"/>
      <c r="N3748" s="6"/>
      <c r="O3748" s="6"/>
      <c r="P3748" s="5"/>
      <c r="Q3748" s="9"/>
      <c r="R3748" s="5"/>
      <c r="S3748" s="5"/>
      <c r="T3748" s="5"/>
      <c r="U3748" s="5"/>
      <c r="V3748" s="5"/>
      <c r="W3748" s="5"/>
      <c r="X3748" s="5"/>
      <c r="Y3748" s="9"/>
      <c r="Z3748" s="2"/>
    </row>
    <row r="3749" spans="1:26">
      <c r="A3749" s="4"/>
      <c r="B3749" s="4"/>
      <c r="C3749" s="4"/>
      <c r="D3749" s="4"/>
      <c r="E3749" s="4"/>
      <c r="F3749" s="4"/>
      <c r="G3749" s="4"/>
      <c r="H3749" s="4"/>
      <c r="I3749" s="4"/>
      <c r="J3749" s="4"/>
      <c r="K3749" s="4"/>
      <c r="L3749" s="3"/>
      <c r="M3749" s="6"/>
      <c r="N3749" s="6"/>
      <c r="O3749" s="6"/>
      <c r="P3749" s="5"/>
      <c r="Q3749" s="9"/>
      <c r="R3749" s="5"/>
      <c r="S3749" s="5"/>
      <c r="T3749" s="5"/>
      <c r="U3749" s="5"/>
      <c r="V3749" s="5"/>
      <c r="W3749" s="5"/>
      <c r="X3749" s="5"/>
      <c r="Y3749" s="9"/>
      <c r="Z3749" s="2"/>
    </row>
    <row r="3750" spans="1:26">
      <c r="A3750" s="4"/>
      <c r="B3750" s="4"/>
      <c r="C3750" s="4"/>
      <c r="D3750" s="4"/>
      <c r="E3750" s="4"/>
      <c r="F3750" s="4"/>
      <c r="G3750" s="4"/>
      <c r="H3750" s="4"/>
      <c r="I3750" s="4"/>
      <c r="J3750" s="4"/>
      <c r="K3750" s="4"/>
      <c r="L3750" s="3"/>
      <c r="M3750" s="6"/>
      <c r="N3750" s="6"/>
      <c r="O3750" s="6"/>
      <c r="P3750" s="5"/>
      <c r="Q3750" s="9"/>
      <c r="R3750" s="5"/>
      <c r="S3750" s="5"/>
      <c r="T3750" s="5"/>
      <c r="U3750" s="5"/>
      <c r="V3750" s="5"/>
      <c r="W3750" s="5"/>
      <c r="X3750" s="5"/>
      <c r="Y3750" s="9"/>
      <c r="Z3750" s="2"/>
    </row>
    <row r="3751" spans="1:26">
      <c r="A3751" s="4"/>
      <c r="B3751" s="4"/>
      <c r="C3751" s="4"/>
      <c r="D3751" s="4"/>
      <c r="E3751" s="4"/>
      <c r="F3751" s="4"/>
      <c r="G3751" s="4"/>
      <c r="H3751" s="4"/>
      <c r="I3751" s="4"/>
      <c r="J3751" s="4"/>
      <c r="K3751" s="4"/>
      <c r="L3751" s="3"/>
      <c r="M3751" s="6"/>
      <c r="N3751" s="6"/>
      <c r="O3751" s="6"/>
      <c r="P3751" s="5"/>
      <c r="Q3751" s="9"/>
      <c r="R3751" s="5"/>
      <c r="S3751" s="5"/>
      <c r="T3751" s="5"/>
      <c r="U3751" s="5"/>
      <c r="V3751" s="5"/>
      <c r="W3751" s="5"/>
      <c r="X3751" s="5"/>
      <c r="Y3751" s="9"/>
      <c r="Z3751" s="2"/>
    </row>
    <row r="3752" spans="1:26">
      <c r="A3752" s="4"/>
      <c r="B3752" s="4"/>
      <c r="C3752" s="4"/>
      <c r="D3752" s="4"/>
      <c r="E3752" s="4"/>
      <c r="F3752" s="4"/>
      <c r="G3752" s="4"/>
      <c r="H3752" s="4"/>
      <c r="I3752" s="4"/>
      <c r="J3752" s="4"/>
      <c r="K3752" s="4"/>
      <c r="L3752" s="3"/>
      <c r="M3752" s="6"/>
      <c r="N3752" s="6"/>
      <c r="O3752" s="6"/>
      <c r="P3752" s="5"/>
      <c r="Q3752" s="9"/>
      <c r="R3752" s="5"/>
      <c r="S3752" s="5"/>
      <c r="T3752" s="5"/>
      <c r="U3752" s="5"/>
      <c r="V3752" s="5"/>
      <c r="W3752" s="5"/>
      <c r="X3752" s="5"/>
      <c r="Y3752" s="9"/>
      <c r="Z3752" s="2"/>
    </row>
    <row r="3753" spans="1:26">
      <c r="A3753" s="4"/>
      <c r="B3753" s="4"/>
      <c r="C3753" s="4"/>
      <c r="D3753" s="4"/>
      <c r="E3753" s="4"/>
      <c r="F3753" s="4"/>
      <c r="G3753" s="4"/>
      <c r="H3753" s="4"/>
      <c r="I3753" s="4"/>
      <c r="J3753" s="4"/>
      <c r="K3753" s="4"/>
      <c r="L3753" s="3"/>
      <c r="M3753" s="6"/>
      <c r="N3753" s="6"/>
      <c r="O3753" s="6"/>
      <c r="P3753" s="5"/>
      <c r="Q3753" s="9"/>
      <c r="R3753" s="5"/>
      <c r="S3753" s="5"/>
      <c r="T3753" s="5"/>
      <c r="U3753" s="5"/>
      <c r="V3753" s="5"/>
      <c r="W3753" s="5"/>
      <c r="X3753" s="5"/>
      <c r="Y3753" s="9"/>
      <c r="Z3753" s="2"/>
    </row>
    <row r="3754" spans="1:26">
      <c r="A3754" s="4"/>
      <c r="B3754" s="4"/>
      <c r="C3754" s="4"/>
      <c r="D3754" s="4"/>
      <c r="E3754" s="4"/>
      <c r="F3754" s="4"/>
      <c r="G3754" s="4"/>
      <c r="H3754" s="4"/>
      <c r="I3754" s="4"/>
      <c r="J3754" s="4"/>
      <c r="K3754" s="4"/>
      <c r="L3754" s="3"/>
      <c r="M3754" s="6"/>
      <c r="N3754" s="6"/>
      <c r="O3754" s="6"/>
      <c r="P3754" s="5"/>
      <c r="Q3754" s="9"/>
      <c r="R3754" s="5"/>
      <c r="S3754" s="5"/>
      <c r="T3754" s="5"/>
      <c r="U3754" s="5"/>
      <c r="V3754" s="5"/>
      <c r="W3754" s="5"/>
      <c r="X3754" s="5"/>
      <c r="Y3754" s="9"/>
      <c r="Z3754" s="2"/>
    </row>
    <row r="3755" spans="1:26">
      <c r="A3755" s="4"/>
      <c r="B3755" s="4"/>
      <c r="C3755" s="4"/>
      <c r="D3755" s="4"/>
      <c r="E3755" s="4"/>
      <c r="F3755" s="4"/>
      <c r="G3755" s="4"/>
      <c r="H3755" s="4"/>
      <c r="I3755" s="4"/>
      <c r="J3755" s="4"/>
      <c r="K3755" s="4"/>
      <c r="L3755" s="3"/>
      <c r="M3755" s="6"/>
      <c r="N3755" s="6"/>
      <c r="O3755" s="6"/>
      <c r="P3755" s="5"/>
      <c r="Q3755" s="9"/>
      <c r="R3755" s="5"/>
      <c r="S3755" s="5"/>
      <c r="T3755" s="5"/>
      <c r="U3755" s="5"/>
      <c r="V3755" s="5"/>
      <c r="W3755" s="5"/>
      <c r="X3755" s="5"/>
      <c r="Y3755" s="9"/>
      <c r="Z3755" s="2"/>
    </row>
    <row r="3756" spans="1:26">
      <c r="A3756" s="4"/>
      <c r="B3756" s="4"/>
      <c r="C3756" s="4"/>
      <c r="D3756" s="4"/>
      <c r="E3756" s="4"/>
      <c r="F3756" s="4"/>
      <c r="G3756" s="4"/>
      <c r="H3756" s="4"/>
      <c r="I3756" s="4"/>
      <c r="J3756" s="4"/>
      <c r="K3756" s="4"/>
      <c r="L3756" s="3"/>
      <c r="M3756" s="6"/>
      <c r="N3756" s="6"/>
      <c r="O3756" s="6"/>
      <c r="P3756" s="5"/>
      <c r="Q3756" s="9"/>
      <c r="R3756" s="5"/>
      <c r="S3756" s="5"/>
      <c r="T3756" s="5"/>
      <c r="U3756" s="5"/>
      <c r="V3756" s="5"/>
      <c r="W3756" s="5"/>
      <c r="X3756" s="5"/>
      <c r="Y3756" s="9"/>
      <c r="Z3756" s="2"/>
    </row>
    <row r="3757" spans="1:26">
      <c r="A3757" s="4"/>
      <c r="B3757" s="4"/>
      <c r="C3757" s="4"/>
      <c r="D3757" s="4"/>
      <c r="E3757" s="4"/>
      <c r="F3757" s="4"/>
      <c r="G3757" s="4"/>
      <c r="H3757" s="4"/>
      <c r="I3757" s="4"/>
      <c r="J3757" s="4"/>
      <c r="K3757" s="4"/>
      <c r="L3757" s="3"/>
      <c r="M3757" s="6"/>
      <c r="N3757" s="6"/>
      <c r="O3757" s="6"/>
      <c r="P3757" s="5"/>
      <c r="Q3757" s="9"/>
      <c r="R3757" s="5"/>
      <c r="S3757" s="5"/>
      <c r="T3757" s="5"/>
      <c r="U3757" s="5"/>
      <c r="V3757" s="5"/>
      <c r="W3757" s="5"/>
      <c r="X3757" s="5"/>
      <c r="Y3757" s="9"/>
      <c r="Z3757" s="2"/>
    </row>
    <row r="3758" spans="1:26">
      <c r="A3758" s="4"/>
      <c r="B3758" s="4"/>
      <c r="C3758" s="4"/>
      <c r="D3758" s="4"/>
      <c r="E3758" s="4"/>
      <c r="F3758" s="4"/>
      <c r="G3758" s="4"/>
      <c r="H3758" s="4"/>
      <c r="I3758" s="4"/>
      <c r="J3758" s="4"/>
      <c r="K3758" s="4"/>
      <c r="L3758" s="3"/>
      <c r="M3758" s="6"/>
      <c r="N3758" s="6"/>
      <c r="O3758" s="6"/>
      <c r="P3758" s="5"/>
      <c r="Q3758" s="9"/>
      <c r="R3758" s="5"/>
      <c r="S3758" s="5"/>
      <c r="T3758" s="5"/>
      <c r="U3758" s="5"/>
      <c r="V3758" s="5"/>
      <c r="W3758" s="5"/>
      <c r="X3758" s="5"/>
      <c r="Y3758" s="9"/>
      <c r="Z3758" s="2"/>
    </row>
    <row r="3759" spans="1:26">
      <c r="A3759" s="4"/>
      <c r="B3759" s="4"/>
      <c r="C3759" s="4"/>
      <c r="D3759" s="4"/>
      <c r="E3759" s="4"/>
      <c r="F3759" s="4"/>
      <c r="G3759" s="4"/>
      <c r="H3759" s="4"/>
      <c r="I3759" s="4"/>
      <c r="J3759" s="4"/>
      <c r="K3759" s="4"/>
      <c r="L3759" s="3"/>
      <c r="M3759" s="6"/>
      <c r="N3759" s="6"/>
      <c r="O3759" s="6"/>
      <c r="P3759" s="5"/>
      <c r="Q3759" s="9"/>
      <c r="R3759" s="5"/>
      <c r="S3759" s="5"/>
      <c r="T3759" s="5"/>
      <c r="U3759" s="5"/>
      <c r="V3759" s="5"/>
      <c r="W3759" s="5"/>
      <c r="X3759" s="5"/>
      <c r="Y3759" s="9"/>
      <c r="Z3759" s="2"/>
    </row>
    <row r="3760" spans="1:26">
      <c r="A3760" s="4"/>
      <c r="B3760" s="4"/>
      <c r="C3760" s="4"/>
      <c r="D3760" s="4"/>
      <c r="E3760" s="4"/>
      <c r="F3760" s="4"/>
      <c r="G3760" s="4"/>
      <c r="H3760" s="4"/>
      <c r="I3760" s="4"/>
      <c r="J3760" s="4"/>
      <c r="K3760" s="4"/>
      <c r="L3760" s="3"/>
      <c r="M3760" s="6"/>
      <c r="N3760" s="6"/>
      <c r="O3760" s="6"/>
      <c r="P3760" s="5"/>
      <c r="Q3760" s="9"/>
      <c r="R3760" s="5"/>
      <c r="S3760" s="5"/>
      <c r="T3760" s="5"/>
      <c r="U3760" s="5"/>
      <c r="V3760" s="5"/>
      <c r="W3760" s="5"/>
      <c r="X3760" s="5"/>
      <c r="Y3760" s="9"/>
      <c r="Z3760" s="2"/>
    </row>
    <row r="3761" spans="1:26">
      <c r="A3761" s="4"/>
      <c r="B3761" s="4"/>
      <c r="C3761" s="4"/>
      <c r="D3761" s="4"/>
      <c r="E3761" s="4"/>
      <c r="F3761" s="4"/>
      <c r="G3761" s="4"/>
      <c r="H3761" s="4"/>
      <c r="I3761" s="4"/>
      <c r="J3761" s="4"/>
      <c r="K3761" s="4"/>
      <c r="L3761" s="3"/>
      <c r="M3761" s="6"/>
      <c r="N3761" s="6"/>
      <c r="O3761" s="6"/>
      <c r="P3761" s="5"/>
      <c r="Q3761" s="9"/>
      <c r="R3761" s="5"/>
      <c r="S3761" s="5"/>
      <c r="T3761" s="5"/>
      <c r="U3761" s="5"/>
      <c r="V3761" s="5"/>
      <c r="W3761" s="5"/>
      <c r="X3761" s="5"/>
      <c r="Y3761" s="9"/>
      <c r="Z3761" s="2"/>
    </row>
    <row r="3762" spans="1:26">
      <c r="A3762" s="4"/>
      <c r="B3762" s="4"/>
      <c r="C3762" s="4"/>
      <c r="D3762" s="4"/>
      <c r="E3762" s="4"/>
      <c r="F3762" s="4"/>
      <c r="G3762" s="4"/>
      <c r="H3762" s="4"/>
      <c r="I3762" s="4"/>
      <c r="J3762" s="4"/>
      <c r="K3762" s="4"/>
      <c r="L3762" s="3"/>
      <c r="M3762" s="6"/>
      <c r="N3762" s="6"/>
      <c r="O3762" s="6"/>
      <c r="P3762" s="5"/>
      <c r="Q3762" s="9"/>
      <c r="R3762" s="5"/>
      <c r="S3762" s="5"/>
      <c r="T3762" s="5"/>
      <c r="U3762" s="5"/>
      <c r="V3762" s="5"/>
      <c r="W3762" s="5"/>
      <c r="X3762" s="5"/>
      <c r="Y3762" s="9"/>
      <c r="Z3762" s="2"/>
    </row>
    <row r="3763" spans="1:26">
      <c r="A3763" s="4"/>
      <c r="B3763" s="4"/>
      <c r="C3763" s="4"/>
      <c r="D3763" s="4"/>
      <c r="E3763" s="4"/>
      <c r="F3763" s="4"/>
      <c r="G3763" s="4"/>
      <c r="H3763" s="4"/>
      <c r="I3763" s="4"/>
      <c r="J3763" s="4"/>
      <c r="K3763" s="4"/>
      <c r="L3763" s="3"/>
      <c r="M3763" s="6"/>
      <c r="N3763" s="6"/>
      <c r="O3763" s="6"/>
      <c r="P3763" s="5"/>
      <c r="Q3763" s="9"/>
      <c r="R3763" s="5"/>
      <c r="S3763" s="5"/>
      <c r="T3763" s="5"/>
      <c r="U3763" s="5"/>
      <c r="V3763" s="5"/>
      <c r="W3763" s="5"/>
      <c r="X3763" s="5"/>
      <c r="Y3763" s="9"/>
      <c r="Z3763" s="2"/>
    </row>
    <row r="3764" spans="1:26">
      <c r="A3764" s="4"/>
      <c r="B3764" s="4"/>
      <c r="C3764" s="4"/>
      <c r="D3764" s="4"/>
      <c r="E3764" s="4"/>
      <c r="F3764" s="4"/>
      <c r="G3764" s="4"/>
      <c r="H3764" s="4"/>
      <c r="I3764" s="4"/>
      <c r="J3764" s="4"/>
      <c r="K3764" s="4"/>
      <c r="L3764" s="3"/>
      <c r="M3764" s="6"/>
      <c r="N3764" s="6"/>
      <c r="O3764" s="6"/>
      <c r="P3764" s="5"/>
      <c r="Q3764" s="9"/>
      <c r="R3764" s="5"/>
      <c r="S3764" s="5"/>
      <c r="T3764" s="5"/>
      <c r="U3764" s="5"/>
      <c r="V3764" s="5"/>
      <c r="W3764" s="5"/>
      <c r="X3764" s="5"/>
      <c r="Y3764" s="9"/>
      <c r="Z3764" s="2"/>
    </row>
    <row r="3765" spans="1:26">
      <c r="A3765" s="4"/>
      <c r="B3765" s="4"/>
      <c r="C3765" s="4"/>
      <c r="D3765" s="4"/>
      <c r="E3765" s="4"/>
      <c r="F3765" s="4"/>
      <c r="G3765" s="4"/>
      <c r="H3765" s="4"/>
      <c r="I3765" s="4"/>
      <c r="J3765" s="4"/>
      <c r="K3765" s="4"/>
      <c r="L3765" s="3"/>
      <c r="M3765" s="6"/>
      <c r="N3765" s="6"/>
      <c r="O3765" s="6"/>
      <c r="P3765" s="5"/>
      <c r="Q3765" s="9"/>
      <c r="R3765" s="5"/>
      <c r="S3765" s="5"/>
      <c r="T3765" s="5"/>
      <c r="U3765" s="5"/>
      <c r="V3765" s="5"/>
      <c r="W3765" s="5"/>
      <c r="X3765" s="5"/>
      <c r="Y3765" s="9"/>
      <c r="Z3765" s="2"/>
    </row>
    <row r="3766" spans="1:26">
      <c r="A3766" s="4"/>
      <c r="B3766" s="4"/>
      <c r="C3766" s="4"/>
      <c r="D3766" s="4"/>
      <c r="E3766" s="4"/>
      <c r="F3766" s="4"/>
      <c r="G3766" s="4"/>
      <c r="H3766" s="4"/>
      <c r="I3766" s="4"/>
      <c r="J3766" s="4"/>
      <c r="K3766" s="4"/>
      <c r="L3766" s="3"/>
      <c r="M3766" s="6"/>
      <c r="N3766" s="6"/>
      <c r="O3766" s="6"/>
      <c r="P3766" s="5"/>
      <c r="Q3766" s="9"/>
      <c r="R3766" s="5"/>
      <c r="S3766" s="5"/>
      <c r="T3766" s="5"/>
      <c r="U3766" s="5"/>
      <c r="V3766" s="5"/>
      <c r="W3766" s="5"/>
      <c r="X3766" s="5"/>
      <c r="Y3766" s="9"/>
      <c r="Z3766" s="2"/>
    </row>
    <row r="3767" spans="1:26">
      <c r="A3767" s="4"/>
      <c r="B3767" s="4"/>
      <c r="C3767" s="4"/>
      <c r="D3767" s="4"/>
      <c r="E3767" s="4"/>
      <c r="F3767" s="4"/>
      <c r="G3767" s="4"/>
      <c r="H3767" s="4"/>
      <c r="I3767" s="4"/>
      <c r="J3767" s="4"/>
      <c r="K3767" s="4"/>
      <c r="L3767" s="3"/>
      <c r="M3767" s="6"/>
      <c r="N3767" s="6"/>
      <c r="O3767" s="6"/>
      <c r="P3767" s="5"/>
      <c r="Q3767" s="9"/>
      <c r="R3767" s="5"/>
      <c r="S3767" s="5"/>
      <c r="T3767" s="5"/>
      <c r="U3767" s="5"/>
      <c r="V3767" s="5"/>
      <c r="W3767" s="5"/>
      <c r="X3767" s="5"/>
      <c r="Y3767" s="9"/>
      <c r="Z3767" s="2"/>
    </row>
    <row r="3768" spans="1:26">
      <c r="A3768" s="4"/>
      <c r="B3768" s="4"/>
      <c r="C3768" s="4"/>
      <c r="D3768" s="4"/>
      <c r="E3768" s="4"/>
      <c r="F3768" s="4"/>
      <c r="G3768" s="4"/>
      <c r="H3768" s="4"/>
      <c r="I3768" s="4"/>
      <c r="J3768" s="4"/>
      <c r="K3768" s="4"/>
      <c r="L3768" s="3"/>
      <c r="M3768" s="6"/>
      <c r="N3768" s="6"/>
      <c r="O3768" s="6"/>
      <c r="P3768" s="5"/>
      <c r="Q3768" s="9"/>
      <c r="R3768" s="5"/>
      <c r="S3768" s="5"/>
      <c r="T3768" s="5"/>
      <c r="U3768" s="5"/>
      <c r="V3768" s="5"/>
      <c r="W3768" s="5"/>
      <c r="X3768" s="5"/>
      <c r="Y3768" s="9"/>
      <c r="Z3768" s="2"/>
    </row>
    <row r="3769" spans="1:26">
      <c r="A3769" s="4"/>
      <c r="B3769" s="4"/>
      <c r="C3769" s="4"/>
      <c r="D3769" s="4"/>
      <c r="E3769" s="4"/>
      <c r="F3769" s="4"/>
      <c r="G3769" s="4"/>
      <c r="H3769" s="4"/>
      <c r="I3769" s="4"/>
      <c r="J3769" s="4"/>
      <c r="K3769" s="4"/>
      <c r="L3769" s="3"/>
      <c r="M3769" s="6"/>
      <c r="N3769" s="6"/>
      <c r="O3769" s="6"/>
      <c r="P3769" s="5"/>
      <c r="Q3769" s="9"/>
      <c r="R3769" s="5"/>
      <c r="S3769" s="5"/>
      <c r="T3769" s="5"/>
      <c r="U3769" s="5"/>
      <c r="V3769" s="5"/>
      <c r="W3769" s="5"/>
      <c r="X3769" s="5"/>
      <c r="Y3769" s="9"/>
      <c r="Z3769" s="2"/>
    </row>
    <row r="3770" spans="1:26">
      <c r="A3770" s="4"/>
      <c r="B3770" s="4"/>
      <c r="C3770" s="4"/>
      <c r="D3770" s="4"/>
      <c r="E3770" s="4"/>
      <c r="F3770" s="4"/>
      <c r="G3770" s="4"/>
      <c r="H3770" s="4"/>
      <c r="I3770" s="4"/>
      <c r="J3770" s="4"/>
      <c r="K3770" s="4"/>
      <c r="L3770" s="3"/>
      <c r="M3770" s="6"/>
      <c r="N3770" s="6"/>
      <c r="O3770" s="6"/>
      <c r="P3770" s="5"/>
      <c r="Q3770" s="9"/>
      <c r="R3770" s="5"/>
      <c r="S3770" s="5"/>
      <c r="T3770" s="5"/>
      <c r="U3770" s="5"/>
      <c r="V3770" s="5"/>
      <c r="W3770" s="5"/>
      <c r="X3770" s="5"/>
      <c r="Y3770" s="9"/>
      <c r="Z3770" s="2"/>
    </row>
    <row r="3771" spans="1:26">
      <c r="A3771" s="4"/>
      <c r="B3771" s="4"/>
      <c r="C3771" s="4"/>
      <c r="D3771" s="4"/>
      <c r="E3771" s="4"/>
      <c r="F3771" s="4"/>
      <c r="G3771" s="4"/>
      <c r="H3771" s="4"/>
      <c r="I3771" s="4"/>
      <c r="J3771" s="4"/>
      <c r="K3771" s="4"/>
      <c r="L3771" s="3"/>
      <c r="M3771" s="6"/>
      <c r="N3771" s="6"/>
      <c r="O3771" s="6"/>
      <c r="P3771" s="5"/>
      <c r="Q3771" s="9"/>
      <c r="R3771" s="5"/>
      <c r="S3771" s="5"/>
      <c r="T3771" s="5"/>
      <c r="U3771" s="5"/>
      <c r="V3771" s="5"/>
      <c r="W3771" s="5"/>
      <c r="X3771" s="5"/>
      <c r="Y3771" s="9"/>
      <c r="Z3771" s="2"/>
    </row>
    <row r="3772" spans="1:26">
      <c r="A3772" s="4"/>
      <c r="B3772" s="4"/>
      <c r="C3772" s="4"/>
      <c r="D3772" s="4"/>
      <c r="E3772" s="4"/>
      <c r="F3772" s="4"/>
      <c r="G3772" s="4"/>
      <c r="H3772" s="4"/>
      <c r="I3772" s="4"/>
      <c r="J3772" s="4"/>
      <c r="K3772" s="4"/>
      <c r="L3772" s="3"/>
      <c r="M3772" s="6"/>
      <c r="N3772" s="6"/>
      <c r="O3772" s="6"/>
      <c r="P3772" s="5"/>
      <c r="Q3772" s="9"/>
      <c r="R3772" s="5"/>
      <c r="S3772" s="5"/>
      <c r="T3772" s="5"/>
      <c r="U3772" s="5"/>
      <c r="V3772" s="5"/>
      <c r="W3772" s="5"/>
      <c r="X3772" s="5"/>
      <c r="Y3772" s="9"/>
      <c r="Z3772" s="2"/>
    </row>
    <row r="3773" spans="1:26">
      <c r="A3773" s="4"/>
      <c r="B3773" s="4"/>
      <c r="C3773" s="4"/>
      <c r="D3773" s="4"/>
      <c r="E3773" s="4"/>
      <c r="F3773" s="4"/>
      <c r="G3773" s="4"/>
      <c r="H3773" s="4"/>
      <c r="I3773" s="4"/>
      <c r="J3773" s="4"/>
      <c r="K3773" s="4"/>
      <c r="L3773" s="3"/>
      <c r="M3773" s="6"/>
      <c r="N3773" s="6"/>
      <c r="O3773" s="6"/>
      <c r="P3773" s="5"/>
      <c r="Q3773" s="9"/>
      <c r="R3773" s="5"/>
      <c r="S3773" s="5"/>
      <c r="T3773" s="5"/>
      <c r="U3773" s="5"/>
      <c r="V3773" s="5"/>
      <c r="W3773" s="5"/>
      <c r="X3773" s="5"/>
      <c r="Y3773" s="9"/>
      <c r="Z3773" s="2"/>
    </row>
    <row r="3774" spans="1:26">
      <c r="A3774" s="4"/>
      <c r="B3774" s="4"/>
      <c r="C3774" s="4"/>
      <c r="D3774" s="4"/>
      <c r="E3774" s="4"/>
      <c r="F3774" s="4"/>
      <c r="G3774" s="4"/>
      <c r="H3774" s="4"/>
      <c r="I3774" s="4"/>
      <c r="J3774" s="4"/>
      <c r="K3774" s="4"/>
      <c r="L3774" s="3"/>
      <c r="M3774" s="6"/>
      <c r="N3774" s="6"/>
      <c r="O3774" s="6"/>
      <c r="P3774" s="5"/>
      <c r="Q3774" s="9"/>
      <c r="R3774" s="5"/>
      <c r="S3774" s="5"/>
      <c r="T3774" s="5"/>
      <c r="U3774" s="5"/>
      <c r="V3774" s="5"/>
      <c r="W3774" s="5"/>
      <c r="X3774" s="5"/>
      <c r="Y3774" s="9"/>
      <c r="Z3774" s="2"/>
    </row>
    <row r="3775" spans="1:26">
      <c r="A3775" s="4"/>
      <c r="B3775" s="4"/>
      <c r="C3775" s="4"/>
      <c r="D3775" s="4"/>
      <c r="E3775" s="4"/>
      <c r="F3775" s="4"/>
      <c r="G3775" s="4"/>
      <c r="H3775" s="4"/>
      <c r="I3775" s="4"/>
      <c r="J3775" s="4"/>
      <c r="K3775" s="4"/>
      <c r="L3775" s="3"/>
      <c r="M3775" s="6"/>
      <c r="N3775" s="6"/>
      <c r="O3775" s="6"/>
      <c r="P3775" s="5"/>
      <c r="Q3775" s="9"/>
      <c r="R3775" s="5"/>
      <c r="S3775" s="5"/>
      <c r="T3775" s="5"/>
      <c r="U3775" s="5"/>
      <c r="V3775" s="5"/>
      <c r="W3775" s="5"/>
      <c r="X3775" s="5"/>
      <c r="Y3775" s="9"/>
      <c r="Z3775" s="2"/>
    </row>
    <row r="3776" spans="1:26">
      <c r="A3776" s="4"/>
      <c r="B3776" s="4"/>
      <c r="C3776" s="4"/>
      <c r="D3776" s="4"/>
      <c r="E3776" s="4"/>
      <c r="F3776" s="4"/>
      <c r="G3776" s="4"/>
      <c r="H3776" s="4"/>
      <c r="I3776" s="4"/>
      <c r="J3776" s="4"/>
      <c r="K3776" s="4"/>
      <c r="L3776" s="3"/>
      <c r="M3776" s="6"/>
      <c r="N3776" s="6"/>
      <c r="O3776" s="6"/>
      <c r="P3776" s="5"/>
      <c r="Q3776" s="9"/>
      <c r="R3776" s="5"/>
      <c r="S3776" s="5"/>
      <c r="T3776" s="5"/>
      <c r="U3776" s="5"/>
      <c r="V3776" s="5"/>
      <c r="W3776" s="5"/>
      <c r="X3776" s="5"/>
      <c r="Y3776" s="9"/>
      <c r="Z3776" s="2"/>
    </row>
    <row r="3777" spans="1:26">
      <c r="A3777" s="4"/>
      <c r="B3777" s="4"/>
      <c r="C3777" s="4"/>
      <c r="D3777" s="4"/>
      <c r="E3777" s="4"/>
      <c r="F3777" s="4"/>
      <c r="G3777" s="4"/>
      <c r="H3777" s="4"/>
      <c r="I3777" s="4"/>
      <c r="J3777" s="4"/>
      <c r="K3777" s="4"/>
      <c r="L3777" s="3"/>
      <c r="M3777" s="6"/>
      <c r="N3777" s="6"/>
      <c r="O3777" s="6"/>
      <c r="P3777" s="5"/>
      <c r="Q3777" s="9"/>
      <c r="R3777" s="5"/>
      <c r="S3777" s="5"/>
      <c r="T3777" s="5"/>
      <c r="U3777" s="5"/>
      <c r="V3777" s="5"/>
      <c r="W3777" s="5"/>
      <c r="X3777" s="5"/>
      <c r="Y3777" s="9"/>
      <c r="Z3777" s="2"/>
    </row>
    <row r="3778" spans="1:26">
      <c r="A3778" s="4"/>
      <c r="B3778" s="4"/>
      <c r="C3778" s="4"/>
      <c r="D3778" s="4"/>
      <c r="E3778" s="4"/>
      <c r="F3778" s="4"/>
      <c r="G3778" s="4"/>
      <c r="H3778" s="4"/>
      <c r="I3778" s="4"/>
      <c r="J3778" s="4"/>
      <c r="K3778" s="4"/>
      <c r="L3778" s="3"/>
      <c r="M3778" s="6"/>
      <c r="N3778" s="6"/>
      <c r="O3778" s="6"/>
      <c r="P3778" s="5"/>
      <c r="Q3778" s="9"/>
      <c r="R3778" s="5"/>
      <c r="S3778" s="5"/>
      <c r="T3778" s="5"/>
      <c r="U3778" s="5"/>
      <c r="V3778" s="5"/>
      <c r="W3778" s="5"/>
      <c r="X3778" s="5"/>
      <c r="Y3778" s="9"/>
      <c r="Z3778" s="2"/>
    </row>
    <row r="3779" spans="1:26">
      <c r="A3779" s="4"/>
      <c r="B3779" s="4"/>
      <c r="C3779" s="4"/>
      <c r="D3779" s="4"/>
      <c r="E3779" s="4"/>
      <c r="F3779" s="4"/>
      <c r="G3779" s="4"/>
      <c r="H3779" s="4"/>
      <c r="I3779" s="4"/>
      <c r="J3779" s="4"/>
      <c r="K3779" s="4"/>
      <c r="L3779" s="3"/>
      <c r="M3779" s="6"/>
      <c r="N3779" s="6"/>
      <c r="O3779" s="6"/>
      <c r="P3779" s="5"/>
      <c r="Q3779" s="9"/>
      <c r="R3779" s="5"/>
      <c r="S3779" s="5"/>
      <c r="T3779" s="5"/>
      <c r="U3779" s="5"/>
      <c r="V3779" s="5"/>
      <c r="W3779" s="5"/>
      <c r="X3779" s="5"/>
      <c r="Y3779" s="9"/>
      <c r="Z3779" s="2"/>
    </row>
    <row r="3780" spans="1:26">
      <c r="A3780" s="4"/>
      <c r="B3780" s="4"/>
      <c r="C3780" s="4"/>
      <c r="D3780" s="4"/>
      <c r="E3780" s="4"/>
      <c r="F3780" s="4"/>
      <c r="G3780" s="4"/>
      <c r="H3780" s="4"/>
      <c r="I3780" s="4"/>
      <c r="J3780" s="4"/>
      <c r="K3780" s="4"/>
      <c r="L3780" s="3"/>
      <c r="M3780" s="6"/>
      <c r="N3780" s="6"/>
      <c r="O3780" s="6"/>
      <c r="P3780" s="5"/>
      <c r="Q3780" s="9"/>
      <c r="R3780" s="5"/>
      <c r="S3780" s="5"/>
      <c r="T3780" s="5"/>
      <c r="U3780" s="5"/>
      <c r="V3780" s="5"/>
      <c r="W3780" s="5"/>
      <c r="X3780" s="5"/>
      <c r="Y3780" s="9"/>
      <c r="Z3780" s="2"/>
    </row>
    <row r="3781" spans="1:26">
      <c r="A3781" s="4"/>
      <c r="B3781" s="4"/>
      <c r="C3781" s="4"/>
      <c r="D3781" s="4"/>
      <c r="E3781" s="4"/>
      <c r="F3781" s="4"/>
      <c r="G3781" s="4"/>
      <c r="H3781" s="4"/>
      <c r="I3781" s="4"/>
      <c r="J3781" s="4"/>
      <c r="K3781" s="4"/>
      <c r="L3781" s="3"/>
      <c r="M3781" s="6"/>
      <c r="N3781" s="6"/>
      <c r="O3781" s="6"/>
      <c r="P3781" s="5"/>
      <c r="Q3781" s="9"/>
      <c r="R3781" s="5"/>
      <c r="S3781" s="5"/>
      <c r="T3781" s="5"/>
      <c r="U3781" s="5"/>
      <c r="V3781" s="5"/>
      <c r="W3781" s="5"/>
      <c r="X3781" s="5"/>
      <c r="Y3781" s="9"/>
      <c r="Z3781" s="2"/>
    </row>
    <row r="3782" spans="1:26">
      <c r="A3782" s="4"/>
      <c r="B3782" s="4"/>
      <c r="C3782" s="4"/>
      <c r="D3782" s="4"/>
      <c r="E3782" s="4"/>
      <c r="F3782" s="4"/>
      <c r="G3782" s="4"/>
      <c r="H3782" s="4"/>
      <c r="I3782" s="4"/>
      <c r="J3782" s="4"/>
      <c r="K3782" s="4"/>
      <c r="L3782" s="3"/>
      <c r="M3782" s="6"/>
      <c r="N3782" s="6"/>
      <c r="O3782" s="6"/>
      <c r="P3782" s="5"/>
      <c r="Q3782" s="9"/>
      <c r="R3782" s="5"/>
      <c r="S3782" s="5"/>
      <c r="T3782" s="5"/>
      <c r="U3782" s="5"/>
      <c r="V3782" s="5"/>
      <c r="W3782" s="5"/>
      <c r="X3782" s="5"/>
      <c r="Y3782" s="9"/>
      <c r="Z3782" s="2"/>
    </row>
    <row r="3783" spans="1:26">
      <c r="A3783" s="4"/>
      <c r="B3783" s="4"/>
      <c r="C3783" s="4"/>
      <c r="D3783" s="4"/>
      <c r="E3783" s="4"/>
      <c r="F3783" s="4"/>
      <c r="G3783" s="4"/>
      <c r="H3783" s="4"/>
      <c r="I3783" s="4"/>
      <c r="J3783" s="4"/>
      <c r="K3783" s="4"/>
      <c r="L3783" s="3"/>
      <c r="M3783" s="6"/>
      <c r="N3783" s="6"/>
      <c r="O3783" s="6"/>
      <c r="P3783" s="5"/>
      <c r="Q3783" s="9"/>
      <c r="R3783" s="5"/>
      <c r="S3783" s="5"/>
      <c r="T3783" s="5"/>
      <c r="U3783" s="5"/>
      <c r="V3783" s="5"/>
      <c r="W3783" s="5"/>
      <c r="X3783" s="5"/>
      <c r="Y3783" s="9"/>
      <c r="Z3783" s="2"/>
    </row>
    <row r="3784" spans="1:26">
      <c r="A3784" s="4"/>
      <c r="B3784" s="4"/>
      <c r="C3784" s="4"/>
      <c r="D3784" s="4"/>
      <c r="E3784" s="4"/>
      <c r="F3784" s="4"/>
      <c r="G3784" s="4"/>
      <c r="H3784" s="4"/>
      <c r="I3784" s="4"/>
      <c r="J3784" s="4"/>
      <c r="K3784" s="4"/>
      <c r="L3784" s="3"/>
      <c r="M3784" s="6"/>
      <c r="N3784" s="6"/>
      <c r="O3784" s="6"/>
      <c r="P3784" s="5"/>
      <c r="Q3784" s="9"/>
      <c r="R3784" s="5"/>
      <c r="S3784" s="5"/>
      <c r="T3784" s="5"/>
      <c r="U3784" s="5"/>
      <c r="V3784" s="5"/>
      <c r="W3784" s="5"/>
      <c r="X3784" s="5"/>
      <c r="Y3784" s="9"/>
      <c r="Z3784" s="2"/>
    </row>
    <row r="3785" spans="1:26">
      <c r="A3785" s="4"/>
      <c r="B3785" s="4"/>
      <c r="C3785" s="4"/>
      <c r="D3785" s="4"/>
      <c r="E3785" s="4"/>
      <c r="F3785" s="4"/>
      <c r="G3785" s="4"/>
      <c r="H3785" s="4"/>
      <c r="I3785" s="4"/>
      <c r="J3785" s="4"/>
      <c r="K3785" s="4"/>
      <c r="L3785" s="3"/>
      <c r="M3785" s="6"/>
      <c r="N3785" s="6"/>
      <c r="O3785" s="6"/>
      <c r="P3785" s="5"/>
      <c r="Q3785" s="9"/>
      <c r="R3785" s="5"/>
      <c r="S3785" s="5"/>
      <c r="T3785" s="5"/>
      <c r="U3785" s="5"/>
      <c r="V3785" s="5"/>
      <c r="W3785" s="5"/>
      <c r="X3785" s="5"/>
      <c r="Y3785" s="9"/>
      <c r="Z3785" s="2"/>
    </row>
    <row r="3786" spans="1:26">
      <c r="A3786" s="4"/>
      <c r="B3786" s="4"/>
      <c r="C3786" s="4"/>
      <c r="D3786" s="4"/>
      <c r="E3786" s="4"/>
      <c r="F3786" s="4"/>
      <c r="G3786" s="4"/>
      <c r="H3786" s="4"/>
      <c r="I3786" s="4"/>
      <c r="J3786" s="4"/>
      <c r="K3786" s="4"/>
      <c r="L3786" s="3"/>
      <c r="M3786" s="6"/>
      <c r="N3786" s="6"/>
      <c r="O3786" s="6"/>
      <c r="P3786" s="5"/>
      <c r="Q3786" s="9"/>
      <c r="R3786" s="5"/>
      <c r="S3786" s="5"/>
      <c r="T3786" s="5"/>
      <c r="U3786" s="5"/>
      <c r="V3786" s="5"/>
      <c r="W3786" s="5"/>
      <c r="X3786" s="5"/>
      <c r="Y3786" s="9"/>
      <c r="Z3786" s="2"/>
    </row>
    <row r="3787" spans="1:26">
      <c r="A3787" s="4"/>
      <c r="B3787" s="4"/>
      <c r="C3787" s="4"/>
      <c r="D3787" s="4"/>
      <c r="E3787" s="4"/>
      <c r="F3787" s="4"/>
      <c r="G3787" s="4"/>
      <c r="H3787" s="4"/>
      <c r="I3787" s="4"/>
      <c r="J3787" s="4"/>
      <c r="K3787" s="4"/>
      <c r="L3787" s="3"/>
      <c r="M3787" s="6"/>
      <c r="N3787" s="6"/>
      <c r="O3787" s="6"/>
      <c r="P3787" s="5"/>
      <c r="Q3787" s="9"/>
      <c r="R3787" s="5"/>
      <c r="S3787" s="5"/>
      <c r="T3787" s="5"/>
      <c r="U3787" s="5"/>
      <c r="V3787" s="5"/>
      <c r="W3787" s="5"/>
      <c r="X3787" s="5"/>
      <c r="Y3787" s="9"/>
      <c r="Z3787" s="2"/>
    </row>
    <row r="3788" spans="1:26">
      <c r="A3788" s="4"/>
      <c r="B3788" s="4"/>
      <c r="C3788" s="4"/>
      <c r="D3788" s="4"/>
      <c r="E3788" s="4"/>
      <c r="F3788" s="4"/>
      <c r="G3788" s="4"/>
      <c r="H3788" s="4"/>
      <c r="I3788" s="4"/>
      <c r="J3788" s="4"/>
      <c r="K3788" s="4"/>
      <c r="L3788" s="3"/>
      <c r="M3788" s="6"/>
      <c r="N3788" s="6"/>
      <c r="O3788" s="6"/>
      <c r="P3788" s="5"/>
      <c r="Q3788" s="9"/>
      <c r="R3788" s="5"/>
      <c r="S3788" s="5"/>
      <c r="T3788" s="5"/>
      <c r="U3788" s="5"/>
      <c r="V3788" s="5"/>
      <c r="W3788" s="5"/>
      <c r="X3788" s="5"/>
      <c r="Y3788" s="9"/>
      <c r="Z3788" s="2"/>
    </row>
    <row r="3789" spans="1:26">
      <c r="A3789" s="4"/>
      <c r="B3789" s="4"/>
      <c r="C3789" s="4"/>
      <c r="D3789" s="4"/>
      <c r="E3789" s="4"/>
      <c r="F3789" s="4"/>
      <c r="G3789" s="4"/>
      <c r="H3789" s="4"/>
      <c r="I3789" s="4"/>
      <c r="J3789" s="4"/>
      <c r="K3789" s="4"/>
      <c r="L3789" s="3"/>
      <c r="M3789" s="6"/>
      <c r="N3789" s="6"/>
      <c r="O3789" s="6"/>
      <c r="P3789" s="5"/>
      <c r="Q3789" s="9"/>
      <c r="R3789" s="5"/>
      <c r="S3789" s="5"/>
      <c r="T3789" s="5"/>
      <c r="U3789" s="5"/>
      <c r="V3789" s="5"/>
      <c r="W3789" s="5"/>
      <c r="X3789" s="5"/>
      <c r="Y3789" s="9"/>
      <c r="Z3789" s="2"/>
    </row>
    <row r="3790" spans="1:26">
      <c r="A3790" s="4"/>
      <c r="B3790" s="4"/>
      <c r="C3790" s="4"/>
      <c r="D3790" s="4"/>
      <c r="E3790" s="4"/>
      <c r="F3790" s="4"/>
      <c r="G3790" s="4"/>
      <c r="H3790" s="4"/>
      <c r="I3790" s="4"/>
      <c r="J3790" s="4"/>
      <c r="K3790" s="4"/>
      <c r="L3790" s="3"/>
      <c r="M3790" s="6"/>
      <c r="N3790" s="6"/>
      <c r="O3790" s="6"/>
      <c r="P3790" s="5"/>
      <c r="Q3790" s="9"/>
      <c r="R3790" s="5"/>
      <c r="S3790" s="5"/>
      <c r="T3790" s="5"/>
      <c r="U3790" s="5"/>
      <c r="V3790" s="5"/>
      <c r="W3790" s="5"/>
      <c r="X3790" s="5"/>
      <c r="Y3790" s="9"/>
      <c r="Z3790" s="2"/>
    </row>
    <row r="3791" spans="1:26">
      <c r="A3791" s="4"/>
      <c r="B3791" s="4"/>
      <c r="C3791" s="4"/>
      <c r="D3791" s="4"/>
      <c r="E3791" s="4"/>
      <c r="F3791" s="4"/>
      <c r="G3791" s="4"/>
      <c r="H3791" s="4"/>
      <c r="I3791" s="4"/>
      <c r="J3791" s="4"/>
      <c r="K3791" s="4"/>
      <c r="L3791" s="3"/>
      <c r="M3791" s="6"/>
      <c r="N3791" s="6"/>
      <c r="O3791" s="6"/>
      <c r="P3791" s="5"/>
      <c r="Q3791" s="9"/>
      <c r="R3791" s="5"/>
      <c r="S3791" s="5"/>
      <c r="T3791" s="5"/>
      <c r="U3791" s="5"/>
      <c r="V3791" s="5"/>
      <c r="W3791" s="5"/>
      <c r="X3791" s="5"/>
      <c r="Y3791" s="9"/>
      <c r="Z3791" s="2"/>
    </row>
    <row r="3792" spans="1:26">
      <c r="A3792" s="4"/>
      <c r="B3792" s="4"/>
      <c r="C3792" s="4"/>
      <c r="D3792" s="4"/>
      <c r="E3792" s="4"/>
      <c r="F3792" s="4"/>
      <c r="G3792" s="4"/>
      <c r="H3792" s="4"/>
      <c r="I3792" s="4"/>
      <c r="J3792" s="4"/>
      <c r="K3792" s="4"/>
      <c r="L3792" s="3"/>
      <c r="M3792" s="6"/>
      <c r="N3792" s="6"/>
      <c r="O3792" s="6"/>
      <c r="P3792" s="5"/>
      <c r="Q3792" s="9"/>
      <c r="R3792" s="5"/>
      <c r="S3792" s="5"/>
      <c r="T3792" s="5"/>
      <c r="U3792" s="5"/>
      <c r="V3792" s="5"/>
      <c r="W3792" s="5"/>
      <c r="X3792" s="5"/>
      <c r="Y3792" s="9"/>
      <c r="Z3792" s="2"/>
    </row>
    <row r="3793" spans="1:26">
      <c r="A3793" s="4"/>
      <c r="B3793" s="4"/>
      <c r="C3793" s="4"/>
      <c r="D3793" s="4"/>
      <c r="E3793" s="4"/>
      <c r="F3793" s="4"/>
      <c r="G3793" s="4"/>
      <c r="H3793" s="4"/>
      <c r="I3793" s="4"/>
      <c r="J3793" s="4"/>
      <c r="K3793" s="4"/>
      <c r="L3793" s="3"/>
      <c r="M3793" s="6"/>
      <c r="N3793" s="6"/>
      <c r="O3793" s="6"/>
      <c r="P3793" s="5"/>
      <c r="Q3793" s="9"/>
      <c r="R3793" s="5"/>
      <c r="S3793" s="5"/>
      <c r="T3793" s="5"/>
      <c r="U3793" s="5"/>
      <c r="V3793" s="5"/>
      <c r="W3793" s="5"/>
      <c r="X3793" s="5"/>
      <c r="Y3793" s="9"/>
      <c r="Z3793" s="2"/>
    </row>
    <row r="3794" spans="1:26">
      <c r="A3794" s="4"/>
      <c r="B3794" s="4"/>
      <c r="C3794" s="4"/>
      <c r="D3794" s="4"/>
      <c r="E3794" s="4"/>
      <c r="F3794" s="4"/>
      <c r="G3794" s="4"/>
      <c r="H3794" s="4"/>
      <c r="I3794" s="4"/>
      <c r="J3794" s="4"/>
      <c r="K3794" s="4"/>
      <c r="L3794" s="3"/>
      <c r="M3794" s="6"/>
      <c r="N3794" s="6"/>
      <c r="O3794" s="6"/>
      <c r="P3794" s="5"/>
      <c r="Q3794" s="9"/>
      <c r="R3794" s="5"/>
      <c r="S3794" s="5"/>
      <c r="T3794" s="5"/>
      <c r="U3794" s="5"/>
      <c r="V3794" s="5"/>
      <c r="W3794" s="5"/>
      <c r="X3794" s="5"/>
      <c r="Y3794" s="9"/>
      <c r="Z3794" s="2"/>
    </row>
    <row r="3795" spans="1:26">
      <c r="A3795" s="4"/>
      <c r="B3795" s="4"/>
      <c r="C3795" s="4"/>
      <c r="D3795" s="4"/>
      <c r="E3795" s="4"/>
      <c r="F3795" s="4"/>
      <c r="G3795" s="4"/>
      <c r="H3795" s="4"/>
      <c r="I3795" s="4"/>
      <c r="J3795" s="4"/>
      <c r="K3795" s="4"/>
      <c r="L3795" s="3"/>
      <c r="M3795" s="6"/>
      <c r="N3795" s="6"/>
      <c r="O3795" s="6"/>
      <c r="P3795" s="5"/>
      <c r="Q3795" s="9"/>
      <c r="R3795" s="5"/>
      <c r="S3795" s="5"/>
      <c r="T3795" s="5"/>
      <c r="U3795" s="5"/>
      <c r="V3795" s="5"/>
      <c r="W3795" s="5"/>
      <c r="X3795" s="5"/>
      <c r="Y3795" s="9"/>
      <c r="Z3795" s="2"/>
    </row>
    <row r="3796" spans="1:26">
      <c r="A3796" s="4"/>
      <c r="B3796" s="4"/>
      <c r="C3796" s="4"/>
      <c r="D3796" s="4"/>
      <c r="E3796" s="4"/>
      <c r="F3796" s="4"/>
      <c r="G3796" s="4"/>
      <c r="H3796" s="4"/>
      <c r="I3796" s="4"/>
      <c r="J3796" s="4"/>
      <c r="K3796" s="4"/>
      <c r="L3796" s="3"/>
      <c r="M3796" s="6"/>
      <c r="N3796" s="6"/>
      <c r="O3796" s="6"/>
      <c r="P3796" s="5"/>
      <c r="Q3796" s="9"/>
      <c r="R3796" s="5"/>
      <c r="S3796" s="5"/>
      <c r="T3796" s="5"/>
      <c r="U3796" s="5"/>
      <c r="V3796" s="5"/>
      <c r="W3796" s="5"/>
      <c r="X3796" s="5"/>
      <c r="Y3796" s="9"/>
      <c r="Z3796" s="2"/>
    </row>
    <row r="3797" spans="1:26">
      <c r="A3797" s="4"/>
      <c r="B3797" s="4"/>
      <c r="C3797" s="4"/>
      <c r="D3797" s="4"/>
      <c r="E3797" s="4"/>
      <c r="F3797" s="4"/>
      <c r="G3797" s="4"/>
      <c r="H3797" s="4"/>
      <c r="I3797" s="4"/>
      <c r="J3797" s="4"/>
      <c r="K3797" s="4"/>
      <c r="L3797" s="3"/>
      <c r="M3797" s="6"/>
      <c r="N3797" s="6"/>
      <c r="O3797" s="6"/>
      <c r="P3797" s="5"/>
      <c r="Q3797" s="9"/>
      <c r="R3797" s="5"/>
      <c r="S3797" s="5"/>
      <c r="T3797" s="5"/>
      <c r="U3797" s="5"/>
      <c r="V3797" s="5"/>
      <c r="W3797" s="5"/>
      <c r="X3797" s="5"/>
      <c r="Y3797" s="9"/>
      <c r="Z3797" s="2"/>
    </row>
    <row r="3798" spans="1:26">
      <c r="A3798" s="4"/>
      <c r="B3798" s="4"/>
      <c r="C3798" s="4"/>
      <c r="D3798" s="4"/>
      <c r="E3798" s="4"/>
      <c r="F3798" s="4"/>
      <c r="G3798" s="4"/>
      <c r="H3798" s="4"/>
      <c r="I3798" s="4"/>
      <c r="J3798" s="4"/>
      <c r="K3798" s="4"/>
      <c r="L3798" s="3"/>
      <c r="M3798" s="6"/>
      <c r="N3798" s="6"/>
      <c r="O3798" s="6"/>
      <c r="P3798" s="5"/>
      <c r="Q3798" s="9"/>
      <c r="R3798" s="5"/>
      <c r="S3798" s="5"/>
      <c r="T3798" s="5"/>
      <c r="U3798" s="5"/>
      <c r="V3798" s="5"/>
      <c r="W3798" s="5"/>
      <c r="X3798" s="5"/>
      <c r="Y3798" s="9"/>
      <c r="Z3798" s="2"/>
    </row>
    <row r="3799" spans="1:26">
      <c r="A3799" s="4"/>
      <c r="B3799" s="4"/>
      <c r="C3799" s="4"/>
      <c r="D3799" s="4"/>
      <c r="E3799" s="4"/>
      <c r="F3799" s="4"/>
      <c r="G3799" s="4"/>
      <c r="H3799" s="4"/>
      <c r="I3799" s="4"/>
      <c r="J3799" s="4"/>
      <c r="K3799" s="4"/>
      <c r="L3799" s="3"/>
      <c r="M3799" s="6"/>
      <c r="N3799" s="6"/>
      <c r="O3799" s="6"/>
      <c r="P3799" s="5"/>
      <c r="Q3799" s="9"/>
      <c r="R3799" s="5"/>
      <c r="S3799" s="5"/>
      <c r="T3799" s="5"/>
      <c r="U3799" s="5"/>
      <c r="V3799" s="5"/>
      <c r="W3799" s="5"/>
      <c r="X3799" s="5"/>
      <c r="Y3799" s="9"/>
      <c r="Z3799" s="2"/>
    </row>
    <row r="3800" spans="1:26">
      <c r="A3800" s="4"/>
      <c r="B3800" s="4"/>
      <c r="C3800" s="4"/>
      <c r="D3800" s="4"/>
      <c r="E3800" s="4"/>
      <c r="F3800" s="4"/>
      <c r="G3800" s="4"/>
      <c r="H3800" s="4"/>
      <c r="I3800" s="4"/>
      <c r="J3800" s="4"/>
      <c r="K3800" s="4"/>
      <c r="L3800" s="3"/>
      <c r="M3800" s="6"/>
      <c r="N3800" s="6"/>
      <c r="O3800" s="6"/>
      <c r="P3800" s="5"/>
      <c r="Q3800" s="9"/>
      <c r="R3800" s="5"/>
      <c r="S3800" s="5"/>
      <c r="T3800" s="5"/>
      <c r="U3800" s="5"/>
      <c r="V3800" s="5"/>
      <c r="W3800" s="5"/>
      <c r="X3800" s="5"/>
      <c r="Y3800" s="9"/>
      <c r="Z3800" s="2"/>
    </row>
    <row r="3801" spans="1:26">
      <c r="A3801" s="4"/>
      <c r="B3801" s="4"/>
      <c r="C3801" s="4"/>
      <c r="D3801" s="4"/>
      <c r="E3801" s="4"/>
      <c r="F3801" s="4"/>
      <c r="G3801" s="4"/>
      <c r="H3801" s="4"/>
      <c r="I3801" s="4"/>
      <c r="J3801" s="4"/>
      <c r="K3801" s="4"/>
      <c r="L3801" s="3"/>
      <c r="M3801" s="6"/>
      <c r="N3801" s="6"/>
      <c r="O3801" s="6"/>
      <c r="P3801" s="5"/>
      <c r="Q3801" s="9"/>
      <c r="R3801" s="5"/>
      <c r="S3801" s="5"/>
      <c r="T3801" s="5"/>
      <c r="U3801" s="5"/>
      <c r="V3801" s="5"/>
      <c r="W3801" s="5"/>
      <c r="X3801" s="5"/>
      <c r="Y3801" s="9"/>
      <c r="Z3801" s="2"/>
    </row>
    <row r="3802" spans="1:26">
      <c r="A3802" s="4"/>
      <c r="B3802" s="4"/>
      <c r="C3802" s="4"/>
      <c r="D3802" s="4"/>
      <c r="E3802" s="4"/>
      <c r="F3802" s="4"/>
      <c r="G3802" s="4"/>
      <c r="H3802" s="4"/>
      <c r="I3802" s="4"/>
      <c r="J3802" s="4"/>
      <c r="K3802" s="4"/>
      <c r="L3802" s="3"/>
      <c r="M3802" s="6"/>
      <c r="N3802" s="6"/>
      <c r="O3802" s="6"/>
      <c r="P3802" s="5"/>
      <c r="Q3802" s="9"/>
      <c r="R3802" s="5"/>
      <c r="S3802" s="5"/>
      <c r="T3802" s="5"/>
      <c r="U3802" s="5"/>
      <c r="V3802" s="5"/>
      <c r="W3802" s="5"/>
      <c r="X3802" s="5"/>
      <c r="Y3802" s="9"/>
      <c r="Z3802" s="2"/>
    </row>
    <row r="3803" spans="1:26">
      <c r="A3803" s="4"/>
      <c r="B3803" s="4"/>
      <c r="C3803" s="4"/>
      <c r="D3803" s="4"/>
      <c r="E3803" s="4"/>
      <c r="F3803" s="4"/>
      <c r="G3803" s="4"/>
      <c r="H3803" s="4"/>
      <c r="I3803" s="4"/>
      <c r="J3803" s="4"/>
      <c r="K3803" s="4"/>
      <c r="L3803" s="3"/>
      <c r="M3803" s="6"/>
      <c r="N3803" s="6"/>
      <c r="O3803" s="6"/>
      <c r="P3803" s="5"/>
      <c r="Q3803" s="9"/>
      <c r="R3803" s="5"/>
      <c r="S3803" s="5"/>
      <c r="T3803" s="5"/>
      <c r="U3803" s="5"/>
      <c r="V3803" s="5"/>
      <c r="W3803" s="5"/>
      <c r="X3803" s="5"/>
      <c r="Y3803" s="9"/>
      <c r="Z3803" s="2"/>
    </row>
    <row r="3804" spans="1:26">
      <c r="A3804" s="4"/>
      <c r="B3804" s="4"/>
      <c r="C3804" s="4"/>
      <c r="D3804" s="4"/>
      <c r="E3804" s="4"/>
      <c r="F3804" s="4"/>
      <c r="G3804" s="4"/>
      <c r="H3804" s="4"/>
      <c r="I3804" s="4"/>
      <c r="J3804" s="4"/>
      <c r="K3804" s="4"/>
      <c r="L3804" s="3"/>
      <c r="M3804" s="6"/>
      <c r="N3804" s="6"/>
      <c r="O3804" s="6"/>
      <c r="P3804" s="5"/>
      <c r="Q3804" s="9"/>
      <c r="R3804" s="5"/>
      <c r="S3804" s="5"/>
      <c r="T3804" s="5"/>
      <c r="U3804" s="5"/>
      <c r="V3804" s="5"/>
      <c r="W3804" s="5"/>
      <c r="X3804" s="5"/>
      <c r="Y3804" s="9"/>
      <c r="Z3804" s="2"/>
    </row>
    <row r="3805" spans="1:26">
      <c r="A3805" s="4"/>
      <c r="B3805" s="4"/>
      <c r="C3805" s="4"/>
      <c r="D3805" s="4"/>
      <c r="E3805" s="4"/>
      <c r="F3805" s="4"/>
      <c r="G3805" s="4"/>
      <c r="H3805" s="4"/>
      <c r="I3805" s="4"/>
      <c r="J3805" s="4"/>
      <c r="K3805" s="4"/>
      <c r="L3805" s="3"/>
      <c r="M3805" s="6"/>
      <c r="N3805" s="6"/>
      <c r="O3805" s="6"/>
      <c r="P3805" s="5"/>
      <c r="Q3805" s="9"/>
      <c r="R3805" s="5"/>
      <c r="S3805" s="5"/>
      <c r="T3805" s="5"/>
      <c r="U3805" s="5"/>
      <c r="V3805" s="5"/>
      <c r="W3805" s="5"/>
      <c r="X3805" s="5"/>
      <c r="Y3805" s="9"/>
      <c r="Z3805" s="2"/>
    </row>
    <row r="3806" spans="1:26">
      <c r="A3806" s="4"/>
      <c r="B3806" s="4"/>
      <c r="C3806" s="4"/>
      <c r="D3806" s="4"/>
      <c r="E3806" s="4"/>
      <c r="F3806" s="4"/>
      <c r="G3806" s="4"/>
      <c r="H3806" s="4"/>
      <c r="I3806" s="4"/>
      <c r="J3806" s="4"/>
      <c r="K3806" s="4"/>
      <c r="L3806" s="3"/>
      <c r="M3806" s="6"/>
      <c r="N3806" s="6"/>
      <c r="O3806" s="6"/>
      <c r="P3806" s="5"/>
      <c r="Q3806" s="9"/>
      <c r="R3806" s="5"/>
      <c r="S3806" s="5"/>
      <c r="T3806" s="5"/>
      <c r="U3806" s="5"/>
      <c r="V3806" s="5"/>
      <c r="W3806" s="5"/>
      <c r="X3806" s="5"/>
      <c r="Y3806" s="9"/>
      <c r="Z3806" s="2"/>
    </row>
    <row r="3807" spans="1:26">
      <c r="A3807" s="4"/>
      <c r="B3807" s="4"/>
      <c r="C3807" s="4"/>
      <c r="D3807" s="4"/>
      <c r="E3807" s="4"/>
      <c r="F3807" s="4"/>
      <c r="G3807" s="4"/>
      <c r="H3807" s="4"/>
      <c r="I3807" s="4"/>
      <c r="J3807" s="4"/>
      <c r="K3807" s="4"/>
      <c r="L3807" s="3"/>
      <c r="M3807" s="6"/>
      <c r="N3807" s="6"/>
      <c r="O3807" s="6"/>
      <c r="P3807" s="5"/>
      <c r="Q3807" s="9"/>
      <c r="R3807" s="5"/>
      <c r="S3807" s="5"/>
      <c r="T3807" s="5"/>
      <c r="U3807" s="5"/>
      <c r="V3807" s="5"/>
      <c r="W3807" s="5"/>
      <c r="X3807" s="5"/>
      <c r="Y3807" s="9"/>
      <c r="Z3807" s="2"/>
    </row>
    <row r="3808" spans="1:26">
      <c r="A3808" s="4"/>
      <c r="B3808" s="4"/>
      <c r="C3808" s="4"/>
      <c r="D3808" s="4"/>
      <c r="E3808" s="4"/>
      <c r="F3808" s="4"/>
      <c r="G3808" s="4"/>
      <c r="H3808" s="4"/>
      <c r="I3808" s="4"/>
      <c r="J3808" s="4"/>
      <c r="K3808" s="4"/>
      <c r="L3808" s="3"/>
      <c r="M3808" s="6"/>
      <c r="N3808" s="6"/>
      <c r="O3808" s="6"/>
      <c r="P3808" s="5"/>
      <c r="Q3808" s="9"/>
      <c r="R3808" s="5"/>
      <c r="S3808" s="5"/>
      <c r="T3808" s="5"/>
      <c r="U3808" s="5"/>
      <c r="V3808" s="5"/>
      <c r="W3808" s="5"/>
      <c r="X3808" s="5"/>
      <c r="Y3808" s="9"/>
      <c r="Z3808" s="2"/>
    </row>
    <row r="3809" spans="1:26">
      <c r="A3809" s="4"/>
      <c r="B3809" s="4"/>
      <c r="C3809" s="4"/>
      <c r="D3809" s="4"/>
      <c r="E3809" s="4"/>
      <c r="F3809" s="4"/>
      <c r="G3809" s="4"/>
      <c r="H3809" s="4"/>
      <c r="I3809" s="4"/>
      <c r="J3809" s="4"/>
      <c r="K3809" s="4"/>
      <c r="L3809" s="3"/>
      <c r="M3809" s="6"/>
      <c r="N3809" s="6"/>
      <c r="O3809" s="6"/>
      <c r="P3809" s="5"/>
      <c r="Q3809" s="9"/>
      <c r="R3809" s="5"/>
      <c r="S3809" s="5"/>
      <c r="T3809" s="5"/>
      <c r="U3809" s="5"/>
      <c r="V3809" s="5"/>
      <c r="W3809" s="5"/>
      <c r="X3809" s="5"/>
      <c r="Y3809" s="9"/>
      <c r="Z3809" s="2"/>
    </row>
    <row r="3810" spans="1:26">
      <c r="A3810" s="4"/>
      <c r="B3810" s="4"/>
      <c r="C3810" s="4"/>
      <c r="D3810" s="4"/>
      <c r="E3810" s="4"/>
      <c r="F3810" s="4"/>
      <c r="G3810" s="4"/>
      <c r="H3810" s="4"/>
      <c r="I3810" s="4"/>
      <c r="J3810" s="4"/>
      <c r="K3810" s="4"/>
      <c r="L3810" s="3"/>
      <c r="M3810" s="6"/>
      <c r="N3810" s="6"/>
      <c r="O3810" s="6"/>
      <c r="P3810" s="5"/>
      <c r="Q3810" s="9"/>
      <c r="R3810" s="5"/>
      <c r="S3810" s="5"/>
      <c r="T3810" s="5"/>
      <c r="U3810" s="5"/>
      <c r="V3810" s="5"/>
      <c r="W3810" s="5"/>
      <c r="X3810" s="5"/>
      <c r="Y3810" s="9"/>
      <c r="Z3810" s="2"/>
    </row>
    <row r="3811" spans="1:26">
      <c r="A3811" s="4"/>
      <c r="B3811" s="4"/>
      <c r="C3811" s="4"/>
      <c r="D3811" s="4"/>
      <c r="E3811" s="4"/>
      <c r="F3811" s="4"/>
      <c r="G3811" s="4"/>
      <c r="H3811" s="4"/>
      <c r="I3811" s="4"/>
      <c r="J3811" s="4"/>
      <c r="K3811" s="4"/>
      <c r="L3811" s="3"/>
      <c r="M3811" s="6"/>
      <c r="N3811" s="6"/>
      <c r="O3811" s="6"/>
      <c r="P3811" s="5"/>
      <c r="Q3811" s="9"/>
      <c r="R3811" s="5"/>
      <c r="S3811" s="5"/>
      <c r="T3811" s="5"/>
      <c r="U3811" s="5"/>
      <c r="V3811" s="5"/>
      <c r="W3811" s="5"/>
      <c r="X3811" s="5"/>
      <c r="Y3811" s="9"/>
      <c r="Z3811" s="2"/>
    </row>
    <row r="3812" spans="1:26">
      <c r="A3812" s="4"/>
      <c r="B3812" s="4"/>
      <c r="C3812" s="4"/>
      <c r="D3812" s="4"/>
      <c r="E3812" s="4"/>
      <c r="F3812" s="4"/>
      <c r="G3812" s="4"/>
      <c r="H3812" s="4"/>
      <c r="I3812" s="4"/>
      <c r="J3812" s="4"/>
      <c r="K3812" s="4"/>
      <c r="L3812" s="3"/>
      <c r="M3812" s="6"/>
      <c r="N3812" s="6"/>
      <c r="O3812" s="6"/>
      <c r="P3812" s="5"/>
      <c r="Q3812" s="9"/>
      <c r="R3812" s="5"/>
      <c r="S3812" s="5"/>
      <c r="T3812" s="5"/>
      <c r="U3812" s="5"/>
      <c r="V3812" s="5"/>
      <c r="W3812" s="5"/>
      <c r="X3812" s="5"/>
      <c r="Y3812" s="9"/>
      <c r="Z3812" s="2"/>
    </row>
    <row r="3813" spans="1:26">
      <c r="A3813" s="4"/>
      <c r="B3813" s="4"/>
      <c r="C3813" s="4"/>
      <c r="D3813" s="4"/>
      <c r="E3813" s="4"/>
      <c r="F3813" s="4"/>
      <c r="G3813" s="4"/>
      <c r="H3813" s="4"/>
      <c r="I3813" s="4"/>
      <c r="J3813" s="4"/>
      <c r="K3813" s="4"/>
      <c r="L3813" s="3"/>
      <c r="M3813" s="6"/>
      <c r="N3813" s="6"/>
      <c r="O3813" s="6"/>
      <c r="P3813" s="5"/>
      <c r="Q3813" s="9"/>
      <c r="R3813" s="5"/>
      <c r="S3813" s="5"/>
      <c r="T3813" s="5"/>
      <c r="U3813" s="5"/>
      <c r="V3813" s="5"/>
      <c r="W3813" s="5"/>
      <c r="X3813" s="5"/>
      <c r="Y3813" s="9"/>
      <c r="Z3813" s="2"/>
    </row>
    <row r="3814" spans="1:26">
      <c r="A3814" s="4"/>
      <c r="B3814" s="4"/>
      <c r="C3814" s="4"/>
      <c r="D3814" s="4"/>
      <c r="E3814" s="4"/>
      <c r="F3814" s="4"/>
      <c r="G3814" s="4"/>
      <c r="H3814" s="4"/>
      <c r="I3814" s="4"/>
      <c r="J3814" s="4"/>
      <c r="K3814" s="4"/>
      <c r="L3814" s="3"/>
      <c r="M3814" s="6"/>
      <c r="N3814" s="6"/>
      <c r="O3814" s="6"/>
      <c r="P3814" s="5"/>
      <c r="Q3814" s="9"/>
      <c r="R3814" s="5"/>
      <c r="S3814" s="5"/>
      <c r="T3814" s="5"/>
      <c r="U3814" s="5"/>
      <c r="V3814" s="5"/>
      <c r="W3814" s="5"/>
      <c r="X3814" s="5"/>
      <c r="Y3814" s="9"/>
      <c r="Z3814" s="2"/>
    </row>
    <row r="3815" spans="1:26">
      <c r="A3815" s="4"/>
      <c r="B3815" s="4"/>
      <c r="C3815" s="4"/>
      <c r="D3815" s="4"/>
      <c r="E3815" s="4"/>
      <c r="F3815" s="4"/>
      <c r="G3815" s="4"/>
      <c r="H3815" s="4"/>
      <c r="I3815" s="4"/>
      <c r="J3815" s="4"/>
      <c r="K3815" s="4"/>
      <c r="L3815" s="3"/>
      <c r="M3815" s="6"/>
      <c r="N3815" s="6"/>
      <c r="O3815" s="6"/>
      <c r="P3815" s="5"/>
      <c r="Q3815" s="9"/>
      <c r="R3815" s="5"/>
      <c r="S3815" s="5"/>
      <c r="T3815" s="5"/>
      <c r="U3815" s="5"/>
      <c r="V3815" s="5"/>
      <c r="W3815" s="5"/>
      <c r="X3815" s="5"/>
      <c r="Y3815" s="9"/>
      <c r="Z3815" s="2"/>
    </row>
    <row r="3816" spans="1:26">
      <c r="A3816" s="4"/>
      <c r="B3816" s="4"/>
      <c r="C3816" s="4"/>
      <c r="D3816" s="4"/>
      <c r="E3816" s="4"/>
      <c r="F3816" s="4"/>
      <c r="G3816" s="4"/>
      <c r="H3816" s="4"/>
      <c r="I3816" s="4"/>
      <c r="J3816" s="4"/>
      <c r="K3816" s="4"/>
      <c r="L3816" s="3"/>
      <c r="M3816" s="6"/>
      <c r="N3816" s="6"/>
      <c r="O3816" s="6"/>
      <c r="P3816" s="5"/>
      <c r="Q3816" s="9"/>
      <c r="R3816" s="5"/>
      <c r="S3816" s="5"/>
      <c r="T3816" s="5"/>
      <c r="U3816" s="5"/>
      <c r="V3816" s="5"/>
      <c r="W3816" s="5"/>
      <c r="X3816" s="5"/>
      <c r="Y3816" s="9"/>
      <c r="Z3816" s="2"/>
    </row>
    <row r="3817" spans="1:26">
      <c r="A3817" s="4"/>
      <c r="B3817" s="4"/>
      <c r="C3817" s="4"/>
      <c r="D3817" s="4"/>
      <c r="E3817" s="4"/>
      <c r="F3817" s="4"/>
      <c r="G3817" s="4"/>
      <c r="H3817" s="4"/>
      <c r="I3817" s="4"/>
      <c r="J3817" s="4"/>
      <c r="K3817" s="4"/>
      <c r="L3817" s="3"/>
      <c r="M3817" s="6"/>
      <c r="N3817" s="6"/>
      <c r="O3817" s="6"/>
      <c r="P3817" s="5"/>
      <c r="Q3817" s="9"/>
      <c r="R3817" s="5"/>
      <c r="S3817" s="5"/>
      <c r="T3817" s="5"/>
      <c r="U3817" s="5"/>
      <c r="V3817" s="5"/>
      <c r="W3817" s="5"/>
      <c r="X3817" s="5"/>
      <c r="Y3817" s="9"/>
      <c r="Z3817" s="2"/>
    </row>
    <row r="3818" spans="1:26">
      <c r="A3818" s="4"/>
      <c r="B3818" s="4"/>
      <c r="C3818" s="4"/>
      <c r="D3818" s="4"/>
      <c r="E3818" s="4"/>
      <c r="F3818" s="4"/>
      <c r="G3818" s="4"/>
      <c r="H3818" s="4"/>
      <c r="I3818" s="4"/>
      <c r="J3818" s="4"/>
      <c r="K3818" s="4"/>
      <c r="L3818" s="3"/>
      <c r="M3818" s="6"/>
      <c r="N3818" s="6"/>
      <c r="O3818" s="6"/>
      <c r="P3818" s="5"/>
      <c r="Q3818" s="9"/>
      <c r="R3818" s="5"/>
      <c r="S3818" s="5"/>
      <c r="T3818" s="5"/>
      <c r="U3818" s="5"/>
      <c r="V3818" s="5"/>
      <c r="W3818" s="5"/>
      <c r="X3818" s="5"/>
      <c r="Y3818" s="9"/>
      <c r="Z3818" s="2"/>
    </row>
    <row r="3819" spans="1:26">
      <c r="A3819" s="4"/>
      <c r="B3819" s="4"/>
      <c r="C3819" s="4"/>
      <c r="D3819" s="4"/>
      <c r="E3819" s="4"/>
      <c r="F3819" s="4"/>
      <c r="G3819" s="4"/>
      <c r="H3819" s="4"/>
      <c r="I3819" s="4"/>
      <c r="J3819" s="4"/>
      <c r="K3819" s="4"/>
      <c r="L3819" s="3"/>
      <c r="M3819" s="6"/>
      <c r="N3819" s="6"/>
      <c r="O3819" s="6"/>
      <c r="P3819" s="5"/>
      <c r="Q3819" s="9"/>
      <c r="R3819" s="5"/>
      <c r="S3819" s="5"/>
      <c r="T3819" s="5"/>
      <c r="U3819" s="5"/>
      <c r="V3819" s="5"/>
      <c r="W3819" s="5"/>
      <c r="X3819" s="5"/>
      <c r="Y3819" s="9"/>
      <c r="Z3819" s="2"/>
    </row>
    <row r="3820" spans="1:26">
      <c r="A3820" s="4"/>
      <c r="B3820" s="4"/>
      <c r="C3820" s="4"/>
      <c r="D3820" s="4"/>
      <c r="E3820" s="4"/>
      <c r="F3820" s="4"/>
      <c r="G3820" s="4"/>
      <c r="H3820" s="4"/>
      <c r="I3820" s="4"/>
      <c r="J3820" s="4"/>
      <c r="K3820" s="4"/>
      <c r="L3820" s="3"/>
      <c r="M3820" s="6"/>
      <c r="N3820" s="6"/>
      <c r="O3820" s="6"/>
      <c r="P3820" s="5"/>
      <c r="Q3820" s="9"/>
      <c r="R3820" s="5"/>
      <c r="S3820" s="5"/>
      <c r="T3820" s="5"/>
      <c r="U3820" s="5"/>
      <c r="V3820" s="5"/>
      <c r="W3820" s="5"/>
      <c r="X3820" s="5"/>
      <c r="Y3820" s="9"/>
      <c r="Z3820" s="2"/>
    </row>
    <row r="3821" spans="1:26">
      <c r="A3821" s="4"/>
      <c r="B3821" s="4"/>
      <c r="C3821" s="4"/>
      <c r="D3821" s="4"/>
      <c r="E3821" s="4"/>
      <c r="F3821" s="4"/>
      <c r="G3821" s="4"/>
      <c r="H3821" s="4"/>
      <c r="I3821" s="4"/>
      <c r="J3821" s="4"/>
      <c r="K3821" s="4"/>
      <c r="L3821" s="3"/>
      <c r="M3821" s="6"/>
      <c r="N3821" s="6"/>
      <c r="O3821" s="6"/>
      <c r="P3821" s="5"/>
      <c r="Q3821" s="9"/>
      <c r="R3821" s="5"/>
      <c r="S3821" s="5"/>
      <c r="T3821" s="5"/>
      <c r="U3821" s="5"/>
      <c r="V3821" s="5"/>
      <c r="W3821" s="5"/>
      <c r="X3821" s="5"/>
      <c r="Y3821" s="9"/>
      <c r="Z3821" s="2"/>
    </row>
    <row r="3822" spans="1:26">
      <c r="A3822" s="4"/>
      <c r="B3822" s="4"/>
      <c r="C3822" s="4"/>
      <c r="D3822" s="4"/>
      <c r="E3822" s="4"/>
      <c r="F3822" s="4"/>
      <c r="G3822" s="4"/>
      <c r="H3822" s="4"/>
      <c r="I3822" s="4"/>
      <c r="J3822" s="4"/>
      <c r="K3822" s="4"/>
      <c r="L3822" s="3"/>
      <c r="M3822" s="6"/>
      <c r="N3822" s="6"/>
      <c r="O3822" s="6"/>
      <c r="P3822" s="5"/>
      <c r="Q3822" s="9"/>
      <c r="R3822" s="5"/>
      <c r="S3822" s="5"/>
      <c r="T3822" s="5"/>
      <c r="U3822" s="5"/>
      <c r="V3822" s="5"/>
      <c r="W3822" s="5"/>
      <c r="X3822" s="5"/>
      <c r="Y3822" s="9"/>
      <c r="Z3822" s="2"/>
    </row>
    <row r="3823" spans="1:26">
      <c r="A3823" s="4"/>
      <c r="B3823" s="4"/>
      <c r="C3823" s="4"/>
      <c r="D3823" s="4"/>
      <c r="E3823" s="4"/>
      <c r="F3823" s="4"/>
      <c r="G3823" s="4"/>
      <c r="H3823" s="4"/>
      <c r="I3823" s="4"/>
      <c r="J3823" s="4"/>
      <c r="K3823" s="4"/>
      <c r="L3823" s="3"/>
      <c r="M3823" s="6"/>
      <c r="N3823" s="6"/>
      <c r="O3823" s="6"/>
      <c r="P3823" s="5"/>
      <c r="Q3823" s="9"/>
      <c r="R3823" s="5"/>
      <c r="S3823" s="5"/>
      <c r="T3823" s="5"/>
      <c r="U3823" s="5"/>
      <c r="V3823" s="5"/>
      <c r="W3823" s="5"/>
      <c r="X3823" s="5"/>
      <c r="Y3823" s="9"/>
      <c r="Z3823" s="2"/>
    </row>
    <row r="3824" spans="1:26">
      <c r="A3824" s="4"/>
      <c r="B3824" s="4"/>
      <c r="C3824" s="4"/>
      <c r="D3824" s="4"/>
      <c r="E3824" s="4"/>
      <c r="F3824" s="4"/>
      <c r="G3824" s="4"/>
      <c r="H3824" s="4"/>
      <c r="I3824" s="4"/>
      <c r="J3824" s="4"/>
      <c r="K3824" s="4"/>
      <c r="L3824" s="3"/>
      <c r="M3824" s="6"/>
      <c r="N3824" s="6"/>
      <c r="O3824" s="6"/>
      <c r="P3824" s="5"/>
      <c r="Q3824" s="9"/>
      <c r="R3824" s="5"/>
      <c r="S3824" s="5"/>
      <c r="T3824" s="5"/>
      <c r="U3824" s="5"/>
      <c r="V3824" s="5"/>
      <c r="W3824" s="5"/>
      <c r="X3824" s="5"/>
      <c r="Y3824" s="9"/>
      <c r="Z3824" s="2"/>
    </row>
    <row r="3825" spans="1:26">
      <c r="A3825" s="4"/>
      <c r="B3825" s="4"/>
      <c r="C3825" s="4"/>
      <c r="D3825" s="4"/>
      <c r="E3825" s="4"/>
      <c r="F3825" s="4"/>
      <c r="G3825" s="4"/>
      <c r="H3825" s="4"/>
      <c r="I3825" s="4"/>
      <c r="J3825" s="4"/>
      <c r="K3825" s="4"/>
      <c r="L3825" s="3"/>
      <c r="M3825" s="6"/>
      <c r="N3825" s="6"/>
      <c r="O3825" s="6"/>
      <c r="P3825" s="5"/>
      <c r="Q3825" s="9"/>
      <c r="R3825" s="5"/>
      <c r="S3825" s="5"/>
      <c r="T3825" s="5"/>
      <c r="U3825" s="5"/>
      <c r="V3825" s="5"/>
      <c r="W3825" s="5"/>
      <c r="X3825" s="5"/>
      <c r="Y3825" s="9"/>
      <c r="Z3825" s="2"/>
    </row>
    <row r="3826" spans="1:26">
      <c r="A3826" s="4"/>
      <c r="B3826" s="4"/>
      <c r="C3826" s="4"/>
      <c r="D3826" s="4"/>
      <c r="E3826" s="4"/>
      <c r="F3826" s="4"/>
      <c r="G3826" s="4"/>
      <c r="H3826" s="4"/>
      <c r="I3826" s="4"/>
      <c r="J3826" s="4"/>
      <c r="K3826" s="4"/>
      <c r="L3826" s="3"/>
      <c r="M3826" s="6"/>
      <c r="N3826" s="6"/>
      <c r="O3826" s="6"/>
      <c r="P3826" s="5"/>
      <c r="Q3826" s="9"/>
      <c r="R3826" s="5"/>
      <c r="S3826" s="5"/>
      <c r="T3826" s="5"/>
      <c r="U3826" s="5"/>
      <c r="V3826" s="5"/>
      <c r="W3826" s="5"/>
      <c r="X3826" s="5"/>
      <c r="Y3826" s="9"/>
      <c r="Z3826" s="2"/>
    </row>
    <row r="3827" spans="1:26">
      <c r="A3827" s="4"/>
      <c r="B3827" s="4"/>
      <c r="C3827" s="4"/>
      <c r="D3827" s="4"/>
      <c r="E3827" s="4"/>
      <c r="F3827" s="4"/>
      <c r="G3827" s="4"/>
      <c r="H3827" s="4"/>
      <c r="I3827" s="4"/>
      <c r="J3827" s="4"/>
      <c r="K3827" s="4"/>
      <c r="L3827" s="3"/>
      <c r="M3827" s="6"/>
      <c r="N3827" s="6"/>
      <c r="O3827" s="6"/>
      <c r="P3827" s="5"/>
      <c r="Q3827" s="9"/>
      <c r="R3827" s="5"/>
      <c r="S3827" s="5"/>
      <c r="T3827" s="5"/>
      <c r="U3827" s="5"/>
      <c r="V3827" s="5"/>
      <c r="W3827" s="5"/>
      <c r="X3827" s="5"/>
      <c r="Y3827" s="9"/>
      <c r="Z3827" s="2"/>
    </row>
    <row r="3828" spans="1:26">
      <c r="A3828" s="4"/>
      <c r="B3828" s="4"/>
      <c r="C3828" s="4"/>
      <c r="D3828" s="4"/>
      <c r="E3828" s="4"/>
      <c r="F3828" s="4"/>
      <c r="G3828" s="4"/>
      <c r="H3828" s="4"/>
      <c r="I3828" s="4"/>
      <c r="J3828" s="4"/>
      <c r="K3828" s="4"/>
      <c r="L3828" s="3"/>
      <c r="M3828" s="6"/>
      <c r="N3828" s="6"/>
      <c r="O3828" s="6"/>
      <c r="P3828" s="5"/>
      <c r="Q3828" s="9"/>
      <c r="R3828" s="5"/>
      <c r="S3828" s="5"/>
      <c r="T3828" s="5"/>
      <c r="U3828" s="5"/>
      <c r="V3828" s="5"/>
      <c r="W3828" s="5"/>
      <c r="X3828" s="5"/>
      <c r="Y3828" s="9"/>
      <c r="Z3828" s="2"/>
    </row>
    <row r="3829" spans="1:26">
      <c r="A3829" s="4"/>
      <c r="B3829" s="4"/>
      <c r="C3829" s="4"/>
      <c r="D3829" s="4"/>
      <c r="E3829" s="4"/>
      <c r="F3829" s="4"/>
      <c r="G3829" s="4"/>
      <c r="H3829" s="4"/>
      <c r="I3829" s="4"/>
      <c r="J3829" s="4"/>
      <c r="K3829" s="4"/>
      <c r="L3829" s="3"/>
      <c r="M3829" s="6"/>
      <c r="N3829" s="6"/>
      <c r="O3829" s="6"/>
      <c r="P3829" s="5"/>
      <c r="Q3829" s="9"/>
      <c r="R3829" s="5"/>
      <c r="S3829" s="5"/>
      <c r="T3829" s="5"/>
      <c r="U3829" s="5"/>
      <c r="V3829" s="5"/>
      <c r="W3829" s="5"/>
      <c r="X3829" s="5"/>
      <c r="Y3829" s="9"/>
      <c r="Z3829" s="2"/>
    </row>
    <row r="3830" spans="1:26">
      <c r="A3830" s="4"/>
      <c r="B3830" s="4"/>
      <c r="C3830" s="4"/>
      <c r="D3830" s="4"/>
      <c r="E3830" s="4"/>
      <c r="F3830" s="4"/>
      <c r="G3830" s="4"/>
      <c r="H3830" s="4"/>
      <c r="I3830" s="4"/>
      <c r="J3830" s="4"/>
      <c r="K3830" s="4"/>
      <c r="L3830" s="3"/>
      <c r="M3830" s="6"/>
      <c r="N3830" s="6"/>
      <c r="O3830" s="6"/>
      <c r="P3830" s="5"/>
      <c r="Q3830" s="9"/>
      <c r="R3830" s="5"/>
      <c r="S3830" s="5"/>
      <c r="T3830" s="5"/>
      <c r="U3830" s="5"/>
      <c r="V3830" s="5"/>
      <c r="W3830" s="5"/>
      <c r="X3830" s="5"/>
      <c r="Y3830" s="9"/>
      <c r="Z3830" s="2"/>
    </row>
    <row r="3831" spans="1:26">
      <c r="A3831" s="4"/>
      <c r="B3831" s="4"/>
      <c r="C3831" s="4"/>
      <c r="D3831" s="4"/>
      <c r="E3831" s="4"/>
      <c r="F3831" s="4"/>
      <c r="G3831" s="4"/>
      <c r="H3831" s="4"/>
      <c r="I3831" s="4"/>
      <c r="J3831" s="4"/>
      <c r="K3831" s="4"/>
      <c r="L3831" s="3"/>
      <c r="M3831" s="6"/>
      <c r="N3831" s="6"/>
      <c r="O3831" s="6"/>
      <c r="P3831" s="5"/>
      <c r="Q3831" s="9"/>
      <c r="R3831" s="5"/>
      <c r="S3831" s="5"/>
      <c r="T3831" s="5"/>
      <c r="U3831" s="5"/>
      <c r="V3831" s="5"/>
      <c r="W3831" s="5"/>
      <c r="X3831" s="5"/>
      <c r="Y3831" s="9"/>
      <c r="Z3831" s="2"/>
    </row>
    <row r="3832" spans="1:26">
      <c r="A3832" s="4"/>
      <c r="B3832" s="4"/>
      <c r="C3832" s="4"/>
      <c r="D3832" s="4"/>
      <c r="E3832" s="4"/>
      <c r="F3832" s="4"/>
      <c r="G3832" s="4"/>
      <c r="H3832" s="4"/>
      <c r="I3832" s="4"/>
      <c r="J3832" s="4"/>
      <c r="K3832" s="4"/>
      <c r="L3832" s="3"/>
      <c r="M3832" s="6"/>
      <c r="N3832" s="6"/>
      <c r="O3832" s="6"/>
      <c r="P3832" s="5"/>
      <c r="Q3832" s="9"/>
      <c r="R3832" s="5"/>
      <c r="S3832" s="5"/>
      <c r="T3832" s="5"/>
      <c r="U3832" s="5"/>
      <c r="V3832" s="5"/>
      <c r="W3832" s="5"/>
      <c r="X3832" s="5"/>
      <c r="Y3832" s="9"/>
      <c r="Z3832" s="2"/>
    </row>
    <row r="3833" spans="1:26">
      <c r="A3833" s="4"/>
      <c r="B3833" s="4"/>
      <c r="C3833" s="4"/>
      <c r="D3833" s="4"/>
      <c r="E3833" s="4"/>
      <c r="F3833" s="4"/>
      <c r="G3833" s="4"/>
      <c r="H3833" s="4"/>
      <c r="I3833" s="4"/>
      <c r="J3833" s="4"/>
      <c r="K3833" s="4"/>
      <c r="L3833" s="3"/>
      <c r="M3833" s="6"/>
      <c r="N3833" s="6"/>
      <c r="O3833" s="6"/>
      <c r="P3833" s="5"/>
      <c r="Q3833" s="9"/>
      <c r="R3833" s="5"/>
      <c r="S3833" s="5"/>
      <c r="T3833" s="5"/>
      <c r="U3833" s="5"/>
      <c r="V3833" s="5"/>
      <c r="W3833" s="5"/>
      <c r="X3833" s="5"/>
      <c r="Y3833" s="9"/>
      <c r="Z3833" s="2"/>
    </row>
    <row r="3834" spans="1:26">
      <c r="A3834" s="4"/>
      <c r="B3834" s="4"/>
      <c r="C3834" s="4"/>
      <c r="D3834" s="4"/>
      <c r="E3834" s="4"/>
      <c r="F3834" s="4"/>
      <c r="G3834" s="4"/>
      <c r="H3834" s="4"/>
      <c r="I3834" s="4"/>
      <c r="J3834" s="4"/>
      <c r="K3834" s="4"/>
      <c r="L3834" s="3"/>
      <c r="M3834" s="6"/>
      <c r="N3834" s="6"/>
      <c r="O3834" s="6"/>
      <c r="P3834" s="5"/>
      <c r="Q3834" s="9"/>
      <c r="R3834" s="5"/>
      <c r="S3834" s="5"/>
      <c r="T3834" s="5"/>
      <c r="U3834" s="5"/>
      <c r="V3834" s="5"/>
      <c r="W3834" s="5"/>
      <c r="X3834" s="5"/>
      <c r="Y3834" s="9"/>
      <c r="Z3834" s="2"/>
    </row>
    <row r="3835" spans="1:26">
      <c r="A3835" s="4"/>
      <c r="B3835" s="4"/>
      <c r="C3835" s="4"/>
      <c r="D3835" s="4"/>
      <c r="E3835" s="4"/>
      <c r="F3835" s="4"/>
      <c r="G3835" s="4"/>
      <c r="H3835" s="4"/>
      <c r="I3835" s="4"/>
      <c r="J3835" s="4"/>
      <c r="K3835" s="4"/>
      <c r="L3835" s="3"/>
      <c r="M3835" s="6"/>
      <c r="N3835" s="6"/>
      <c r="O3835" s="6"/>
      <c r="P3835" s="5"/>
      <c r="Q3835" s="9"/>
      <c r="R3835" s="5"/>
      <c r="S3835" s="5"/>
      <c r="T3835" s="5"/>
      <c r="U3835" s="5"/>
      <c r="V3835" s="5"/>
      <c r="W3835" s="5"/>
      <c r="X3835" s="5"/>
      <c r="Y3835" s="9"/>
      <c r="Z3835" s="2"/>
    </row>
    <row r="3836" spans="1:26">
      <c r="A3836" s="4"/>
      <c r="B3836" s="4"/>
      <c r="C3836" s="4"/>
      <c r="D3836" s="4"/>
      <c r="E3836" s="4"/>
      <c r="F3836" s="4"/>
      <c r="G3836" s="4"/>
      <c r="H3836" s="4"/>
      <c r="I3836" s="4"/>
      <c r="J3836" s="4"/>
      <c r="K3836" s="4"/>
      <c r="L3836" s="3"/>
      <c r="M3836" s="6"/>
      <c r="N3836" s="6"/>
      <c r="O3836" s="6"/>
      <c r="P3836" s="5"/>
      <c r="Q3836" s="9"/>
      <c r="R3836" s="5"/>
      <c r="S3836" s="5"/>
      <c r="T3836" s="5"/>
      <c r="U3836" s="5"/>
      <c r="V3836" s="5"/>
      <c r="W3836" s="5"/>
      <c r="X3836" s="5"/>
      <c r="Y3836" s="9"/>
      <c r="Z3836" s="2"/>
    </row>
    <row r="3837" spans="1:26">
      <c r="A3837" s="4"/>
      <c r="B3837" s="4"/>
      <c r="C3837" s="4"/>
      <c r="D3837" s="4"/>
      <c r="E3837" s="4"/>
      <c r="F3837" s="4"/>
      <c r="G3837" s="4"/>
      <c r="H3837" s="4"/>
      <c r="I3837" s="4"/>
      <c r="J3837" s="4"/>
      <c r="K3837" s="4"/>
      <c r="L3837" s="3"/>
      <c r="M3837" s="6"/>
      <c r="N3837" s="6"/>
      <c r="O3837" s="6"/>
      <c r="P3837" s="5"/>
      <c r="Q3837" s="9"/>
      <c r="R3837" s="5"/>
      <c r="S3837" s="5"/>
      <c r="T3837" s="5"/>
      <c r="U3837" s="5"/>
      <c r="V3837" s="5"/>
      <c r="W3837" s="5"/>
      <c r="X3837" s="5"/>
      <c r="Y3837" s="9"/>
      <c r="Z3837" s="2"/>
    </row>
    <row r="3838" spans="1:26">
      <c r="A3838" s="4"/>
      <c r="B3838" s="4"/>
      <c r="C3838" s="4"/>
      <c r="D3838" s="4"/>
      <c r="E3838" s="4"/>
      <c r="F3838" s="4"/>
      <c r="G3838" s="4"/>
      <c r="H3838" s="4"/>
      <c r="I3838" s="4"/>
      <c r="J3838" s="4"/>
      <c r="K3838" s="4"/>
      <c r="L3838" s="3"/>
      <c r="M3838" s="6"/>
      <c r="N3838" s="6"/>
      <c r="O3838" s="6"/>
      <c r="P3838" s="5"/>
      <c r="Q3838" s="9"/>
      <c r="R3838" s="5"/>
      <c r="S3838" s="5"/>
      <c r="T3838" s="5"/>
      <c r="U3838" s="5"/>
      <c r="V3838" s="5"/>
      <c r="W3838" s="5"/>
      <c r="X3838" s="5"/>
      <c r="Y3838" s="9"/>
      <c r="Z3838" s="2"/>
    </row>
    <row r="3839" spans="1:26">
      <c r="A3839" s="4"/>
      <c r="B3839" s="4"/>
      <c r="C3839" s="4"/>
      <c r="D3839" s="4"/>
      <c r="E3839" s="4"/>
      <c r="F3839" s="4"/>
      <c r="G3839" s="4"/>
      <c r="H3839" s="4"/>
      <c r="I3839" s="4"/>
      <c r="J3839" s="4"/>
      <c r="K3839" s="4"/>
      <c r="L3839" s="3"/>
      <c r="M3839" s="6"/>
      <c r="N3839" s="6"/>
      <c r="O3839" s="6"/>
      <c r="P3839" s="5"/>
      <c r="Q3839" s="9"/>
      <c r="R3839" s="5"/>
      <c r="S3839" s="5"/>
      <c r="T3839" s="5"/>
      <c r="U3839" s="5"/>
      <c r="V3839" s="5"/>
      <c r="W3839" s="5"/>
      <c r="X3839" s="5"/>
      <c r="Y3839" s="9"/>
      <c r="Z3839" s="2"/>
    </row>
    <row r="3840" spans="1:26">
      <c r="A3840" s="4"/>
      <c r="B3840" s="4"/>
      <c r="C3840" s="4"/>
      <c r="D3840" s="4"/>
      <c r="E3840" s="4"/>
      <c r="F3840" s="4"/>
      <c r="G3840" s="4"/>
      <c r="H3840" s="4"/>
      <c r="I3840" s="4"/>
      <c r="J3840" s="4"/>
      <c r="K3840" s="4"/>
      <c r="L3840" s="3"/>
      <c r="M3840" s="6"/>
      <c r="N3840" s="6"/>
      <c r="O3840" s="6"/>
      <c r="P3840" s="5"/>
      <c r="Q3840" s="9"/>
      <c r="R3840" s="5"/>
      <c r="S3840" s="5"/>
      <c r="T3840" s="5"/>
      <c r="U3840" s="5"/>
      <c r="V3840" s="5"/>
      <c r="W3840" s="5"/>
      <c r="X3840" s="5"/>
      <c r="Y3840" s="9"/>
      <c r="Z3840" s="2"/>
    </row>
    <row r="3841" spans="1:26">
      <c r="A3841" s="4"/>
      <c r="B3841" s="4"/>
      <c r="C3841" s="4"/>
      <c r="D3841" s="4"/>
      <c r="E3841" s="4"/>
      <c r="F3841" s="4"/>
      <c r="G3841" s="4"/>
      <c r="H3841" s="4"/>
      <c r="I3841" s="4"/>
      <c r="J3841" s="4"/>
      <c r="K3841" s="4"/>
      <c r="L3841" s="3"/>
      <c r="M3841" s="6"/>
      <c r="N3841" s="6"/>
      <c r="O3841" s="6"/>
      <c r="P3841" s="5"/>
      <c r="Q3841" s="9"/>
      <c r="R3841" s="5"/>
      <c r="S3841" s="5"/>
      <c r="T3841" s="5"/>
      <c r="U3841" s="5"/>
      <c r="V3841" s="5"/>
      <c r="W3841" s="5"/>
      <c r="X3841" s="5"/>
      <c r="Y3841" s="9"/>
      <c r="Z3841" s="2"/>
    </row>
    <row r="3842" spans="1:26">
      <c r="A3842" s="4"/>
      <c r="B3842" s="4"/>
      <c r="C3842" s="4"/>
      <c r="D3842" s="4"/>
      <c r="E3842" s="4"/>
      <c r="F3842" s="4"/>
      <c r="G3842" s="4"/>
      <c r="H3842" s="4"/>
      <c r="I3842" s="4"/>
      <c r="J3842" s="4"/>
      <c r="K3842" s="4"/>
      <c r="L3842" s="3"/>
      <c r="M3842" s="6"/>
      <c r="N3842" s="6"/>
      <c r="O3842" s="6"/>
      <c r="P3842" s="5"/>
      <c r="Q3842" s="9"/>
      <c r="R3842" s="5"/>
      <c r="S3842" s="5"/>
      <c r="T3842" s="5"/>
      <c r="U3842" s="5"/>
      <c r="V3842" s="5"/>
      <c r="W3842" s="5"/>
      <c r="X3842" s="5"/>
      <c r="Y3842" s="9"/>
      <c r="Z3842" s="2"/>
    </row>
    <row r="3843" spans="1:26">
      <c r="A3843" s="4"/>
      <c r="B3843" s="4"/>
      <c r="C3843" s="4"/>
      <c r="D3843" s="4"/>
      <c r="E3843" s="4"/>
      <c r="F3843" s="4"/>
      <c r="G3843" s="4"/>
      <c r="H3843" s="4"/>
      <c r="I3843" s="4"/>
      <c r="J3843" s="4"/>
      <c r="K3843" s="4"/>
      <c r="L3843" s="3"/>
      <c r="M3843" s="6"/>
      <c r="N3843" s="6"/>
      <c r="O3843" s="6"/>
      <c r="P3843" s="5"/>
      <c r="Q3843" s="9"/>
      <c r="R3843" s="5"/>
      <c r="S3843" s="5"/>
      <c r="T3843" s="5"/>
      <c r="U3843" s="5"/>
      <c r="V3843" s="5"/>
      <c r="W3843" s="5"/>
      <c r="X3843" s="5"/>
      <c r="Y3843" s="9"/>
      <c r="Z3843" s="2"/>
    </row>
    <row r="3844" spans="1:26">
      <c r="A3844" s="4"/>
      <c r="B3844" s="4"/>
      <c r="C3844" s="4"/>
      <c r="D3844" s="4"/>
      <c r="E3844" s="4"/>
      <c r="F3844" s="4"/>
      <c r="G3844" s="4"/>
      <c r="H3844" s="4"/>
      <c r="I3844" s="4"/>
      <c r="J3844" s="4"/>
      <c r="K3844" s="4"/>
      <c r="L3844" s="3"/>
      <c r="M3844" s="6"/>
      <c r="N3844" s="6"/>
      <c r="O3844" s="6"/>
      <c r="P3844" s="5"/>
      <c r="Q3844" s="9"/>
      <c r="R3844" s="5"/>
      <c r="S3844" s="5"/>
      <c r="T3844" s="5"/>
      <c r="U3844" s="5"/>
      <c r="V3844" s="5"/>
      <c r="W3844" s="5"/>
      <c r="X3844" s="5"/>
      <c r="Y3844" s="9"/>
      <c r="Z3844" s="2"/>
    </row>
    <row r="3845" spans="1:26">
      <c r="A3845" s="4"/>
      <c r="B3845" s="4"/>
      <c r="C3845" s="4"/>
      <c r="D3845" s="4"/>
      <c r="E3845" s="4"/>
      <c r="F3845" s="4"/>
      <c r="G3845" s="4"/>
      <c r="H3845" s="4"/>
      <c r="I3845" s="4"/>
      <c r="J3845" s="4"/>
      <c r="K3845" s="4"/>
      <c r="L3845" s="3"/>
      <c r="M3845" s="6"/>
      <c r="N3845" s="6"/>
      <c r="O3845" s="6"/>
      <c r="P3845" s="5"/>
      <c r="Q3845" s="9"/>
      <c r="R3845" s="5"/>
      <c r="S3845" s="5"/>
      <c r="T3845" s="5"/>
      <c r="U3845" s="5"/>
      <c r="V3845" s="5"/>
      <c r="W3845" s="5"/>
      <c r="X3845" s="5"/>
      <c r="Y3845" s="9"/>
      <c r="Z3845" s="2"/>
    </row>
    <row r="3846" spans="1:26">
      <c r="A3846" s="4"/>
      <c r="B3846" s="4"/>
      <c r="C3846" s="4"/>
      <c r="D3846" s="4"/>
      <c r="E3846" s="4"/>
      <c r="F3846" s="4"/>
      <c r="G3846" s="4"/>
      <c r="H3846" s="4"/>
      <c r="I3846" s="4"/>
      <c r="J3846" s="4"/>
      <c r="K3846" s="4"/>
      <c r="L3846" s="3"/>
      <c r="M3846" s="6"/>
      <c r="N3846" s="6"/>
      <c r="O3846" s="6"/>
      <c r="P3846" s="5"/>
      <c r="Q3846" s="9"/>
      <c r="R3846" s="5"/>
      <c r="S3846" s="5"/>
      <c r="T3846" s="5"/>
      <c r="U3846" s="5"/>
      <c r="V3846" s="5"/>
      <c r="W3846" s="5"/>
      <c r="X3846" s="5"/>
      <c r="Y3846" s="9"/>
      <c r="Z3846" s="2"/>
    </row>
    <row r="3847" spans="1:26">
      <c r="A3847" s="4"/>
      <c r="B3847" s="4"/>
      <c r="C3847" s="4"/>
      <c r="D3847" s="4"/>
      <c r="E3847" s="4"/>
      <c r="F3847" s="4"/>
      <c r="G3847" s="4"/>
      <c r="H3847" s="4"/>
      <c r="I3847" s="4"/>
      <c r="J3847" s="4"/>
      <c r="K3847" s="4"/>
      <c r="L3847" s="3"/>
      <c r="M3847" s="6"/>
      <c r="N3847" s="6"/>
      <c r="O3847" s="6"/>
      <c r="P3847" s="5"/>
      <c r="Q3847" s="9"/>
      <c r="R3847" s="5"/>
      <c r="S3847" s="5"/>
      <c r="T3847" s="5"/>
      <c r="U3847" s="5"/>
      <c r="V3847" s="5"/>
      <c r="W3847" s="5"/>
      <c r="X3847" s="5"/>
      <c r="Y3847" s="9"/>
      <c r="Z3847" s="2"/>
    </row>
    <row r="3848" spans="1:26">
      <c r="A3848" s="4"/>
      <c r="B3848" s="4"/>
      <c r="C3848" s="4"/>
      <c r="D3848" s="4"/>
      <c r="E3848" s="4"/>
      <c r="F3848" s="4"/>
      <c r="G3848" s="4"/>
      <c r="H3848" s="4"/>
      <c r="I3848" s="4"/>
      <c r="J3848" s="4"/>
      <c r="K3848" s="4"/>
      <c r="L3848" s="3"/>
      <c r="M3848" s="6"/>
      <c r="N3848" s="6"/>
      <c r="O3848" s="6"/>
      <c r="P3848" s="5"/>
      <c r="Q3848" s="9"/>
      <c r="R3848" s="5"/>
      <c r="S3848" s="5"/>
      <c r="T3848" s="5"/>
      <c r="U3848" s="5"/>
      <c r="V3848" s="5"/>
      <c r="W3848" s="5"/>
      <c r="X3848" s="5"/>
      <c r="Y3848" s="9"/>
      <c r="Z3848" s="2"/>
    </row>
    <row r="3849" spans="1:26">
      <c r="A3849" s="4"/>
      <c r="B3849" s="4"/>
      <c r="C3849" s="4"/>
      <c r="D3849" s="4"/>
      <c r="E3849" s="4"/>
      <c r="F3849" s="4"/>
      <c r="G3849" s="4"/>
      <c r="H3849" s="4"/>
      <c r="I3849" s="4"/>
      <c r="J3849" s="4"/>
      <c r="K3849" s="4"/>
      <c r="L3849" s="3"/>
      <c r="M3849" s="6"/>
      <c r="N3849" s="6"/>
      <c r="O3849" s="6"/>
      <c r="P3849" s="5"/>
      <c r="Q3849" s="9"/>
      <c r="R3849" s="5"/>
      <c r="S3849" s="5"/>
      <c r="T3849" s="5"/>
      <c r="U3849" s="5"/>
      <c r="V3849" s="5"/>
      <c r="W3849" s="5"/>
      <c r="X3849" s="5"/>
      <c r="Y3849" s="9"/>
      <c r="Z3849" s="2"/>
    </row>
    <row r="3850" spans="1:26">
      <c r="A3850" s="4"/>
      <c r="B3850" s="4"/>
      <c r="C3850" s="4"/>
      <c r="D3850" s="4"/>
      <c r="E3850" s="4"/>
      <c r="F3850" s="4"/>
      <c r="G3850" s="4"/>
      <c r="H3850" s="4"/>
      <c r="I3850" s="4"/>
      <c r="J3850" s="4"/>
      <c r="K3850" s="4"/>
      <c r="L3850" s="3"/>
      <c r="M3850" s="6"/>
      <c r="N3850" s="6"/>
      <c r="O3850" s="6"/>
      <c r="P3850" s="5"/>
      <c r="Q3850" s="9"/>
      <c r="R3850" s="5"/>
      <c r="S3850" s="5"/>
      <c r="T3850" s="5"/>
      <c r="U3850" s="5"/>
      <c r="V3850" s="5"/>
      <c r="W3850" s="5"/>
      <c r="X3850" s="5"/>
      <c r="Y3850" s="9"/>
      <c r="Z3850" s="2"/>
    </row>
    <row r="3851" spans="1:26">
      <c r="A3851" s="4"/>
      <c r="B3851" s="4"/>
      <c r="C3851" s="4"/>
      <c r="D3851" s="4"/>
      <c r="E3851" s="4"/>
      <c r="F3851" s="4"/>
      <c r="G3851" s="4"/>
      <c r="H3851" s="4"/>
      <c r="I3851" s="4"/>
      <c r="J3851" s="4"/>
      <c r="K3851" s="4"/>
      <c r="L3851" s="3"/>
      <c r="M3851" s="6"/>
      <c r="N3851" s="6"/>
      <c r="O3851" s="6"/>
      <c r="P3851" s="5"/>
      <c r="Q3851" s="9"/>
      <c r="R3851" s="5"/>
      <c r="S3851" s="5"/>
      <c r="T3851" s="5"/>
      <c r="U3851" s="5"/>
      <c r="V3851" s="5"/>
      <c r="W3851" s="5"/>
      <c r="X3851" s="5"/>
      <c r="Y3851" s="9"/>
      <c r="Z3851" s="2"/>
    </row>
    <row r="3852" spans="1:26">
      <c r="A3852" s="4"/>
      <c r="B3852" s="4"/>
      <c r="C3852" s="4"/>
      <c r="D3852" s="4"/>
      <c r="E3852" s="4"/>
      <c r="F3852" s="4"/>
      <c r="G3852" s="4"/>
      <c r="H3852" s="4"/>
      <c r="I3852" s="4"/>
      <c r="J3852" s="4"/>
      <c r="K3852" s="4"/>
      <c r="L3852" s="3"/>
      <c r="M3852" s="6"/>
      <c r="N3852" s="6"/>
      <c r="O3852" s="6"/>
      <c r="P3852" s="5"/>
      <c r="Q3852" s="9"/>
      <c r="R3852" s="5"/>
      <c r="S3852" s="5"/>
      <c r="T3852" s="5"/>
      <c r="U3852" s="5"/>
      <c r="V3852" s="5"/>
      <c r="W3852" s="5"/>
      <c r="X3852" s="5"/>
      <c r="Y3852" s="9"/>
      <c r="Z3852" s="2"/>
    </row>
    <row r="3853" spans="1:26">
      <c r="A3853" s="4"/>
      <c r="B3853" s="4"/>
      <c r="C3853" s="4"/>
      <c r="D3853" s="4"/>
      <c r="E3853" s="4"/>
      <c r="F3853" s="4"/>
      <c r="G3853" s="4"/>
      <c r="H3853" s="4"/>
      <c r="I3853" s="4"/>
      <c r="J3853" s="4"/>
      <c r="K3853" s="4"/>
      <c r="L3853" s="3"/>
      <c r="M3853" s="6"/>
      <c r="N3853" s="6"/>
      <c r="O3853" s="6"/>
      <c r="P3853" s="5"/>
      <c r="Q3853" s="9"/>
      <c r="R3853" s="5"/>
      <c r="S3853" s="5"/>
      <c r="T3853" s="5"/>
      <c r="U3853" s="5"/>
      <c r="V3853" s="5"/>
      <c r="W3853" s="5"/>
      <c r="X3853" s="5"/>
      <c r="Y3853" s="9"/>
      <c r="Z3853" s="2"/>
    </row>
    <row r="3854" spans="1:26">
      <c r="A3854" s="4"/>
      <c r="B3854" s="4"/>
      <c r="C3854" s="4"/>
      <c r="D3854" s="4"/>
      <c r="E3854" s="4"/>
      <c r="F3854" s="4"/>
      <c r="G3854" s="4"/>
      <c r="H3854" s="4"/>
      <c r="I3854" s="4"/>
      <c r="J3854" s="4"/>
      <c r="K3854" s="4"/>
      <c r="L3854" s="3"/>
      <c r="M3854" s="6"/>
      <c r="N3854" s="6"/>
      <c r="O3854" s="6"/>
      <c r="P3854" s="5"/>
      <c r="Q3854" s="9"/>
      <c r="R3854" s="5"/>
      <c r="S3854" s="5"/>
      <c r="T3854" s="5"/>
      <c r="U3854" s="5"/>
      <c r="V3854" s="5"/>
      <c r="W3854" s="5"/>
      <c r="X3854" s="5"/>
      <c r="Y3854" s="9"/>
      <c r="Z3854" s="2"/>
    </row>
    <row r="3855" spans="1:26">
      <c r="A3855" s="4"/>
      <c r="B3855" s="4"/>
      <c r="C3855" s="4"/>
      <c r="D3855" s="4"/>
      <c r="E3855" s="4"/>
      <c r="F3855" s="4"/>
      <c r="G3855" s="4"/>
      <c r="H3855" s="4"/>
      <c r="I3855" s="4"/>
      <c r="J3855" s="4"/>
      <c r="K3855" s="4"/>
      <c r="L3855" s="3"/>
      <c r="M3855" s="6"/>
      <c r="N3855" s="6"/>
      <c r="O3855" s="6"/>
      <c r="P3855" s="5"/>
      <c r="Q3855" s="9"/>
      <c r="R3855" s="5"/>
      <c r="S3855" s="5"/>
      <c r="T3855" s="5"/>
      <c r="U3855" s="5"/>
      <c r="V3855" s="5"/>
      <c r="W3855" s="5"/>
      <c r="X3855" s="5"/>
      <c r="Y3855" s="9"/>
      <c r="Z3855" s="2"/>
    </row>
    <row r="3856" spans="1:26">
      <c r="A3856" s="4"/>
      <c r="B3856" s="4"/>
      <c r="C3856" s="4"/>
      <c r="D3856" s="4"/>
      <c r="E3856" s="4"/>
      <c r="F3856" s="4"/>
      <c r="G3856" s="4"/>
      <c r="H3856" s="4"/>
      <c r="I3856" s="4"/>
      <c r="J3856" s="4"/>
      <c r="K3856" s="4"/>
      <c r="L3856" s="3"/>
      <c r="M3856" s="6"/>
      <c r="N3856" s="6"/>
      <c r="O3856" s="6"/>
      <c r="P3856" s="5"/>
      <c r="Q3856" s="9"/>
      <c r="R3856" s="5"/>
      <c r="S3856" s="5"/>
      <c r="T3856" s="5"/>
      <c r="U3856" s="5"/>
      <c r="V3856" s="5"/>
      <c r="W3856" s="5"/>
      <c r="X3856" s="5"/>
      <c r="Y3856" s="9"/>
      <c r="Z3856" s="2"/>
    </row>
    <row r="3857" spans="1:26">
      <c r="A3857" s="4"/>
      <c r="B3857" s="4"/>
      <c r="C3857" s="4"/>
      <c r="D3857" s="4"/>
      <c r="E3857" s="4"/>
      <c r="F3857" s="4"/>
      <c r="G3857" s="4"/>
      <c r="H3857" s="4"/>
      <c r="I3857" s="4"/>
      <c r="J3857" s="4"/>
      <c r="K3857" s="4"/>
      <c r="L3857" s="3"/>
      <c r="M3857" s="6"/>
      <c r="N3857" s="6"/>
      <c r="O3857" s="6"/>
      <c r="P3857" s="5"/>
      <c r="Q3857" s="9"/>
      <c r="R3857" s="5"/>
      <c r="S3857" s="5"/>
      <c r="T3857" s="5"/>
      <c r="U3857" s="5"/>
      <c r="V3857" s="5"/>
      <c r="W3857" s="5"/>
      <c r="X3857" s="5"/>
      <c r="Y3857" s="9"/>
      <c r="Z3857" s="2"/>
    </row>
    <row r="3858" spans="1:26">
      <c r="A3858" s="4"/>
      <c r="B3858" s="4"/>
      <c r="C3858" s="4"/>
      <c r="D3858" s="4"/>
      <c r="E3858" s="4"/>
      <c r="F3858" s="4"/>
      <c r="G3858" s="4"/>
      <c r="H3858" s="4"/>
      <c r="I3858" s="4"/>
      <c r="J3858" s="4"/>
      <c r="K3858" s="4"/>
      <c r="L3858" s="3"/>
      <c r="M3858" s="6"/>
      <c r="N3858" s="6"/>
      <c r="O3858" s="6"/>
      <c r="P3858" s="5"/>
      <c r="Q3858" s="9"/>
      <c r="R3858" s="5"/>
      <c r="S3858" s="5"/>
      <c r="T3858" s="5"/>
      <c r="U3858" s="5"/>
      <c r="V3858" s="5"/>
      <c r="W3858" s="5"/>
      <c r="X3858" s="5"/>
      <c r="Y3858" s="9"/>
      <c r="Z3858" s="2"/>
    </row>
    <row r="3859" spans="1:26">
      <c r="A3859" s="4"/>
      <c r="B3859" s="4"/>
      <c r="C3859" s="4"/>
      <c r="D3859" s="4"/>
      <c r="E3859" s="4"/>
      <c r="F3859" s="4"/>
      <c r="G3859" s="4"/>
      <c r="H3859" s="4"/>
      <c r="I3859" s="4"/>
      <c r="J3859" s="4"/>
      <c r="K3859" s="4"/>
      <c r="L3859" s="3"/>
      <c r="M3859" s="6"/>
      <c r="N3859" s="6"/>
      <c r="O3859" s="6"/>
      <c r="P3859" s="5"/>
      <c r="Q3859" s="9"/>
      <c r="R3859" s="5"/>
      <c r="S3859" s="5"/>
      <c r="T3859" s="5"/>
      <c r="U3859" s="5"/>
      <c r="V3859" s="5"/>
      <c r="W3859" s="5"/>
      <c r="X3859" s="5"/>
      <c r="Y3859" s="9"/>
      <c r="Z3859" s="2"/>
    </row>
    <row r="3860" spans="1:26">
      <c r="A3860" s="4"/>
      <c r="B3860" s="4"/>
      <c r="C3860" s="4"/>
      <c r="D3860" s="4"/>
      <c r="E3860" s="4"/>
      <c r="F3860" s="4"/>
      <c r="G3860" s="4"/>
      <c r="H3860" s="4"/>
      <c r="I3860" s="4"/>
      <c r="J3860" s="4"/>
      <c r="K3860" s="4"/>
      <c r="L3860" s="3"/>
      <c r="M3860" s="6"/>
      <c r="N3860" s="6"/>
      <c r="O3860" s="6"/>
      <c r="P3860" s="5"/>
      <c r="Q3860" s="9"/>
      <c r="R3860" s="5"/>
      <c r="S3860" s="5"/>
      <c r="T3860" s="5"/>
      <c r="U3860" s="5"/>
      <c r="V3860" s="5"/>
      <c r="W3860" s="5"/>
      <c r="X3860" s="5"/>
      <c r="Y3860" s="9"/>
      <c r="Z3860" s="2"/>
    </row>
    <row r="3861" spans="1:26">
      <c r="A3861" s="4"/>
      <c r="B3861" s="4"/>
      <c r="C3861" s="4"/>
      <c r="D3861" s="4"/>
      <c r="E3861" s="4"/>
      <c r="F3861" s="4"/>
      <c r="G3861" s="4"/>
      <c r="H3861" s="4"/>
      <c r="I3861" s="4"/>
      <c r="J3861" s="4"/>
      <c r="K3861" s="4"/>
      <c r="L3861" s="3"/>
      <c r="M3861" s="6"/>
      <c r="N3861" s="6"/>
      <c r="O3861" s="6"/>
      <c r="P3861" s="5"/>
      <c r="Q3861" s="9"/>
      <c r="R3861" s="5"/>
      <c r="S3861" s="5"/>
      <c r="T3861" s="5"/>
      <c r="U3861" s="5"/>
      <c r="V3861" s="5"/>
      <c r="W3861" s="5"/>
      <c r="X3861" s="5"/>
      <c r="Y3861" s="9"/>
      <c r="Z3861" s="2"/>
    </row>
    <row r="3862" spans="1:26">
      <c r="A3862" s="4"/>
      <c r="B3862" s="4"/>
      <c r="C3862" s="4"/>
      <c r="D3862" s="4"/>
      <c r="E3862" s="4"/>
      <c r="F3862" s="4"/>
      <c r="G3862" s="4"/>
      <c r="H3862" s="4"/>
      <c r="I3862" s="4"/>
      <c r="J3862" s="4"/>
      <c r="K3862" s="4"/>
      <c r="L3862" s="3"/>
      <c r="M3862" s="6"/>
      <c r="N3862" s="6"/>
      <c r="O3862" s="6"/>
      <c r="P3862" s="5"/>
      <c r="Q3862" s="9"/>
      <c r="R3862" s="5"/>
      <c r="S3862" s="5"/>
      <c r="T3862" s="5"/>
      <c r="U3862" s="5"/>
      <c r="V3862" s="5"/>
      <c r="W3862" s="5"/>
      <c r="X3862" s="5"/>
      <c r="Y3862" s="9"/>
      <c r="Z3862" s="2"/>
    </row>
    <row r="3863" spans="1:26">
      <c r="A3863" s="4"/>
      <c r="B3863" s="4"/>
      <c r="C3863" s="4"/>
      <c r="D3863" s="4"/>
      <c r="E3863" s="4"/>
      <c r="F3863" s="4"/>
      <c r="G3863" s="4"/>
      <c r="H3863" s="4"/>
      <c r="I3863" s="4"/>
      <c r="J3863" s="4"/>
      <c r="K3863" s="4"/>
      <c r="L3863" s="3"/>
      <c r="M3863" s="6"/>
      <c r="N3863" s="6"/>
      <c r="O3863" s="6"/>
      <c r="P3863" s="5"/>
      <c r="Q3863" s="9"/>
      <c r="R3863" s="5"/>
      <c r="S3863" s="5"/>
      <c r="T3863" s="5"/>
      <c r="U3863" s="5"/>
      <c r="V3863" s="5"/>
      <c r="W3863" s="5"/>
      <c r="X3863" s="5"/>
      <c r="Y3863" s="9"/>
      <c r="Z3863" s="2"/>
    </row>
    <row r="3864" spans="1:26">
      <c r="A3864" s="4"/>
      <c r="B3864" s="4"/>
      <c r="C3864" s="4"/>
      <c r="D3864" s="4"/>
      <c r="E3864" s="4"/>
      <c r="F3864" s="4"/>
      <c r="G3864" s="4"/>
      <c r="H3864" s="4"/>
      <c r="I3864" s="4"/>
      <c r="J3864" s="4"/>
      <c r="K3864" s="4"/>
      <c r="L3864" s="3"/>
      <c r="M3864" s="6"/>
      <c r="N3864" s="6"/>
      <c r="O3864" s="6"/>
      <c r="P3864" s="5"/>
      <c r="Q3864" s="9"/>
      <c r="R3864" s="5"/>
      <c r="S3864" s="5"/>
      <c r="T3864" s="5"/>
      <c r="U3864" s="5"/>
      <c r="V3864" s="5"/>
      <c r="W3864" s="5"/>
      <c r="X3864" s="5"/>
      <c r="Y3864" s="9"/>
      <c r="Z3864" s="2"/>
    </row>
    <row r="3865" spans="1:26">
      <c r="A3865" s="4"/>
      <c r="B3865" s="4"/>
      <c r="C3865" s="4"/>
      <c r="D3865" s="4"/>
      <c r="E3865" s="4"/>
      <c r="F3865" s="4"/>
      <c r="G3865" s="4"/>
      <c r="H3865" s="4"/>
      <c r="I3865" s="4"/>
      <c r="J3865" s="4"/>
      <c r="K3865" s="4"/>
      <c r="L3865" s="3"/>
      <c r="M3865" s="6"/>
      <c r="N3865" s="6"/>
      <c r="O3865" s="6"/>
      <c r="P3865" s="5"/>
      <c r="Q3865" s="9"/>
      <c r="R3865" s="5"/>
      <c r="S3865" s="5"/>
      <c r="T3865" s="5"/>
      <c r="U3865" s="5"/>
      <c r="V3865" s="5"/>
      <c r="W3865" s="5"/>
      <c r="X3865" s="5"/>
      <c r="Y3865" s="9"/>
      <c r="Z3865" s="2"/>
    </row>
    <row r="3866" spans="1:26">
      <c r="A3866" s="4"/>
      <c r="B3866" s="4"/>
      <c r="C3866" s="4"/>
      <c r="D3866" s="4"/>
      <c r="E3866" s="4"/>
      <c r="F3866" s="4"/>
      <c r="G3866" s="4"/>
      <c r="H3866" s="4"/>
      <c r="I3866" s="4"/>
      <c r="J3866" s="4"/>
      <c r="K3866" s="4"/>
      <c r="L3866" s="3"/>
      <c r="M3866" s="6"/>
      <c r="N3866" s="6"/>
      <c r="O3866" s="6"/>
      <c r="P3866" s="5"/>
      <c r="Q3866" s="9"/>
      <c r="R3866" s="5"/>
      <c r="S3866" s="5"/>
      <c r="T3866" s="5"/>
      <c r="U3866" s="5"/>
      <c r="V3866" s="5"/>
      <c r="W3866" s="5"/>
      <c r="X3866" s="5"/>
      <c r="Y3866" s="9"/>
      <c r="Z3866" s="2"/>
    </row>
    <row r="3867" spans="1:26">
      <c r="A3867" s="4"/>
      <c r="B3867" s="4"/>
      <c r="C3867" s="4"/>
      <c r="D3867" s="4"/>
      <c r="E3867" s="4"/>
      <c r="F3867" s="4"/>
      <c r="G3867" s="4"/>
      <c r="H3867" s="4"/>
      <c r="I3867" s="4"/>
      <c r="J3867" s="4"/>
      <c r="K3867" s="4"/>
      <c r="L3867" s="3"/>
      <c r="M3867" s="6"/>
      <c r="N3867" s="6"/>
      <c r="O3867" s="6"/>
      <c r="P3867" s="5"/>
      <c r="Q3867" s="9"/>
      <c r="R3867" s="5"/>
      <c r="S3867" s="5"/>
      <c r="T3867" s="5"/>
      <c r="U3867" s="5"/>
      <c r="V3867" s="5"/>
      <c r="W3867" s="5"/>
      <c r="X3867" s="5"/>
      <c r="Y3867" s="9"/>
      <c r="Z3867" s="2"/>
    </row>
    <row r="3868" spans="1:26">
      <c r="A3868" s="4"/>
      <c r="B3868" s="4"/>
      <c r="C3868" s="4"/>
      <c r="D3868" s="4"/>
      <c r="E3868" s="4"/>
      <c r="F3868" s="4"/>
      <c r="G3868" s="4"/>
      <c r="H3868" s="4"/>
      <c r="I3868" s="4"/>
      <c r="J3868" s="4"/>
      <c r="K3868" s="4"/>
      <c r="L3868" s="3"/>
      <c r="M3868" s="6"/>
      <c r="N3868" s="6"/>
      <c r="O3868" s="6"/>
      <c r="P3868" s="5"/>
      <c r="Q3868" s="9"/>
      <c r="R3868" s="5"/>
      <c r="S3868" s="5"/>
      <c r="T3868" s="5"/>
      <c r="U3868" s="5"/>
      <c r="V3868" s="5"/>
      <c r="W3868" s="5"/>
      <c r="X3868" s="5"/>
      <c r="Y3868" s="9"/>
      <c r="Z3868" s="2"/>
    </row>
    <row r="3869" spans="1:26">
      <c r="A3869" s="4"/>
      <c r="B3869" s="4"/>
      <c r="C3869" s="4"/>
      <c r="D3869" s="4"/>
      <c r="E3869" s="4"/>
      <c r="F3869" s="4"/>
      <c r="G3869" s="4"/>
      <c r="H3869" s="4"/>
      <c r="I3869" s="4"/>
      <c r="J3869" s="4"/>
      <c r="K3869" s="4"/>
      <c r="L3869" s="3"/>
      <c r="M3869" s="6"/>
      <c r="N3869" s="6"/>
      <c r="O3869" s="6"/>
      <c r="P3869" s="5"/>
      <c r="Q3869" s="9"/>
      <c r="R3869" s="5"/>
      <c r="S3869" s="5"/>
      <c r="T3869" s="5"/>
      <c r="U3869" s="5"/>
      <c r="V3869" s="5"/>
      <c r="W3869" s="5"/>
      <c r="X3869" s="5"/>
      <c r="Y3869" s="9"/>
      <c r="Z3869" s="2"/>
    </row>
    <row r="3870" spans="1:26">
      <c r="A3870" s="4"/>
      <c r="B3870" s="4"/>
      <c r="C3870" s="4"/>
      <c r="D3870" s="4"/>
      <c r="E3870" s="4"/>
      <c r="F3870" s="4"/>
      <c r="G3870" s="4"/>
      <c r="H3870" s="4"/>
      <c r="I3870" s="4"/>
      <c r="J3870" s="4"/>
      <c r="K3870" s="4"/>
      <c r="L3870" s="3"/>
      <c r="M3870" s="6"/>
      <c r="N3870" s="6"/>
      <c r="O3870" s="6"/>
      <c r="P3870" s="5"/>
      <c r="Q3870" s="9"/>
      <c r="R3870" s="5"/>
      <c r="S3870" s="5"/>
      <c r="T3870" s="5"/>
      <c r="U3870" s="5"/>
      <c r="V3870" s="5"/>
      <c r="W3870" s="5"/>
      <c r="X3870" s="5"/>
      <c r="Y3870" s="9"/>
      <c r="Z3870" s="2"/>
    </row>
    <row r="3871" spans="1:26">
      <c r="A3871" s="4"/>
      <c r="B3871" s="4"/>
      <c r="C3871" s="4"/>
      <c r="D3871" s="4"/>
      <c r="E3871" s="4"/>
      <c r="F3871" s="4"/>
      <c r="G3871" s="4"/>
      <c r="H3871" s="4"/>
      <c r="I3871" s="4"/>
      <c r="J3871" s="4"/>
      <c r="K3871" s="4"/>
      <c r="L3871" s="3"/>
      <c r="M3871" s="6"/>
      <c r="N3871" s="6"/>
      <c r="O3871" s="6"/>
      <c r="P3871" s="5"/>
      <c r="Q3871" s="9"/>
      <c r="R3871" s="5"/>
      <c r="S3871" s="5"/>
      <c r="T3871" s="5"/>
      <c r="U3871" s="5"/>
      <c r="V3871" s="5"/>
      <c r="W3871" s="5"/>
      <c r="X3871" s="5"/>
      <c r="Y3871" s="9"/>
      <c r="Z3871" s="2"/>
    </row>
    <row r="3872" spans="1:26">
      <c r="A3872" s="4"/>
      <c r="B3872" s="4"/>
      <c r="C3872" s="4"/>
      <c r="D3872" s="4"/>
      <c r="E3872" s="4"/>
      <c r="F3872" s="4"/>
      <c r="G3872" s="4"/>
      <c r="H3872" s="4"/>
      <c r="I3872" s="4"/>
      <c r="J3872" s="4"/>
      <c r="K3872" s="4"/>
      <c r="L3872" s="3"/>
      <c r="M3872" s="6"/>
      <c r="N3872" s="6"/>
      <c r="O3872" s="6"/>
      <c r="P3872" s="5"/>
      <c r="Q3872" s="9"/>
      <c r="R3872" s="5"/>
      <c r="S3872" s="5"/>
      <c r="T3872" s="5"/>
      <c r="U3872" s="5"/>
      <c r="V3872" s="5"/>
      <c r="W3872" s="5"/>
      <c r="X3872" s="5"/>
      <c r="Y3872" s="9"/>
      <c r="Z3872" s="2"/>
    </row>
    <row r="3873" spans="1:26">
      <c r="A3873" s="4"/>
      <c r="B3873" s="4"/>
      <c r="C3873" s="4"/>
      <c r="D3873" s="4"/>
      <c r="E3873" s="4"/>
      <c r="F3873" s="4"/>
      <c r="G3873" s="4"/>
      <c r="H3873" s="4"/>
      <c r="I3873" s="4"/>
      <c r="J3873" s="4"/>
      <c r="K3873" s="4"/>
      <c r="L3873" s="3"/>
      <c r="M3873" s="6"/>
      <c r="N3873" s="6"/>
      <c r="O3873" s="6"/>
      <c r="P3873" s="5"/>
      <c r="Q3873" s="9"/>
      <c r="R3873" s="5"/>
      <c r="S3873" s="5"/>
      <c r="T3873" s="5"/>
      <c r="U3873" s="5"/>
      <c r="V3873" s="5"/>
      <c r="W3873" s="5"/>
      <c r="X3873" s="5"/>
      <c r="Y3873" s="9"/>
      <c r="Z3873" s="2"/>
    </row>
    <row r="3874" spans="1:26">
      <c r="A3874" s="4"/>
      <c r="B3874" s="4"/>
      <c r="C3874" s="4"/>
      <c r="D3874" s="4"/>
      <c r="E3874" s="4"/>
      <c r="F3874" s="4"/>
      <c r="G3874" s="4"/>
      <c r="H3874" s="4"/>
      <c r="I3874" s="4"/>
      <c r="J3874" s="4"/>
      <c r="K3874" s="4"/>
      <c r="L3874" s="3"/>
      <c r="M3874" s="6"/>
      <c r="N3874" s="6"/>
      <c r="O3874" s="6"/>
      <c r="P3874" s="5"/>
      <c r="Q3874" s="9"/>
      <c r="R3874" s="5"/>
      <c r="S3874" s="5"/>
      <c r="T3874" s="5"/>
      <c r="U3874" s="5"/>
      <c r="V3874" s="5"/>
      <c r="W3874" s="5"/>
      <c r="X3874" s="5"/>
      <c r="Y3874" s="9"/>
      <c r="Z3874" s="2"/>
    </row>
    <row r="3875" spans="1:26">
      <c r="A3875" s="4"/>
      <c r="B3875" s="4"/>
      <c r="C3875" s="4"/>
      <c r="D3875" s="4"/>
      <c r="E3875" s="4"/>
      <c r="F3875" s="4"/>
      <c r="G3875" s="4"/>
      <c r="H3875" s="4"/>
      <c r="I3875" s="4"/>
      <c r="J3875" s="4"/>
      <c r="K3875" s="4"/>
      <c r="L3875" s="3"/>
      <c r="M3875" s="6"/>
      <c r="N3875" s="6"/>
      <c r="O3875" s="6"/>
      <c r="P3875" s="5"/>
      <c r="Q3875" s="9"/>
      <c r="R3875" s="5"/>
      <c r="S3875" s="5"/>
      <c r="T3875" s="5"/>
      <c r="U3875" s="5"/>
      <c r="V3875" s="5"/>
      <c r="W3875" s="5"/>
      <c r="X3875" s="5"/>
      <c r="Y3875" s="9"/>
      <c r="Z3875" s="2"/>
    </row>
    <row r="3876" spans="1:26">
      <c r="A3876" s="4"/>
      <c r="B3876" s="4"/>
      <c r="C3876" s="4"/>
      <c r="D3876" s="4"/>
      <c r="E3876" s="4"/>
      <c r="F3876" s="4"/>
      <c r="G3876" s="4"/>
      <c r="H3876" s="4"/>
      <c r="I3876" s="4"/>
      <c r="J3876" s="4"/>
      <c r="K3876" s="4"/>
      <c r="L3876" s="3"/>
      <c r="M3876" s="6"/>
      <c r="N3876" s="6"/>
      <c r="O3876" s="6"/>
      <c r="P3876" s="5"/>
      <c r="Q3876" s="9"/>
      <c r="R3876" s="5"/>
      <c r="S3876" s="5"/>
      <c r="T3876" s="5"/>
      <c r="U3876" s="5"/>
      <c r="V3876" s="5"/>
      <c r="W3876" s="5"/>
      <c r="X3876" s="5"/>
      <c r="Y3876" s="9"/>
      <c r="Z3876" s="2"/>
    </row>
    <row r="3877" spans="1:26">
      <c r="A3877" s="4"/>
      <c r="B3877" s="4"/>
      <c r="C3877" s="4"/>
      <c r="D3877" s="4"/>
      <c r="E3877" s="4"/>
      <c r="F3877" s="4"/>
      <c r="G3877" s="4"/>
      <c r="H3877" s="4"/>
      <c r="I3877" s="4"/>
      <c r="J3877" s="4"/>
      <c r="K3877" s="4"/>
      <c r="L3877" s="3"/>
      <c r="M3877" s="6"/>
      <c r="N3877" s="6"/>
      <c r="O3877" s="6"/>
      <c r="P3877" s="5"/>
      <c r="Q3877" s="9"/>
      <c r="R3877" s="5"/>
      <c r="S3877" s="5"/>
      <c r="T3877" s="5"/>
      <c r="U3877" s="5"/>
      <c r="V3877" s="5"/>
      <c r="W3877" s="5"/>
      <c r="X3877" s="5"/>
      <c r="Y3877" s="9"/>
      <c r="Z3877" s="2"/>
    </row>
    <row r="3878" spans="1:26">
      <c r="A3878" s="4"/>
      <c r="B3878" s="4"/>
      <c r="C3878" s="4"/>
      <c r="D3878" s="4"/>
      <c r="E3878" s="4"/>
      <c r="F3878" s="4"/>
      <c r="G3878" s="4"/>
      <c r="H3878" s="4"/>
      <c r="I3878" s="4"/>
      <c r="J3878" s="4"/>
      <c r="K3878" s="4"/>
      <c r="L3878" s="3"/>
      <c r="M3878" s="6"/>
      <c r="N3878" s="6"/>
      <c r="O3878" s="6"/>
      <c r="P3878" s="5"/>
      <c r="Q3878" s="9"/>
      <c r="R3878" s="5"/>
      <c r="S3878" s="5"/>
      <c r="T3878" s="5"/>
      <c r="U3878" s="5"/>
      <c r="V3878" s="5"/>
      <c r="W3878" s="5"/>
      <c r="X3878" s="5"/>
      <c r="Y3878" s="9"/>
      <c r="Z3878" s="2"/>
    </row>
    <row r="3879" spans="1:26">
      <c r="A3879" s="4"/>
      <c r="B3879" s="4"/>
      <c r="C3879" s="4"/>
      <c r="D3879" s="4"/>
      <c r="E3879" s="4"/>
      <c r="F3879" s="4"/>
      <c r="G3879" s="4"/>
      <c r="H3879" s="4"/>
      <c r="I3879" s="4"/>
      <c r="J3879" s="4"/>
      <c r="K3879" s="4"/>
      <c r="L3879" s="3"/>
      <c r="M3879" s="6"/>
      <c r="N3879" s="6"/>
      <c r="O3879" s="6"/>
      <c r="P3879" s="5"/>
      <c r="Q3879" s="9"/>
      <c r="R3879" s="5"/>
      <c r="S3879" s="5"/>
      <c r="T3879" s="5"/>
      <c r="U3879" s="5"/>
      <c r="V3879" s="5"/>
      <c r="W3879" s="5"/>
      <c r="X3879" s="5"/>
      <c r="Y3879" s="9"/>
      <c r="Z3879" s="2"/>
    </row>
    <row r="3880" spans="1:26">
      <c r="A3880" s="4"/>
      <c r="B3880" s="4"/>
      <c r="C3880" s="4"/>
      <c r="D3880" s="4"/>
      <c r="E3880" s="4"/>
      <c r="F3880" s="4"/>
      <c r="G3880" s="4"/>
      <c r="H3880" s="4"/>
      <c r="I3880" s="4"/>
      <c r="J3880" s="4"/>
      <c r="K3880" s="4"/>
      <c r="L3880" s="3"/>
      <c r="M3880" s="6"/>
      <c r="N3880" s="6"/>
      <c r="O3880" s="6"/>
      <c r="P3880" s="5"/>
      <c r="Q3880" s="9"/>
      <c r="R3880" s="5"/>
      <c r="S3880" s="5"/>
      <c r="T3880" s="5"/>
      <c r="U3880" s="5"/>
      <c r="V3880" s="5"/>
      <c r="W3880" s="5"/>
      <c r="X3880" s="5"/>
      <c r="Y3880" s="9"/>
      <c r="Z3880" s="2"/>
    </row>
    <row r="3881" spans="1:26">
      <c r="A3881" s="4"/>
      <c r="B3881" s="4"/>
      <c r="C3881" s="4"/>
      <c r="D3881" s="4"/>
      <c r="E3881" s="4"/>
      <c r="F3881" s="4"/>
      <c r="G3881" s="4"/>
      <c r="H3881" s="4"/>
      <c r="I3881" s="4"/>
      <c r="J3881" s="4"/>
      <c r="K3881" s="4"/>
      <c r="L3881" s="3"/>
      <c r="M3881" s="6"/>
      <c r="N3881" s="6"/>
      <c r="O3881" s="6"/>
      <c r="P3881" s="5"/>
      <c r="Q3881" s="9"/>
      <c r="R3881" s="5"/>
      <c r="S3881" s="5"/>
      <c r="T3881" s="5"/>
      <c r="U3881" s="5"/>
      <c r="V3881" s="5"/>
      <c r="W3881" s="5"/>
      <c r="X3881" s="5"/>
      <c r="Y3881" s="9"/>
      <c r="Z3881" s="2"/>
    </row>
    <row r="3882" spans="1:26">
      <c r="A3882" s="4"/>
      <c r="B3882" s="4"/>
      <c r="C3882" s="4"/>
      <c r="D3882" s="4"/>
      <c r="E3882" s="4"/>
      <c r="F3882" s="4"/>
      <c r="G3882" s="4"/>
      <c r="H3882" s="4"/>
      <c r="I3882" s="4"/>
      <c r="J3882" s="4"/>
      <c r="K3882" s="4"/>
      <c r="L3882" s="3"/>
      <c r="M3882" s="6"/>
      <c r="N3882" s="6"/>
      <c r="O3882" s="6"/>
      <c r="P3882" s="5"/>
      <c r="Q3882" s="9"/>
      <c r="R3882" s="5"/>
      <c r="S3882" s="5"/>
      <c r="T3882" s="5"/>
      <c r="U3882" s="5"/>
      <c r="V3882" s="5"/>
      <c r="W3882" s="5"/>
      <c r="X3882" s="5"/>
      <c r="Y3882" s="9"/>
      <c r="Z3882" s="2"/>
    </row>
    <row r="3883" spans="1:26">
      <c r="A3883" s="4"/>
      <c r="B3883" s="4"/>
      <c r="C3883" s="4"/>
      <c r="D3883" s="4"/>
      <c r="E3883" s="4"/>
      <c r="F3883" s="4"/>
      <c r="G3883" s="4"/>
      <c r="H3883" s="4"/>
      <c r="I3883" s="4"/>
      <c r="J3883" s="4"/>
      <c r="K3883" s="4"/>
      <c r="L3883" s="3"/>
      <c r="M3883" s="6"/>
      <c r="N3883" s="6"/>
      <c r="O3883" s="6"/>
      <c r="P3883" s="5"/>
      <c r="Q3883" s="9"/>
      <c r="R3883" s="5"/>
      <c r="S3883" s="5"/>
      <c r="T3883" s="5"/>
      <c r="U3883" s="5"/>
      <c r="V3883" s="5"/>
      <c r="W3883" s="5"/>
      <c r="X3883" s="5"/>
      <c r="Y3883" s="9"/>
      <c r="Z3883" s="2"/>
    </row>
    <row r="3884" spans="1:26">
      <c r="A3884" s="4"/>
      <c r="B3884" s="4"/>
      <c r="C3884" s="4"/>
      <c r="D3884" s="4"/>
      <c r="E3884" s="4"/>
      <c r="F3884" s="4"/>
      <c r="G3884" s="4"/>
      <c r="H3884" s="4"/>
      <c r="I3884" s="4"/>
      <c r="J3884" s="4"/>
      <c r="K3884" s="4"/>
      <c r="L3884" s="3"/>
      <c r="M3884" s="6"/>
      <c r="N3884" s="6"/>
      <c r="O3884" s="6"/>
      <c r="P3884" s="5"/>
      <c r="Q3884" s="9"/>
      <c r="R3884" s="5"/>
      <c r="S3884" s="5"/>
      <c r="T3884" s="5"/>
      <c r="U3884" s="5"/>
      <c r="V3884" s="5"/>
      <c r="W3884" s="5"/>
      <c r="X3884" s="5"/>
      <c r="Y3884" s="9"/>
      <c r="Z3884" s="2"/>
    </row>
    <row r="3885" spans="1:26">
      <c r="A3885" s="4"/>
      <c r="B3885" s="4"/>
      <c r="C3885" s="4"/>
      <c r="D3885" s="4"/>
      <c r="E3885" s="4"/>
      <c r="F3885" s="4"/>
      <c r="G3885" s="4"/>
      <c r="H3885" s="4"/>
      <c r="I3885" s="4"/>
      <c r="J3885" s="4"/>
      <c r="K3885" s="4"/>
      <c r="L3885" s="3"/>
      <c r="M3885" s="6"/>
      <c r="N3885" s="6"/>
      <c r="O3885" s="6"/>
      <c r="P3885" s="5"/>
      <c r="Q3885" s="9"/>
      <c r="R3885" s="5"/>
      <c r="S3885" s="5"/>
      <c r="T3885" s="5"/>
      <c r="U3885" s="5"/>
      <c r="V3885" s="5"/>
      <c r="W3885" s="5"/>
      <c r="X3885" s="5"/>
      <c r="Y3885" s="9"/>
      <c r="Z3885" s="2"/>
    </row>
    <row r="3886" spans="1:26">
      <c r="A3886" s="4"/>
      <c r="B3886" s="4"/>
      <c r="C3886" s="4"/>
      <c r="D3886" s="4"/>
      <c r="E3886" s="4"/>
      <c r="F3886" s="4"/>
      <c r="G3886" s="4"/>
      <c r="H3886" s="4"/>
      <c r="I3886" s="4"/>
      <c r="J3886" s="4"/>
      <c r="K3886" s="4"/>
      <c r="L3886" s="3"/>
      <c r="M3886" s="6"/>
      <c r="N3886" s="6"/>
      <c r="O3886" s="6"/>
      <c r="P3886" s="5"/>
      <c r="Q3886" s="9"/>
      <c r="R3886" s="5"/>
      <c r="S3886" s="5"/>
      <c r="T3886" s="5"/>
      <c r="U3886" s="5"/>
      <c r="V3886" s="5"/>
      <c r="W3886" s="5"/>
      <c r="X3886" s="5"/>
      <c r="Y3886" s="9"/>
      <c r="Z3886" s="2"/>
    </row>
    <row r="3887" spans="1:26">
      <c r="A3887" s="4"/>
      <c r="B3887" s="4"/>
      <c r="C3887" s="4"/>
      <c r="D3887" s="4"/>
      <c r="E3887" s="4"/>
      <c r="F3887" s="4"/>
      <c r="G3887" s="4"/>
      <c r="H3887" s="4"/>
      <c r="I3887" s="4"/>
      <c r="J3887" s="4"/>
      <c r="K3887" s="4"/>
      <c r="L3887" s="3"/>
      <c r="M3887" s="6"/>
      <c r="N3887" s="6"/>
      <c r="O3887" s="6"/>
      <c r="P3887" s="5"/>
      <c r="Q3887" s="9"/>
      <c r="R3887" s="5"/>
      <c r="S3887" s="5"/>
      <c r="T3887" s="5"/>
      <c r="U3887" s="5"/>
      <c r="V3887" s="5"/>
      <c r="W3887" s="5"/>
      <c r="X3887" s="5"/>
      <c r="Y3887" s="9"/>
      <c r="Z3887" s="2"/>
    </row>
    <row r="3888" spans="1:26">
      <c r="A3888" s="4"/>
      <c r="B3888" s="4"/>
      <c r="C3888" s="4"/>
      <c r="D3888" s="4"/>
      <c r="E3888" s="4"/>
      <c r="F3888" s="4"/>
      <c r="G3888" s="4"/>
      <c r="H3888" s="4"/>
      <c r="I3888" s="4"/>
      <c r="J3888" s="4"/>
      <c r="K3888" s="4"/>
      <c r="L3888" s="3"/>
      <c r="M3888" s="6"/>
      <c r="N3888" s="6"/>
      <c r="O3888" s="6"/>
      <c r="P3888" s="5"/>
      <c r="Q3888" s="9"/>
      <c r="R3888" s="5"/>
      <c r="S3888" s="5"/>
      <c r="T3888" s="5"/>
      <c r="U3888" s="5"/>
      <c r="V3888" s="5"/>
      <c r="W3888" s="5"/>
      <c r="X3888" s="5"/>
      <c r="Y3888" s="9"/>
      <c r="Z3888" s="2"/>
    </row>
    <row r="3889" spans="1:26">
      <c r="A3889" s="4"/>
      <c r="B3889" s="4"/>
      <c r="C3889" s="4"/>
      <c r="D3889" s="4"/>
      <c r="E3889" s="4"/>
      <c r="F3889" s="4"/>
      <c r="G3889" s="4"/>
      <c r="H3889" s="4"/>
      <c r="I3889" s="4"/>
      <c r="J3889" s="4"/>
      <c r="K3889" s="4"/>
      <c r="L3889" s="3"/>
      <c r="M3889" s="6"/>
      <c r="N3889" s="6"/>
      <c r="O3889" s="6"/>
      <c r="P3889" s="5"/>
      <c r="Q3889" s="9"/>
      <c r="R3889" s="5"/>
      <c r="S3889" s="5"/>
      <c r="T3889" s="5"/>
      <c r="U3889" s="5"/>
      <c r="V3889" s="5"/>
      <c r="W3889" s="5"/>
      <c r="X3889" s="5"/>
      <c r="Y3889" s="9"/>
      <c r="Z3889" s="2"/>
    </row>
    <row r="3890" spans="1:26">
      <c r="A3890" s="4"/>
      <c r="B3890" s="4"/>
      <c r="C3890" s="4"/>
      <c r="D3890" s="4"/>
      <c r="E3890" s="4"/>
      <c r="F3890" s="4"/>
      <c r="G3890" s="4"/>
      <c r="H3890" s="4"/>
      <c r="I3890" s="4"/>
      <c r="J3890" s="4"/>
      <c r="K3890" s="4"/>
      <c r="L3890" s="3"/>
      <c r="M3890" s="6"/>
      <c r="N3890" s="6"/>
      <c r="O3890" s="6"/>
      <c r="P3890" s="5"/>
      <c r="Q3890" s="9"/>
      <c r="R3890" s="5"/>
      <c r="S3890" s="5"/>
      <c r="T3890" s="5"/>
      <c r="U3890" s="5"/>
      <c r="V3890" s="5"/>
      <c r="W3890" s="5"/>
      <c r="X3890" s="5"/>
      <c r="Y3890" s="9"/>
      <c r="Z3890" s="2"/>
    </row>
    <row r="3891" spans="1:26">
      <c r="A3891" s="4"/>
      <c r="B3891" s="4"/>
      <c r="C3891" s="4"/>
      <c r="D3891" s="4"/>
      <c r="E3891" s="4"/>
      <c r="F3891" s="4"/>
      <c r="G3891" s="4"/>
      <c r="H3891" s="4"/>
      <c r="I3891" s="4"/>
      <c r="J3891" s="4"/>
      <c r="K3891" s="4"/>
      <c r="L3891" s="3"/>
      <c r="M3891" s="6"/>
      <c r="N3891" s="6"/>
      <c r="O3891" s="6"/>
      <c r="P3891" s="5"/>
      <c r="Q3891" s="9"/>
      <c r="R3891" s="5"/>
      <c r="S3891" s="5"/>
      <c r="T3891" s="5"/>
      <c r="U3891" s="5"/>
      <c r="V3891" s="5"/>
      <c r="W3891" s="5"/>
      <c r="X3891" s="5"/>
      <c r="Y3891" s="9"/>
      <c r="Z3891" s="2"/>
    </row>
    <row r="3892" spans="1:26">
      <c r="A3892" s="4"/>
      <c r="B3892" s="4"/>
      <c r="C3892" s="4"/>
      <c r="D3892" s="4"/>
      <c r="E3892" s="4"/>
      <c r="F3892" s="4"/>
      <c r="G3892" s="4"/>
      <c r="H3892" s="4"/>
      <c r="I3892" s="4"/>
      <c r="J3892" s="4"/>
      <c r="K3892" s="4"/>
      <c r="L3892" s="3"/>
      <c r="M3892" s="6"/>
      <c r="N3892" s="6"/>
      <c r="O3892" s="6"/>
      <c r="P3892" s="5"/>
      <c r="Q3892" s="9"/>
      <c r="R3892" s="5"/>
      <c r="S3892" s="5"/>
      <c r="T3892" s="5"/>
      <c r="U3892" s="5"/>
      <c r="V3892" s="5"/>
      <c r="W3892" s="5"/>
      <c r="X3892" s="5"/>
      <c r="Y3892" s="9"/>
      <c r="Z3892" s="2"/>
    </row>
    <row r="3893" spans="1:26">
      <c r="A3893" s="4"/>
      <c r="B3893" s="4"/>
      <c r="C3893" s="4"/>
      <c r="D3893" s="4"/>
      <c r="E3893" s="4"/>
      <c r="F3893" s="4"/>
      <c r="G3893" s="4"/>
      <c r="H3893" s="4"/>
      <c r="I3893" s="4"/>
      <c r="J3893" s="4"/>
      <c r="K3893" s="4"/>
      <c r="L3893" s="3"/>
      <c r="M3893" s="6"/>
      <c r="N3893" s="6"/>
      <c r="O3893" s="6"/>
      <c r="P3893" s="5"/>
      <c r="Q3893" s="9"/>
      <c r="R3893" s="5"/>
      <c r="S3893" s="5"/>
      <c r="T3893" s="5"/>
      <c r="U3893" s="5"/>
      <c r="V3893" s="5"/>
      <c r="W3893" s="5"/>
      <c r="X3893" s="5"/>
      <c r="Y3893" s="9"/>
      <c r="Z3893" s="2"/>
    </row>
    <row r="3894" spans="1:26">
      <c r="A3894" s="4"/>
      <c r="B3894" s="4"/>
      <c r="C3894" s="4"/>
      <c r="D3894" s="4"/>
      <c r="E3894" s="4"/>
      <c r="F3894" s="4"/>
      <c r="G3894" s="4"/>
      <c r="H3894" s="4"/>
      <c r="I3894" s="4"/>
      <c r="J3894" s="4"/>
      <c r="K3894" s="4"/>
      <c r="L3894" s="3"/>
      <c r="M3894" s="6"/>
      <c r="N3894" s="6"/>
      <c r="O3894" s="6"/>
      <c r="P3894" s="5"/>
      <c r="Q3894" s="9"/>
      <c r="R3894" s="5"/>
      <c r="S3894" s="5"/>
      <c r="T3894" s="5"/>
      <c r="U3894" s="5"/>
      <c r="V3894" s="5"/>
      <c r="W3894" s="5"/>
      <c r="X3894" s="5"/>
      <c r="Y3894" s="9"/>
      <c r="Z3894" s="2"/>
    </row>
    <row r="3895" spans="1:26">
      <c r="A3895" s="4"/>
      <c r="B3895" s="4"/>
      <c r="C3895" s="4"/>
      <c r="D3895" s="4"/>
      <c r="E3895" s="4"/>
      <c r="F3895" s="4"/>
      <c r="G3895" s="4"/>
      <c r="H3895" s="4"/>
      <c r="I3895" s="4"/>
      <c r="J3895" s="4"/>
      <c r="K3895" s="4"/>
      <c r="L3895" s="3"/>
      <c r="M3895" s="6"/>
      <c r="N3895" s="6"/>
      <c r="O3895" s="6"/>
      <c r="P3895" s="5"/>
      <c r="Q3895" s="9"/>
      <c r="R3895" s="5"/>
      <c r="S3895" s="5"/>
      <c r="T3895" s="5"/>
      <c r="U3895" s="5"/>
      <c r="V3895" s="5"/>
      <c r="W3895" s="5"/>
      <c r="X3895" s="5"/>
      <c r="Y3895" s="9"/>
      <c r="Z3895" s="2"/>
    </row>
    <row r="3896" spans="1:26">
      <c r="A3896" s="4"/>
      <c r="B3896" s="4"/>
      <c r="C3896" s="4"/>
      <c r="D3896" s="4"/>
      <c r="E3896" s="4"/>
      <c r="F3896" s="4"/>
      <c r="G3896" s="4"/>
      <c r="H3896" s="4"/>
      <c r="I3896" s="4"/>
      <c r="J3896" s="4"/>
      <c r="K3896" s="4"/>
      <c r="L3896" s="3"/>
      <c r="M3896" s="6"/>
      <c r="N3896" s="6"/>
      <c r="O3896" s="6"/>
      <c r="P3896" s="5"/>
      <c r="Q3896" s="9"/>
      <c r="R3896" s="5"/>
      <c r="S3896" s="5"/>
      <c r="T3896" s="5"/>
      <c r="U3896" s="5"/>
      <c r="V3896" s="5"/>
      <c r="W3896" s="5"/>
      <c r="X3896" s="5"/>
      <c r="Y3896" s="9"/>
      <c r="Z3896" s="2"/>
    </row>
    <row r="3897" spans="1:26">
      <c r="A3897" s="4"/>
      <c r="B3897" s="4"/>
      <c r="C3897" s="4"/>
      <c r="D3897" s="4"/>
      <c r="E3897" s="4"/>
      <c r="F3897" s="4"/>
      <c r="G3897" s="4"/>
      <c r="H3897" s="4"/>
      <c r="I3897" s="4"/>
      <c r="J3897" s="4"/>
      <c r="K3897" s="4"/>
      <c r="L3897" s="3"/>
      <c r="M3897" s="6"/>
      <c r="N3897" s="6"/>
      <c r="O3897" s="6"/>
      <c r="P3897" s="5"/>
      <c r="Q3897" s="9"/>
      <c r="R3897" s="5"/>
      <c r="S3897" s="5"/>
      <c r="T3897" s="5"/>
      <c r="U3897" s="5"/>
      <c r="V3897" s="5"/>
      <c r="W3897" s="5"/>
      <c r="X3897" s="5"/>
      <c r="Y3897" s="9"/>
      <c r="Z3897" s="2"/>
    </row>
    <row r="3898" spans="1:26">
      <c r="A3898" s="4"/>
      <c r="B3898" s="4"/>
      <c r="C3898" s="4"/>
      <c r="D3898" s="4"/>
      <c r="E3898" s="4"/>
      <c r="F3898" s="4"/>
      <c r="G3898" s="4"/>
      <c r="H3898" s="4"/>
      <c r="I3898" s="4"/>
      <c r="J3898" s="4"/>
      <c r="K3898" s="4"/>
      <c r="L3898" s="3"/>
      <c r="M3898" s="6"/>
      <c r="N3898" s="6"/>
      <c r="O3898" s="6"/>
      <c r="P3898" s="5"/>
      <c r="Q3898" s="9"/>
      <c r="R3898" s="5"/>
      <c r="S3898" s="5"/>
      <c r="T3898" s="5"/>
      <c r="U3898" s="5"/>
      <c r="V3898" s="5"/>
      <c r="W3898" s="5"/>
      <c r="X3898" s="5"/>
      <c r="Y3898" s="9"/>
      <c r="Z3898" s="2"/>
    </row>
    <row r="3899" spans="1:26">
      <c r="A3899" s="4"/>
      <c r="B3899" s="4"/>
      <c r="C3899" s="4"/>
      <c r="D3899" s="4"/>
      <c r="E3899" s="4"/>
      <c r="F3899" s="4"/>
      <c r="G3899" s="4"/>
      <c r="H3899" s="4"/>
      <c r="I3899" s="4"/>
      <c r="J3899" s="4"/>
      <c r="K3899" s="4"/>
      <c r="L3899" s="3"/>
      <c r="M3899" s="6"/>
      <c r="N3899" s="6"/>
      <c r="O3899" s="6"/>
      <c r="P3899" s="5"/>
      <c r="Q3899" s="9"/>
      <c r="R3899" s="5"/>
      <c r="S3899" s="5"/>
      <c r="T3899" s="5"/>
      <c r="U3899" s="5"/>
      <c r="V3899" s="5"/>
      <c r="W3899" s="5"/>
      <c r="X3899" s="5"/>
      <c r="Y3899" s="9"/>
      <c r="Z3899" s="2"/>
    </row>
    <row r="3900" spans="1:26">
      <c r="A3900" s="4"/>
      <c r="B3900" s="4"/>
      <c r="C3900" s="4"/>
      <c r="D3900" s="4"/>
      <c r="E3900" s="4"/>
      <c r="F3900" s="4"/>
      <c r="G3900" s="4"/>
      <c r="H3900" s="4"/>
      <c r="I3900" s="4"/>
      <c r="J3900" s="4"/>
      <c r="K3900" s="4"/>
      <c r="L3900" s="3"/>
      <c r="M3900" s="6"/>
      <c r="N3900" s="6"/>
      <c r="O3900" s="6"/>
      <c r="P3900" s="5"/>
      <c r="Q3900" s="9"/>
      <c r="R3900" s="5"/>
      <c r="S3900" s="5"/>
      <c r="T3900" s="5"/>
      <c r="U3900" s="5"/>
      <c r="V3900" s="5"/>
      <c r="W3900" s="5"/>
      <c r="X3900" s="5"/>
      <c r="Y3900" s="9"/>
      <c r="Z3900" s="2"/>
    </row>
    <row r="3901" spans="1:26">
      <c r="A3901" s="4"/>
      <c r="B3901" s="4"/>
      <c r="C3901" s="4"/>
      <c r="D3901" s="4"/>
      <c r="E3901" s="4"/>
      <c r="F3901" s="4"/>
      <c r="G3901" s="4"/>
      <c r="H3901" s="4"/>
      <c r="I3901" s="4"/>
      <c r="J3901" s="4"/>
      <c r="K3901" s="4"/>
      <c r="L3901" s="3"/>
      <c r="M3901" s="6"/>
      <c r="N3901" s="6"/>
      <c r="O3901" s="6"/>
      <c r="P3901" s="5"/>
      <c r="Q3901" s="9"/>
      <c r="R3901" s="5"/>
      <c r="S3901" s="5"/>
      <c r="T3901" s="5"/>
      <c r="U3901" s="5"/>
      <c r="V3901" s="5"/>
      <c r="W3901" s="5"/>
      <c r="X3901" s="5"/>
      <c r="Y3901" s="9"/>
      <c r="Z3901" s="2"/>
    </row>
    <row r="3902" spans="1:26">
      <c r="A3902" s="4"/>
      <c r="B3902" s="4"/>
      <c r="C3902" s="4"/>
      <c r="D3902" s="4"/>
      <c r="E3902" s="4"/>
      <c r="F3902" s="4"/>
      <c r="G3902" s="4"/>
      <c r="H3902" s="4"/>
      <c r="I3902" s="4"/>
      <c r="J3902" s="4"/>
      <c r="K3902" s="4"/>
      <c r="L3902" s="3"/>
      <c r="M3902" s="6"/>
      <c r="N3902" s="6"/>
      <c r="O3902" s="6"/>
      <c r="P3902" s="5"/>
      <c r="Q3902" s="9"/>
      <c r="R3902" s="5"/>
      <c r="S3902" s="5"/>
      <c r="T3902" s="5"/>
      <c r="U3902" s="5"/>
      <c r="V3902" s="5"/>
      <c r="W3902" s="5"/>
      <c r="X3902" s="5"/>
      <c r="Y3902" s="9"/>
      <c r="Z3902" s="2"/>
    </row>
    <row r="3903" spans="1:26">
      <c r="A3903" s="4"/>
      <c r="B3903" s="4"/>
      <c r="C3903" s="4"/>
      <c r="D3903" s="4"/>
      <c r="E3903" s="4"/>
      <c r="F3903" s="4"/>
      <c r="G3903" s="4"/>
      <c r="H3903" s="4"/>
      <c r="I3903" s="4"/>
      <c r="J3903" s="4"/>
      <c r="K3903" s="4"/>
      <c r="L3903" s="3"/>
      <c r="M3903" s="6"/>
      <c r="N3903" s="6"/>
      <c r="O3903" s="6"/>
      <c r="P3903" s="5"/>
      <c r="Q3903" s="9"/>
      <c r="R3903" s="5"/>
      <c r="S3903" s="5"/>
      <c r="T3903" s="5"/>
      <c r="U3903" s="5"/>
      <c r="V3903" s="5"/>
      <c r="W3903" s="5"/>
      <c r="X3903" s="5"/>
      <c r="Y3903" s="9"/>
      <c r="Z3903" s="2"/>
    </row>
    <row r="3904" spans="1:26">
      <c r="A3904" s="4"/>
      <c r="B3904" s="4"/>
      <c r="C3904" s="4"/>
      <c r="D3904" s="4"/>
      <c r="E3904" s="4"/>
      <c r="F3904" s="4"/>
      <c r="G3904" s="4"/>
      <c r="H3904" s="4"/>
      <c r="I3904" s="4"/>
      <c r="J3904" s="4"/>
      <c r="K3904" s="4"/>
      <c r="L3904" s="3"/>
      <c r="M3904" s="6"/>
      <c r="N3904" s="6"/>
      <c r="O3904" s="6"/>
      <c r="P3904" s="5"/>
      <c r="Q3904" s="9"/>
      <c r="R3904" s="5"/>
      <c r="S3904" s="5"/>
      <c r="T3904" s="5"/>
      <c r="U3904" s="5"/>
      <c r="V3904" s="5"/>
      <c r="W3904" s="5"/>
      <c r="X3904" s="5"/>
      <c r="Y3904" s="9"/>
      <c r="Z3904" s="2"/>
    </row>
    <row r="3905" spans="1:26">
      <c r="A3905" s="4"/>
      <c r="B3905" s="4"/>
      <c r="C3905" s="4"/>
      <c r="D3905" s="4"/>
      <c r="E3905" s="4"/>
      <c r="F3905" s="4"/>
      <c r="G3905" s="4"/>
      <c r="H3905" s="4"/>
      <c r="I3905" s="4"/>
      <c r="J3905" s="4"/>
      <c r="K3905" s="4"/>
      <c r="L3905" s="3"/>
      <c r="M3905" s="6"/>
      <c r="N3905" s="6"/>
      <c r="O3905" s="6"/>
      <c r="P3905" s="5"/>
      <c r="Q3905" s="9"/>
      <c r="R3905" s="5"/>
      <c r="S3905" s="5"/>
      <c r="T3905" s="5"/>
      <c r="U3905" s="5"/>
      <c r="V3905" s="5"/>
      <c r="W3905" s="5"/>
      <c r="X3905" s="5"/>
      <c r="Y3905" s="9"/>
      <c r="Z3905" s="2"/>
    </row>
    <row r="3906" spans="1:26">
      <c r="A3906" s="4"/>
      <c r="B3906" s="4"/>
      <c r="C3906" s="4"/>
      <c r="D3906" s="4"/>
      <c r="E3906" s="4"/>
      <c r="F3906" s="4"/>
      <c r="G3906" s="4"/>
      <c r="H3906" s="4"/>
      <c r="I3906" s="4"/>
      <c r="J3906" s="4"/>
      <c r="K3906" s="4"/>
      <c r="L3906" s="3"/>
      <c r="M3906" s="6"/>
      <c r="N3906" s="6"/>
      <c r="O3906" s="6"/>
      <c r="P3906" s="5"/>
      <c r="Q3906" s="9"/>
      <c r="R3906" s="5"/>
      <c r="S3906" s="5"/>
      <c r="T3906" s="5"/>
      <c r="U3906" s="5"/>
      <c r="V3906" s="5"/>
      <c r="W3906" s="5"/>
      <c r="X3906" s="5"/>
      <c r="Y3906" s="9"/>
      <c r="Z3906" s="2"/>
    </row>
    <row r="3907" spans="1:26">
      <c r="A3907" s="4"/>
      <c r="B3907" s="4"/>
      <c r="C3907" s="4"/>
      <c r="D3907" s="4"/>
      <c r="E3907" s="4"/>
      <c r="F3907" s="4"/>
      <c r="G3907" s="4"/>
      <c r="H3907" s="4"/>
      <c r="I3907" s="4"/>
      <c r="J3907" s="4"/>
      <c r="K3907" s="4"/>
      <c r="L3907" s="3"/>
      <c r="M3907" s="6"/>
      <c r="N3907" s="6"/>
      <c r="O3907" s="6"/>
      <c r="P3907" s="5"/>
      <c r="Q3907" s="9"/>
      <c r="R3907" s="5"/>
      <c r="S3907" s="5"/>
      <c r="T3907" s="5"/>
      <c r="U3907" s="5"/>
      <c r="V3907" s="5"/>
      <c r="W3907" s="5"/>
      <c r="X3907" s="5"/>
      <c r="Y3907" s="9"/>
      <c r="Z3907" s="2"/>
    </row>
    <row r="3908" spans="1:26">
      <c r="A3908" s="4"/>
      <c r="B3908" s="4"/>
      <c r="C3908" s="4"/>
      <c r="D3908" s="4"/>
      <c r="E3908" s="4"/>
      <c r="F3908" s="4"/>
      <c r="G3908" s="4"/>
      <c r="H3908" s="4"/>
      <c r="I3908" s="4"/>
      <c r="J3908" s="4"/>
      <c r="K3908" s="4"/>
      <c r="L3908" s="3"/>
      <c r="M3908" s="6"/>
      <c r="N3908" s="6"/>
      <c r="O3908" s="6"/>
      <c r="P3908" s="5"/>
      <c r="Q3908" s="9"/>
      <c r="R3908" s="5"/>
      <c r="S3908" s="5"/>
      <c r="T3908" s="5"/>
      <c r="U3908" s="5"/>
      <c r="V3908" s="5"/>
      <c r="W3908" s="5"/>
      <c r="X3908" s="5"/>
      <c r="Y3908" s="9"/>
      <c r="Z3908" s="2"/>
    </row>
    <row r="3909" spans="1:26">
      <c r="A3909" s="4"/>
      <c r="B3909" s="4"/>
      <c r="C3909" s="4"/>
      <c r="D3909" s="4"/>
      <c r="E3909" s="4"/>
      <c r="F3909" s="4"/>
      <c r="G3909" s="4"/>
      <c r="H3909" s="4"/>
      <c r="I3909" s="4"/>
      <c r="J3909" s="4"/>
      <c r="K3909" s="4"/>
      <c r="L3909" s="3"/>
      <c r="M3909" s="6"/>
      <c r="N3909" s="6"/>
      <c r="O3909" s="6"/>
      <c r="P3909" s="5"/>
      <c r="Q3909" s="9"/>
      <c r="R3909" s="5"/>
      <c r="S3909" s="5"/>
      <c r="T3909" s="5"/>
      <c r="U3909" s="5"/>
      <c r="V3909" s="5"/>
      <c r="W3909" s="5"/>
      <c r="X3909" s="5"/>
      <c r="Y3909" s="9"/>
      <c r="Z3909" s="2"/>
    </row>
    <row r="3910" spans="1:26">
      <c r="A3910" s="4"/>
      <c r="B3910" s="4"/>
      <c r="C3910" s="4"/>
      <c r="D3910" s="4"/>
      <c r="E3910" s="4"/>
      <c r="F3910" s="4"/>
      <c r="G3910" s="4"/>
      <c r="H3910" s="4"/>
      <c r="I3910" s="4"/>
      <c r="J3910" s="4"/>
      <c r="K3910" s="4"/>
      <c r="L3910" s="3"/>
      <c r="M3910" s="6"/>
      <c r="N3910" s="6"/>
      <c r="O3910" s="6"/>
      <c r="P3910" s="5"/>
      <c r="Q3910" s="9"/>
      <c r="R3910" s="5"/>
      <c r="S3910" s="5"/>
      <c r="T3910" s="5"/>
      <c r="U3910" s="5"/>
      <c r="V3910" s="5"/>
      <c r="W3910" s="5"/>
      <c r="X3910" s="5"/>
      <c r="Y3910" s="9"/>
      <c r="Z3910" s="2"/>
    </row>
    <row r="3911" spans="1:26">
      <c r="A3911" s="4"/>
      <c r="B3911" s="4"/>
      <c r="C3911" s="4"/>
      <c r="D3911" s="4"/>
      <c r="E3911" s="4"/>
      <c r="F3911" s="4"/>
      <c r="G3911" s="4"/>
      <c r="H3911" s="4"/>
      <c r="I3911" s="4"/>
      <c r="J3911" s="4"/>
      <c r="K3911" s="4"/>
      <c r="L3911" s="3"/>
      <c r="M3911" s="6"/>
      <c r="N3911" s="6"/>
      <c r="O3911" s="6"/>
      <c r="P3911" s="5"/>
      <c r="Q3911" s="9"/>
      <c r="R3911" s="5"/>
      <c r="S3911" s="5"/>
      <c r="T3911" s="5"/>
      <c r="U3911" s="5"/>
      <c r="V3911" s="5"/>
      <c r="W3911" s="5"/>
      <c r="X3911" s="5"/>
      <c r="Y3911" s="9"/>
      <c r="Z3911" s="2"/>
    </row>
    <row r="3912" spans="1:26">
      <c r="A3912" s="4"/>
      <c r="B3912" s="4"/>
      <c r="C3912" s="4"/>
      <c r="D3912" s="4"/>
      <c r="E3912" s="4"/>
      <c r="F3912" s="4"/>
      <c r="G3912" s="4"/>
      <c r="H3912" s="4"/>
      <c r="I3912" s="4"/>
      <c r="J3912" s="4"/>
      <c r="K3912" s="4"/>
      <c r="L3912" s="3"/>
      <c r="M3912" s="6"/>
      <c r="N3912" s="6"/>
      <c r="O3912" s="6"/>
      <c r="P3912" s="5"/>
      <c r="Q3912" s="9"/>
      <c r="R3912" s="5"/>
      <c r="S3912" s="5"/>
      <c r="T3912" s="5"/>
      <c r="U3912" s="5"/>
      <c r="V3912" s="5"/>
      <c r="W3912" s="5"/>
      <c r="X3912" s="5"/>
      <c r="Y3912" s="9"/>
      <c r="Z3912" s="2"/>
    </row>
    <row r="3913" spans="1:26">
      <c r="A3913" s="4"/>
      <c r="B3913" s="4"/>
      <c r="C3913" s="4"/>
      <c r="D3913" s="4"/>
      <c r="E3913" s="4"/>
      <c r="F3913" s="4"/>
      <c r="G3913" s="4"/>
      <c r="H3913" s="4"/>
      <c r="I3913" s="4"/>
      <c r="J3913" s="4"/>
      <c r="K3913" s="4"/>
      <c r="L3913" s="3"/>
      <c r="M3913" s="6"/>
      <c r="N3913" s="6"/>
      <c r="O3913" s="6"/>
      <c r="P3913" s="5"/>
      <c r="Q3913" s="9"/>
      <c r="R3913" s="5"/>
      <c r="S3913" s="5"/>
      <c r="T3913" s="5"/>
      <c r="U3913" s="5"/>
      <c r="V3913" s="5"/>
      <c r="W3913" s="5"/>
      <c r="X3913" s="5"/>
      <c r="Y3913" s="9"/>
      <c r="Z3913" s="2"/>
    </row>
    <row r="3914" spans="1:26">
      <c r="A3914" s="4"/>
      <c r="B3914" s="4"/>
      <c r="C3914" s="4"/>
      <c r="D3914" s="4"/>
      <c r="E3914" s="4"/>
      <c r="F3914" s="4"/>
      <c r="G3914" s="4"/>
      <c r="H3914" s="4"/>
      <c r="I3914" s="4"/>
      <c r="J3914" s="4"/>
      <c r="K3914" s="4"/>
      <c r="L3914" s="3"/>
      <c r="M3914" s="6"/>
      <c r="N3914" s="6"/>
      <c r="O3914" s="6"/>
      <c r="P3914" s="5"/>
      <c r="Q3914" s="9"/>
      <c r="R3914" s="5"/>
      <c r="S3914" s="5"/>
      <c r="T3914" s="5"/>
      <c r="U3914" s="5"/>
      <c r="V3914" s="5"/>
      <c r="W3914" s="5"/>
      <c r="X3914" s="5"/>
      <c r="Y3914" s="9"/>
      <c r="Z3914" s="2"/>
    </row>
    <row r="3915" spans="1:26">
      <c r="A3915" s="4"/>
      <c r="B3915" s="4"/>
      <c r="C3915" s="4"/>
      <c r="D3915" s="4"/>
      <c r="E3915" s="4"/>
      <c r="F3915" s="4"/>
      <c r="G3915" s="4"/>
      <c r="H3915" s="4"/>
      <c r="I3915" s="4"/>
      <c r="J3915" s="4"/>
      <c r="K3915" s="4"/>
      <c r="L3915" s="3"/>
      <c r="M3915" s="6"/>
      <c r="N3915" s="6"/>
      <c r="O3915" s="6"/>
      <c r="P3915" s="5"/>
      <c r="Q3915" s="9"/>
      <c r="R3915" s="5"/>
      <c r="S3915" s="5"/>
      <c r="T3915" s="5"/>
      <c r="U3915" s="5"/>
      <c r="V3915" s="5"/>
      <c r="W3915" s="5"/>
      <c r="X3915" s="5"/>
      <c r="Y3915" s="9"/>
      <c r="Z3915" s="2"/>
    </row>
    <row r="3916" spans="1:26">
      <c r="A3916" s="4"/>
      <c r="B3916" s="4"/>
      <c r="C3916" s="4"/>
      <c r="D3916" s="4"/>
      <c r="E3916" s="4"/>
      <c r="F3916" s="4"/>
      <c r="G3916" s="4"/>
      <c r="H3916" s="4"/>
      <c r="I3916" s="4"/>
      <c r="J3916" s="4"/>
      <c r="K3916" s="4"/>
      <c r="L3916" s="3"/>
      <c r="M3916" s="6"/>
      <c r="N3916" s="6"/>
      <c r="O3916" s="6"/>
      <c r="P3916" s="5"/>
      <c r="Q3916" s="9"/>
      <c r="R3916" s="5"/>
      <c r="S3916" s="5"/>
      <c r="T3916" s="5"/>
      <c r="U3916" s="5"/>
      <c r="V3916" s="5"/>
      <c r="W3916" s="5"/>
      <c r="X3916" s="5"/>
      <c r="Y3916" s="9"/>
      <c r="Z3916" s="2"/>
    </row>
    <row r="3917" spans="1:26">
      <c r="A3917" s="4"/>
      <c r="B3917" s="4"/>
      <c r="C3917" s="4"/>
      <c r="D3917" s="4"/>
      <c r="E3917" s="4"/>
      <c r="F3917" s="4"/>
      <c r="G3917" s="4"/>
      <c r="H3917" s="4"/>
      <c r="I3917" s="4"/>
      <c r="J3917" s="4"/>
      <c r="K3917" s="4"/>
      <c r="L3917" s="3"/>
      <c r="M3917" s="6"/>
      <c r="N3917" s="6"/>
      <c r="O3917" s="6"/>
      <c r="P3917" s="5"/>
      <c r="Q3917" s="9"/>
      <c r="R3917" s="5"/>
      <c r="S3917" s="5"/>
      <c r="T3917" s="5"/>
      <c r="U3917" s="5"/>
      <c r="V3917" s="5"/>
      <c r="W3917" s="5"/>
      <c r="X3917" s="5"/>
      <c r="Y3917" s="9"/>
      <c r="Z3917" s="2"/>
    </row>
    <row r="3918" spans="1:26">
      <c r="A3918" s="4"/>
      <c r="B3918" s="4"/>
      <c r="C3918" s="4"/>
      <c r="D3918" s="4"/>
      <c r="E3918" s="4"/>
      <c r="F3918" s="4"/>
      <c r="G3918" s="4"/>
      <c r="H3918" s="4"/>
      <c r="I3918" s="4"/>
      <c r="J3918" s="4"/>
      <c r="K3918" s="4"/>
      <c r="L3918" s="3"/>
      <c r="M3918" s="6"/>
      <c r="N3918" s="6"/>
      <c r="O3918" s="6"/>
      <c r="P3918" s="5"/>
      <c r="Q3918" s="9"/>
      <c r="R3918" s="5"/>
      <c r="S3918" s="5"/>
      <c r="T3918" s="5"/>
      <c r="U3918" s="5"/>
      <c r="V3918" s="5"/>
      <c r="W3918" s="5"/>
      <c r="X3918" s="5"/>
      <c r="Y3918" s="9"/>
      <c r="Z3918" s="2"/>
    </row>
    <row r="3919" spans="1:26">
      <c r="A3919" s="4"/>
      <c r="B3919" s="4"/>
      <c r="C3919" s="4"/>
      <c r="D3919" s="4"/>
      <c r="E3919" s="4"/>
      <c r="F3919" s="4"/>
      <c r="G3919" s="4"/>
      <c r="H3919" s="4"/>
      <c r="I3919" s="4"/>
      <c r="J3919" s="4"/>
      <c r="K3919" s="4"/>
      <c r="L3919" s="3"/>
      <c r="M3919" s="6"/>
      <c r="N3919" s="6"/>
      <c r="O3919" s="6"/>
      <c r="P3919" s="5"/>
      <c r="Q3919" s="9"/>
      <c r="R3919" s="5"/>
      <c r="S3919" s="5"/>
      <c r="T3919" s="5"/>
      <c r="U3919" s="5"/>
      <c r="V3919" s="5"/>
      <c r="W3919" s="5"/>
      <c r="X3919" s="5"/>
      <c r="Y3919" s="9"/>
      <c r="Z3919" s="2"/>
    </row>
    <row r="3920" spans="1:26">
      <c r="A3920" s="4"/>
      <c r="B3920" s="4"/>
      <c r="C3920" s="4"/>
      <c r="D3920" s="4"/>
      <c r="E3920" s="4"/>
      <c r="F3920" s="4"/>
      <c r="G3920" s="4"/>
      <c r="H3920" s="4"/>
      <c r="I3920" s="4"/>
      <c r="J3920" s="4"/>
      <c r="K3920" s="4"/>
      <c r="L3920" s="3"/>
      <c r="M3920" s="6"/>
      <c r="N3920" s="6"/>
      <c r="O3920" s="6"/>
      <c r="P3920" s="5"/>
      <c r="Q3920" s="9"/>
      <c r="R3920" s="5"/>
      <c r="S3920" s="5"/>
      <c r="T3920" s="5"/>
      <c r="U3920" s="5"/>
      <c r="V3920" s="5"/>
      <c r="W3920" s="5"/>
      <c r="X3920" s="5"/>
      <c r="Y3920" s="9"/>
      <c r="Z3920" s="2"/>
    </row>
    <row r="3921" spans="1:26">
      <c r="A3921" s="4"/>
      <c r="B3921" s="4"/>
      <c r="C3921" s="4"/>
      <c r="D3921" s="4"/>
      <c r="E3921" s="4"/>
      <c r="F3921" s="4"/>
      <c r="G3921" s="4"/>
      <c r="H3921" s="4"/>
      <c r="I3921" s="4"/>
      <c r="J3921" s="4"/>
      <c r="K3921" s="4"/>
      <c r="L3921" s="3"/>
      <c r="M3921" s="6"/>
      <c r="N3921" s="6"/>
      <c r="O3921" s="6"/>
      <c r="P3921" s="5"/>
      <c r="Q3921" s="9"/>
      <c r="R3921" s="5"/>
      <c r="S3921" s="5"/>
      <c r="T3921" s="5"/>
      <c r="U3921" s="5"/>
      <c r="V3921" s="5"/>
      <c r="W3921" s="5"/>
      <c r="X3921" s="5"/>
      <c r="Y3921" s="9"/>
      <c r="Z3921" s="2"/>
    </row>
    <row r="3922" spans="1:26">
      <c r="A3922" s="4"/>
      <c r="B3922" s="4"/>
      <c r="C3922" s="4"/>
      <c r="D3922" s="4"/>
      <c r="E3922" s="4"/>
      <c r="F3922" s="4"/>
      <c r="G3922" s="4"/>
      <c r="H3922" s="4"/>
      <c r="I3922" s="4"/>
      <c r="J3922" s="4"/>
      <c r="K3922" s="4"/>
      <c r="L3922" s="3"/>
      <c r="M3922" s="6"/>
      <c r="N3922" s="6"/>
      <c r="O3922" s="6"/>
      <c r="P3922" s="5"/>
      <c r="Q3922" s="9"/>
      <c r="R3922" s="5"/>
      <c r="S3922" s="5"/>
      <c r="T3922" s="5"/>
      <c r="U3922" s="5"/>
      <c r="V3922" s="5"/>
      <c r="W3922" s="5"/>
      <c r="X3922" s="5"/>
      <c r="Y3922" s="9"/>
      <c r="Z3922" s="2"/>
    </row>
    <row r="3923" spans="1:26">
      <c r="A3923" s="4"/>
      <c r="B3923" s="4"/>
      <c r="C3923" s="4"/>
      <c r="D3923" s="4"/>
      <c r="E3923" s="4"/>
      <c r="F3923" s="4"/>
      <c r="G3923" s="4"/>
      <c r="H3923" s="4"/>
      <c r="I3923" s="4"/>
      <c r="J3923" s="4"/>
      <c r="K3923" s="4"/>
      <c r="L3923" s="3"/>
      <c r="M3923" s="6"/>
      <c r="N3923" s="6"/>
      <c r="O3923" s="6"/>
      <c r="P3923" s="5"/>
      <c r="Q3923" s="9"/>
      <c r="R3923" s="5"/>
      <c r="S3923" s="5"/>
      <c r="T3923" s="5"/>
      <c r="U3923" s="5"/>
      <c r="V3923" s="5"/>
      <c r="W3923" s="5"/>
      <c r="X3923" s="5"/>
      <c r="Y3923" s="9"/>
      <c r="Z3923" s="2"/>
    </row>
    <row r="3924" spans="1:26">
      <c r="A3924" s="4"/>
      <c r="B3924" s="4"/>
      <c r="C3924" s="4"/>
      <c r="D3924" s="4"/>
      <c r="E3924" s="4"/>
      <c r="F3924" s="4"/>
      <c r="G3924" s="4"/>
      <c r="H3924" s="4"/>
      <c r="I3924" s="4"/>
      <c r="J3924" s="4"/>
      <c r="K3924" s="4"/>
      <c r="L3924" s="3"/>
      <c r="M3924" s="6"/>
      <c r="N3924" s="6"/>
      <c r="O3924" s="6"/>
      <c r="P3924" s="5"/>
      <c r="Q3924" s="9"/>
      <c r="R3924" s="5"/>
      <c r="S3924" s="5"/>
      <c r="T3924" s="5"/>
      <c r="U3924" s="5"/>
      <c r="V3924" s="5"/>
      <c r="W3924" s="5"/>
      <c r="X3924" s="5"/>
      <c r="Y3924" s="9"/>
      <c r="Z3924" s="2"/>
    </row>
    <row r="3925" spans="1:26">
      <c r="A3925" s="4"/>
      <c r="B3925" s="4"/>
      <c r="C3925" s="4"/>
      <c r="D3925" s="4"/>
      <c r="E3925" s="4"/>
      <c r="F3925" s="4"/>
      <c r="G3925" s="4"/>
      <c r="H3925" s="4"/>
      <c r="I3925" s="4"/>
      <c r="J3925" s="4"/>
      <c r="K3925" s="4"/>
      <c r="L3925" s="3"/>
      <c r="M3925" s="6"/>
      <c r="N3925" s="6"/>
      <c r="O3925" s="6"/>
      <c r="P3925" s="5"/>
      <c r="Q3925" s="9"/>
      <c r="R3925" s="5"/>
      <c r="S3925" s="5"/>
      <c r="T3925" s="5"/>
      <c r="U3925" s="5"/>
      <c r="V3925" s="5"/>
      <c r="W3925" s="5"/>
      <c r="X3925" s="5"/>
      <c r="Y3925" s="9"/>
      <c r="Z3925" s="2"/>
    </row>
    <row r="3926" spans="1:26">
      <c r="A3926" s="4"/>
      <c r="B3926" s="4"/>
      <c r="C3926" s="4"/>
      <c r="D3926" s="4"/>
      <c r="E3926" s="4"/>
      <c r="F3926" s="4"/>
      <c r="G3926" s="4"/>
      <c r="H3926" s="4"/>
      <c r="I3926" s="4"/>
      <c r="J3926" s="4"/>
      <c r="K3926" s="4"/>
      <c r="L3926" s="3"/>
      <c r="M3926" s="6"/>
      <c r="N3926" s="6"/>
      <c r="O3926" s="6"/>
      <c r="P3926" s="5"/>
      <c r="Q3926" s="9"/>
      <c r="R3926" s="5"/>
      <c r="S3926" s="5"/>
      <c r="T3926" s="5"/>
      <c r="U3926" s="5"/>
      <c r="V3926" s="5"/>
      <c r="W3926" s="5"/>
      <c r="X3926" s="5"/>
      <c r="Y3926" s="9"/>
      <c r="Z3926" s="2"/>
    </row>
    <row r="3927" spans="1:26">
      <c r="A3927" s="4"/>
      <c r="B3927" s="4"/>
      <c r="C3927" s="4"/>
      <c r="D3927" s="4"/>
      <c r="E3927" s="4"/>
      <c r="F3927" s="4"/>
      <c r="G3927" s="4"/>
      <c r="H3927" s="4"/>
      <c r="I3927" s="4"/>
      <c r="J3927" s="4"/>
      <c r="K3927" s="4"/>
      <c r="L3927" s="3"/>
      <c r="M3927" s="6"/>
      <c r="N3927" s="6"/>
      <c r="O3927" s="6"/>
      <c r="P3927" s="5"/>
      <c r="Q3927" s="9"/>
      <c r="R3927" s="5"/>
      <c r="S3927" s="5"/>
      <c r="T3927" s="5"/>
      <c r="U3927" s="5"/>
      <c r="V3927" s="5"/>
      <c r="W3927" s="5"/>
      <c r="X3927" s="5"/>
      <c r="Y3927" s="9"/>
      <c r="Z3927" s="2"/>
    </row>
    <row r="3928" spans="1:26">
      <c r="A3928" s="4"/>
      <c r="B3928" s="4"/>
      <c r="C3928" s="4"/>
      <c r="D3928" s="4"/>
      <c r="E3928" s="4"/>
      <c r="F3928" s="4"/>
      <c r="G3928" s="4"/>
      <c r="H3928" s="4"/>
      <c r="I3928" s="4"/>
      <c r="J3928" s="4"/>
      <c r="K3928" s="4"/>
      <c r="L3928" s="3"/>
      <c r="M3928" s="6"/>
      <c r="N3928" s="6"/>
      <c r="O3928" s="6"/>
      <c r="P3928" s="5"/>
      <c r="Q3928" s="9"/>
      <c r="R3928" s="5"/>
      <c r="S3928" s="5"/>
      <c r="T3928" s="5"/>
      <c r="U3928" s="5"/>
      <c r="V3928" s="5"/>
      <c r="W3928" s="5"/>
      <c r="X3928" s="5"/>
      <c r="Y3928" s="9"/>
      <c r="Z3928" s="2"/>
    </row>
    <row r="3929" spans="1:26">
      <c r="A3929" s="4"/>
      <c r="B3929" s="4"/>
      <c r="C3929" s="4"/>
      <c r="D3929" s="4"/>
      <c r="E3929" s="4"/>
      <c r="F3929" s="4"/>
      <c r="G3929" s="4"/>
      <c r="H3929" s="4"/>
      <c r="I3929" s="4"/>
      <c r="J3929" s="4"/>
      <c r="K3929" s="4"/>
      <c r="L3929" s="3"/>
      <c r="M3929" s="6"/>
      <c r="N3929" s="6"/>
      <c r="O3929" s="6"/>
      <c r="P3929" s="5"/>
      <c r="Q3929" s="9"/>
      <c r="R3929" s="5"/>
      <c r="S3929" s="5"/>
      <c r="T3929" s="5"/>
      <c r="U3929" s="5"/>
      <c r="V3929" s="5"/>
      <c r="W3929" s="5"/>
      <c r="X3929" s="5"/>
      <c r="Y3929" s="9"/>
      <c r="Z3929" s="2"/>
    </row>
    <row r="3930" spans="1:26">
      <c r="A3930" s="4"/>
      <c r="B3930" s="4"/>
      <c r="C3930" s="4"/>
      <c r="D3930" s="4"/>
      <c r="E3930" s="4"/>
      <c r="F3930" s="4"/>
      <c r="G3930" s="4"/>
      <c r="H3930" s="4"/>
      <c r="I3930" s="4"/>
      <c r="J3930" s="4"/>
      <c r="K3930" s="4"/>
      <c r="L3930" s="3"/>
      <c r="M3930" s="6"/>
      <c r="N3930" s="6"/>
      <c r="O3930" s="6"/>
      <c r="P3930" s="5"/>
      <c r="Q3930" s="9"/>
      <c r="R3930" s="5"/>
      <c r="S3930" s="5"/>
      <c r="T3930" s="5"/>
      <c r="U3930" s="5"/>
      <c r="V3930" s="5"/>
      <c r="W3930" s="5"/>
      <c r="X3930" s="5"/>
      <c r="Y3930" s="9"/>
      <c r="Z3930" s="2"/>
    </row>
    <row r="3931" spans="1:26">
      <c r="A3931" s="4"/>
      <c r="B3931" s="4"/>
      <c r="C3931" s="4"/>
      <c r="D3931" s="4"/>
      <c r="E3931" s="4"/>
      <c r="F3931" s="4"/>
      <c r="G3931" s="4"/>
      <c r="H3931" s="4"/>
      <c r="I3931" s="4"/>
      <c r="J3931" s="4"/>
      <c r="K3931" s="4"/>
      <c r="L3931" s="3"/>
      <c r="M3931" s="6"/>
      <c r="N3931" s="6"/>
      <c r="O3931" s="6"/>
      <c r="P3931" s="5"/>
      <c r="Q3931" s="9"/>
      <c r="R3931" s="5"/>
      <c r="S3931" s="5"/>
      <c r="T3931" s="5"/>
      <c r="U3931" s="5"/>
      <c r="V3931" s="5"/>
      <c r="W3931" s="5"/>
      <c r="X3931" s="5"/>
      <c r="Y3931" s="9"/>
      <c r="Z3931" s="2"/>
    </row>
    <row r="3932" spans="1:26">
      <c r="A3932" s="4"/>
      <c r="B3932" s="4"/>
      <c r="C3932" s="4"/>
      <c r="D3932" s="4"/>
      <c r="E3932" s="4"/>
      <c r="F3932" s="4"/>
      <c r="G3932" s="4"/>
      <c r="H3932" s="4"/>
      <c r="I3932" s="4"/>
      <c r="J3932" s="4"/>
      <c r="K3932" s="4"/>
      <c r="L3932" s="3"/>
      <c r="M3932" s="6"/>
      <c r="N3932" s="6"/>
      <c r="O3932" s="6"/>
      <c r="P3932" s="5"/>
      <c r="Q3932" s="9"/>
      <c r="R3932" s="5"/>
      <c r="S3932" s="5"/>
      <c r="T3932" s="5"/>
      <c r="U3932" s="5"/>
      <c r="V3932" s="5"/>
      <c r="W3932" s="5"/>
      <c r="X3932" s="5"/>
      <c r="Y3932" s="9"/>
      <c r="Z3932" s="2"/>
    </row>
    <row r="3933" spans="1:26">
      <c r="A3933" s="4"/>
      <c r="B3933" s="4"/>
      <c r="C3933" s="4"/>
      <c r="D3933" s="4"/>
      <c r="E3933" s="4"/>
      <c r="F3933" s="4"/>
      <c r="G3933" s="4"/>
      <c r="H3933" s="4"/>
      <c r="I3933" s="4"/>
      <c r="J3933" s="4"/>
      <c r="K3933" s="4"/>
      <c r="L3933" s="3"/>
      <c r="M3933" s="6"/>
      <c r="N3933" s="6"/>
      <c r="O3933" s="6"/>
      <c r="P3933" s="5"/>
      <c r="Q3933" s="9"/>
      <c r="R3933" s="5"/>
      <c r="S3933" s="5"/>
      <c r="T3933" s="5"/>
      <c r="U3933" s="5"/>
      <c r="V3933" s="5"/>
      <c r="W3933" s="5"/>
      <c r="X3933" s="5"/>
      <c r="Y3933" s="9"/>
      <c r="Z3933" s="2"/>
    </row>
    <row r="3934" spans="1:26">
      <c r="A3934" s="4"/>
      <c r="B3934" s="4"/>
      <c r="C3934" s="4"/>
      <c r="D3934" s="4"/>
      <c r="E3934" s="4"/>
      <c r="F3934" s="4"/>
      <c r="G3934" s="4"/>
      <c r="H3934" s="4"/>
      <c r="I3934" s="4"/>
      <c r="J3934" s="4"/>
      <c r="K3934" s="4"/>
      <c r="L3934" s="3"/>
      <c r="M3934" s="6"/>
      <c r="N3934" s="6"/>
      <c r="O3934" s="6"/>
      <c r="P3934" s="5"/>
      <c r="Q3934" s="9"/>
      <c r="R3934" s="5"/>
      <c r="S3934" s="5"/>
      <c r="T3934" s="5"/>
      <c r="U3934" s="5"/>
      <c r="V3934" s="5"/>
      <c r="W3934" s="5"/>
      <c r="X3934" s="5"/>
      <c r="Y3934" s="9"/>
      <c r="Z3934" s="2"/>
    </row>
    <row r="3935" spans="1:26">
      <c r="A3935" s="4"/>
      <c r="B3935" s="4"/>
      <c r="C3935" s="4"/>
      <c r="D3935" s="4"/>
      <c r="E3935" s="4"/>
      <c r="F3935" s="4"/>
      <c r="G3935" s="4"/>
      <c r="H3935" s="4"/>
      <c r="I3935" s="4"/>
      <c r="J3935" s="4"/>
      <c r="K3935" s="4"/>
      <c r="L3935" s="3"/>
      <c r="M3935" s="6"/>
      <c r="N3935" s="6"/>
      <c r="O3935" s="6"/>
      <c r="P3935" s="5"/>
      <c r="Q3935" s="9"/>
      <c r="R3935" s="5"/>
      <c r="S3935" s="5"/>
      <c r="T3935" s="5"/>
      <c r="U3935" s="5"/>
      <c r="V3935" s="5"/>
      <c r="W3935" s="5"/>
      <c r="X3935" s="5"/>
      <c r="Y3935" s="9"/>
      <c r="Z3935" s="2"/>
    </row>
    <row r="3936" spans="1:26">
      <c r="A3936" s="4"/>
      <c r="B3936" s="4"/>
      <c r="C3936" s="4"/>
      <c r="D3936" s="4"/>
      <c r="E3936" s="4"/>
      <c r="F3936" s="4"/>
      <c r="G3936" s="4"/>
      <c r="H3936" s="4"/>
      <c r="I3936" s="4"/>
      <c r="J3936" s="4"/>
      <c r="K3936" s="4"/>
      <c r="L3936" s="3"/>
      <c r="M3936" s="6"/>
      <c r="N3936" s="6"/>
      <c r="O3936" s="6"/>
      <c r="P3936" s="5"/>
      <c r="Q3936" s="9"/>
      <c r="R3936" s="5"/>
      <c r="S3936" s="5"/>
      <c r="T3936" s="5"/>
      <c r="U3936" s="5"/>
      <c r="V3936" s="5"/>
      <c r="W3936" s="5"/>
      <c r="X3936" s="5"/>
      <c r="Y3936" s="9"/>
      <c r="Z3936" s="2"/>
    </row>
    <row r="3937" spans="1:26">
      <c r="A3937" s="4"/>
      <c r="B3937" s="4"/>
      <c r="C3937" s="4"/>
      <c r="D3937" s="4"/>
      <c r="E3937" s="4"/>
      <c r="F3937" s="4"/>
      <c r="G3937" s="4"/>
      <c r="H3937" s="4"/>
      <c r="I3937" s="4"/>
      <c r="J3937" s="4"/>
      <c r="K3937" s="4"/>
      <c r="L3937" s="3"/>
      <c r="M3937" s="6"/>
      <c r="N3937" s="6"/>
      <c r="O3937" s="6"/>
      <c r="P3937" s="5"/>
      <c r="Q3937" s="9"/>
      <c r="R3937" s="5"/>
      <c r="S3937" s="5"/>
      <c r="T3937" s="5"/>
      <c r="U3937" s="5"/>
      <c r="V3937" s="5"/>
      <c r="W3937" s="5"/>
      <c r="X3937" s="5"/>
      <c r="Y3937" s="9"/>
      <c r="Z3937" s="2"/>
    </row>
    <row r="3938" spans="1:26">
      <c r="A3938" s="4"/>
      <c r="B3938" s="4"/>
      <c r="C3938" s="4"/>
      <c r="D3938" s="4"/>
      <c r="E3938" s="4"/>
      <c r="F3938" s="4"/>
      <c r="G3938" s="4"/>
      <c r="H3938" s="4"/>
      <c r="I3938" s="4"/>
      <c r="J3938" s="4"/>
      <c r="K3938" s="4"/>
      <c r="L3938" s="3"/>
      <c r="M3938" s="6"/>
      <c r="N3938" s="6"/>
      <c r="O3938" s="6"/>
      <c r="P3938" s="5"/>
      <c r="Q3938" s="9"/>
      <c r="R3938" s="5"/>
      <c r="S3938" s="5"/>
      <c r="T3938" s="5"/>
      <c r="U3938" s="5"/>
      <c r="V3938" s="5"/>
      <c r="W3938" s="5"/>
      <c r="X3938" s="5"/>
      <c r="Y3938" s="9"/>
      <c r="Z3938" s="2"/>
    </row>
    <row r="3939" spans="1:26">
      <c r="A3939" s="4"/>
      <c r="B3939" s="4"/>
      <c r="C3939" s="4"/>
      <c r="D3939" s="4"/>
      <c r="E3939" s="4"/>
      <c r="F3939" s="4"/>
      <c r="G3939" s="4"/>
      <c r="H3939" s="4"/>
      <c r="I3939" s="4"/>
      <c r="J3939" s="4"/>
      <c r="K3939" s="4"/>
      <c r="L3939" s="3"/>
      <c r="M3939" s="6"/>
      <c r="N3939" s="6"/>
      <c r="O3939" s="6"/>
      <c r="P3939" s="5"/>
      <c r="Q3939" s="9"/>
      <c r="R3939" s="5"/>
      <c r="S3939" s="5"/>
      <c r="T3939" s="5"/>
      <c r="U3939" s="5"/>
      <c r="V3939" s="5"/>
      <c r="W3939" s="5"/>
      <c r="X3939" s="5"/>
      <c r="Y3939" s="9"/>
      <c r="Z3939" s="2"/>
    </row>
    <row r="3940" spans="1:26">
      <c r="A3940" s="4"/>
      <c r="B3940" s="4"/>
      <c r="C3940" s="4"/>
      <c r="D3940" s="4"/>
      <c r="E3940" s="4"/>
      <c r="F3940" s="4"/>
      <c r="G3940" s="4"/>
      <c r="H3940" s="4"/>
      <c r="I3940" s="4"/>
      <c r="J3940" s="4"/>
      <c r="K3940" s="4"/>
      <c r="L3940" s="3"/>
      <c r="M3940" s="6"/>
      <c r="N3940" s="6"/>
      <c r="O3940" s="6"/>
      <c r="P3940" s="5"/>
      <c r="Q3940" s="9"/>
      <c r="R3940" s="5"/>
      <c r="S3940" s="5"/>
      <c r="T3940" s="5"/>
      <c r="U3940" s="5"/>
      <c r="V3940" s="5"/>
      <c r="W3940" s="5"/>
      <c r="X3940" s="5"/>
      <c r="Y3940" s="9"/>
      <c r="Z3940" s="2"/>
    </row>
    <row r="3941" spans="1:26">
      <c r="A3941" s="4"/>
      <c r="B3941" s="4"/>
      <c r="C3941" s="4"/>
      <c r="D3941" s="4"/>
      <c r="E3941" s="4"/>
      <c r="F3941" s="4"/>
      <c r="G3941" s="4"/>
      <c r="H3941" s="4"/>
      <c r="I3941" s="4"/>
      <c r="J3941" s="4"/>
      <c r="K3941" s="4"/>
      <c r="L3941" s="3"/>
      <c r="M3941" s="6"/>
      <c r="N3941" s="6"/>
      <c r="O3941" s="6"/>
      <c r="P3941" s="5"/>
      <c r="Q3941" s="9"/>
      <c r="R3941" s="5"/>
      <c r="S3941" s="5"/>
      <c r="T3941" s="5"/>
      <c r="U3941" s="5"/>
      <c r="V3941" s="5"/>
      <c r="W3941" s="5"/>
      <c r="X3941" s="5"/>
      <c r="Y3941" s="9"/>
      <c r="Z3941" s="2"/>
    </row>
    <row r="3942" spans="1:26">
      <c r="A3942" s="4"/>
      <c r="B3942" s="4"/>
      <c r="C3942" s="4"/>
      <c r="D3942" s="4"/>
      <c r="E3942" s="4"/>
      <c r="F3942" s="4"/>
      <c r="G3942" s="4"/>
      <c r="H3942" s="4"/>
      <c r="I3942" s="4"/>
      <c r="J3942" s="4"/>
      <c r="K3942" s="4"/>
      <c r="L3942" s="3"/>
      <c r="M3942" s="6"/>
      <c r="N3942" s="6"/>
      <c r="O3942" s="6"/>
      <c r="P3942" s="5"/>
      <c r="Q3942" s="9"/>
      <c r="R3942" s="5"/>
      <c r="S3942" s="5"/>
      <c r="T3942" s="5"/>
      <c r="U3942" s="5"/>
      <c r="V3942" s="5"/>
      <c r="W3942" s="5"/>
      <c r="X3942" s="5"/>
      <c r="Y3942" s="9"/>
      <c r="Z3942" s="2"/>
    </row>
    <row r="3943" spans="1:26">
      <c r="A3943" s="4"/>
      <c r="B3943" s="4"/>
      <c r="C3943" s="4"/>
      <c r="D3943" s="4"/>
      <c r="E3943" s="4"/>
      <c r="F3943" s="4"/>
      <c r="G3943" s="4"/>
      <c r="H3943" s="4"/>
      <c r="I3943" s="4"/>
      <c r="J3943" s="4"/>
      <c r="K3943" s="4"/>
      <c r="L3943" s="3"/>
      <c r="M3943" s="6"/>
      <c r="N3943" s="6"/>
      <c r="O3943" s="6"/>
      <c r="P3943" s="5"/>
      <c r="Q3943" s="9"/>
      <c r="R3943" s="5"/>
      <c r="S3943" s="5"/>
      <c r="T3943" s="5"/>
      <c r="U3943" s="5"/>
      <c r="V3943" s="5"/>
      <c r="W3943" s="5"/>
      <c r="X3943" s="5"/>
      <c r="Y3943" s="9"/>
      <c r="Z3943" s="2"/>
    </row>
    <row r="3944" spans="1:26">
      <c r="A3944" s="4"/>
      <c r="B3944" s="4"/>
      <c r="C3944" s="4"/>
      <c r="D3944" s="4"/>
      <c r="E3944" s="4"/>
      <c r="F3944" s="4"/>
      <c r="G3944" s="4"/>
      <c r="H3944" s="4"/>
      <c r="I3944" s="4"/>
      <c r="J3944" s="4"/>
      <c r="K3944" s="4"/>
      <c r="L3944" s="3"/>
      <c r="M3944" s="6"/>
      <c r="N3944" s="6"/>
      <c r="O3944" s="6"/>
      <c r="P3944" s="5"/>
      <c r="Q3944" s="9"/>
      <c r="R3944" s="5"/>
      <c r="S3944" s="5"/>
      <c r="T3944" s="5"/>
      <c r="U3944" s="5"/>
      <c r="V3944" s="5"/>
      <c r="W3944" s="5"/>
      <c r="X3944" s="5"/>
      <c r="Y3944" s="9"/>
      <c r="Z3944" s="2"/>
    </row>
    <row r="3945" spans="1:26">
      <c r="A3945" s="4"/>
      <c r="B3945" s="4"/>
      <c r="C3945" s="4"/>
      <c r="D3945" s="4"/>
      <c r="E3945" s="4"/>
      <c r="F3945" s="4"/>
      <c r="G3945" s="4"/>
      <c r="H3945" s="4"/>
      <c r="I3945" s="4"/>
      <c r="J3945" s="4"/>
      <c r="K3945" s="4"/>
      <c r="L3945" s="3"/>
      <c r="M3945" s="6"/>
      <c r="N3945" s="6"/>
      <c r="O3945" s="6"/>
      <c r="P3945" s="5"/>
      <c r="Q3945" s="9"/>
      <c r="R3945" s="5"/>
      <c r="S3945" s="5"/>
      <c r="T3945" s="5"/>
      <c r="U3945" s="5"/>
      <c r="V3945" s="5"/>
      <c r="W3945" s="5"/>
      <c r="X3945" s="5"/>
      <c r="Y3945" s="9"/>
      <c r="Z3945" s="2"/>
    </row>
    <row r="3946" spans="1:26">
      <c r="A3946" s="4"/>
      <c r="B3946" s="4"/>
      <c r="C3946" s="4"/>
      <c r="D3946" s="4"/>
      <c r="E3946" s="4"/>
      <c r="F3946" s="4"/>
      <c r="G3946" s="4"/>
      <c r="H3946" s="4"/>
      <c r="I3946" s="4"/>
      <c r="J3946" s="4"/>
      <c r="K3946" s="4"/>
      <c r="L3946" s="3"/>
      <c r="M3946" s="6"/>
      <c r="N3946" s="6"/>
      <c r="O3946" s="6"/>
      <c r="P3946" s="5"/>
      <c r="Q3946" s="9"/>
      <c r="R3946" s="5"/>
      <c r="S3946" s="5"/>
      <c r="T3946" s="5"/>
      <c r="U3946" s="5"/>
      <c r="V3946" s="5"/>
      <c r="W3946" s="5"/>
      <c r="X3946" s="5"/>
      <c r="Y3946" s="9"/>
      <c r="Z3946" s="2"/>
    </row>
    <row r="3947" spans="1:26">
      <c r="A3947" s="4"/>
      <c r="B3947" s="4"/>
      <c r="C3947" s="4"/>
      <c r="D3947" s="4"/>
      <c r="E3947" s="4"/>
      <c r="F3947" s="4"/>
      <c r="G3947" s="4"/>
      <c r="H3947" s="4"/>
      <c r="I3947" s="4"/>
      <c r="J3947" s="4"/>
      <c r="K3947" s="4"/>
      <c r="L3947" s="3"/>
      <c r="M3947" s="6"/>
      <c r="N3947" s="6"/>
      <c r="O3947" s="6"/>
      <c r="P3947" s="5"/>
      <c r="Q3947" s="9"/>
      <c r="R3947" s="5"/>
      <c r="S3947" s="5"/>
      <c r="T3947" s="5"/>
      <c r="U3947" s="5"/>
      <c r="V3947" s="5"/>
      <c r="W3947" s="5"/>
      <c r="X3947" s="5"/>
      <c r="Y3947" s="9"/>
      <c r="Z3947" s="2"/>
    </row>
    <row r="3948" spans="1:26">
      <c r="A3948" s="4"/>
      <c r="B3948" s="4"/>
      <c r="C3948" s="4"/>
      <c r="D3948" s="4"/>
      <c r="E3948" s="4"/>
      <c r="F3948" s="4"/>
      <c r="G3948" s="4"/>
      <c r="H3948" s="4"/>
      <c r="I3948" s="4"/>
      <c r="J3948" s="4"/>
      <c r="K3948" s="4"/>
      <c r="L3948" s="3"/>
      <c r="M3948" s="6"/>
      <c r="N3948" s="6"/>
      <c r="O3948" s="6"/>
      <c r="P3948" s="5"/>
      <c r="Q3948" s="9"/>
      <c r="R3948" s="5"/>
      <c r="S3948" s="5"/>
      <c r="T3948" s="5"/>
      <c r="U3948" s="5"/>
      <c r="V3948" s="5"/>
      <c r="W3948" s="5"/>
      <c r="X3948" s="5"/>
      <c r="Y3948" s="9"/>
      <c r="Z3948" s="2"/>
    </row>
    <row r="3949" spans="1:26">
      <c r="A3949" s="4"/>
      <c r="B3949" s="4"/>
      <c r="C3949" s="4"/>
      <c r="D3949" s="4"/>
      <c r="E3949" s="4"/>
      <c r="F3949" s="4"/>
      <c r="G3949" s="4"/>
      <c r="H3949" s="4"/>
      <c r="I3949" s="4"/>
      <c r="J3949" s="4"/>
      <c r="K3949" s="4"/>
      <c r="L3949" s="3"/>
      <c r="M3949" s="6"/>
      <c r="N3949" s="6"/>
      <c r="O3949" s="6"/>
      <c r="P3949" s="5"/>
      <c r="Q3949" s="9"/>
      <c r="R3949" s="5"/>
      <c r="S3949" s="5"/>
      <c r="T3949" s="5"/>
      <c r="U3949" s="5"/>
      <c r="V3949" s="5"/>
      <c r="W3949" s="5"/>
      <c r="X3949" s="5"/>
      <c r="Y3949" s="9"/>
      <c r="Z3949" s="2"/>
    </row>
    <row r="3950" spans="1:26">
      <c r="A3950" s="4"/>
      <c r="B3950" s="4"/>
      <c r="C3950" s="4"/>
      <c r="D3950" s="4"/>
      <c r="E3950" s="4"/>
      <c r="F3950" s="4"/>
      <c r="G3950" s="4"/>
      <c r="H3950" s="4"/>
      <c r="I3950" s="4"/>
      <c r="J3950" s="4"/>
      <c r="K3950" s="4"/>
      <c r="L3950" s="3"/>
      <c r="M3950" s="6"/>
      <c r="N3950" s="6"/>
      <c r="O3950" s="6"/>
      <c r="P3950" s="5"/>
      <c r="Q3950" s="9"/>
      <c r="R3950" s="5"/>
      <c r="S3950" s="5"/>
      <c r="T3950" s="5"/>
      <c r="U3950" s="5"/>
      <c r="V3950" s="5"/>
      <c r="W3950" s="5"/>
      <c r="X3950" s="5"/>
      <c r="Y3950" s="9"/>
      <c r="Z3950" s="2"/>
    </row>
    <row r="3951" spans="1:26">
      <c r="A3951" s="4"/>
      <c r="B3951" s="4"/>
      <c r="C3951" s="4"/>
      <c r="D3951" s="4"/>
      <c r="E3951" s="4"/>
      <c r="F3951" s="4"/>
      <c r="G3951" s="4"/>
      <c r="H3951" s="4"/>
      <c r="I3951" s="4"/>
      <c r="J3951" s="4"/>
      <c r="K3951" s="4"/>
      <c r="L3951" s="3"/>
      <c r="M3951" s="6"/>
      <c r="N3951" s="6"/>
      <c r="O3951" s="6"/>
      <c r="P3951" s="5"/>
      <c r="Q3951" s="9"/>
      <c r="R3951" s="5"/>
      <c r="S3951" s="5"/>
      <c r="T3951" s="5"/>
      <c r="U3951" s="5"/>
      <c r="V3951" s="5"/>
      <c r="W3951" s="5"/>
      <c r="X3951" s="5"/>
      <c r="Y3951" s="9"/>
      <c r="Z3951" s="2"/>
    </row>
    <row r="3952" spans="1:26">
      <c r="A3952" s="4"/>
      <c r="B3952" s="4"/>
      <c r="C3952" s="4"/>
      <c r="D3952" s="4"/>
      <c r="E3952" s="4"/>
      <c r="F3952" s="4"/>
      <c r="G3952" s="4"/>
      <c r="H3952" s="4"/>
      <c r="I3952" s="4"/>
      <c r="J3952" s="4"/>
      <c r="K3952" s="4"/>
      <c r="L3952" s="3"/>
      <c r="M3952" s="6"/>
      <c r="N3952" s="6"/>
      <c r="O3952" s="6"/>
      <c r="P3952" s="5"/>
      <c r="Q3952" s="9"/>
      <c r="R3952" s="5"/>
      <c r="S3952" s="5"/>
      <c r="T3952" s="5"/>
      <c r="U3952" s="5"/>
      <c r="V3952" s="5"/>
      <c r="W3952" s="5"/>
      <c r="X3952" s="5"/>
      <c r="Y3952" s="9"/>
      <c r="Z3952" s="2"/>
    </row>
    <row r="3953" spans="1:26">
      <c r="A3953" s="4"/>
      <c r="B3953" s="4"/>
      <c r="C3953" s="4"/>
      <c r="D3953" s="4"/>
      <c r="E3953" s="4"/>
      <c r="F3953" s="4"/>
      <c r="G3953" s="4"/>
      <c r="H3953" s="4"/>
      <c r="I3953" s="4"/>
      <c r="J3953" s="4"/>
      <c r="K3953" s="4"/>
      <c r="L3953" s="3"/>
      <c r="M3953" s="6"/>
      <c r="N3953" s="6"/>
      <c r="O3953" s="6"/>
      <c r="P3953" s="5"/>
      <c r="Q3953" s="9"/>
      <c r="R3953" s="5"/>
      <c r="S3953" s="5"/>
      <c r="T3953" s="5"/>
      <c r="U3953" s="5"/>
      <c r="V3953" s="5"/>
      <c r="W3953" s="5"/>
      <c r="X3953" s="5"/>
      <c r="Y3953" s="9"/>
      <c r="Z3953" s="2"/>
    </row>
    <row r="3954" spans="1:26">
      <c r="A3954" s="4"/>
      <c r="B3954" s="4"/>
      <c r="C3954" s="4"/>
      <c r="D3954" s="4"/>
      <c r="E3954" s="4"/>
      <c r="F3954" s="4"/>
      <c r="G3954" s="4"/>
      <c r="H3954" s="4"/>
      <c r="I3954" s="4"/>
      <c r="J3954" s="4"/>
      <c r="K3954" s="4"/>
      <c r="L3954" s="3"/>
      <c r="M3954" s="6"/>
      <c r="N3954" s="6"/>
      <c r="O3954" s="6"/>
      <c r="P3954" s="5"/>
      <c r="Q3954" s="9"/>
      <c r="R3954" s="5"/>
      <c r="S3954" s="5"/>
      <c r="T3954" s="5"/>
      <c r="U3954" s="5"/>
      <c r="V3954" s="5"/>
      <c r="W3954" s="5"/>
      <c r="X3954" s="5"/>
      <c r="Y3954" s="9"/>
      <c r="Z3954" s="2"/>
    </row>
    <row r="3955" spans="1:26">
      <c r="A3955" s="4"/>
      <c r="B3955" s="4"/>
      <c r="C3955" s="4"/>
      <c r="D3955" s="4"/>
      <c r="E3955" s="4"/>
      <c r="F3955" s="4"/>
      <c r="G3955" s="4"/>
      <c r="H3955" s="4"/>
      <c r="I3955" s="4"/>
      <c r="J3955" s="4"/>
      <c r="K3955" s="4"/>
      <c r="L3955" s="3"/>
      <c r="M3955" s="6"/>
      <c r="N3955" s="6"/>
      <c r="O3955" s="6"/>
      <c r="P3955" s="5"/>
      <c r="Q3955" s="9"/>
      <c r="R3955" s="5"/>
      <c r="S3955" s="5"/>
      <c r="T3955" s="5"/>
      <c r="U3955" s="5"/>
      <c r="V3955" s="5"/>
      <c r="W3955" s="5"/>
      <c r="X3955" s="5"/>
      <c r="Y3955" s="9"/>
      <c r="Z3955" s="2"/>
    </row>
    <row r="3956" spans="1:26">
      <c r="A3956" s="4"/>
      <c r="B3956" s="4"/>
      <c r="C3956" s="4"/>
      <c r="D3956" s="4"/>
      <c r="E3956" s="4"/>
      <c r="F3956" s="4"/>
      <c r="G3956" s="4"/>
      <c r="H3956" s="4"/>
      <c r="I3956" s="4"/>
      <c r="J3956" s="4"/>
      <c r="K3956" s="4"/>
      <c r="L3956" s="3"/>
      <c r="M3956" s="6"/>
      <c r="N3956" s="6"/>
      <c r="O3956" s="6"/>
      <c r="P3956" s="5"/>
      <c r="Q3956" s="9"/>
      <c r="R3956" s="5"/>
      <c r="S3956" s="5"/>
      <c r="T3956" s="5"/>
      <c r="U3956" s="5"/>
      <c r="V3956" s="5"/>
      <c r="W3956" s="5"/>
      <c r="X3956" s="5"/>
      <c r="Y3956" s="9"/>
      <c r="Z3956" s="2"/>
    </row>
    <row r="3957" spans="1:26">
      <c r="A3957" s="4"/>
      <c r="B3957" s="4"/>
      <c r="C3957" s="4"/>
      <c r="D3957" s="4"/>
      <c r="E3957" s="4"/>
      <c r="F3957" s="4"/>
      <c r="G3957" s="4"/>
      <c r="H3957" s="4"/>
      <c r="I3957" s="4"/>
      <c r="J3957" s="4"/>
      <c r="K3957" s="4"/>
      <c r="L3957" s="3"/>
      <c r="M3957" s="6"/>
      <c r="N3957" s="6"/>
      <c r="O3957" s="6"/>
      <c r="P3957" s="5"/>
      <c r="Q3957" s="9"/>
      <c r="R3957" s="5"/>
      <c r="S3957" s="5"/>
      <c r="T3957" s="5"/>
      <c r="U3957" s="5"/>
      <c r="V3957" s="5"/>
      <c r="W3957" s="5"/>
      <c r="X3957" s="5"/>
      <c r="Y3957" s="9"/>
      <c r="Z3957" s="2"/>
    </row>
    <row r="3958" spans="1:26">
      <c r="A3958" s="4"/>
      <c r="B3958" s="4"/>
      <c r="C3958" s="4"/>
      <c r="D3958" s="4"/>
      <c r="E3958" s="4"/>
      <c r="F3958" s="4"/>
      <c r="G3958" s="4"/>
      <c r="H3958" s="4"/>
      <c r="I3958" s="4"/>
      <c r="J3958" s="4"/>
      <c r="K3958" s="4"/>
      <c r="L3958" s="3"/>
      <c r="M3958" s="6"/>
      <c r="N3958" s="6"/>
      <c r="O3958" s="6"/>
      <c r="P3958" s="5"/>
      <c r="Q3958" s="9"/>
      <c r="R3958" s="5"/>
      <c r="S3958" s="5"/>
      <c r="T3958" s="5"/>
      <c r="U3958" s="5"/>
      <c r="V3958" s="5"/>
      <c r="W3958" s="5"/>
      <c r="X3958" s="5"/>
      <c r="Y3958" s="9"/>
      <c r="Z3958" s="2"/>
    </row>
    <row r="3959" spans="1:26">
      <c r="A3959" s="4"/>
      <c r="B3959" s="4"/>
      <c r="C3959" s="4"/>
      <c r="D3959" s="4"/>
      <c r="E3959" s="4"/>
      <c r="F3959" s="4"/>
      <c r="G3959" s="4"/>
      <c r="H3959" s="4"/>
      <c r="I3959" s="4"/>
      <c r="J3959" s="4"/>
      <c r="K3959" s="4"/>
      <c r="L3959" s="3"/>
      <c r="M3959" s="6"/>
      <c r="N3959" s="6"/>
      <c r="O3959" s="6"/>
      <c r="P3959" s="5"/>
      <c r="Q3959" s="9"/>
      <c r="R3959" s="5"/>
      <c r="S3959" s="5"/>
      <c r="T3959" s="5"/>
      <c r="U3959" s="5"/>
      <c r="V3959" s="5"/>
      <c r="W3959" s="5"/>
      <c r="X3959" s="5"/>
      <c r="Y3959" s="9"/>
      <c r="Z3959" s="2"/>
    </row>
    <row r="3960" spans="1:26">
      <c r="A3960" s="4"/>
      <c r="B3960" s="4"/>
      <c r="C3960" s="4"/>
      <c r="D3960" s="4"/>
      <c r="E3960" s="4"/>
      <c r="F3960" s="4"/>
      <c r="G3960" s="4"/>
      <c r="H3960" s="4"/>
      <c r="I3960" s="4"/>
      <c r="J3960" s="4"/>
      <c r="K3960" s="4"/>
      <c r="L3960" s="3"/>
      <c r="M3960" s="6"/>
      <c r="N3960" s="6"/>
      <c r="O3960" s="6"/>
      <c r="P3960" s="5"/>
      <c r="Q3960" s="9"/>
      <c r="R3960" s="5"/>
      <c r="S3960" s="5"/>
      <c r="T3960" s="5"/>
      <c r="U3960" s="5"/>
      <c r="V3960" s="5"/>
      <c r="W3960" s="5"/>
      <c r="X3960" s="5"/>
      <c r="Y3960" s="9"/>
      <c r="Z3960" s="2"/>
    </row>
    <row r="3961" spans="1:26">
      <c r="A3961" s="4"/>
      <c r="B3961" s="4"/>
      <c r="C3961" s="4"/>
      <c r="D3961" s="4"/>
      <c r="E3961" s="4"/>
      <c r="F3961" s="4"/>
      <c r="G3961" s="4"/>
      <c r="H3961" s="4"/>
      <c r="I3961" s="4"/>
      <c r="J3961" s="4"/>
      <c r="K3961" s="4"/>
      <c r="L3961" s="3"/>
      <c r="M3961" s="6"/>
      <c r="N3961" s="6"/>
      <c r="O3961" s="6"/>
      <c r="P3961" s="5"/>
      <c r="Q3961" s="9"/>
      <c r="R3961" s="5"/>
      <c r="S3961" s="5"/>
      <c r="T3961" s="5"/>
      <c r="U3961" s="5"/>
      <c r="V3961" s="5"/>
      <c r="W3961" s="5"/>
      <c r="X3961" s="5"/>
      <c r="Y3961" s="9"/>
      <c r="Z3961" s="2"/>
    </row>
    <row r="3962" spans="1:26">
      <c r="A3962" s="4"/>
      <c r="B3962" s="4"/>
      <c r="C3962" s="4"/>
      <c r="D3962" s="4"/>
      <c r="E3962" s="4"/>
      <c r="F3962" s="4"/>
      <c r="G3962" s="4"/>
      <c r="H3962" s="4"/>
      <c r="I3962" s="4"/>
      <c r="J3962" s="4"/>
      <c r="K3962" s="4"/>
      <c r="L3962" s="3"/>
      <c r="M3962" s="6"/>
      <c r="N3962" s="6"/>
      <c r="O3962" s="6"/>
      <c r="P3962" s="5"/>
      <c r="Q3962" s="9"/>
      <c r="R3962" s="5"/>
      <c r="S3962" s="5"/>
      <c r="T3962" s="5"/>
      <c r="U3962" s="5"/>
      <c r="V3962" s="5"/>
      <c r="W3962" s="5"/>
      <c r="X3962" s="5"/>
      <c r="Y3962" s="9"/>
      <c r="Z3962" s="2"/>
    </row>
    <row r="3963" spans="1:26">
      <c r="A3963" s="4"/>
      <c r="B3963" s="4"/>
      <c r="C3963" s="4"/>
      <c r="D3963" s="4"/>
      <c r="E3963" s="4"/>
      <c r="F3963" s="4"/>
      <c r="G3963" s="4"/>
      <c r="H3963" s="4"/>
      <c r="I3963" s="4"/>
      <c r="J3963" s="4"/>
      <c r="K3963" s="4"/>
      <c r="L3963" s="3"/>
      <c r="M3963" s="6"/>
      <c r="N3963" s="6"/>
      <c r="O3963" s="6"/>
      <c r="P3963" s="5"/>
      <c r="Q3963" s="9"/>
      <c r="R3963" s="5"/>
      <c r="S3963" s="5"/>
      <c r="T3963" s="5"/>
      <c r="U3963" s="5"/>
      <c r="V3963" s="5"/>
      <c r="W3963" s="5"/>
      <c r="X3963" s="5"/>
      <c r="Y3963" s="9"/>
      <c r="Z3963" s="2"/>
    </row>
    <row r="3964" spans="1:26">
      <c r="A3964" s="4"/>
      <c r="B3964" s="4"/>
      <c r="C3964" s="4"/>
      <c r="D3964" s="4"/>
      <c r="E3964" s="4"/>
      <c r="F3964" s="4"/>
      <c r="G3964" s="4"/>
      <c r="H3964" s="4"/>
      <c r="I3964" s="4"/>
      <c r="J3964" s="4"/>
      <c r="K3964" s="4"/>
      <c r="L3964" s="3"/>
      <c r="M3964" s="6"/>
      <c r="N3964" s="6"/>
      <c r="O3964" s="6"/>
      <c r="P3964" s="5"/>
      <c r="Q3964" s="9"/>
      <c r="R3964" s="5"/>
      <c r="S3964" s="5"/>
      <c r="T3964" s="5"/>
      <c r="U3964" s="5"/>
      <c r="V3964" s="5"/>
      <c r="W3964" s="5"/>
      <c r="X3964" s="5"/>
      <c r="Y3964" s="9"/>
      <c r="Z3964" s="2"/>
    </row>
    <row r="3965" spans="1:26">
      <c r="A3965" s="4"/>
      <c r="B3965" s="4"/>
      <c r="C3965" s="4"/>
      <c r="D3965" s="4"/>
      <c r="E3965" s="4"/>
      <c r="F3965" s="4"/>
      <c r="G3965" s="4"/>
      <c r="H3965" s="4"/>
      <c r="I3965" s="4"/>
      <c r="J3965" s="4"/>
      <c r="K3965" s="4"/>
      <c r="L3965" s="3"/>
      <c r="M3965" s="6"/>
      <c r="N3965" s="6"/>
      <c r="O3965" s="6"/>
      <c r="P3965" s="5"/>
      <c r="Q3965" s="9"/>
      <c r="R3965" s="5"/>
      <c r="S3965" s="5"/>
      <c r="T3965" s="5"/>
      <c r="U3965" s="5"/>
      <c r="V3965" s="5"/>
      <c r="W3965" s="5"/>
      <c r="X3965" s="5"/>
      <c r="Y3965" s="9"/>
      <c r="Z3965" s="2"/>
    </row>
    <row r="3966" spans="1:26">
      <c r="A3966" s="4"/>
      <c r="B3966" s="4"/>
      <c r="C3966" s="4"/>
      <c r="D3966" s="4"/>
      <c r="E3966" s="4"/>
      <c r="F3966" s="4"/>
      <c r="G3966" s="4"/>
      <c r="H3966" s="4"/>
      <c r="I3966" s="4"/>
      <c r="J3966" s="4"/>
      <c r="K3966" s="4"/>
      <c r="L3966" s="3"/>
      <c r="M3966" s="6"/>
      <c r="N3966" s="6"/>
      <c r="O3966" s="6"/>
      <c r="P3966" s="5"/>
      <c r="Q3966" s="9"/>
      <c r="R3966" s="5"/>
      <c r="S3966" s="5"/>
      <c r="T3966" s="5"/>
      <c r="U3966" s="5"/>
      <c r="V3966" s="5"/>
      <c r="W3966" s="5"/>
      <c r="X3966" s="5"/>
      <c r="Y3966" s="9"/>
      <c r="Z3966" s="2"/>
    </row>
    <row r="3967" spans="1:26">
      <c r="A3967" s="4"/>
      <c r="B3967" s="4"/>
      <c r="C3967" s="4"/>
      <c r="D3967" s="4"/>
      <c r="E3967" s="4"/>
      <c r="F3967" s="4"/>
      <c r="G3967" s="4"/>
      <c r="H3967" s="4"/>
      <c r="I3967" s="4"/>
      <c r="J3967" s="4"/>
      <c r="K3967" s="4"/>
      <c r="L3967" s="3"/>
      <c r="M3967" s="6"/>
      <c r="N3967" s="6"/>
      <c r="O3967" s="6"/>
      <c r="P3967" s="5"/>
      <c r="Q3967" s="9"/>
      <c r="R3967" s="5"/>
      <c r="S3967" s="5"/>
      <c r="T3967" s="5"/>
      <c r="U3967" s="5"/>
      <c r="V3967" s="5"/>
      <c r="W3967" s="5"/>
      <c r="X3967" s="5"/>
      <c r="Y3967" s="9"/>
      <c r="Z3967" s="2"/>
    </row>
    <row r="3968" spans="1:26">
      <c r="A3968" s="4"/>
      <c r="B3968" s="4"/>
      <c r="C3968" s="4"/>
      <c r="D3968" s="4"/>
      <c r="E3968" s="4"/>
      <c r="F3968" s="4"/>
      <c r="G3968" s="4"/>
      <c r="H3968" s="4"/>
      <c r="I3968" s="4"/>
      <c r="J3968" s="4"/>
      <c r="K3968" s="4"/>
      <c r="L3968" s="3"/>
      <c r="M3968" s="6"/>
      <c r="N3968" s="6"/>
      <c r="O3968" s="6"/>
      <c r="P3968" s="5"/>
      <c r="Q3968" s="9"/>
      <c r="R3968" s="5"/>
      <c r="S3968" s="5"/>
      <c r="T3968" s="5"/>
      <c r="U3968" s="5"/>
      <c r="V3968" s="5"/>
      <c r="W3968" s="5"/>
      <c r="X3968" s="5"/>
      <c r="Y3968" s="9"/>
      <c r="Z3968" s="2"/>
    </row>
    <row r="3969" spans="1:26">
      <c r="A3969" s="4"/>
      <c r="B3969" s="4"/>
      <c r="C3969" s="4"/>
      <c r="D3969" s="4"/>
      <c r="E3969" s="4"/>
      <c r="F3969" s="4"/>
      <c r="G3969" s="4"/>
      <c r="H3969" s="4"/>
      <c r="I3969" s="4"/>
      <c r="J3969" s="4"/>
      <c r="K3969" s="4"/>
      <c r="L3969" s="3"/>
      <c r="M3969" s="6"/>
      <c r="N3969" s="6"/>
      <c r="O3969" s="6"/>
      <c r="P3969" s="5"/>
      <c r="Q3969" s="9"/>
      <c r="R3969" s="5"/>
      <c r="S3969" s="5"/>
      <c r="T3969" s="5"/>
      <c r="U3969" s="5"/>
      <c r="V3969" s="5"/>
      <c r="W3969" s="5"/>
      <c r="X3969" s="5"/>
      <c r="Y3969" s="9"/>
      <c r="Z3969" s="2"/>
    </row>
    <row r="3970" spans="1:26">
      <c r="A3970" s="4"/>
      <c r="B3970" s="4"/>
      <c r="C3970" s="4"/>
      <c r="D3970" s="4"/>
      <c r="E3970" s="4"/>
      <c r="F3970" s="4"/>
      <c r="G3970" s="4"/>
      <c r="H3970" s="4"/>
      <c r="I3970" s="4"/>
      <c r="J3970" s="4"/>
      <c r="K3970" s="4"/>
      <c r="L3970" s="3"/>
      <c r="M3970" s="6"/>
      <c r="N3970" s="6"/>
      <c r="O3970" s="6"/>
      <c r="P3970" s="5"/>
      <c r="Q3970" s="9"/>
      <c r="R3970" s="5"/>
      <c r="S3970" s="5"/>
      <c r="T3970" s="5"/>
      <c r="U3970" s="5"/>
      <c r="V3970" s="5"/>
      <c r="W3970" s="5"/>
      <c r="X3970" s="5"/>
      <c r="Y3970" s="9"/>
      <c r="Z3970" s="2"/>
    </row>
    <row r="3971" spans="1:26">
      <c r="A3971" s="4"/>
      <c r="B3971" s="4"/>
      <c r="C3971" s="4"/>
      <c r="D3971" s="4"/>
      <c r="E3971" s="4"/>
      <c r="F3971" s="4"/>
      <c r="G3971" s="4"/>
      <c r="H3971" s="4"/>
      <c r="I3971" s="4"/>
      <c r="J3971" s="4"/>
      <c r="K3971" s="4"/>
      <c r="L3971" s="3"/>
      <c r="M3971" s="6"/>
      <c r="N3971" s="6"/>
      <c r="O3971" s="6"/>
      <c r="P3971" s="5"/>
      <c r="Q3971" s="9"/>
      <c r="R3971" s="5"/>
      <c r="S3971" s="5"/>
      <c r="T3971" s="5"/>
      <c r="U3971" s="5"/>
      <c r="V3971" s="5"/>
      <c r="W3971" s="5"/>
      <c r="X3971" s="5"/>
      <c r="Y3971" s="9"/>
      <c r="Z3971" s="2"/>
    </row>
    <row r="3972" spans="1:26">
      <c r="A3972" s="4"/>
      <c r="B3972" s="4"/>
      <c r="C3972" s="4"/>
      <c r="D3972" s="4"/>
      <c r="E3972" s="4"/>
      <c r="F3972" s="4"/>
      <c r="G3972" s="4"/>
      <c r="H3972" s="4"/>
      <c r="I3972" s="4"/>
      <c r="J3972" s="4"/>
      <c r="K3972" s="4"/>
      <c r="L3972" s="3"/>
      <c r="M3972" s="6"/>
      <c r="N3972" s="6"/>
      <c r="O3972" s="6"/>
      <c r="P3972" s="5"/>
      <c r="Q3972" s="9"/>
      <c r="R3972" s="5"/>
      <c r="S3972" s="5"/>
      <c r="T3972" s="5"/>
      <c r="U3972" s="5"/>
      <c r="V3972" s="5"/>
      <c r="W3972" s="5"/>
      <c r="X3972" s="5"/>
      <c r="Y3972" s="9"/>
      <c r="Z3972" s="2"/>
    </row>
    <row r="3973" spans="1:26">
      <c r="A3973" s="4"/>
      <c r="B3973" s="4"/>
      <c r="C3973" s="4"/>
      <c r="D3973" s="4"/>
      <c r="E3973" s="4"/>
      <c r="F3973" s="4"/>
      <c r="G3973" s="4"/>
      <c r="H3973" s="4"/>
      <c r="I3973" s="4"/>
      <c r="J3973" s="4"/>
      <c r="K3973" s="4"/>
      <c r="L3973" s="3"/>
      <c r="M3973" s="6"/>
      <c r="N3973" s="6"/>
      <c r="O3973" s="6"/>
      <c r="P3973" s="5"/>
      <c r="Q3973" s="9"/>
      <c r="R3973" s="5"/>
      <c r="S3973" s="5"/>
      <c r="T3973" s="5"/>
      <c r="U3973" s="5"/>
      <c r="V3973" s="5"/>
      <c r="W3973" s="5"/>
      <c r="X3973" s="5"/>
      <c r="Y3973" s="9"/>
      <c r="Z3973" s="2"/>
    </row>
    <row r="3974" spans="1:26">
      <c r="A3974" s="4"/>
      <c r="B3974" s="4"/>
      <c r="C3974" s="4"/>
      <c r="D3974" s="4"/>
      <c r="E3974" s="4"/>
      <c r="F3974" s="4"/>
      <c r="G3974" s="4"/>
      <c r="H3974" s="4"/>
      <c r="I3974" s="4"/>
      <c r="J3974" s="4"/>
      <c r="K3974" s="4"/>
      <c r="L3974" s="3"/>
      <c r="M3974" s="6"/>
      <c r="N3974" s="6"/>
      <c r="O3974" s="6"/>
      <c r="P3974" s="5"/>
      <c r="Q3974" s="9"/>
      <c r="R3974" s="5"/>
      <c r="S3974" s="5"/>
      <c r="T3974" s="5"/>
      <c r="U3974" s="5"/>
      <c r="V3974" s="5"/>
      <c r="W3974" s="5"/>
      <c r="X3974" s="5"/>
      <c r="Y3974" s="9"/>
      <c r="Z3974" s="2"/>
    </row>
    <row r="3975" spans="1:26">
      <c r="A3975" s="4"/>
      <c r="B3975" s="4"/>
      <c r="C3975" s="4"/>
      <c r="D3975" s="4"/>
      <c r="E3975" s="4"/>
      <c r="F3975" s="4"/>
      <c r="G3975" s="4"/>
      <c r="H3975" s="4"/>
      <c r="I3975" s="4"/>
      <c r="J3975" s="4"/>
      <c r="K3975" s="4"/>
      <c r="L3975" s="3"/>
      <c r="M3975" s="6"/>
      <c r="N3975" s="6"/>
      <c r="O3975" s="6"/>
      <c r="P3975" s="5"/>
      <c r="Q3975" s="9"/>
      <c r="R3975" s="5"/>
      <c r="S3975" s="5"/>
      <c r="T3975" s="5"/>
      <c r="U3975" s="5"/>
      <c r="V3975" s="5"/>
      <c r="W3975" s="5"/>
      <c r="X3975" s="5"/>
      <c r="Y3975" s="9"/>
      <c r="Z3975" s="2"/>
    </row>
    <row r="3976" spans="1:26">
      <c r="A3976" s="4"/>
      <c r="B3976" s="4"/>
      <c r="C3976" s="4"/>
      <c r="D3976" s="4"/>
      <c r="E3976" s="4"/>
      <c r="F3976" s="4"/>
      <c r="G3976" s="4"/>
      <c r="H3976" s="4"/>
      <c r="I3976" s="4"/>
      <c r="J3976" s="4"/>
      <c r="K3976" s="4"/>
      <c r="L3976" s="3"/>
      <c r="M3976" s="6"/>
      <c r="N3976" s="6"/>
      <c r="O3976" s="6"/>
      <c r="P3976" s="5"/>
      <c r="Q3976" s="9"/>
      <c r="R3976" s="5"/>
      <c r="S3976" s="5"/>
      <c r="T3976" s="5"/>
      <c r="U3976" s="5"/>
      <c r="V3976" s="5"/>
      <c r="W3976" s="5"/>
      <c r="X3976" s="5"/>
      <c r="Y3976" s="9"/>
      <c r="Z3976" s="2"/>
    </row>
    <row r="3977" spans="1:26">
      <c r="A3977" s="4"/>
      <c r="B3977" s="4"/>
      <c r="C3977" s="4"/>
      <c r="D3977" s="4"/>
      <c r="E3977" s="4"/>
      <c r="F3977" s="4"/>
      <c r="G3977" s="4"/>
      <c r="H3977" s="4"/>
      <c r="I3977" s="4"/>
      <c r="J3977" s="4"/>
      <c r="K3977" s="4"/>
      <c r="L3977" s="3"/>
      <c r="M3977" s="6"/>
      <c r="N3977" s="6"/>
      <c r="O3977" s="6"/>
      <c r="P3977" s="5"/>
      <c r="Q3977" s="9"/>
      <c r="R3977" s="5"/>
      <c r="S3977" s="5"/>
      <c r="T3977" s="5"/>
      <c r="U3977" s="5"/>
      <c r="V3977" s="5"/>
      <c r="W3977" s="5"/>
      <c r="X3977" s="5"/>
      <c r="Y3977" s="9"/>
      <c r="Z3977" s="2"/>
    </row>
    <row r="3978" spans="1:26">
      <c r="A3978" s="4"/>
      <c r="B3978" s="4"/>
      <c r="C3978" s="4"/>
      <c r="D3978" s="4"/>
      <c r="E3978" s="4"/>
      <c r="F3978" s="4"/>
      <c r="G3978" s="4"/>
      <c r="H3978" s="4"/>
      <c r="I3978" s="4"/>
      <c r="J3978" s="4"/>
      <c r="K3978" s="4"/>
      <c r="L3978" s="3"/>
      <c r="M3978" s="6"/>
      <c r="N3978" s="6"/>
      <c r="O3978" s="6"/>
      <c r="P3978" s="5"/>
      <c r="Q3978" s="9"/>
      <c r="R3978" s="5"/>
      <c r="S3978" s="5"/>
      <c r="T3978" s="5"/>
      <c r="U3978" s="5"/>
      <c r="V3978" s="5"/>
      <c r="W3978" s="5"/>
      <c r="X3978" s="5"/>
      <c r="Y3978" s="9"/>
      <c r="Z3978" s="2"/>
    </row>
    <row r="3979" spans="1:26">
      <c r="A3979" s="4"/>
      <c r="B3979" s="4"/>
      <c r="C3979" s="4"/>
      <c r="D3979" s="4"/>
      <c r="E3979" s="4"/>
      <c r="F3979" s="4"/>
      <c r="G3979" s="4"/>
      <c r="H3979" s="4"/>
      <c r="I3979" s="4"/>
      <c r="J3979" s="4"/>
      <c r="K3979" s="4"/>
      <c r="L3979" s="3"/>
      <c r="M3979" s="6"/>
      <c r="N3979" s="6"/>
      <c r="O3979" s="6"/>
      <c r="P3979" s="5"/>
      <c r="Q3979" s="9"/>
      <c r="R3979" s="5"/>
      <c r="S3979" s="5"/>
      <c r="T3979" s="5"/>
      <c r="U3979" s="5"/>
      <c r="V3979" s="5"/>
      <c r="W3979" s="5"/>
      <c r="X3979" s="5"/>
      <c r="Y3979" s="9"/>
      <c r="Z3979" s="2"/>
    </row>
    <row r="3980" spans="1:26">
      <c r="A3980" s="4"/>
      <c r="B3980" s="4"/>
      <c r="C3980" s="4"/>
      <c r="D3980" s="4"/>
      <c r="E3980" s="4"/>
      <c r="F3980" s="4"/>
      <c r="G3980" s="4"/>
      <c r="H3980" s="4"/>
      <c r="I3980" s="4"/>
      <c r="J3980" s="4"/>
      <c r="K3980" s="4"/>
      <c r="L3980" s="3"/>
      <c r="M3980" s="6"/>
      <c r="N3980" s="6"/>
      <c r="O3980" s="6"/>
      <c r="P3980" s="5"/>
      <c r="Q3980" s="9"/>
      <c r="R3980" s="5"/>
      <c r="S3980" s="5"/>
      <c r="T3980" s="5"/>
      <c r="U3980" s="5"/>
      <c r="V3980" s="5"/>
      <c r="W3980" s="5"/>
      <c r="X3980" s="5"/>
      <c r="Y3980" s="9"/>
      <c r="Z3980" s="2"/>
    </row>
    <row r="3981" spans="1:26">
      <c r="A3981" s="4"/>
      <c r="B3981" s="4"/>
      <c r="C3981" s="4"/>
      <c r="D3981" s="4"/>
      <c r="E3981" s="4"/>
      <c r="F3981" s="4"/>
      <c r="G3981" s="4"/>
      <c r="H3981" s="4"/>
      <c r="I3981" s="4"/>
      <c r="J3981" s="4"/>
      <c r="K3981" s="4"/>
      <c r="L3981" s="3"/>
      <c r="M3981" s="6"/>
      <c r="N3981" s="6"/>
      <c r="O3981" s="6"/>
      <c r="P3981" s="5"/>
      <c r="Q3981" s="9"/>
      <c r="R3981" s="5"/>
      <c r="S3981" s="5"/>
      <c r="T3981" s="5"/>
      <c r="U3981" s="5"/>
      <c r="V3981" s="5"/>
      <c r="W3981" s="5"/>
      <c r="X3981" s="5"/>
      <c r="Y3981" s="9"/>
      <c r="Z3981" s="2"/>
    </row>
    <row r="3982" spans="1:26">
      <c r="A3982" s="4"/>
      <c r="B3982" s="4"/>
      <c r="C3982" s="4"/>
      <c r="D3982" s="4"/>
      <c r="E3982" s="4"/>
      <c r="F3982" s="4"/>
      <c r="G3982" s="4"/>
      <c r="H3982" s="4"/>
      <c r="I3982" s="4"/>
      <c r="J3982" s="4"/>
      <c r="K3982" s="4"/>
      <c r="L3982" s="3"/>
      <c r="M3982" s="6"/>
      <c r="N3982" s="6"/>
      <c r="O3982" s="6"/>
      <c r="P3982" s="5"/>
      <c r="Q3982" s="9"/>
      <c r="R3982" s="5"/>
      <c r="S3982" s="5"/>
      <c r="T3982" s="5"/>
      <c r="U3982" s="5"/>
      <c r="V3982" s="5"/>
      <c r="W3982" s="5"/>
      <c r="X3982" s="5"/>
      <c r="Y3982" s="9"/>
      <c r="Z3982" s="2"/>
    </row>
    <row r="3983" spans="1:26">
      <c r="A3983" s="4"/>
      <c r="B3983" s="4"/>
      <c r="C3983" s="4"/>
      <c r="D3983" s="4"/>
      <c r="E3983" s="4"/>
      <c r="F3983" s="4"/>
      <c r="G3983" s="4"/>
      <c r="H3983" s="4"/>
      <c r="I3983" s="4"/>
      <c r="J3983" s="4"/>
      <c r="K3983" s="4"/>
      <c r="L3983" s="3"/>
      <c r="M3983" s="6"/>
      <c r="N3983" s="6"/>
      <c r="O3983" s="6"/>
      <c r="P3983" s="5"/>
      <c r="Q3983" s="9"/>
      <c r="R3983" s="5"/>
      <c r="S3983" s="5"/>
      <c r="T3983" s="5"/>
      <c r="U3983" s="5"/>
      <c r="V3983" s="5"/>
      <c r="W3983" s="5"/>
      <c r="X3983" s="5"/>
      <c r="Y3983" s="9"/>
      <c r="Z3983" s="2"/>
    </row>
    <row r="3984" spans="1:26">
      <c r="A3984" s="4"/>
      <c r="B3984" s="4"/>
      <c r="C3984" s="4"/>
      <c r="D3984" s="4"/>
      <c r="E3984" s="4"/>
      <c r="F3984" s="4"/>
      <c r="G3984" s="4"/>
      <c r="H3984" s="4"/>
      <c r="I3984" s="4"/>
      <c r="J3984" s="4"/>
      <c r="K3984" s="4"/>
      <c r="L3984" s="3"/>
      <c r="M3984" s="6"/>
      <c r="N3984" s="6"/>
      <c r="O3984" s="6"/>
      <c r="P3984" s="5"/>
      <c r="Q3984" s="9"/>
      <c r="R3984" s="5"/>
      <c r="S3984" s="5"/>
      <c r="T3984" s="5"/>
      <c r="U3984" s="5"/>
      <c r="V3984" s="5"/>
      <c r="W3984" s="5"/>
      <c r="X3984" s="5"/>
      <c r="Y3984" s="9"/>
      <c r="Z3984" s="2"/>
    </row>
    <row r="3985" spans="1:26">
      <c r="A3985" s="4"/>
      <c r="B3985" s="4"/>
      <c r="C3985" s="4"/>
      <c r="D3985" s="4"/>
      <c r="E3985" s="4"/>
      <c r="F3985" s="4"/>
      <c r="G3985" s="4"/>
      <c r="H3985" s="4"/>
      <c r="I3985" s="4"/>
      <c r="J3985" s="4"/>
      <c r="K3985" s="4"/>
      <c r="L3985" s="3"/>
      <c r="M3985" s="6"/>
      <c r="N3985" s="6"/>
      <c r="O3985" s="6"/>
      <c r="P3985" s="5"/>
      <c r="Q3985" s="9"/>
      <c r="R3985" s="5"/>
      <c r="S3985" s="5"/>
      <c r="T3985" s="5"/>
      <c r="U3985" s="5"/>
      <c r="V3985" s="5"/>
      <c r="W3985" s="5"/>
      <c r="X3985" s="5"/>
      <c r="Y3985" s="9"/>
      <c r="Z3985" s="2"/>
    </row>
    <row r="3986" spans="1:26">
      <c r="A3986" s="4"/>
      <c r="B3986" s="4"/>
      <c r="C3986" s="4"/>
      <c r="D3986" s="4"/>
      <c r="E3986" s="4"/>
      <c r="F3986" s="4"/>
      <c r="G3986" s="4"/>
      <c r="H3986" s="4"/>
      <c r="I3986" s="4"/>
      <c r="J3986" s="4"/>
      <c r="K3986" s="4"/>
      <c r="L3986" s="3"/>
      <c r="M3986" s="6"/>
      <c r="N3986" s="6"/>
      <c r="O3986" s="6"/>
      <c r="P3986" s="5"/>
      <c r="Q3986" s="9"/>
      <c r="R3986" s="5"/>
      <c r="S3986" s="5"/>
      <c r="T3986" s="5"/>
      <c r="U3986" s="5"/>
      <c r="V3986" s="5"/>
      <c r="W3986" s="5"/>
      <c r="X3986" s="5"/>
      <c r="Y3986" s="9"/>
      <c r="Z3986" s="2"/>
    </row>
    <row r="3987" spans="1:26">
      <c r="A3987" s="4"/>
      <c r="B3987" s="4"/>
      <c r="C3987" s="4"/>
      <c r="D3987" s="4"/>
      <c r="E3987" s="4"/>
      <c r="F3987" s="4"/>
      <c r="G3987" s="4"/>
      <c r="H3987" s="4"/>
      <c r="I3987" s="4"/>
      <c r="J3987" s="4"/>
      <c r="K3987" s="4"/>
      <c r="L3987" s="3"/>
      <c r="M3987" s="6"/>
      <c r="N3987" s="6"/>
      <c r="O3987" s="6"/>
      <c r="P3987" s="5"/>
      <c r="Q3987" s="9"/>
      <c r="R3987" s="5"/>
      <c r="S3987" s="5"/>
      <c r="T3987" s="5"/>
      <c r="U3987" s="5"/>
      <c r="V3987" s="5"/>
      <c r="W3987" s="5"/>
      <c r="X3987" s="5"/>
      <c r="Y3987" s="9"/>
      <c r="Z3987" s="2"/>
    </row>
    <row r="3988" spans="1:26">
      <c r="A3988" s="4"/>
      <c r="B3988" s="4"/>
      <c r="C3988" s="4"/>
      <c r="D3988" s="4"/>
      <c r="E3988" s="4"/>
      <c r="F3988" s="4"/>
      <c r="G3988" s="4"/>
      <c r="H3988" s="4"/>
      <c r="I3988" s="4"/>
      <c r="J3988" s="4"/>
      <c r="K3988" s="4"/>
      <c r="L3988" s="3"/>
      <c r="M3988" s="6"/>
      <c r="N3988" s="6"/>
      <c r="O3988" s="6"/>
      <c r="P3988" s="5"/>
      <c r="Q3988" s="9"/>
      <c r="R3988" s="5"/>
      <c r="S3988" s="5"/>
      <c r="T3988" s="5"/>
      <c r="U3988" s="5"/>
      <c r="V3988" s="5"/>
      <c r="W3988" s="5"/>
      <c r="X3988" s="5"/>
      <c r="Y3988" s="9"/>
      <c r="Z3988" s="2"/>
    </row>
    <row r="3989" spans="1:26">
      <c r="A3989" s="4"/>
      <c r="B3989" s="4"/>
      <c r="C3989" s="4"/>
      <c r="D3989" s="4"/>
      <c r="E3989" s="4"/>
      <c r="F3989" s="4"/>
      <c r="G3989" s="4"/>
      <c r="H3989" s="4"/>
      <c r="I3989" s="4"/>
      <c r="J3989" s="4"/>
      <c r="K3989" s="4"/>
      <c r="L3989" s="3"/>
      <c r="M3989" s="6"/>
      <c r="N3989" s="6"/>
      <c r="O3989" s="6"/>
      <c r="P3989" s="5"/>
      <c r="Q3989" s="9"/>
      <c r="R3989" s="5"/>
      <c r="S3989" s="5"/>
      <c r="T3989" s="5"/>
      <c r="U3989" s="5"/>
      <c r="V3989" s="5"/>
      <c r="W3989" s="5"/>
      <c r="X3989" s="5"/>
      <c r="Y3989" s="9"/>
      <c r="Z3989" s="2"/>
    </row>
    <row r="3990" spans="1:26">
      <c r="A3990" s="4"/>
      <c r="B3990" s="4"/>
      <c r="C3990" s="4"/>
      <c r="D3990" s="4"/>
      <c r="E3990" s="4"/>
      <c r="F3990" s="4"/>
      <c r="G3990" s="4"/>
      <c r="H3990" s="4"/>
      <c r="I3990" s="4"/>
      <c r="J3990" s="4"/>
      <c r="K3990" s="4"/>
      <c r="L3990" s="3"/>
      <c r="M3990" s="6"/>
      <c r="N3990" s="6"/>
      <c r="O3990" s="6"/>
      <c r="P3990" s="5"/>
      <c r="Q3990" s="9"/>
      <c r="R3990" s="5"/>
      <c r="S3990" s="5"/>
      <c r="T3990" s="5"/>
      <c r="U3990" s="5"/>
      <c r="V3990" s="5"/>
      <c r="W3990" s="5"/>
      <c r="X3990" s="5"/>
      <c r="Y3990" s="9"/>
      <c r="Z3990" s="2"/>
    </row>
    <row r="3991" spans="1:26">
      <c r="A3991" s="4"/>
      <c r="B3991" s="4"/>
      <c r="C3991" s="4"/>
      <c r="D3991" s="4"/>
      <c r="E3991" s="4"/>
      <c r="F3991" s="4"/>
      <c r="G3991" s="4"/>
      <c r="H3991" s="4"/>
      <c r="I3991" s="4"/>
      <c r="J3991" s="4"/>
      <c r="K3991" s="4"/>
      <c r="L3991" s="3"/>
      <c r="M3991" s="6"/>
      <c r="N3991" s="6"/>
      <c r="O3991" s="6"/>
      <c r="P3991" s="5"/>
      <c r="Q3991" s="9"/>
      <c r="R3991" s="5"/>
      <c r="S3991" s="5"/>
      <c r="T3991" s="5"/>
      <c r="U3991" s="5"/>
      <c r="V3991" s="5"/>
      <c r="W3991" s="5"/>
      <c r="X3991" s="5"/>
      <c r="Y3991" s="9"/>
      <c r="Z3991" s="2"/>
    </row>
    <row r="3992" spans="1:26">
      <c r="A3992" s="4"/>
      <c r="B3992" s="4"/>
      <c r="C3992" s="4"/>
      <c r="D3992" s="4"/>
      <c r="E3992" s="4"/>
      <c r="F3992" s="4"/>
      <c r="G3992" s="4"/>
      <c r="H3992" s="4"/>
      <c r="I3992" s="4"/>
      <c r="J3992" s="4"/>
      <c r="K3992" s="4"/>
      <c r="L3992" s="3"/>
      <c r="M3992" s="6"/>
      <c r="N3992" s="6"/>
      <c r="O3992" s="6"/>
      <c r="P3992" s="5"/>
      <c r="Q3992" s="9"/>
      <c r="R3992" s="5"/>
      <c r="S3992" s="5"/>
      <c r="T3992" s="5"/>
      <c r="U3992" s="5"/>
      <c r="V3992" s="5"/>
      <c r="W3992" s="5"/>
      <c r="X3992" s="5"/>
      <c r="Y3992" s="9"/>
      <c r="Z3992" s="2"/>
    </row>
    <row r="3993" spans="1:26">
      <c r="A3993" s="4"/>
      <c r="B3993" s="4"/>
      <c r="C3993" s="4"/>
      <c r="D3993" s="4"/>
      <c r="E3993" s="4"/>
      <c r="F3993" s="4"/>
      <c r="G3993" s="4"/>
      <c r="H3993" s="4"/>
      <c r="I3993" s="4"/>
      <c r="J3993" s="4"/>
      <c r="K3993" s="4"/>
      <c r="L3993" s="3"/>
      <c r="M3993" s="6"/>
      <c r="N3993" s="6"/>
      <c r="O3993" s="6"/>
      <c r="P3993" s="5"/>
      <c r="Q3993" s="9"/>
      <c r="R3993" s="5"/>
      <c r="S3993" s="5"/>
      <c r="T3993" s="5"/>
      <c r="U3993" s="5"/>
      <c r="V3993" s="5"/>
      <c r="W3993" s="5"/>
      <c r="X3993" s="5"/>
      <c r="Y3993" s="9"/>
      <c r="Z3993" s="2"/>
    </row>
    <row r="3994" spans="1:26">
      <c r="A3994" s="4"/>
      <c r="B3994" s="4"/>
      <c r="C3994" s="4"/>
      <c r="D3994" s="4"/>
      <c r="E3994" s="4"/>
      <c r="F3994" s="4"/>
      <c r="G3994" s="4"/>
      <c r="H3994" s="4"/>
      <c r="I3994" s="4"/>
      <c r="J3994" s="4"/>
      <c r="K3994" s="4"/>
      <c r="L3994" s="3"/>
      <c r="M3994" s="6"/>
      <c r="N3994" s="6"/>
      <c r="O3994" s="6"/>
      <c r="P3994" s="5"/>
      <c r="Q3994" s="9"/>
      <c r="R3994" s="5"/>
      <c r="S3994" s="5"/>
      <c r="T3994" s="5"/>
      <c r="U3994" s="5"/>
      <c r="V3994" s="5"/>
      <c r="W3994" s="5"/>
      <c r="X3994" s="5"/>
      <c r="Y3994" s="9"/>
      <c r="Z3994" s="2"/>
    </row>
    <row r="3995" spans="1:26">
      <c r="A3995" s="4"/>
      <c r="B3995" s="4"/>
      <c r="C3995" s="4"/>
      <c r="D3995" s="4"/>
      <c r="E3995" s="4"/>
      <c r="F3995" s="4"/>
      <c r="G3995" s="4"/>
      <c r="H3995" s="4"/>
      <c r="I3995" s="4"/>
      <c r="J3995" s="4"/>
      <c r="K3995" s="4"/>
      <c r="L3995" s="3"/>
      <c r="M3995" s="6"/>
      <c r="N3995" s="6"/>
      <c r="O3995" s="6"/>
      <c r="P3995" s="5"/>
      <c r="Q3995" s="9"/>
      <c r="R3995" s="5"/>
      <c r="S3995" s="5"/>
      <c r="T3995" s="5"/>
      <c r="U3995" s="5"/>
      <c r="V3995" s="5"/>
      <c r="W3995" s="5"/>
      <c r="X3995" s="5"/>
      <c r="Y3995" s="9"/>
      <c r="Z3995" s="2"/>
    </row>
    <row r="3996" spans="1:26">
      <c r="A3996" s="4"/>
      <c r="B3996" s="4"/>
      <c r="C3996" s="4"/>
      <c r="D3996" s="4"/>
      <c r="E3996" s="4"/>
      <c r="F3996" s="4"/>
      <c r="G3996" s="4"/>
      <c r="H3996" s="4"/>
      <c r="I3996" s="4"/>
      <c r="J3996" s="4"/>
      <c r="K3996" s="4"/>
      <c r="L3996" s="3"/>
      <c r="M3996" s="6"/>
      <c r="N3996" s="6"/>
      <c r="O3996" s="6"/>
      <c r="P3996" s="5"/>
      <c r="Q3996" s="9"/>
      <c r="R3996" s="5"/>
      <c r="S3996" s="5"/>
      <c r="T3996" s="5"/>
      <c r="U3996" s="5"/>
      <c r="V3996" s="5"/>
      <c r="W3996" s="5"/>
      <c r="X3996" s="5"/>
      <c r="Y3996" s="9"/>
      <c r="Z3996" s="2"/>
    </row>
    <row r="3997" spans="1:26">
      <c r="A3997" s="4"/>
      <c r="B3997" s="4"/>
      <c r="C3997" s="4"/>
      <c r="D3997" s="4"/>
      <c r="E3997" s="4"/>
      <c r="F3997" s="4"/>
      <c r="G3997" s="4"/>
      <c r="H3997" s="4"/>
      <c r="I3997" s="4"/>
      <c r="J3997" s="4"/>
      <c r="K3997" s="4"/>
      <c r="L3997" s="3"/>
      <c r="M3997" s="6"/>
      <c r="N3997" s="6"/>
      <c r="O3997" s="6"/>
      <c r="P3997" s="5"/>
      <c r="Q3997" s="9"/>
      <c r="R3997" s="5"/>
      <c r="S3997" s="5"/>
      <c r="T3997" s="5"/>
      <c r="U3997" s="5"/>
      <c r="V3997" s="5"/>
      <c r="W3997" s="5"/>
      <c r="X3997" s="5"/>
      <c r="Y3997" s="9"/>
      <c r="Z3997" s="2"/>
    </row>
    <row r="3998" spans="1:26">
      <c r="A3998" s="4"/>
      <c r="B3998" s="4"/>
      <c r="C3998" s="4"/>
      <c r="D3998" s="4"/>
      <c r="E3998" s="4"/>
      <c r="F3998" s="4"/>
      <c r="G3998" s="4"/>
      <c r="H3998" s="4"/>
      <c r="I3998" s="4"/>
      <c r="J3998" s="4"/>
      <c r="K3998" s="4"/>
      <c r="L3998" s="3"/>
      <c r="M3998" s="6"/>
      <c r="N3998" s="6"/>
      <c r="O3998" s="6"/>
      <c r="P3998" s="5"/>
      <c r="Q3998" s="9"/>
      <c r="R3998" s="5"/>
      <c r="S3998" s="5"/>
      <c r="T3998" s="5"/>
      <c r="U3998" s="5"/>
      <c r="V3998" s="5"/>
      <c r="W3998" s="5"/>
      <c r="X3998" s="5"/>
      <c r="Y3998" s="9"/>
      <c r="Z3998" s="2"/>
    </row>
    <row r="3999" spans="1:26">
      <c r="A3999" s="4"/>
      <c r="B3999" s="4"/>
      <c r="C3999" s="4"/>
      <c r="D3999" s="4"/>
      <c r="E3999" s="4"/>
      <c r="F3999" s="4"/>
      <c r="G3999" s="4"/>
      <c r="H3999" s="4"/>
      <c r="I3999" s="4"/>
      <c r="J3999" s="4"/>
      <c r="K3999" s="4"/>
      <c r="L3999" s="3"/>
      <c r="M3999" s="6"/>
      <c r="N3999" s="6"/>
      <c r="O3999" s="6"/>
      <c r="P3999" s="5"/>
      <c r="Q3999" s="9"/>
      <c r="R3999" s="5"/>
      <c r="S3999" s="5"/>
      <c r="T3999" s="5"/>
      <c r="U3999" s="5"/>
      <c r="V3999" s="5"/>
      <c r="W3999" s="5"/>
      <c r="X3999" s="5"/>
      <c r="Y3999" s="9"/>
      <c r="Z3999" s="2"/>
    </row>
    <row r="4000" spans="1:26">
      <c r="A4000" s="4"/>
      <c r="B4000" s="4"/>
      <c r="C4000" s="4"/>
      <c r="D4000" s="4"/>
      <c r="E4000" s="4"/>
      <c r="F4000" s="4"/>
      <c r="G4000" s="4"/>
      <c r="H4000" s="4"/>
      <c r="I4000" s="4"/>
      <c r="J4000" s="4"/>
      <c r="K4000" s="4"/>
      <c r="L4000" s="3"/>
      <c r="M4000" s="6"/>
      <c r="N4000" s="6"/>
      <c r="O4000" s="6"/>
      <c r="P4000" s="5"/>
      <c r="Q4000" s="9"/>
      <c r="R4000" s="5"/>
      <c r="S4000" s="5"/>
      <c r="T4000" s="5"/>
      <c r="U4000" s="5"/>
      <c r="V4000" s="5"/>
      <c r="W4000" s="5"/>
      <c r="X4000" s="5"/>
      <c r="Y4000" s="9"/>
      <c r="Z4000" s="2"/>
    </row>
    <row r="4001" spans="1:26">
      <c r="A4001" s="4"/>
      <c r="B4001" s="4"/>
      <c r="C4001" s="4"/>
      <c r="D4001" s="4"/>
      <c r="E4001" s="4"/>
      <c r="F4001" s="4"/>
      <c r="G4001" s="4"/>
      <c r="H4001" s="4"/>
      <c r="I4001" s="4"/>
      <c r="J4001" s="4"/>
      <c r="K4001" s="4"/>
      <c r="L4001" s="3"/>
      <c r="M4001" s="6"/>
      <c r="N4001" s="6"/>
      <c r="O4001" s="6"/>
      <c r="P4001" s="5"/>
      <c r="Q4001" s="9"/>
      <c r="R4001" s="5"/>
      <c r="S4001" s="5"/>
      <c r="T4001" s="5"/>
      <c r="U4001" s="5"/>
      <c r="V4001" s="5"/>
      <c r="W4001" s="5"/>
      <c r="X4001" s="5"/>
      <c r="Y4001" s="9"/>
      <c r="Z4001" s="2"/>
    </row>
    <row r="4002" spans="1:26">
      <c r="A4002" s="4"/>
      <c r="B4002" s="4"/>
      <c r="C4002" s="4"/>
      <c r="D4002" s="4"/>
      <c r="E4002" s="4"/>
      <c r="F4002" s="4"/>
      <c r="G4002" s="4"/>
      <c r="H4002" s="4"/>
      <c r="I4002" s="4"/>
      <c r="J4002" s="4"/>
      <c r="K4002" s="4"/>
      <c r="L4002" s="3"/>
      <c r="M4002" s="6"/>
      <c r="N4002" s="6"/>
      <c r="O4002" s="6"/>
      <c r="P4002" s="5"/>
      <c r="Q4002" s="9"/>
      <c r="R4002" s="5"/>
      <c r="S4002" s="5"/>
      <c r="T4002" s="5"/>
      <c r="U4002" s="5"/>
      <c r="V4002" s="5"/>
      <c r="W4002" s="5"/>
      <c r="X4002" s="5"/>
      <c r="Y4002" s="9"/>
      <c r="Z4002" s="2"/>
    </row>
    <row r="4003" spans="1:26">
      <c r="A4003" s="4"/>
      <c r="B4003" s="4"/>
      <c r="C4003" s="4"/>
      <c r="D4003" s="4"/>
      <c r="E4003" s="4"/>
      <c r="F4003" s="4"/>
      <c r="G4003" s="4"/>
      <c r="H4003" s="4"/>
      <c r="I4003" s="4"/>
      <c r="J4003" s="4"/>
      <c r="K4003" s="4"/>
      <c r="L4003" s="3"/>
      <c r="M4003" s="6"/>
      <c r="N4003" s="6"/>
      <c r="O4003" s="6"/>
      <c r="P4003" s="5"/>
      <c r="Q4003" s="9"/>
      <c r="R4003" s="5"/>
      <c r="S4003" s="5"/>
      <c r="T4003" s="5"/>
      <c r="U4003" s="5"/>
      <c r="V4003" s="5"/>
      <c r="W4003" s="5"/>
      <c r="X4003" s="5"/>
      <c r="Y4003" s="9"/>
      <c r="Z4003" s="2"/>
    </row>
    <row r="4004" spans="1:26">
      <c r="A4004" s="4"/>
      <c r="B4004" s="4"/>
      <c r="C4004" s="4"/>
      <c r="D4004" s="4"/>
      <c r="E4004" s="4"/>
      <c r="F4004" s="4"/>
      <c r="G4004" s="4"/>
      <c r="H4004" s="4"/>
      <c r="I4004" s="4"/>
      <c r="J4004" s="4"/>
      <c r="K4004" s="4"/>
      <c r="L4004" s="3"/>
      <c r="M4004" s="6"/>
      <c r="N4004" s="6"/>
      <c r="O4004" s="6"/>
      <c r="P4004" s="5"/>
      <c r="Q4004" s="9"/>
      <c r="R4004" s="5"/>
      <c r="S4004" s="5"/>
      <c r="T4004" s="5"/>
      <c r="U4004" s="5"/>
      <c r="V4004" s="5"/>
      <c r="W4004" s="5"/>
      <c r="X4004" s="5"/>
      <c r="Y4004" s="9"/>
      <c r="Z4004" s="2"/>
    </row>
    <row r="4005" spans="1:26">
      <c r="A4005" s="4"/>
      <c r="B4005" s="4"/>
      <c r="C4005" s="4"/>
      <c r="D4005" s="4"/>
      <c r="E4005" s="4"/>
      <c r="F4005" s="4"/>
      <c r="G4005" s="4"/>
      <c r="H4005" s="4"/>
      <c r="I4005" s="4"/>
      <c r="J4005" s="4"/>
      <c r="K4005" s="4"/>
      <c r="L4005" s="3"/>
      <c r="M4005" s="6"/>
      <c r="N4005" s="6"/>
      <c r="O4005" s="6"/>
      <c r="P4005" s="5"/>
      <c r="Q4005" s="9"/>
      <c r="R4005" s="5"/>
      <c r="S4005" s="5"/>
      <c r="T4005" s="5"/>
      <c r="U4005" s="5"/>
      <c r="V4005" s="5"/>
      <c r="W4005" s="5"/>
      <c r="X4005" s="5"/>
      <c r="Y4005" s="9"/>
      <c r="Z4005" s="2"/>
    </row>
    <row r="4006" spans="1:26">
      <c r="A4006" s="4"/>
      <c r="B4006" s="4"/>
      <c r="C4006" s="4"/>
      <c r="D4006" s="4"/>
      <c r="E4006" s="4"/>
      <c r="F4006" s="4"/>
      <c r="G4006" s="4"/>
      <c r="H4006" s="4"/>
      <c r="I4006" s="4"/>
      <c r="J4006" s="4"/>
      <c r="K4006" s="4"/>
      <c r="L4006" s="3"/>
      <c r="M4006" s="6"/>
      <c r="N4006" s="6"/>
      <c r="O4006" s="6"/>
      <c r="P4006" s="5"/>
      <c r="Q4006" s="9"/>
      <c r="R4006" s="5"/>
      <c r="S4006" s="5"/>
      <c r="T4006" s="5"/>
      <c r="U4006" s="5"/>
      <c r="V4006" s="5"/>
      <c r="W4006" s="5"/>
      <c r="X4006" s="5"/>
      <c r="Y4006" s="9"/>
      <c r="Z4006" s="2"/>
    </row>
    <row r="4007" spans="1:26">
      <c r="A4007" s="4"/>
      <c r="B4007" s="4"/>
      <c r="C4007" s="4"/>
      <c r="D4007" s="4"/>
      <c r="E4007" s="4"/>
      <c r="F4007" s="4"/>
      <c r="G4007" s="4"/>
      <c r="H4007" s="4"/>
      <c r="I4007" s="4"/>
      <c r="J4007" s="4"/>
      <c r="K4007" s="4"/>
      <c r="L4007" s="3"/>
      <c r="M4007" s="6"/>
      <c r="N4007" s="6"/>
      <c r="O4007" s="6"/>
      <c r="P4007" s="5"/>
      <c r="Q4007" s="9"/>
      <c r="R4007" s="5"/>
      <c r="S4007" s="5"/>
      <c r="T4007" s="5"/>
      <c r="U4007" s="5"/>
      <c r="V4007" s="5"/>
      <c r="W4007" s="5"/>
      <c r="X4007" s="5"/>
      <c r="Y4007" s="9"/>
      <c r="Z4007" s="2"/>
    </row>
    <row r="4008" spans="1:26">
      <c r="A4008" s="4"/>
      <c r="B4008" s="4"/>
      <c r="C4008" s="4"/>
      <c r="D4008" s="4"/>
      <c r="E4008" s="4"/>
      <c r="F4008" s="4"/>
      <c r="G4008" s="4"/>
      <c r="H4008" s="4"/>
      <c r="I4008" s="4"/>
      <c r="J4008" s="4"/>
      <c r="K4008" s="4"/>
      <c r="L4008" s="3"/>
      <c r="M4008" s="6"/>
      <c r="N4008" s="6"/>
      <c r="O4008" s="6"/>
      <c r="P4008" s="5"/>
      <c r="Q4008" s="9"/>
      <c r="R4008" s="5"/>
      <c r="S4008" s="5"/>
      <c r="T4008" s="5"/>
      <c r="U4008" s="5"/>
      <c r="V4008" s="5"/>
      <c r="W4008" s="5"/>
      <c r="X4008" s="5"/>
      <c r="Y4008" s="9"/>
      <c r="Z4008" s="2"/>
    </row>
    <row r="4009" spans="1:26">
      <c r="A4009" s="4"/>
      <c r="B4009" s="4"/>
      <c r="C4009" s="4"/>
      <c r="D4009" s="4"/>
      <c r="E4009" s="4"/>
      <c r="F4009" s="4"/>
      <c r="G4009" s="4"/>
      <c r="H4009" s="4"/>
      <c r="I4009" s="4"/>
      <c r="J4009" s="4"/>
      <c r="K4009" s="4"/>
      <c r="L4009" s="3"/>
      <c r="M4009" s="6"/>
      <c r="N4009" s="6"/>
      <c r="O4009" s="6"/>
      <c r="P4009" s="5"/>
      <c r="Q4009" s="9"/>
      <c r="R4009" s="5"/>
      <c r="S4009" s="5"/>
      <c r="T4009" s="5"/>
      <c r="U4009" s="5"/>
      <c r="V4009" s="5"/>
      <c r="W4009" s="5"/>
      <c r="X4009" s="5"/>
      <c r="Y4009" s="9"/>
      <c r="Z4009" s="2"/>
    </row>
    <row r="4010" spans="1:26">
      <c r="A4010" s="4"/>
      <c r="B4010" s="4"/>
      <c r="C4010" s="4"/>
      <c r="D4010" s="4"/>
      <c r="E4010" s="4"/>
      <c r="F4010" s="4"/>
      <c r="G4010" s="4"/>
      <c r="H4010" s="4"/>
      <c r="I4010" s="4"/>
      <c r="J4010" s="4"/>
      <c r="K4010" s="4"/>
      <c r="L4010" s="3"/>
      <c r="M4010" s="6"/>
      <c r="N4010" s="6"/>
      <c r="O4010" s="6"/>
      <c r="P4010" s="5"/>
      <c r="Q4010" s="9"/>
      <c r="R4010" s="5"/>
      <c r="S4010" s="5"/>
      <c r="T4010" s="5"/>
      <c r="U4010" s="5"/>
      <c r="V4010" s="5"/>
      <c r="W4010" s="5"/>
      <c r="X4010" s="5"/>
      <c r="Y4010" s="9"/>
      <c r="Z4010" s="2"/>
    </row>
    <row r="4011" spans="1:26">
      <c r="A4011" s="4"/>
      <c r="B4011" s="4"/>
      <c r="C4011" s="4"/>
      <c r="D4011" s="4"/>
      <c r="E4011" s="4"/>
      <c r="F4011" s="4"/>
      <c r="G4011" s="4"/>
      <c r="H4011" s="4"/>
      <c r="I4011" s="4"/>
      <c r="J4011" s="4"/>
      <c r="K4011" s="4"/>
      <c r="L4011" s="3"/>
      <c r="M4011" s="6"/>
      <c r="N4011" s="6"/>
      <c r="O4011" s="6"/>
      <c r="P4011" s="5"/>
      <c r="Q4011" s="9"/>
      <c r="R4011" s="5"/>
      <c r="S4011" s="5"/>
      <c r="T4011" s="5"/>
      <c r="U4011" s="5"/>
      <c r="V4011" s="5"/>
      <c r="W4011" s="5"/>
      <c r="X4011" s="5"/>
      <c r="Y4011" s="9"/>
      <c r="Z4011" s="2"/>
    </row>
    <row r="4012" spans="1:26">
      <c r="A4012" s="4"/>
      <c r="B4012" s="4"/>
      <c r="C4012" s="4"/>
      <c r="D4012" s="4"/>
      <c r="E4012" s="4"/>
      <c r="F4012" s="4"/>
      <c r="G4012" s="4"/>
      <c r="H4012" s="4"/>
      <c r="I4012" s="4"/>
      <c r="J4012" s="4"/>
      <c r="K4012" s="4"/>
      <c r="L4012" s="3"/>
      <c r="M4012" s="6"/>
      <c r="N4012" s="6"/>
      <c r="O4012" s="6"/>
      <c r="P4012" s="5"/>
      <c r="Q4012" s="9"/>
      <c r="R4012" s="5"/>
      <c r="S4012" s="5"/>
      <c r="T4012" s="5"/>
      <c r="U4012" s="5"/>
      <c r="V4012" s="5"/>
      <c r="W4012" s="5"/>
      <c r="X4012" s="5"/>
      <c r="Y4012" s="9"/>
      <c r="Z4012" s="2"/>
    </row>
    <row r="4013" spans="1:26">
      <c r="A4013" s="4"/>
      <c r="B4013" s="4"/>
      <c r="C4013" s="4"/>
      <c r="D4013" s="4"/>
      <c r="E4013" s="4"/>
      <c r="F4013" s="4"/>
      <c r="G4013" s="4"/>
      <c r="H4013" s="4"/>
      <c r="I4013" s="4"/>
      <c r="J4013" s="4"/>
      <c r="K4013" s="4"/>
      <c r="L4013" s="3"/>
      <c r="M4013" s="6"/>
      <c r="N4013" s="6"/>
      <c r="O4013" s="6"/>
      <c r="P4013" s="5"/>
      <c r="Q4013" s="9"/>
      <c r="R4013" s="5"/>
      <c r="S4013" s="5"/>
      <c r="T4013" s="5"/>
      <c r="U4013" s="5"/>
      <c r="V4013" s="5"/>
      <c r="W4013" s="5"/>
      <c r="X4013" s="5"/>
      <c r="Y4013" s="9"/>
      <c r="Z4013" s="2"/>
    </row>
    <row r="4014" spans="1:26">
      <c r="A4014" s="4"/>
      <c r="B4014" s="4"/>
      <c r="C4014" s="4"/>
      <c r="D4014" s="4"/>
      <c r="E4014" s="4"/>
      <c r="F4014" s="4"/>
      <c r="G4014" s="4"/>
      <c r="H4014" s="4"/>
      <c r="I4014" s="4"/>
      <c r="J4014" s="4"/>
      <c r="K4014" s="4"/>
      <c r="L4014" s="3"/>
      <c r="M4014" s="6"/>
      <c r="N4014" s="6"/>
      <c r="O4014" s="6"/>
      <c r="P4014" s="5"/>
      <c r="Q4014" s="9"/>
      <c r="R4014" s="5"/>
      <c r="S4014" s="5"/>
      <c r="T4014" s="5"/>
      <c r="U4014" s="5"/>
      <c r="V4014" s="5"/>
      <c r="W4014" s="5"/>
      <c r="X4014" s="5"/>
      <c r="Y4014" s="9"/>
      <c r="Z4014" s="2"/>
    </row>
    <row r="4015" spans="1:26">
      <c r="A4015" s="4"/>
      <c r="B4015" s="4"/>
      <c r="C4015" s="4"/>
      <c r="D4015" s="4"/>
      <c r="E4015" s="4"/>
      <c r="F4015" s="4"/>
      <c r="G4015" s="4"/>
      <c r="H4015" s="4"/>
      <c r="I4015" s="4"/>
      <c r="J4015" s="4"/>
      <c r="K4015" s="4"/>
      <c r="L4015" s="3"/>
      <c r="M4015" s="6"/>
      <c r="N4015" s="6"/>
      <c r="O4015" s="6"/>
      <c r="P4015" s="5"/>
      <c r="Q4015" s="9"/>
      <c r="R4015" s="5"/>
      <c r="S4015" s="5"/>
      <c r="T4015" s="5"/>
      <c r="U4015" s="5"/>
      <c r="V4015" s="5"/>
      <c r="W4015" s="5"/>
      <c r="X4015" s="5"/>
      <c r="Y4015" s="9"/>
      <c r="Z4015" s="2"/>
    </row>
    <row r="4016" spans="1:26">
      <c r="A4016" s="4"/>
      <c r="B4016" s="4"/>
      <c r="C4016" s="4"/>
      <c r="D4016" s="4"/>
      <c r="E4016" s="4"/>
      <c r="F4016" s="4"/>
      <c r="G4016" s="4"/>
      <c r="H4016" s="4"/>
      <c r="I4016" s="4"/>
      <c r="J4016" s="4"/>
      <c r="K4016" s="4"/>
      <c r="L4016" s="3"/>
      <c r="M4016" s="6"/>
      <c r="N4016" s="6"/>
      <c r="O4016" s="6"/>
      <c r="P4016" s="5"/>
      <c r="Q4016" s="9"/>
      <c r="R4016" s="5"/>
      <c r="S4016" s="5"/>
      <c r="T4016" s="5"/>
      <c r="U4016" s="5"/>
      <c r="V4016" s="5"/>
      <c r="W4016" s="5"/>
      <c r="X4016" s="5"/>
      <c r="Y4016" s="9"/>
      <c r="Z4016" s="2"/>
    </row>
    <row r="4017" spans="1:26">
      <c r="A4017" s="4"/>
      <c r="B4017" s="4"/>
      <c r="C4017" s="4"/>
      <c r="D4017" s="4"/>
      <c r="E4017" s="4"/>
      <c r="F4017" s="4"/>
      <c r="G4017" s="4"/>
      <c r="H4017" s="4"/>
      <c r="I4017" s="4"/>
      <c r="J4017" s="4"/>
      <c r="K4017" s="4"/>
      <c r="L4017" s="3"/>
      <c r="M4017" s="6"/>
      <c r="N4017" s="6"/>
      <c r="O4017" s="6"/>
      <c r="P4017" s="5"/>
      <c r="Q4017" s="9"/>
      <c r="R4017" s="5"/>
      <c r="S4017" s="5"/>
      <c r="T4017" s="5"/>
      <c r="U4017" s="5"/>
      <c r="V4017" s="5"/>
      <c r="W4017" s="5"/>
      <c r="X4017" s="5"/>
      <c r="Y4017" s="9"/>
      <c r="Z4017" s="2"/>
    </row>
    <row r="4018" spans="1:26">
      <c r="A4018" s="4"/>
      <c r="B4018" s="4"/>
      <c r="C4018" s="4"/>
      <c r="D4018" s="4"/>
      <c r="E4018" s="4"/>
      <c r="F4018" s="4"/>
      <c r="G4018" s="4"/>
      <c r="H4018" s="4"/>
      <c r="I4018" s="4"/>
      <c r="J4018" s="4"/>
      <c r="K4018" s="4"/>
      <c r="L4018" s="3"/>
      <c r="M4018" s="6"/>
      <c r="N4018" s="6"/>
      <c r="O4018" s="6"/>
      <c r="P4018" s="5"/>
      <c r="Q4018" s="9"/>
      <c r="R4018" s="5"/>
      <c r="S4018" s="5"/>
      <c r="T4018" s="5"/>
      <c r="U4018" s="5"/>
      <c r="V4018" s="5"/>
      <c r="W4018" s="5"/>
      <c r="X4018" s="5"/>
      <c r="Y4018" s="9"/>
      <c r="Z4018" s="2"/>
    </row>
    <row r="4019" spans="1:26">
      <c r="A4019" s="4"/>
      <c r="B4019" s="4"/>
      <c r="C4019" s="4"/>
      <c r="D4019" s="4"/>
      <c r="E4019" s="4"/>
      <c r="F4019" s="4"/>
      <c r="G4019" s="4"/>
      <c r="H4019" s="4"/>
      <c r="I4019" s="4"/>
      <c r="J4019" s="4"/>
      <c r="K4019" s="4"/>
      <c r="L4019" s="3"/>
      <c r="M4019" s="6"/>
      <c r="N4019" s="6"/>
      <c r="O4019" s="6"/>
      <c r="P4019" s="5"/>
      <c r="Q4019" s="9"/>
      <c r="R4019" s="5"/>
      <c r="S4019" s="5"/>
      <c r="T4019" s="5"/>
      <c r="U4019" s="5"/>
      <c r="V4019" s="5"/>
      <c r="W4019" s="5"/>
      <c r="X4019" s="5"/>
      <c r="Y4019" s="9"/>
      <c r="Z4019" s="2"/>
    </row>
    <row r="4020" spans="1:26">
      <c r="A4020" s="4"/>
      <c r="B4020" s="4"/>
      <c r="C4020" s="4"/>
      <c r="D4020" s="4"/>
      <c r="E4020" s="4"/>
      <c r="F4020" s="4"/>
      <c r="G4020" s="4"/>
      <c r="H4020" s="4"/>
      <c r="I4020" s="4"/>
      <c r="J4020" s="4"/>
      <c r="K4020" s="4"/>
      <c r="L4020" s="3"/>
      <c r="M4020" s="6"/>
      <c r="N4020" s="6"/>
      <c r="O4020" s="6"/>
      <c r="P4020" s="5"/>
      <c r="Q4020" s="9"/>
      <c r="R4020" s="5"/>
      <c r="S4020" s="5"/>
      <c r="T4020" s="5"/>
      <c r="U4020" s="5"/>
      <c r="V4020" s="5"/>
      <c r="W4020" s="5"/>
      <c r="X4020" s="5"/>
      <c r="Y4020" s="9"/>
      <c r="Z4020" s="2"/>
    </row>
    <row r="4021" spans="1:26">
      <c r="A4021" s="4"/>
      <c r="B4021" s="4"/>
      <c r="C4021" s="4"/>
      <c r="D4021" s="4"/>
      <c r="E4021" s="4"/>
      <c r="F4021" s="4"/>
      <c r="G4021" s="4"/>
      <c r="H4021" s="4"/>
      <c r="I4021" s="4"/>
      <c r="J4021" s="4"/>
      <c r="K4021" s="4"/>
      <c r="L4021" s="3"/>
      <c r="M4021" s="6"/>
      <c r="N4021" s="6"/>
      <c r="O4021" s="6"/>
      <c r="P4021" s="5"/>
      <c r="Q4021" s="9"/>
      <c r="R4021" s="5"/>
      <c r="S4021" s="5"/>
      <c r="T4021" s="5"/>
      <c r="U4021" s="5"/>
      <c r="V4021" s="5"/>
      <c r="W4021" s="5"/>
      <c r="X4021" s="5"/>
      <c r="Y4021" s="9"/>
      <c r="Z4021" s="2"/>
    </row>
    <row r="4022" spans="1:26">
      <c r="A4022" s="4"/>
      <c r="B4022" s="4"/>
      <c r="C4022" s="4"/>
      <c r="D4022" s="4"/>
      <c r="E4022" s="4"/>
      <c r="F4022" s="4"/>
      <c r="G4022" s="4"/>
      <c r="H4022" s="4"/>
      <c r="I4022" s="4"/>
      <c r="J4022" s="4"/>
      <c r="K4022" s="4"/>
      <c r="L4022" s="3"/>
      <c r="M4022" s="6"/>
      <c r="N4022" s="6"/>
      <c r="O4022" s="6"/>
      <c r="P4022" s="5"/>
      <c r="Q4022" s="9"/>
      <c r="R4022" s="5"/>
      <c r="S4022" s="5"/>
      <c r="T4022" s="5"/>
      <c r="U4022" s="5"/>
      <c r="V4022" s="5"/>
      <c r="W4022" s="5"/>
      <c r="X4022" s="5"/>
      <c r="Y4022" s="9"/>
      <c r="Z4022" s="2"/>
    </row>
    <row r="4023" spans="1:26">
      <c r="A4023" s="4"/>
      <c r="B4023" s="4"/>
      <c r="C4023" s="4"/>
      <c r="D4023" s="4"/>
      <c r="E4023" s="4"/>
      <c r="F4023" s="4"/>
      <c r="G4023" s="4"/>
      <c r="H4023" s="4"/>
      <c r="I4023" s="4"/>
      <c r="J4023" s="4"/>
      <c r="K4023" s="4"/>
      <c r="L4023" s="3"/>
      <c r="M4023" s="6"/>
      <c r="N4023" s="6"/>
      <c r="O4023" s="6"/>
      <c r="P4023" s="5"/>
      <c r="Q4023" s="9"/>
      <c r="R4023" s="5"/>
      <c r="S4023" s="5"/>
      <c r="T4023" s="5"/>
      <c r="U4023" s="5"/>
      <c r="V4023" s="5"/>
      <c r="W4023" s="5"/>
      <c r="X4023" s="5"/>
      <c r="Y4023" s="9"/>
      <c r="Z4023" s="2"/>
    </row>
    <row r="4024" spans="1:26">
      <c r="A4024" s="4"/>
      <c r="B4024" s="4"/>
      <c r="C4024" s="4"/>
      <c r="D4024" s="4"/>
      <c r="E4024" s="4"/>
      <c r="F4024" s="4"/>
      <c r="G4024" s="4"/>
      <c r="H4024" s="4"/>
      <c r="I4024" s="4"/>
      <c r="J4024" s="4"/>
      <c r="K4024" s="4"/>
      <c r="L4024" s="3"/>
      <c r="M4024" s="6"/>
      <c r="N4024" s="6"/>
      <c r="O4024" s="6"/>
      <c r="P4024" s="5"/>
      <c r="Q4024" s="9"/>
      <c r="R4024" s="5"/>
      <c r="S4024" s="5"/>
      <c r="T4024" s="5"/>
      <c r="U4024" s="5"/>
      <c r="V4024" s="5"/>
      <c r="W4024" s="5"/>
      <c r="X4024" s="5"/>
      <c r="Y4024" s="9"/>
      <c r="Z4024" s="2"/>
    </row>
    <row r="4025" spans="1:26">
      <c r="A4025" s="4"/>
      <c r="B4025" s="4"/>
      <c r="C4025" s="4"/>
      <c r="D4025" s="4"/>
      <c r="E4025" s="4"/>
      <c r="F4025" s="4"/>
      <c r="G4025" s="4"/>
      <c r="H4025" s="4"/>
      <c r="I4025" s="4"/>
      <c r="J4025" s="4"/>
      <c r="K4025" s="4"/>
      <c r="L4025" s="3"/>
      <c r="M4025" s="6"/>
      <c r="N4025" s="6"/>
      <c r="O4025" s="6"/>
      <c r="P4025" s="5"/>
      <c r="Q4025" s="9"/>
      <c r="R4025" s="5"/>
      <c r="S4025" s="5"/>
      <c r="T4025" s="5"/>
      <c r="U4025" s="5"/>
      <c r="V4025" s="5"/>
      <c r="W4025" s="5"/>
      <c r="X4025" s="5"/>
      <c r="Y4025" s="9"/>
      <c r="Z4025" s="2"/>
    </row>
    <row r="4026" spans="1:26">
      <c r="A4026" s="4"/>
      <c r="B4026" s="4"/>
      <c r="C4026" s="4"/>
      <c r="D4026" s="4"/>
      <c r="E4026" s="4"/>
      <c r="F4026" s="4"/>
      <c r="G4026" s="4"/>
      <c r="H4026" s="4"/>
      <c r="I4026" s="4"/>
      <c r="J4026" s="4"/>
      <c r="K4026" s="4"/>
      <c r="L4026" s="3"/>
      <c r="M4026" s="6"/>
      <c r="N4026" s="6"/>
      <c r="O4026" s="6"/>
      <c r="P4026" s="5"/>
      <c r="Q4026" s="9"/>
      <c r="R4026" s="5"/>
      <c r="S4026" s="5"/>
      <c r="T4026" s="5"/>
      <c r="U4026" s="5"/>
      <c r="V4026" s="5"/>
      <c r="W4026" s="5"/>
      <c r="X4026" s="5"/>
      <c r="Y4026" s="9"/>
      <c r="Z4026" s="2"/>
    </row>
    <row r="4027" spans="1:26">
      <c r="A4027" s="4"/>
      <c r="B4027" s="4"/>
      <c r="C4027" s="4"/>
      <c r="D4027" s="4"/>
      <c r="E4027" s="4"/>
      <c r="F4027" s="4"/>
      <c r="G4027" s="4"/>
      <c r="H4027" s="4"/>
      <c r="I4027" s="4"/>
      <c r="J4027" s="4"/>
      <c r="K4027" s="4"/>
      <c r="L4027" s="3"/>
      <c r="M4027" s="6"/>
      <c r="N4027" s="6"/>
      <c r="O4027" s="6"/>
      <c r="P4027" s="5"/>
      <c r="Q4027" s="9"/>
      <c r="R4027" s="5"/>
      <c r="S4027" s="5"/>
      <c r="T4027" s="5"/>
      <c r="U4027" s="5"/>
      <c r="V4027" s="5"/>
      <c r="W4027" s="5"/>
      <c r="X4027" s="5"/>
      <c r="Y4027" s="9"/>
      <c r="Z4027" s="2"/>
    </row>
    <row r="4028" spans="1:26">
      <c r="A4028" s="4"/>
      <c r="B4028" s="4"/>
      <c r="C4028" s="4"/>
      <c r="D4028" s="4"/>
      <c r="E4028" s="4"/>
      <c r="F4028" s="4"/>
      <c r="G4028" s="4"/>
      <c r="H4028" s="4"/>
      <c r="I4028" s="4"/>
      <c r="J4028" s="4"/>
      <c r="K4028" s="4"/>
      <c r="L4028" s="3"/>
      <c r="M4028" s="6"/>
      <c r="N4028" s="6"/>
      <c r="O4028" s="6"/>
      <c r="P4028" s="5"/>
      <c r="Q4028" s="9"/>
      <c r="R4028" s="5"/>
      <c r="S4028" s="5"/>
      <c r="T4028" s="5"/>
      <c r="U4028" s="5"/>
      <c r="V4028" s="5"/>
      <c r="W4028" s="5"/>
      <c r="X4028" s="5"/>
      <c r="Y4028" s="9"/>
      <c r="Z4028" s="2"/>
    </row>
    <row r="4029" spans="1:26">
      <c r="A4029" s="4"/>
      <c r="B4029" s="4"/>
      <c r="C4029" s="4"/>
      <c r="D4029" s="4"/>
      <c r="E4029" s="4"/>
      <c r="F4029" s="4"/>
      <c r="G4029" s="4"/>
      <c r="H4029" s="4"/>
      <c r="I4029" s="4"/>
      <c r="J4029" s="4"/>
      <c r="K4029" s="4"/>
      <c r="L4029" s="3"/>
      <c r="M4029" s="6"/>
      <c r="N4029" s="6"/>
      <c r="O4029" s="6"/>
      <c r="P4029" s="5"/>
      <c r="Q4029" s="9"/>
      <c r="R4029" s="5"/>
      <c r="S4029" s="5"/>
      <c r="T4029" s="5"/>
      <c r="U4029" s="5"/>
      <c r="V4029" s="5"/>
      <c r="W4029" s="5"/>
      <c r="X4029" s="5"/>
      <c r="Y4029" s="9"/>
      <c r="Z4029" s="2"/>
    </row>
    <row r="4030" spans="1:26">
      <c r="A4030" s="4"/>
      <c r="B4030" s="4"/>
      <c r="C4030" s="4"/>
      <c r="D4030" s="4"/>
      <c r="E4030" s="4"/>
      <c r="F4030" s="4"/>
      <c r="G4030" s="4"/>
      <c r="H4030" s="4"/>
      <c r="I4030" s="4"/>
      <c r="J4030" s="4"/>
      <c r="K4030" s="4"/>
      <c r="L4030" s="3"/>
      <c r="M4030" s="6"/>
      <c r="N4030" s="6"/>
      <c r="O4030" s="6"/>
      <c r="P4030" s="5"/>
      <c r="Q4030" s="9"/>
      <c r="R4030" s="5"/>
      <c r="S4030" s="5"/>
      <c r="T4030" s="5"/>
      <c r="U4030" s="5"/>
      <c r="V4030" s="5"/>
      <c r="W4030" s="5"/>
      <c r="X4030" s="5"/>
      <c r="Y4030" s="9"/>
      <c r="Z4030" s="2"/>
    </row>
    <row r="4031" spans="1:26">
      <c r="A4031" s="4"/>
      <c r="B4031" s="4"/>
      <c r="C4031" s="4"/>
      <c r="D4031" s="4"/>
      <c r="E4031" s="4"/>
      <c r="F4031" s="4"/>
      <c r="G4031" s="4"/>
      <c r="H4031" s="4"/>
      <c r="I4031" s="4"/>
      <c r="J4031" s="4"/>
      <c r="K4031" s="4"/>
      <c r="L4031" s="3"/>
      <c r="M4031" s="6"/>
      <c r="N4031" s="6"/>
      <c r="O4031" s="6"/>
      <c r="P4031" s="5"/>
      <c r="Q4031" s="9"/>
      <c r="R4031" s="5"/>
      <c r="S4031" s="5"/>
      <c r="T4031" s="5"/>
      <c r="U4031" s="5"/>
      <c r="V4031" s="5"/>
      <c r="W4031" s="5"/>
      <c r="X4031" s="5"/>
      <c r="Y4031" s="9"/>
      <c r="Z4031" s="2"/>
    </row>
    <row r="4032" spans="1:26">
      <c r="A4032" s="4"/>
      <c r="B4032" s="4"/>
      <c r="C4032" s="4"/>
      <c r="D4032" s="4"/>
      <c r="E4032" s="4"/>
      <c r="F4032" s="4"/>
      <c r="G4032" s="4"/>
      <c r="H4032" s="4"/>
      <c r="I4032" s="4"/>
      <c r="J4032" s="4"/>
      <c r="K4032" s="4"/>
      <c r="L4032" s="3"/>
      <c r="M4032" s="6"/>
      <c r="N4032" s="6"/>
      <c r="O4032" s="6"/>
      <c r="P4032" s="5"/>
      <c r="Q4032" s="9"/>
      <c r="R4032" s="5"/>
      <c r="S4032" s="5"/>
      <c r="T4032" s="5"/>
      <c r="U4032" s="5"/>
      <c r="V4032" s="5"/>
      <c r="W4032" s="5"/>
      <c r="X4032" s="5"/>
      <c r="Y4032" s="9"/>
      <c r="Z4032" s="2"/>
    </row>
    <row r="4033" spans="1:26">
      <c r="A4033" s="4"/>
      <c r="B4033" s="4"/>
      <c r="C4033" s="4"/>
      <c r="D4033" s="4"/>
      <c r="E4033" s="4"/>
      <c r="F4033" s="4"/>
      <c r="G4033" s="4"/>
      <c r="H4033" s="4"/>
      <c r="I4033" s="4"/>
      <c r="J4033" s="4"/>
      <c r="K4033" s="4"/>
      <c r="L4033" s="3"/>
      <c r="M4033" s="6"/>
      <c r="N4033" s="6"/>
      <c r="O4033" s="6"/>
      <c r="P4033" s="5"/>
      <c r="Q4033" s="9"/>
      <c r="R4033" s="5"/>
      <c r="S4033" s="5"/>
      <c r="T4033" s="5"/>
      <c r="U4033" s="5"/>
      <c r="V4033" s="5"/>
      <c r="W4033" s="5"/>
      <c r="X4033" s="5"/>
      <c r="Y4033" s="9"/>
      <c r="Z4033" s="2"/>
    </row>
    <row r="4034" spans="1:26">
      <c r="A4034" s="4"/>
      <c r="B4034" s="4"/>
      <c r="C4034" s="4"/>
      <c r="D4034" s="4"/>
      <c r="E4034" s="4"/>
      <c r="F4034" s="4"/>
      <c r="G4034" s="4"/>
      <c r="H4034" s="4"/>
      <c r="I4034" s="4"/>
      <c r="J4034" s="4"/>
      <c r="K4034" s="4"/>
      <c r="L4034" s="3"/>
      <c r="M4034" s="6"/>
      <c r="N4034" s="6"/>
      <c r="O4034" s="6"/>
      <c r="P4034" s="5"/>
      <c r="Q4034" s="9"/>
      <c r="R4034" s="5"/>
      <c r="S4034" s="5"/>
      <c r="T4034" s="5"/>
      <c r="U4034" s="5"/>
      <c r="V4034" s="5"/>
      <c r="W4034" s="5"/>
      <c r="X4034" s="5"/>
      <c r="Y4034" s="9"/>
      <c r="Z4034" s="2"/>
    </row>
    <row r="4035" spans="1:26">
      <c r="A4035" s="4"/>
      <c r="B4035" s="4"/>
      <c r="C4035" s="4"/>
      <c r="D4035" s="4"/>
      <c r="E4035" s="4"/>
      <c r="F4035" s="4"/>
      <c r="G4035" s="4"/>
      <c r="H4035" s="4"/>
      <c r="I4035" s="4"/>
      <c r="J4035" s="4"/>
      <c r="K4035" s="4"/>
      <c r="L4035" s="3"/>
      <c r="M4035" s="6"/>
      <c r="N4035" s="6"/>
      <c r="O4035" s="6"/>
      <c r="P4035" s="5"/>
      <c r="Q4035" s="9"/>
      <c r="R4035" s="5"/>
      <c r="S4035" s="5"/>
      <c r="T4035" s="5"/>
      <c r="U4035" s="5"/>
      <c r="V4035" s="5"/>
      <c r="W4035" s="5"/>
      <c r="X4035" s="5"/>
      <c r="Y4035" s="9"/>
      <c r="Z4035" s="2"/>
    </row>
    <row r="4036" spans="1:26">
      <c r="A4036" s="4"/>
      <c r="B4036" s="4"/>
      <c r="C4036" s="4"/>
      <c r="D4036" s="4"/>
      <c r="E4036" s="4"/>
      <c r="F4036" s="4"/>
      <c r="G4036" s="4"/>
      <c r="H4036" s="4"/>
      <c r="I4036" s="4"/>
      <c r="J4036" s="4"/>
      <c r="K4036" s="4"/>
      <c r="L4036" s="3"/>
      <c r="M4036" s="6"/>
      <c r="N4036" s="6"/>
      <c r="O4036" s="6"/>
      <c r="P4036" s="5"/>
      <c r="Q4036" s="9"/>
      <c r="R4036" s="5"/>
      <c r="S4036" s="5"/>
      <c r="T4036" s="5"/>
      <c r="U4036" s="5"/>
      <c r="V4036" s="5"/>
      <c r="W4036" s="5"/>
      <c r="X4036" s="5"/>
      <c r="Y4036" s="9"/>
      <c r="Z4036" s="2"/>
    </row>
    <row r="4037" spans="1:26">
      <c r="A4037" s="4"/>
      <c r="B4037" s="4"/>
      <c r="C4037" s="4"/>
      <c r="D4037" s="4"/>
      <c r="E4037" s="4"/>
      <c r="F4037" s="4"/>
      <c r="G4037" s="4"/>
      <c r="H4037" s="4"/>
      <c r="I4037" s="4"/>
      <c r="J4037" s="4"/>
      <c r="K4037" s="4"/>
      <c r="L4037" s="3"/>
      <c r="M4037" s="6"/>
      <c r="N4037" s="6"/>
      <c r="O4037" s="6"/>
      <c r="P4037" s="5"/>
      <c r="Q4037" s="9"/>
      <c r="R4037" s="5"/>
      <c r="S4037" s="5"/>
      <c r="T4037" s="5"/>
      <c r="U4037" s="5"/>
      <c r="V4037" s="5"/>
      <c r="W4037" s="5"/>
      <c r="X4037" s="5"/>
      <c r="Y4037" s="9"/>
      <c r="Z4037" s="2"/>
    </row>
    <row r="4038" spans="1:26">
      <c r="A4038" s="4"/>
      <c r="B4038" s="4"/>
      <c r="C4038" s="4"/>
      <c r="D4038" s="4"/>
      <c r="E4038" s="4"/>
      <c r="F4038" s="4"/>
      <c r="G4038" s="4"/>
      <c r="H4038" s="4"/>
      <c r="I4038" s="4"/>
      <c r="J4038" s="4"/>
      <c r="K4038" s="4"/>
      <c r="L4038" s="3"/>
      <c r="M4038" s="6"/>
      <c r="N4038" s="6"/>
      <c r="O4038" s="6"/>
      <c r="P4038" s="5"/>
      <c r="Q4038" s="9"/>
      <c r="R4038" s="5"/>
      <c r="S4038" s="5"/>
      <c r="T4038" s="5"/>
      <c r="U4038" s="5"/>
      <c r="V4038" s="5"/>
      <c r="W4038" s="5"/>
      <c r="X4038" s="5"/>
      <c r="Y4038" s="9"/>
      <c r="Z4038" s="2"/>
    </row>
    <row r="4039" spans="1:26">
      <c r="A4039" s="4"/>
      <c r="B4039" s="4"/>
      <c r="C4039" s="4"/>
      <c r="D4039" s="4"/>
      <c r="E4039" s="4"/>
      <c r="F4039" s="4"/>
      <c r="G4039" s="4"/>
      <c r="H4039" s="4"/>
      <c r="I4039" s="4"/>
      <c r="J4039" s="4"/>
      <c r="K4039" s="4"/>
      <c r="L4039" s="3"/>
      <c r="M4039" s="6"/>
      <c r="N4039" s="6"/>
      <c r="O4039" s="6"/>
      <c r="P4039" s="5"/>
      <c r="Q4039" s="9"/>
      <c r="R4039" s="5"/>
      <c r="S4039" s="5"/>
      <c r="T4039" s="5"/>
      <c r="U4039" s="5"/>
      <c r="V4039" s="5"/>
      <c r="W4039" s="5"/>
      <c r="X4039" s="5"/>
      <c r="Y4039" s="9"/>
      <c r="Z4039" s="2"/>
    </row>
    <row r="4040" spans="1:26">
      <c r="I4040">
        <f>SUM(_xlfn.ANCHORARRAY(I39))</f>
        <v>285316.04000000039</v>
      </c>
      <c r="Y4040" s="3"/>
      <c r="Z4040" s="2"/>
    </row>
    <row r="4041" spans="1:26">
      <c r="I4041" s="3"/>
    </row>
    <row r="4044" spans="1:26">
      <c r="Y4044" s="3"/>
    </row>
  </sheetData>
  <autoFilter ref="A38:Z4042" xr:uid="{52C69565-0D32-4482-8ADD-E279C026585D}"/>
  <conditionalFormatting sqref="X39:X4043">
    <cfRule type="containsText" dxfId="3" priority="1" operator="containsText" text="Low">
      <formula>NOT(ISERROR(SEARCH("Low",X39)))</formula>
    </cfRule>
    <cfRule type="containsText" dxfId="2" priority="2" operator="containsText" text="Medium">
      <formula>NOT(ISERROR(SEARCH("Medium",X39)))</formula>
    </cfRule>
    <cfRule type="containsText" dxfId="1" priority="3" operator="containsText" text="High">
      <formula>NOT(ISERROR(SEARCH("High",X39)))</formula>
    </cfRule>
    <cfRule type="containsText" dxfId="0" priority="4" operator="containsText" text="Critical">
      <formula>NOT(ISERROR(SEARCH("Critical",X39)))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D354D-37D6-44D5-B781-C9DC6A447107}">
  <sheetPr codeName="Sheet7">
    <tabColor rgb="FFFFC000"/>
  </sheetPr>
  <dimension ref="A1:AU60"/>
  <sheetViews>
    <sheetView workbookViewId="0"/>
  </sheetViews>
  <sheetFormatPr defaultRowHeight="15"/>
  <cols>
    <col min="1" max="1" width="37.85546875" bestFit="1" customWidth="1"/>
    <col min="2" max="2" width="20.28515625" bestFit="1" customWidth="1"/>
    <col min="3" max="3" width="21.7109375" bestFit="1" customWidth="1"/>
    <col min="4" max="4" width="28.5703125" bestFit="1" customWidth="1"/>
    <col min="5" max="5" width="28.5703125" customWidth="1"/>
    <col min="6" max="6" width="12.7109375" customWidth="1"/>
    <col min="7" max="7" width="19.28515625" bestFit="1" customWidth="1"/>
    <col min="8" max="8" width="14.7109375" bestFit="1" customWidth="1"/>
    <col min="9" max="9" width="21" bestFit="1" customWidth="1"/>
    <col min="10" max="10" width="12.7109375" bestFit="1" customWidth="1"/>
    <col min="11" max="11" width="18.42578125" bestFit="1" customWidth="1"/>
    <col min="12" max="12" width="27.28515625" bestFit="1" customWidth="1"/>
    <col min="13" max="13" width="17.5703125" bestFit="1" customWidth="1"/>
    <col min="14" max="14" width="14" bestFit="1" customWidth="1"/>
    <col min="15" max="15" width="14.5703125" bestFit="1" customWidth="1"/>
    <col min="16" max="16" width="23.42578125" bestFit="1" customWidth="1"/>
    <col min="17" max="17" width="22.28515625" bestFit="1" customWidth="1"/>
    <col min="18" max="18" width="11.7109375" bestFit="1" customWidth="1"/>
    <col min="19" max="19" width="28.140625" bestFit="1" customWidth="1"/>
    <col min="20" max="20" width="27.140625" bestFit="1" customWidth="1"/>
    <col min="21" max="21" width="14.28515625" bestFit="1" customWidth="1"/>
    <col min="22" max="22" width="15.28515625" bestFit="1" customWidth="1"/>
    <col min="23" max="23" width="9.28515625" bestFit="1" customWidth="1"/>
    <col min="24" max="24" width="7.140625" bestFit="1" customWidth="1"/>
    <col min="25" max="25" width="10.140625" bestFit="1" customWidth="1"/>
    <col min="26" max="26" width="7.140625" bestFit="1" customWidth="1"/>
    <col min="27" max="27" width="13.5703125" bestFit="1" customWidth="1"/>
    <col min="28" max="28" width="13.7109375" bestFit="1" customWidth="1"/>
    <col min="29" max="29" width="19.7109375" bestFit="1" customWidth="1"/>
    <col min="30" max="30" width="20.28515625" bestFit="1" customWidth="1"/>
    <col min="31" max="31" width="25.28515625" bestFit="1" customWidth="1"/>
    <col min="32" max="32" width="16" bestFit="1" customWidth="1"/>
    <col min="33" max="33" width="31.42578125" bestFit="1" customWidth="1"/>
    <col min="34" max="34" width="29.140625" bestFit="1" customWidth="1"/>
    <col min="35" max="35" width="25.5703125" bestFit="1" customWidth="1"/>
    <col min="36" max="36" width="14.140625" bestFit="1" customWidth="1"/>
    <col min="37" max="37" width="20.85546875" bestFit="1" customWidth="1"/>
    <col min="38" max="38" width="17.28515625" bestFit="1" customWidth="1"/>
    <col min="39" max="39" width="19.7109375" bestFit="1" customWidth="1"/>
    <col min="40" max="40" width="28.5703125" bestFit="1" customWidth="1"/>
    <col min="41" max="41" width="25.5703125" bestFit="1" customWidth="1"/>
    <col min="42" max="42" width="29.140625" bestFit="1" customWidth="1"/>
    <col min="43" max="43" width="33.85546875" bestFit="1" customWidth="1"/>
    <col min="44" max="44" width="30.28515625" bestFit="1" customWidth="1"/>
    <col min="45" max="45" width="12.7109375" bestFit="1" customWidth="1"/>
    <col min="46" max="46" width="13.28515625" bestFit="1" customWidth="1"/>
    <col min="47" max="47" width="20.85546875" bestFit="1" customWidth="1"/>
  </cols>
  <sheetData>
    <row r="1" spans="1:47">
      <c r="A1" s="27" t="s">
        <v>5464</v>
      </c>
      <c r="B1" s="27" t="s">
        <v>5239</v>
      </c>
      <c r="D1" t="s">
        <v>5438</v>
      </c>
      <c r="E1" t="s">
        <v>5439</v>
      </c>
      <c r="F1" t="s">
        <v>5440</v>
      </c>
      <c r="G1" t="s">
        <v>5441</v>
      </c>
    </row>
    <row r="2" spans="1:47">
      <c r="A2" s="14" t="s">
        <v>5286</v>
      </c>
      <c r="B2" s="16">
        <v>-0.4</v>
      </c>
      <c r="D2" s="14" t="s">
        <v>5442</v>
      </c>
      <c r="E2" s="14">
        <v>0.1</v>
      </c>
      <c r="F2" s="14">
        <v>0.1</v>
      </c>
      <c r="G2" s="14">
        <v>0.8</v>
      </c>
    </row>
    <row r="3" spans="1:47">
      <c r="A3" s="14" t="s">
        <v>5287</v>
      </c>
      <c r="B3" s="16">
        <v>-0.8</v>
      </c>
      <c r="D3" s="14" t="s">
        <v>5443</v>
      </c>
      <c r="E3" s="14">
        <v>0.15</v>
      </c>
      <c r="F3" s="14">
        <v>0.2</v>
      </c>
      <c r="G3" s="14">
        <v>0.65</v>
      </c>
    </row>
    <row r="4" spans="1:47">
      <c r="A4" s="14" t="s">
        <v>5301</v>
      </c>
      <c r="B4" s="29">
        <v>0.2</v>
      </c>
      <c r="D4" s="14" t="s">
        <v>5444</v>
      </c>
      <c r="E4" s="14">
        <v>0.25</v>
      </c>
      <c r="F4" s="14">
        <v>0.35</v>
      </c>
      <c r="G4" s="14">
        <v>0.4</v>
      </c>
    </row>
    <row r="5" spans="1:47">
      <c r="A5" s="14" t="s">
        <v>5397</v>
      </c>
      <c r="B5" s="29">
        <v>0.05</v>
      </c>
      <c r="D5" s="14" t="s">
        <v>5445</v>
      </c>
      <c r="E5" s="14">
        <v>0.35</v>
      </c>
      <c r="F5" s="14">
        <v>0.35</v>
      </c>
      <c r="G5" s="14">
        <v>0.3</v>
      </c>
    </row>
    <row r="6" spans="1:47">
      <c r="A6" s="17" t="s">
        <v>5398</v>
      </c>
      <c r="B6" s="30">
        <v>0.02</v>
      </c>
      <c r="D6" s="14" t="s">
        <v>5446</v>
      </c>
      <c r="E6" s="14">
        <v>0.2</v>
      </c>
      <c r="F6" s="14">
        <v>0.55000000000000004</v>
      </c>
      <c r="G6" s="14">
        <v>0.25</v>
      </c>
    </row>
    <row r="7" spans="1:47">
      <c r="A7" s="17" t="s">
        <v>5436</v>
      </c>
      <c r="B7" s="26">
        <v>50</v>
      </c>
    </row>
    <row r="8" spans="1:47">
      <c r="A8" s="17" t="s">
        <v>5399</v>
      </c>
      <c r="B8" s="26">
        <v>2</v>
      </c>
    </row>
    <row r="9" spans="1:47">
      <c r="A9" s="17" t="s">
        <v>5437</v>
      </c>
      <c r="B9" s="16">
        <v>0.02</v>
      </c>
    </row>
    <row r="11" spans="1:47">
      <c r="A11" s="24" t="s">
        <v>0</v>
      </c>
      <c r="B11" s="24" t="s">
        <v>1</v>
      </c>
      <c r="C11" s="24" t="s">
        <v>2</v>
      </c>
      <c r="D11" s="24" t="s">
        <v>5433</v>
      </c>
      <c r="E11" s="24" t="s">
        <v>5448</v>
      </c>
      <c r="F11" s="24" t="s">
        <v>5361</v>
      </c>
      <c r="G11" s="24" t="s">
        <v>5392</v>
      </c>
      <c r="H11" s="24" t="s">
        <v>5389</v>
      </c>
      <c r="I11" s="5" t="s">
        <v>5393</v>
      </c>
      <c r="J11" s="5" t="s">
        <v>5390</v>
      </c>
      <c r="K11" s="5" t="s">
        <v>5391</v>
      </c>
      <c r="L11" s="5" t="s">
        <v>5395</v>
      </c>
      <c r="M11" s="24" t="s">
        <v>5362</v>
      </c>
      <c r="N11" s="24" t="s">
        <v>5363</v>
      </c>
      <c r="O11" s="24" t="s">
        <v>5364</v>
      </c>
      <c r="P11" s="24" t="s">
        <v>5400</v>
      </c>
      <c r="Q11" s="24" t="s">
        <v>5365</v>
      </c>
      <c r="R11" s="24" t="s">
        <v>5366</v>
      </c>
      <c r="S11" s="24" t="s">
        <v>5435</v>
      </c>
      <c r="T11" s="24" t="s">
        <v>5434</v>
      </c>
      <c r="U11" s="24" t="s">
        <v>5360</v>
      </c>
      <c r="V11" s="24" t="s">
        <v>5369</v>
      </c>
      <c r="W11" s="24" t="s">
        <v>5370</v>
      </c>
      <c r="X11" s="24" t="s">
        <v>5371</v>
      </c>
      <c r="Y11" s="24" t="s">
        <v>5372</v>
      </c>
      <c r="Z11" s="24" t="s">
        <v>5373</v>
      </c>
      <c r="AA11" t="s">
        <v>5374</v>
      </c>
      <c r="AB11" s="24" t="s">
        <v>5375</v>
      </c>
      <c r="AC11" s="24" t="s">
        <v>5376</v>
      </c>
      <c r="AD11" s="24" t="s">
        <v>5377</v>
      </c>
      <c r="AE11" s="24" t="s">
        <v>5380</v>
      </c>
      <c r="AF11" s="5" t="s">
        <v>5379</v>
      </c>
      <c r="AG11" s="24" t="s">
        <v>5381</v>
      </c>
      <c r="AH11" s="24" t="s">
        <v>5382</v>
      </c>
      <c r="AI11" s="24" t="s">
        <v>5394</v>
      </c>
      <c r="AJ11" s="5" t="s">
        <v>5383</v>
      </c>
      <c r="AK11" s="5" t="s">
        <v>5384</v>
      </c>
      <c r="AL11" s="5" t="s">
        <v>5385</v>
      </c>
      <c r="AM11" s="24" t="s">
        <v>5386</v>
      </c>
      <c r="AN11" s="24" t="s">
        <v>5387</v>
      </c>
      <c r="AO11" s="24" t="s">
        <v>5388</v>
      </c>
      <c r="AP11" s="24" t="s">
        <v>5311</v>
      </c>
      <c r="AQ11" s="5" t="s">
        <v>5401</v>
      </c>
      <c r="AR11" s="24" t="s">
        <v>5312</v>
      </c>
      <c r="AS11" s="24" t="s">
        <v>5378</v>
      </c>
      <c r="AT11" s="24" t="s">
        <v>5396</v>
      </c>
      <c r="AU11" s="24" t="s">
        <v>5402</v>
      </c>
    </row>
    <row r="12" spans="1:47">
      <c r="A12" s="24" t="str" cm="1">
        <f t="array" ref="A12:A53">_xlfn._xlws.FILTER(_xlfn.ANCHORARRAY('V1 Pricing Model (Step 2)'!$A$22), 'V1 Pricing Model (Step 2)'!$AL$22:$AL$71&lt;&gt;"Exclude")</f>
        <v>SKU-1000</v>
      </c>
      <c r="B12" s="24" t="str">
        <f>_xlfn.XLOOKUP($A12,_1_product_catalog_pricing[SKU], _1_product_catalog_pricing[Product Name],,0)</f>
        <v>Wireless Earbuds</v>
      </c>
      <c r="C12" s="24" t="str">
        <f>_xlfn.XLOOKUP($A12, _1_product_catalog_pricing[SKU], _1_product_catalog_pricing[Category],,0)</f>
        <v>Electronics</v>
      </c>
      <c r="D12" s="24" t="str" cm="1">
        <f t="array" ref="D12">_xlfn.XLOOKUP($A12,_xlfn.ANCHORARRAY('V1 Pricing Model (Step 2)'!$A$22), 'V1 Pricing Model (Step 2)'!$T$22:$T$71,,0)</f>
        <v>Raise</v>
      </c>
      <c r="E12" s="24" t="str" cm="1">
        <f t="array" ref="E12">_xlfn.XLOOKUP($A12,_xlfn.ANCHORARRAY('V1 Pricing Model (Step 2)'!$A$22), 'V1 Pricing Model (Step 2)'!$AL$22:$AL$71,,0)</f>
        <v>Full</v>
      </c>
      <c r="F12" s="23" cm="1">
        <f t="array" ref="F12">_xlfn.XLOOKUP($A12,_xlfn.ANCHORARRAY('V1 Pricing Model (Step 2)'!$A$22),_xlfn.ANCHORARRAY( 'V1 Pricing Model (Step 2)'!$D$22),,0)</f>
        <v>76.53</v>
      </c>
      <c r="G12" s="23" cm="1">
        <f t="array" ref="G12">_xlfn.XLOOKUP($A12,_xlfn.ANCHORARRAY('V1 Pricing Model (Step 2)'!$A$22),_xlfn.ANCHORARRAY( 'V1 Pricing Model (Step 2)'!$E$22),,0)</f>
        <v>52.96</v>
      </c>
      <c r="H12" s="24" cm="1">
        <f t="array" ref="H12">_xlfn.XLOOKUP($A12, 'Competitive Analysis (Step 1)'!$A$10:$A$209,_xlfn.ANCHORARRAY( 'Competitive Analysis (Step 1)'!$Q$10),,0)</f>
        <v>24</v>
      </c>
      <c r="I12" s="28">
        <f>$F12*$H12</f>
        <v>1836.72</v>
      </c>
      <c r="J12" s="28">
        <f>$G12*$H12</f>
        <v>1271.04</v>
      </c>
      <c r="K12" s="28">
        <f>$I12-$J12</f>
        <v>565.68000000000006</v>
      </c>
      <c r="L12" s="9">
        <f t="shared" ref="L12:L53" si="0">$K12/$I12</f>
        <v>0.307983797203711</v>
      </c>
      <c r="M12" s="23" cm="1">
        <f t="array" ref="M12:O12">_xlfn.XLOOKUP($A12,_xlfn.ANCHORARRAY('V1 Pricing Model (Step 2)'!$A$22),'V1 Pricing Model (Step 2)'!$U$22:$W$71,,0)</f>
        <v>80.606322838637126</v>
      </c>
      <c r="N12" s="23">
        <v>4.0763228386371253</v>
      </c>
      <c r="O12" s="21">
        <v>5.3264377873214752E-2</v>
      </c>
      <c r="P12" s="23" cm="1">
        <f t="array" ref="P12">_xlfn.XLOOKUP($A12,_xlfn.ANCHORARRAY( 'V1 Pricing Model (Step 2)'!$A$22), 'V1 Pricing Model (Step 2)'!$AC$22:$AC$71)</f>
        <v>17.225425288654151</v>
      </c>
      <c r="Q12" s="23" cm="1">
        <f t="array" ref="Q12">_xlfn.XLOOKUP($A12,_xlfn.ANCHORARRAY('V1 Pricing Model (Step 2)'!$A$22),'V1 Pricing Model (Step 2)'!$AI$22:$AI$71,,0)</f>
        <v>70.185425288654415</v>
      </c>
      <c r="R12" s="24" cm="1">
        <f t="array" ref="R12">COUNTA(_xlfn.UNIQUE(_xlfn._xlws.FILTER(Transactions_and_Customer_Information_Joined[Customer ID], (Transactions_and_Customer_Information_Joined[SKU]='Monte Carlo IO (4)'!$A12) * (Transactions_and_Customer_Information_Joined[Order Status] = "Completed"), "")))</f>
        <v>10</v>
      </c>
      <c r="S12" s="42" cm="1">
        <f t="array" ref="S12">AVERAGE(_xlfn._xlws.FILTER('V1-Based Churn Model (Step 3)'!$W$39:$W$590,
    ISNUMBER(MATCH('V1-Based Churn Model (Step 3)'!$A$39:$A$590,
    _xlfn.UNIQUE(_xlfn._xlws.FILTER(Transactions_and_Customer_Information_Joined[Customer ID],
    (Transactions_and_Customer_Information_Joined[SKU]='Monte Carlo IO (4)'!$A12)*
    (Transactions_and_Customer_Information_Joined[Order Status]="Completed"))),0))))</f>
        <v>70.50526195103842</v>
      </c>
      <c r="T12" s="25" cm="1">
        <f t="array" ref="T12">AVERAGE(_xlfn._xlws.FILTER('V1-Based Churn Model (Step 3)'!$Y$39:$Y$590,
    ISNUMBER(MATCH('V1-Based Churn Model (Step 3)'!$A$39:$A$590,
    _xlfn.UNIQUE(_xlfn._xlws.FILTER(Transactions_and_Customer_Information_Joined[Customer ID],
    (Transactions_and_Customer_Information_Joined[SKU]='Monte Carlo IO (4)'!$A12)*
    (Transactions_and_Customer_Information_Joined[Order Status]="Completed"))),0))))</f>
        <v>0.31812470081886585</v>
      </c>
      <c r="U12" s="23" cm="1">
        <f t="array" ref="U12">SUM(_xlfn._xlws.FILTER('V1-Based Churn Model (Step 3)'!$I$39:$I$590,
    ISNUMBER(MATCH('V1-Based Churn Model (Step 3)'!$A$39:$A$590,
    _xlfn.UNIQUE(_xlfn._xlws.FILTER(Transactions_and_Customer_Information_Joined[Customer ID],
    (Transactions_and_Customer_Information_Joined[SKU]='Monte Carlo IO (4)'!$A12)*
    (Transactions_and_Customer_Information_Joined[Order Status]="Completed"))),0))))</f>
        <v>3841.99</v>
      </c>
      <c r="V12" s="23" cm="1">
        <f t="array" ref="V12">SUM(_xlfn._xlws.FILTER('V1-Based Churn Model (Step 3)'!$Z$39:$Z$590,
    ISNUMBER(MATCH('V1-Based Churn Model (Step 3)'!$A$39:$A$590,
    _xlfn.UNIQUE(_xlfn._xlws.FILTER(Transactions_and_Customer_Information_Joined[Customer ID],
    (Transactions_and_Customer_Information_Joined[SKU]='Monte Carlo IO (4)'!$A12)*
    (Transactions_and_Customer_Information_Joined[Order Status]="Completed"))),0))))</f>
        <v>1112.0931944026663</v>
      </c>
      <c r="W12" s="21" cm="1">
        <f t="array" ref="W12">IFERROR(SUM(_xlfn._xlws.FILTER(('V1-Based Churn Model (Step 3)'!$X$39:$X$4039="Critical")*1,
    ISNUMBER(MATCH('V1-Based Churn Model (Step 3)'!$A$39:$A$4039,
    _xlfn.UNIQUE(_xlfn._xlws.FILTER(Transactions_and_Customer_Information_Joined[Customer ID],
    (Transactions_and_Customer_Information_Joined[SKU]='Monte Carlo IO (4)'!$A12)*
    (Transactions_and_Customer_Information_Joined[Order Status]="Completed"))),0))))
/ $R12, 0)</f>
        <v>0.5</v>
      </c>
      <c r="X12" s="21" cm="1">
        <f t="array" ref="X12">IFERROR(SUM(_xlfn._xlws.FILTER(('V1-Based Churn Model (Step 3)'!$X$39:$X$4039="High")*1,
    ISNUMBER(MATCH('V1-Based Churn Model (Step 3)'!$A$39:$A$4039,
    _xlfn.UNIQUE(_xlfn._xlws.FILTER(Transactions_and_Customer_Information_Joined[Customer ID],
    (Transactions_and_Customer_Information_Joined[SKU]='Monte Carlo IO (4)'!$A12)*
    (Transactions_and_Customer_Information_Joined[Order Status]="Completed"))),0))))
/ $R12, 0)</f>
        <v>0.3</v>
      </c>
      <c r="Y12" s="21" cm="1">
        <f t="array" ref="Y12">IFERROR(SUM(_xlfn._xlws.FILTER(('V1-Based Churn Model (Step 3)'!$X$39:$X$4039="Medium")*1,
    ISNUMBER(MATCH('V1-Based Churn Model (Step 3)'!$A$39:$A$4039,
    _xlfn.UNIQUE(_xlfn._xlws.FILTER(Transactions_and_Customer_Information_Joined[Customer ID],
    (Transactions_and_Customer_Information_Joined[SKU]='Monte Carlo IO (4)'!$A12)*
    (Transactions_and_Customer_Information_Joined[Order Status]="Completed"))),0))))
/ $R12, 0)</f>
        <v>0.2</v>
      </c>
      <c r="Z12" s="21" cm="1">
        <f t="array" ref="Z12">IFERROR(SUM(_xlfn._xlws.FILTER(('V1-Based Churn Model (Step 3)'!$X$39:$X$4039="Low")*1,
    ISNUMBER(MATCH('V1-Based Churn Model (Step 3)'!$A$39:$A$4039,
    _xlfn.UNIQUE(_xlfn._xlws.FILTER(Transactions_and_Customer_Information_Joined[Customer ID],
    (Transactions_and_Customer_Information_Joined[SKU]='Monte Carlo IO (4)'!$A12)*
    (Transactions_and_Customer_Information_Joined[Order Status]="Completed"))),0))))
/ $R12, 0)</f>
        <v>0</v>
      </c>
      <c r="AA12" s="3" t="str" cm="1">
        <f t="array" ref="AA12">_xlfn.IFS($W12 = MAX($W12:$Z12), "Critical", $X12 = MAX($W12:$Z12), "High", $Y12 = MAX($W12:$Z12), "Medium", $Z12 = MAX($W12:$Z12), "Low")</f>
        <v>Critical</v>
      </c>
      <c r="AB12" s="23" cm="1">
        <f t="array" ref="AB12:AD12">_xlfn.XLOOKUP($A12, Best_Outcomes[SKU], Best_Outcomes[[Adjusted Price]:[Adjusted Difference %]],,0)</f>
        <v>78.975793703182276</v>
      </c>
      <c r="AC12" s="23">
        <v>2.4457937031822752</v>
      </c>
      <c r="AD12" s="21">
        <v>3.1958626723928851E-2</v>
      </c>
      <c r="AE12" s="21">
        <f>$AD12 * IF($D12="Reduce", $B$3, $B$2)</f>
        <v>-1.2783450689571541E-2</v>
      </c>
      <c r="AF12" s="38">
        <f>$H12-$AE12</f>
        <v>24.012783450689572</v>
      </c>
      <c r="AG12" s="23" cm="1">
        <f t="array" ref="AG12:AI12">_xlfn.XLOOKUP($A12,Best_Outcomes[SKU], Best_Outcomes[[Adjusted Gross Revenue]:[Gross Revenue Lift %]])</f>
        <v>1871.189052928989</v>
      </c>
      <c r="AH12" s="23">
        <v>34.469052928988958</v>
      </c>
      <c r="AI12" s="21">
        <v>1.8766634505525587E-2</v>
      </c>
      <c r="AJ12" s="28">
        <f>$AF12*G$12</f>
        <v>1271.7170115485196</v>
      </c>
      <c r="AK12" s="28">
        <f>$AJ12-$J12</f>
        <v>0.67701154851965839</v>
      </c>
      <c r="AL12" s="9">
        <f>$AK12/$J12</f>
        <v>5.3264377873210784E-4</v>
      </c>
      <c r="AM12" s="23" cm="1">
        <f t="array" ref="AM12:AP12">_xlfn.XLOOKUP($A12,Best_Outcomes[SKU], Best_Outcomes[[Adjusted Gross Profit]:[Gross Profit Margin %]])</f>
        <v>616.39733009346196</v>
      </c>
      <c r="AN12" s="23">
        <v>50.717330093461896</v>
      </c>
      <c r="AO12" s="21">
        <v>8.9657279899345729E-2</v>
      </c>
      <c r="AP12" s="21">
        <v>0.32941477993824819</v>
      </c>
      <c r="AQ12" s="9">
        <f>$AP12-$L12</f>
        <v>2.1430982734537196E-2</v>
      </c>
      <c r="AR12" s="21" cm="1">
        <f t="array" ref="AR12:AU12">_xlfn.XLOOKUP($A12,Best_Outcomes[SKU], Best_Outcomes[[Gross Profit Margin Lift %]:[LTV Protection-Risk Ratio]])</f>
        <v>2.1430982734537196E-2</v>
      </c>
      <c r="AS12" s="23">
        <v>358.09400859765856</v>
      </c>
      <c r="AT12" s="23">
        <v>537.14101289648772</v>
      </c>
      <c r="AU12" s="21">
        <v>0.66666666666666685</v>
      </c>
    </row>
    <row r="13" spans="1:47">
      <c r="A13" s="24" t="str">
        <v>SKU-1001</v>
      </c>
      <c r="B13" s="24" t="str">
        <f>_xlfn.XLOOKUP($A13,_1_product_catalog_pricing[SKU], _1_product_catalog_pricing[Product Name],,0)</f>
        <v>Bluetooth Speaker</v>
      </c>
      <c r="C13" s="24" t="str">
        <f>_xlfn.XLOOKUP($A13, _1_product_catalog_pricing[SKU], _1_product_catalog_pricing[Category],,0)</f>
        <v>Electronics</v>
      </c>
      <c r="D13" s="24" t="str" cm="1">
        <f t="array" ref="D13">_xlfn.XLOOKUP($A13,_xlfn.ANCHORARRAY('V1 Pricing Model (Step 2)'!$A$22), 'V1 Pricing Model (Step 2)'!$T$22:$T$71,,0)</f>
        <v>Raise</v>
      </c>
      <c r="E13" s="24" t="str" cm="1">
        <f t="array" ref="E13">_xlfn.XLOOKUP($A13,_xlfn.ANCHORARRAY('V1 Pricing Model (Step 2)'!$A$22), 'V1 Pricing Model (Step 2)'!$AL$22:$AL$71,,0)</f>
        <v>Full</v>
      </c>
      <c r="F13" s="23" cm="1">
        <f t="array" ref="F13">_xlfn.XLOOKUP($A13,_xlfn.ANCHORARRAY('V1 Pricing Model (Step 2)'!$A$22),_xlfn.ANCHORARRAY( 'V1 Pricing Model (Step 2)'!$D$22),,0)</f>
        <v>53.26</v>
      </c>
      <c r="G13" s="23" cm="1">
        <f t="array" ref="G13">_xlfn.XLOOKUP($A13,_xlfn.ANCHORARRAY('V1 Pricing Model (Step 2)'!$A$22),_xlfn.ANCHORARRAY( 'V1 Pricing Model (Step 2)'!$E$22),,0)</f>
        <v>36.64</v>
      </c>
      <c r="H13" s="24" cm="1">
        <f t="array" ref="H13">_xlfn.XLOOKUP($A13, 'Competitive Analysis (Step 1)'!$A$10:$A$209,_xlfn.ANCHORARRAY( 'Competitive Analysis (Step 1)'!$Q$10),,0)</f>
        <v>21</v>
      </c>
      <c r="I13" s="28">
        <f t="shared" ref="I13:I53" si="1">$F13*$H13</f>
        <v>1118.46</v>
      </c>
      <c r="J13" s="28">
        <f t="shared" ref="J13:J53" si="2">$G13*$H13</f>
        <v>769.44</v>
      </c>
      <c r="K13" s="28">
        <f t="shared" ref="K13:K53" si="3">$I13-$J13</f>
        <v>349.02</v>
      </c>
      <c r="L13" s="9">
        <f t="shared" si="0"/>
        <v>0.31205407435223431</v>
      </c>
      <c r="M13" s="23" cm="1">
        <f t="array" ref="M13:O13">_xlfn.XLOOKUP($A13,_xlfn.ANCHORARRAY('V1 Pricing Model (Step 2)'!$A$22),'V1 Pricing Model (Step 2)'!$U$22:$W$71,,0)</f>
        <v>57.563991794204242</v>
      </c>
      <c r="N13" s="23">
        <v>4.3039917942042436</v>
      </c>
      <c r="O13" s="21">
        <v>8.081096121299744E-2</v>
      </c>
      <c r="P13" s="23" cm="1">
        <f t="array" ref="P13">_xlfn.XLOOKUP($A13,_xlfn.ANCHORARRAY( 'V1 Pricing Model (Step 2)'!$A$22), 'V1 Pricing Model (Step 2)'!$AC$22:$AC$71)</f>
        <v>32.819835884084796</v>
      </c>
      <c r="Q13" s="23" cm="1">
        <f t="array" ref="Q13">_xlfn.XLOOKUP($A13,_xlfn.ANCHORARRAY('V1 Pricing Model (Step 2)'!$A$22),'V1 Pricing Model (Step 2)'!$AI$22:$AI$71,,0)</f>
        <v>69.459835884084782</v>
      </c>
      <c r="R13" s="24" cm="1">
        <f t="array" ref="R13">COUNTA(_xlfn.UNIQUE(_xlfn._xlws.FILTER(Transactions_and_Customer_Information_Joined[Customer ID], (Transactions_and_Customer_Information_Joined[SKU]='Monte Carlo IO (4)'!$A13) * (Transactions_and_Customer_Information_Joined[Order Status] = "Completed"), "")))</f>
        <v>9</v>
      </c>
      <c r="S13" s="42" cm="1">
        <f t="array" ref="S13">AVERAGE(_xlfn._xlws.FILTER('V1-Based Churn Model (Step 3)'!$W$39:$W$590,
    ISNUMBER(MATCH('V1-Based Churn Model (Step 3)'!$A$39:$A$590,
    _xlfn.UNIQUE(_xlfn._xlws.FILTER(Transactions_and_Customer_Information_Joined[Customer ID],
    (Transactions_and_Customer_Information_Joined[SKU]='Monte Carlo IO (4)'!$A13)*
    (Transactions_and_Customer_Information_Joined[Order Status]="Completed"))),0))))</f>
        <v>66.806056245059409</v>
      </c>
      <c r="T13" s="25" cm="1">
        <f t="array" ref="T13">AVERAGE(_xlfn._xlws.FILTER('V1-Based Churn Model (Step 3)'!$Y$39:$Y$590,
    ISNUMBER(MATCH('V1-Based Churn Model (Step 3)'!$A$39:$A$590,
    _xlfn.UNIQUE(_xlfn._xlws.FILTER(Transactions_and_Customer_Information_Joined[Customer ID],
    (Transactions_and_Customer_Information_Joined[SKU]='Monte Carlo IO (4)'!$A13)*
    (Transactions_and_Customer_Information_Joined[Order Status]="Completed"))),0))))</f>
        <v>0.26336464749445365</v>
      </c>
      <c r="U13" s="23" cm="1">
        <f t="array" ref="U13">SUM(_xlfn._xlws.FILTER('V1-Based Churn Model (Step 3)'!$I$39:$I$590,
    ISNUMBER(MATCH('V1-Based Churn Model (Step 3)'!$A$39:$A$590,
    _xlfn.UNIQUE(_xlfn._xlws.FILTER(Transactions_and_Customer_Information_Joined[Customer ID],
    (Transactions_and_Customer_Information_Joined[SKU]='Monte Carlo IO (4)'!$A13)*
    (Transactions_and_Customer_Information_Joined[Order Status]="Completed"))),0))))</f>
        <v>5045.9799999999996</v>
      </c>
      <c r="V13" s="23" cm="1">
        <f t="array" ref="V13">SUM(_xlfn._xlws.FILTER('V1-Based Churn Model (Step 3)'!$Z$39:$Z$590,
    ISNUMBER(MATCH('V1-Based Churn Model (Step 3)'!$A$39:$A$590,
    _xlfn.UNIQUE(_xlfn._xlws.FILTER(Transactions_and_Customer_Information_Joined[Customer ID],
    (Transactions_and_Customer_Information_Joined[SKU]='Monte Carlo IO (4)'!$A13)*
    (Transactions_and_Customer_Information_Joined[Order Status]="Completed"))),0))))</f>
        <v>1487.0300026323653</v>
      </c>
      <c r="W13" s="21" cm="1">
        <f t="array" ref="W13">IFERROR(SUM(_xlfn._xlws.FILTER(('V1-Based Churn Model (Step 3)'!$X$39:$X$4039="Critical")*1,
    ISNUMBER(MATCH('V1-Based Churn Model (Step 3)'!$A$39:$A$4039,
    _xlfn.UNIQUE(_xlfn._xlws.FILTER(Transactions_and_Customer_Information_Joined[Customer ID],
    (Transactions_and_Customer_Information_Joined[SKU]='Monte Carlo IO (4)'!$A13)*
    (Transactions_and_Customer_Information_Joined[Order Status]="Completed"))),0))))
/ $R13, 0)</f>
        <v>0.33333333333333331</v>
      </c>
      <c r="X13" s="21" cm="1">
        <f t="array" ref="X13">IFERROR(SUM(_xlfn._xlws.FILTER(('V1-Based Churn Model (Step 3)'!$X$39:$X$4039="High")*1,
    ISNUMBER(MATCH('V1-Based Churn Model (Step 3)'!$A$39:$A$4039,
    _xlfn.UNIQUE(_xlfn._xlws.FILTER(Transactions_and_Customer_Information_Joined[Customer ID],
    (Transactions_and_Customer_Information_Joined[SKU]='Monte Carlo IO (4)'!$A13)*
    (Transactions_and_Customer_Information_Joined[Order Status]="Completed"))),0))))
/ $R13, 0)</f>
        <v>0.44444444444444442</v>
      </c>
      <c r="Y13" s="21" cm="1">
        <f t="array" ref="Y13">IFERROR(SUM(_xlfn._xlws.FILTER(('V1-Based Churn Model (Step 3)'!$X$39:$X$4039="Medium")*1,
    ISNUMBER(MATCH('V1-Based Churn Model (Step 3)'!$A$39:$A$4039,
    _xlfn.UNIQUE(_xlfn._xlws.FILTER(Transactions_and_Customer_Information_Joined[Customer ID],
    (Transactions_and_Customer_Information_Joined[SKU]='Monte Carlo IO (4)'!$A13)*
    (Transactions_and_Customer_Information_Joined[Order Status]="Completed"))),0))))
/ $R13, 0)</f>
        <v>0.22222222222222221</v>
      </c>
      <c r="Z13" s="21" cm="1">
        <f t="array" ref="Z13">IFERROR(SUM(_xlfn._xlws.FILTER(('V1-Based Churn Model (Step 3)'!$X$39:$X$4039="Low")*1,
    ISNUMBER(MATCH('V1-Based Churn Model (Step 3)'!$A$39:$A$4039,
    _xlfn.UNIQUE(_xlfn._xlws.FILTER(Transactions_and_Customer_Information_Joined[Customer ID],
    (Transactions_and_Customer_Information_Joined[SKU]='Monte Carlo IO (4)'!$A13)*
    (Transactions_and_Customer_Information_Joined[Order Status]="Completed"))),0))))
/ $R13, 0)</f>
        <v>0</v>
      </c>
      <c r="AA13" s="3" t="str" cm="1">
        <f t="array" ref="AA13">_xlfn.IFS($W13 = MAX($W13:$Z13), "Critical", $X13 = MAX($W13:$Z13), "High", $Y13 = MAX($W13:$Z13), "Medium", $Z13 = MAX($W13:$Z13), "Low")</f>
        <v>High</v>
      </c>
      <c r="AB13" s="23" cm="1">
        <f t="array" ref="AB13:AD13">_xlfn.XLOOKUP($A13, Best_Outcomes[SKU], Best_Outcomes[[Adjusted Price]:[Adjusted Difference %]],,0)</f>
        <v>55.842395076522543</v>
      </c>
      <c r="AC13" s="23">
        <v>2.5823950765225447</v>
      </c>
      <c r="AD13" s="21">
        <v>4.8486576727798436E-2</v>
      </c>
      <c r="AE13" s="21">
        <f t="shared" ref="AE13:AE53" si="4">$AD13 * IF($D13="Reduce", $B$3, $B$2)</f>
        <v>-1.9394630691119377E-2</v>
      </c>
      <c r="AF13" s="38">
        <f t="shared" ref="AF13:AF53" si="5">$H13-$AE13</f>
        <v>21.019394630691121</v>
      </c>
      <c r="AG13" s="23" cm="1">
        <f t="array" ref="AG13:AI13">_xlfn.XLOOKUP($A13,Best_Outcomes[SKU], Best_Outcomes[[Adjusted Gross Revenue]:[Gross Revenue Lift %]])</f>
        <v>1149.946401389222</v>
      </c>
      <c r="AH13" s="23">
        <v>31.48640138922201</v>
      </c>
      <c r="AI13" s="21">
        <v>2.8151566787566841E-2</v>
      </c>
      <c r="AJ13" s="28">
        <f t="shared" ref="AJ13:AJ53" si="6">$AF13*G$12</f>
        <v>1113.1871396414017</v>
      </c>
      <c r="AK13" s="28">
        <f t="shared" ref="AK13:AK53" si="7">$AJ13-$J13</f>
        <v>343.74713964140165</v>
      </c>
      <c r="AL13" s="9">
        <f t="shared" ref="AL13:AL53" si="8">$AK13/$J13</f>
        <v>0.44674976559757956</v>
      </c>
      <c r="AM13" s="23" cm="1">
        <f t="array" ref="AM13:AP13">_xlfn.XLOOKUP($A13,Best_Outcomes[SKU], Best_Outcomes[[Adjusted Gross Profit]:[Gross Profit Margin %]])</f>
        <v>395.42940602819681</v>
      </c>
      <c r="AN13" s="23">
        <v>46.409406028196827</v>
      </c>
      <c r="AO13" s="21">
        <v>0.1329706206755969</v>
      </c>
      <c r="AP13" s="21">
        <v>0.34386768422466318</v>
      </c>
      <c r="AQ13" s="9">
        <f t="shared" ref="AQ13:AQ53" si="9">$AP13-$L13</f>
        <v>3.1813609872428872E-2</v>
      </c>
      <c r="AR13" s="21" cm="1">
        <f t="array" ref="AR13:AU13">_xlfn.XLOOKUP($A13,Best_Outcomes[SKU], Best_Outcomes[[Gross Profit Margin Lift %]:[LTV Protection-Risk Ratio]])</f>
        <v>3.1813609872428872E-2</v>
      </c>
      <c r="AS13" s="23">
        <v>449.41351190667075</v>
      </c>
      <c r="AT13" s="23">
        <v>674.12026786000524</v>
      </c>
      <c r="AU13" s="21">
        <v>0.66666666666666752</v>
      </c>
    </row>
    <row r="14" spans="1:47">
      <c r="A14" s="24" t="str">
        <v>SKU-1004</v>
      </c>
      <c r="B14" s="24" t="str">
        <f>_xlfn.XLOOKUP($A14,_1_product_catalog_pricing[SKU], _1_product_catalog_pricing[Product Name],,0)</f>
        <v>USB-C Hub</v>
      </c>
      <c r="C14" s="24" t="str">
        <f>_xlfn.XLOOKUP($A14, _1_product_catalog_pricing[SKU], _1_product_catalog_pricing[Category],,0)</f>
        <v>Electronics</v>
      </c>
      <c r="D14" s="24" t="str" cm="1">
        <f t="array" ref="D14">_xlfn.XLOOKUP($A14,_xlfn.ANCHORARRAY('V1 Pricing Model (Step 2)'!$A$22), 'V1 Pricing Model (Step 2)'!$T$22:$T$71,,0)</f>
        <v>Hold</v>
      </c>
      <c r="E14" s="24" t="str" cm="1">
        <f t="array" ref="E14">_xlfn.XLOOKUP($A14,_xlfn.ANCHORARRAY('V1 Pricing Model (Step 2)'!$A$22), 'V1 Pricing Model (Step 2)'!$AL$22:$AL$71,,0)</f>
        <v>Full</v>
      </c>
      <c r="F14" s="23" cm="1">
        <f t="array" ref="F14">_xlfn.XLOOKUP($A14,_xlfn.ANCHORARRAY('V1 Pricing Model (Step 2)'!$A$22),_xlfn.ANCHORARRAY( 'V1 Pricing Model (Step 2)'!$D$22),,0)</f>
        <v>18.39</v>
      </c>
      <c r="G14" s="23" cm="1">
        <f t="array" ref="G14">_xlfn.XLOOKUP($A14,_xlfn.ANCHORARRAY('V1 Pricing Model (Step 2)'!$A$22),_xlfn.ANCHORARRAY( 'V1 Pricing Model (Step 2)'!$E$22),,0)</f>
        <v>8.26</v>
      </c>
      <c r="H14" s="24" cm="1">
        <f t="array" ref="H14">_xlfn.XLOOKUP($A14, 'Competitive Analysis (Step 1)'!$A$10:$A$209,_xlfn.ANCHORARRAY( 'Competitive Analysis (Step 1)'!$Q$10),,0)</f>
        <v>17</v>
      </c>
      <c r="I14" s="28">
        <f t="shared" si="1"/>
        <v>312.63</v>
      </c>
      <c r="J14" s="28">
        <f t="shared" si="2"/>
        <v>140.41999999999999</v>
      </c>
      <c r="K14" s="28">
        <f t="shared" si="3"/>
        <v>172.21</v>
      </c>
      <c r="L14" s="9">
        <f t="shared" si="0"/>
        <v>0.55084284937466022</v>
      </c>
      <c r="M14" s="23" cm="1">
        <f t="array" ref="M14:O14">_xlfn.XLOOKUP($A14,_xlfn.ANCHORARRAY('V1 Pricing Model (Step 2)'!$A$22),'V1 Pricing Model (Step 2)'!$U$22:$W$71,,0)</f>
        <v>20.325621653116809</v>
      </c>
      <c r="N14" s="23">
        <v>1.935621653116808</v>
      </c>
      <c r="O14" s="21">
        <v>0.10525403225213746</v>
      </c>
      <c r="P14" s="23" cm="1">
        <f t="array" ref="P14">_xlfn.XLOOKUP($A14,_xlfn.ANCHORARRAY( 'V1 Pricing Model (Step 2)'!$A$22), 'V1 Pricing Model (Step 2)'!$AC$22:$AC$71)</f>
        <v>12.579946449868942</v>
      </c>
      <c r="Q14" s="23" cm="1">
        <f t="array" ref="Q14">_xlfn.XLOOKUP($A14,_xlfn.ANCHORARRAY('V1 Pricing Model (Step 2)'!$A$22),'V1 Pricing Model (Step 2)'!$AI$22:$AI$71,,0)</f>
        <v>20.839946449868961</v>
      </c>
      <c r="R14" s="24" cm="1">
        <f t="array" ref="R14">COUNTA(_xlfn.UNIQUE(_xlfn._xlws.FILTER(Transactions_and_Customer_Information_Joined[Customer ID], (Transactions_and_Customer_Information_Joined[SKU]='Monte Carlo IO (4)'!$A14) * (Transactions_and_Customer_Information_Joined[Order Status] = "Completed"), "")))</f>
        <v>9</v>
      </c>
      <c r="S14" s="42" cm="1">
        <f t="array" ref="S14">AVERAGE(_xlfn._xlws.FILTER('V1-Based Churn Model (Step 3)'!$W$39:$W$590,
    ISNUMBER(MATCH('V1-Based Churn Model (Step 3)'!$A$39:$A$590,
    _xlfn.UNIQUE(_xlfn._xlws.FILTER(Transactions_and_Customer_Information_Joined[Customer ID],
    (Transactions_and_Customer_Information_Joined[SKU]='Monte Carlo IO (4)'!$A14)*
    (Transactions_and_Customer_Information_Joined[Order Status]="Completed"))),0))))</f>
        <v>68.467576729791105</v>
      </c>
      <c r="T14" s="25" cm="1">
        <f t="array" ref="T14">AVERAGE(_xlfn._xlws.FILTER('V1-Based Churn Model (Step 3)'!$Y$39:$Y$590,
    ISNUMBER(MATCH('V1-Based Churn Model (Step 3)'!$A$39:$A$590,
    _xlfn.UNIQUE(_xlfn._xlws.FILTER(Transactions_and_Customer_Information_Joined[Customer ID],
    (Transactions_and_Customer_Information_Joined[SKU]='Monte Carlo IO (4)'!$A14)*
    (Transactions_and_Customer_Information_Joined[Order Status]="Completed"))),0))))</f>
        <v>0.25195320163668511</v>
      </c>
      <c r="U14" s="23" cm="1">
        <f t="array" ref="U14">SUM(_xlfn._xlws.FILTER('V1-Based Churn Model (Step 3)'!$I$39:$I$590,
    ISNUMBER(MATCH('V1-Based Churn Model (Step 3)'!$A$39:$A$590,
    _xlfn.UNIQUE(_xlfn._xlws.FILTER(Transactions_and_Customer_Information_Joined[Customer ID],
    (Transactions_and_Customer_Information_Joined[SKU]='Monte Carlo IO (4)'!$A14)*
    (Transactions_and_Customer_Information_Joined[Order Status]="Completed"))),0))))</f>
        <v>6058.7500000000009</v>
      </c>
      <c r="V14" s="23" cm="1">
        <f t="array" ref="V14">SUM(_xlfn._xlws.FILTER('V1-Based Churn Model (Step 3)'!$Z$39:$Z$590,
    ISNUMBER(MATCH('V1-Based Churn Model (Step 3)'!$A$39:$A$590,
    _xlfn.UNIQUE(_xlfn._xlws.FILTER(Transactions_and_Customer_Information_Joined[Customer ID],
    (Transactions_and_Customer_Information_Joined[SKU]='Monte Carlo IO (4)'!$A14)*
    (Transactions_and_Customer_Information_Joined[Order Status]="Completed"))),0))))</f>
        <v>1216.0706729565338</v>
      </c>
      <c r="W14" s="21" cm="1">
        <f t="array" ref="W14">IFERROR(SUM(_xlfn._xlws.FILTER(('V1-Based Churn Model (Step 3)'!$X$39:$X$4039="Critical")*1,
    ISNUMBER(MATCH('V1-Based Churn Model (Step 3)'!$A$39:$A$4039,
    _xlfn.UNIQUE(_xlfn._xlws.FILTER(Transactions_and_Customer_Information_Joined[Customer ID],
    (Transactions_and_Customer_Information_Joined[SKU]='Monte Carlo IO (4)'!$A14)*
    (Transactions_and_Customer_Information_Joined[Order Status]="Completed"))),0))))
/ $R14, 0)</f>
        <v>0.55555555555555558</v>
      </c>
      <c r="X14" s="21" cm="1">
        <f t="array" ref="X14">IFERROR(SUM(_xlfn._xlws.FILTER(('V1-Based Churn Model (Step 3)'!$X$39:$X$4039="High")*1,
    ISNUMBER(MATCH('V1-Based Churn Model (Step 3)'!$A$39:$A$4039,
    _xlfn.UNIQUE(_xlfn._xlws.FILTER(Transactions_and_Customer_Information_Joined[Customer ID],
    (Transactions_and_Customer_Information_Joined[SKU]='Monte Carlo IO (4)'!$A14)*
    (Transactions_and_Customer_Information_Joined[Order Status]="Completed"))),0))))
/ $R14, 0)</f>
        <v>0.1111111111111111</v>
      </c>
      <c r="Y14" s="21" cm="1">
        <f t="array" ref="Y14">IFERROR(SUM(_xlfn._xlws.FILTER(('V1-Based Churn Model (Step 3)'!$X$39:$X$4039="Medium")*1,
    ISNUMBER(MATCH('V1-Based Churn Model (Step 3)'!$A$39:$A$4039,
    _xlfn.UNIQUE(_xlfn._xlws.FILTER(Transactions_and_Customer_Information_Joined[Customer ID],
    (Transactions_and_Customer_Information_Joined[SKU]='Monte Carlo IO (4)'!$A14)*
    (Transactions_and_Customer_Information_Joined[Order Status]="Completed"))),0))))
/ $R14, 0)</f>
        <v>0.33333333333333331</v>
      </c>
      <c r="Z14" s="21" cm="1">
        <f t="array" ref="Z14">IFERROR(SUM(_xlfn._xlws.FILTER(('V1-Based Churn Model (Step 3)'!$X$39:$X$4039="Low")*1,
    ISNUMBER(MATCH('V1-Based Churn Model (Step 3)'!$A$39:$A$4039,
    _xlfn.UNIQUE(_xlfn._xlws.FILTER(Transactions_and_Customer_Information_Joined[Customer ID],
    (Transactions_and_Customer_Information_Joined[SKU]='Monte Carlo IO (4)'!$A14)*
    (Transactions_and_Customer_Information_Joined[Order Status]="Completed"))),0))))
/ $R14, 0)</f>
        <v>0</v>
      </c>
      <c r="AA14" s="3" t="str" cm="1">
        <f t="array" ref="AA14">_xlfn.IFS($W14 = MAX($W14:$Z14), "Critical", $X14 = MAX($W14:$Z14), "High", $Y14 = MAX($W14:$Z14), "Medium", $Z14 = MAX($W14:$Z14), "Low")</f>
        <v>Critical</v>
      </c>
      <c r="AB14" s="23" cm="1">
        <f t="array" ref="AB14:AD14">_xlfn.XLOOKUP($A14, Best_Outcomes[SKU], Best_Outcomes[[Adjusted Price]:[Adjusted Difference %]],,0)</f>
        <v>19.551372991870085</v>
      </c>
      <c r="AC14" s="23">
        <v>1.1613729918700848</v>
      </c>
      <c r="AD14" s="21">
        <v>6.3152419351282477E-2</v>
      </c>
      <c r="AE14" s="21">
        <f t="shared" si="4"/>
        <v>-2.5260967740512993E-2</v>
      </c>
      <c r="AF14" s="38">
        <f t="shared" si="5"/>
        <v>17.025260967740515</v>
      </c>
      <c r="AG14" s="23" cm="1">
        <f t="array" ref="AG14:AI14">_xlfn.XLOOKUP($A14,Best_Outcomes[SKU], Best_Outcomes[[Adjusted Gross Revenue]:[Gross Revenue Lift %]])</f>
        <v>323.97726862047523</v>
      </c>
      <c r="AH14" s="23">
        <v>11.347268620475234</v>
      </c>
      <c r="AI14" s="21">
        <v>3.62961603828015E-2</v>
      </c>
      <c r="AJ14" s="28">
        <f t="shared" si="6"/>
        <v>901.65782085153762</v>
      </c>
      <c r="AK14" s="28">
        <f t="shared" si="7"/>
        <v>761.23782085153766</v>
      </c>
      <c r="AL14" s="9">
        <f t="shared" si="8"/>
        <v>5.4211495574101818</v>
      </c>
      <c r="AM14" s="23" cm="1">
        <f t="array" ref="AM14:AP14">_xlfn.XLOOKUP($A14,Best_Outcomes[SKU], Best_Outcomes[[Adjusted Gross Profit]:[Gross Profit Margin %]])</f>
        <v>187.10441371059807</v>
      </c>
      <c r="AN14" s="23">
        <v>14.894413710598059</v>
      </c>
      <c r="AO14" s="21">
        <v>8.6489830501121065E-2</v>
      </c>
      <c r="AP14" s="21">
        <v>0.57752327657834057</v>
      </c>
      <c r="AQ14" s="9">
        <f t="shared" si="9"/>
        <v>2.6680427203680357E-2</v>
      </c>
      <c r="AR14" s="21" cm="1">
        <f t="array" ref="AR14:AU14">_xlfn.XLOOKUP($A14,Best_Outcomes[SKU], Best_Outcomes[[Gross Profit Margin Lift %]:[LTV Protection-Risk Ratio]])</f>
        <v>2.6680427203680357E-2</v>
      </c>
      <c r="AS14" s="23">
        <v>375.63071897990716</v>
      </c>
      <c r="AT14" s="23">
        <v>563.44607846986059</v>
      </c>
      <c r="AU14" s="21">
        <v>0.66666666666666685</v>
      </c>
    </row>
    <row r="15" spans="1:47">
      <c r="A15" s="24" t="str">
        <v>SKU-1005</v>
      </c>
      <c r="B15" s="24" t="str">
        <f>_xlfn.XLOOKUP($A15,_1_product_catalog_pricing[SKU], _1_product_catalog_pricing[Product Name],,0)</f>
        <v>Webcam</v>
      </c>
      <c r="C15" s="24" t="str">
        <f>_xlfn.XLOOKUP($A15, _1_product_catalog_pricing[SKU], _1_product_catalog_pricing[Category],,0)</f>
        <v>Electronics</v>
      </c>
      <c r="D15" s="24" t="str" cm="1">
        <f t="array" ref="D15">_xlfn.XLOOKUP($A15,_xlfn.ANCHORARRAY('V1 Pricing Model (Step 2)'!$A$22), 'V1 Pricing Model (Step 2)'!$T$22:$T$71,,0)</f>
        <v>Raise</v>
      </c>
      <c r="E15" s="24" t="str" cm="1">
        <f t="array" ref="E15">_xlfn.XLOOKUP($A15,_xlfn.ANCHORARRAY('V1 Pricing Model (Step 2)'!$A$22), 'V1 Pricing Model (Step 2)'!$AL$22:$AL$71,,0)</f>
        <v>Full</v>
      </c>
      <c r="F15" s="23" cm="1">
        <f t="array" ref="F15">_xlfn.XLOOKUP($A15,_xlfn.ANCHORARRAY('V1 Pricing Model (Step 2)'!$A$22),_xlfn.ANCHORARRAY( 'V1 Pricing Model (Step 2)'!$D$22),,0)</f>
        <v>29.62</v>
      </c>
      <c r="G15" s="23" cm="1">
        <f t="array" ref="G15">_xlfn.XLOOKUP($A15,_xlfn.ANCHORARRAY('V1 Pricing Model (Step 2)'!$A$22),_xlfn.ANCHORARRAY( 'V1 Pricing Model (Step 2)'!$E$22),,0)</f>
        <v>19.420000000000002</v>
      </c>
      <c r="H15" s="24" cm="1">
        <f t="array" ref="H15">_xlfn.XLOOKUP($A15, 'Competitive Analysis (Step 1)'!$A$10:$A$209,_xlfn.ANCHORARRAY( 'Competitive Analysis (Step 1)'!$Q$10),,0)</f>
        <v>46</v>
      </c>
      <c r="I15" s="28">
        <f t="shared" si="1"/>
        <v>1362.52</v>
      </c>
      <c r="J15" s="28">
        <f t="shared" si="2"/>
        <v>893.32</v>
      </c>
      <c r="K15" s="28">
        <f t="shared" si="3"/>
        <v>469.19999999999993</v>
      </c>
      <c r="L15" s="9">
        <f t="shared" si="0"/>
        <v>0.34436191762322749</v>
      </c>
      <c r="M15" s="23" cm="1">
        <f t="array" ref="M15:O15">_xlfn.XLOOKUP($A15,_xlfn.ANCHORARRAY('V1 Pricing Model (Step 2)'!$A$22),'V1 Pricing Model (Step 2)'!$U$22:$W$71,,0)</f>
        <v>28.258195261587474</v>
      </c>
      <c r="N15" s="23">
        <v>-1.3618047384125269</v>
      </c>
      <c r="O15" s="21">
        <v>-4.5975852073346618E-2</v>
      </c>
      <c r="P15" s="23" cm="1">
        <f t="array" ref="P15">_xlfn.XLOOKUP($A15,_xlfn.ANCHORARRAY( 'V1 Pricing Model (Step 2)'!$A$22), 'V1 Pricing Model (Step 2)'!$AC$22:$AC$71)</f>
        <v>110.97517729461129</v>
      </c>
      <c r="Q15" s="23" cm="1">
        <f t="array" ref="Q15">_xlfn.XLOOKUP($A15,_xlfn.ANCHORARRAY('V1 Pricing Model (Step 2)'!$A$22),'V1 Pricing Model (Step 2)'!$AI$22:$AI$71,,0)</f>
        <v>91.555177294611212</v>
      </c>
      <c r="R15" s="24" cm="1">
        <f t="array" ref="R15">COUNTA(_xlfn.UNIQUE(_xlfn._xlws.FILTER(Transactions_and_Customer_Information_Joined[Customer ID], (Transactions_and_Customer_Information_Joined[SKU]='Monte Carlo IO (4)'!$A15) * (Transactions_and_Customer_Information_Joined[Order Status] = "Completed"), "")))</f>
        <v>17</v>
      </c>
      <c r="S15" s="42" cm="1">
        <f t="array" ref="S15">AVERAGE(_xlfn._xlws.FILTER('V1-Based Churn Model (Step 3)'!$W$39:$W$590,
    ISNUMBER(MATCH('V1-Based Churn Model (Step 3)'!$A$39:$A$590,
    _xlfn.UNIQUE(_xlfn._xlws.FILTER(Transactions_and_Customer_Information_Joined[Customer ID],
    (Transactions_and_Customer_Information_Joined[SKU]='Monte Carlo IO (4)'!$A15)*
    (Transactions_and_Customer_Information_Joined[Order Status]="Completed"))),0))))</f>
        <v>67.886890433154917</v>
      </c>
      <c r="T15" s="25" cm="1">
        <f t="array" ref="T15">AVERAGE(_xlfn._xlws.FILTER('V1-Based Churn Model (Step 3)'!$Y$39:$Y$590,
    ISNUMBER(MATCH('V1-Based Churn Model (Step 3)'!$A$39:$A$590,
    _xlfn.UNIQUE(_xlfn._xlws.FILTER(Transactions_and_Customer_Information_Joined[Customer ID],
    (Transactions_and_Customer_Information_Joined[SKU]='Monte Carlo IO (4)'!$A15)*
    (Transactions_and_Customer_Information_Joined[Order Status]="Completed"))),0))))</f>
        <v>0.26625069764048448</v>
      </c>
      <c r="U15" s="23" cm="1">
        <f t="array" ref="U15">SUM(_xlfn._xlws.FILTER('V1-Based Churn Model (Step 3)'!$I$39:$I$590,
    ISNUMBER(MATCH('V1-Based Churn Model (Step 3)'!$A$39:$A$590,
    _xlfn.UNIQUE(_xlfn._xlws.FILTER(Transactions_and_Customer_Information_Joined[Customer ID],
    (Transactions_and_Customer_Information_Joined[SKU]='Monte Carlo IO (4)'!$A15)*
    (Transactions_and_Customer_Information_Joined[Order Status]="Completed"))),0))))</f>
        <v>3551.5199999999995</v>
      </c>
      <c r="V15" s="23" cm="1">
        <f t="array" ref="V15">SUM(_xlfn._xlws.FILTER('V1-Based Churn Model (Step 3)'!$Z$39:$Z$590,
    ISNUMBER(MATCH('V1-Based Churn Model (Step 3)'!$A$39:$A$590,
    _xlfn.UNIQUE(_xlfn._xlws.FILTER(Transactions_and_Customer_Information_Joined[Customer ID],
    (Transactions_and_Customer_Information_Joined[SKU]='Monte Carlo IO (4)'!$A15)*
    (Transactions_and_Customer_Information_Joined[Order Status]="Completed"))),0))))</f>
        <v>1171.8239094760554</v>
      </c>
      <c r="W15" s="21" cm="1">
        <f t="array" ref="W15">IFERROR(SUM(_xlfn._xlws.FILTER(('V1-Based Churn Model (Step 3)'!$X$39:$X$4039="Critical")*1,
    ISNUMBER(MATCH('V1-Based Churn Model (Step 3)'!$A$39:$A$4039,
    _xlfn.UNIQUE(_xlfn._xlws.FILTER(Transactions_and_Customer_Information_Joined[Customer ID],
    (Transactions_and_Customer_Information_Joined[SKU]='Monte Carlo IO (4)'!$A15)*
    (Transactions_and_Customer_Information_Joined[Order Status]="Completed"))),0))))
/ $R15, 0)</f>
        <v>0.41176470588235292</v>
      </c>
      <c r="X15" s="21" cm="1">
        <f t="array" ref="X15">IFERROR(SUM(_xlfn._xlws.FILTER(('V1-Based Churn Model (Step 3)'!$X$39:$X$4039="High")*1,
    ISNUMBER(MATCH('V1-Based Churn Model (Step 3)'!$A$39:$A$4039,
    _xlfn.UNIQUE(_xlfn._xlws.FILTER(Transactions_and_Customer_Information_Joined[Customer ID],
    (Transactions_and_Customer_Information_Joined[SKU]='Monte Carlo IO (4)'!$A15)*
    (Transactions_and_Customer_Information_Joined[Order Status]="Completed"))),0))))
/ $R15, 0)</f>
        <v>0.41176470588235292</v>
      </c>
      <c r="Y15" s="21" cm="1">
        <f t="array" ref="Y15">IFERROR(SUM(_xlfn._xlws.FILTER(('V1-Based Churn Model (Step 3)'!$X$39:$X$4039="Medium")*1,
    ISNUMBER(MATCH('V1-Based Churn Model (Step 3)'!$A$39:$A$4039,
    _xlfn.UNIQUE(_xlfn._xlws.FILTER(Transactions_and_Customer_Information_Joined[Customer ID],
    (Transactions_and_Customer_Information_Joined[SKU]='Monte Carlo IO (4)'!$A15)*
    (Transactions_and_Customer_Information_Joined[Order Status]="Completed"))),0))))
/ $R15, 0)</f>
        <v>0.17647058823529413</v>
      </c>
      <c r="Z15" s="21" cm="1">
        <f t="array" ref="Z15">IFERROR(SUM(_xlfn._xlws.FILTER(('V1-Based Churn Model (Step 3)'!$X$39:$X$4039="Low")*1,
    ISNUMBER(MATCH('V1-Based Churn Model (Step 3)'!$A$39:$A$4039,
    _xlfn.UNIQUE(_xlfn._xlws.FILTER(Transactions_and_Customer_Information_Joined[Customer ID],
    (Transactions_and_Customer_Information_Joined[SKU]='Monte Carlo IO (4)'!$A15)*
    (Transactions_and_Customer_Information_Joined[Order Status]="Completed"))),0))))
/ $R15, 0)</f>
        <v>0</v>
      </c>
      <c r="AA15" s="3" t="str" cm="1">
        <f t="array" ref="AA15">_xlfn.IFS($W15 = MAX($W15:$Z15), "Critical", $X15 = MAX($W15:$Z15), "High", $Y15 = MAX($W15:$Z15), "Medium", $Z15 = MAX($W15:$Z15), "Low")</f>
        <v>Critical</v>
      </c>
      <c r="AB15" s="23" cm="1">
        <f t="array" ref="AB15:AD15">_xlfn.XLOOKUP($A15, Best_Outcomes[SKU], Best_Outcomes[[Adjusted Price]:[Adjusted Difference %]],,0)</f>
        <v>29.62</v>
      </c>
      <c r="AC15" s="23">
        <v>0</v>
      </c>
      <c r="AD15" s="21">
        <v>0</v>
      </c>
      <c r="AE15" s="21">
        <f t="shared" si="4"/>
        <v>0</v>
      </c>
      <c r="AF15" s="38">
        <f t="shared" si="5"/>
        <v>46</v>
      </c>
      <c r="AG15" s="23" cm="1">
        <f t="array" ref="AG15:AI15">_xlfn.XLOOKUP($A15,Best_Outcomes[SKU], Best_Outcomes[[Adjusted Gross Revenue]:[Gross Revenue Lift %]])</f>
        <v>1362.52</v>
      </c>
      <c r="AH15" s="23">
        <v>0</v>
      </c>
      <c r="AI15" s="21">
        <v>0</v>
      </c>
      <c r="AJ15" s="28">
        <f t="shared" si="6"/>
        <v>2436.16</v>
      </c>
      <c r="AK15" s="28">
        <f t="shared" si="7"/>
        <v>1542.8399999999997</v>
      </c>
      <c r="AL15" s="9">
        <f t="shared" si="8"/>
        <v>1.7270854788877441</v>
      </c>
      <c r="AM15" s="23" cm="1">
        <f t="array" ref="AM15:AP15">_xlfn.XLOOKUP($A15,Best_Outcomes[SKU], Best_Outcomes[[Adjusted Gross Profit]:[Gross Profit Margin %]])</f>
        <v>469.19999999999993</v>
      </c>
      <c r="AN15" s="23">
        <v>0</v>
      </c>
      <c r="AO15" s="21">
        <v>0</v>
      </c>
      <c r="AP15" s="21">
        <v>0.34436191762322749</v>
      </c>
      <c r="AQ15" s="9">
        <f t="shared" si="9"/>
        <v>0</v>
      </c>
      <c r="AR15" s="21" cm="1">
        <f t="array" ref="AR15:AU15">_xlfn.XLOOKUP($A15,Best_Outcomes[SKU], Best_Outcomes[[Gross Profit Margin Lift %]:[LTV Protection-Risk Ratio]])</f>
        <v>0</v>
      </c>
      <c r="AS15" s="23">
        <v>927.11950485017326</v>
      </c>
      <c r="AT15" s="23">
        <v>0</v>
      </c>
      <c r="AU15" s="21">
        <v>0</v>
      </c>
    </row>
    <row r="16" spans="1:47">
      <c r="A16" s="24" t="str">
        <v>SKU-1006</v>
      </c>
      <c r="B16" s="24" t="str">
        <f>_xlfn.XLOOKUP($A16,_1_product_catalog_pricing[SKU], _1_product_catalog_pricing[Product Name],,0)</f>
        <v>Mechanical Keyboard</v>
      </c>
      <c r="C16" s="24" t="str">
        <f>_xlfn.XLOOKUP($A16, _1_product_catalog_pricing[SKU], _1_product_catalog_pricing[Category],,0)</f>
        <v>Electronics</v>
      </c>
      <c r="D16" s="24" t="str" cm="1">
        <f t="array" ref="D16">_xlfn.XLOOKUP($A16,_xlfn.ANCHORARRAY('V1 Pricing Model (Step 2)'!$A$22), 'V1 Pricing Model (Step 2)'!$T$22:$T$71,,0)</f>
        <v>Hold</v>
      </c>
      <c r="E16" s="24" t="str" cm="1">
        <f t="array" ref="E16">_xlfn.XLOOKUP($A16,_xlfn.ANCHORARRAY('V1 Pricing Model (Step 2)'!$A$22), 'V1 Pricing Model (Step 2)'!$AL$22:$AL$71,,0)</f>
        <v>Full</v>
      </c>
      <c r="F16" s="23" cm="1">
        <f t="array" ref="F16">_xlfn.XLOOKUP($A16,_xlfn.ANCHORARRAY('V1 Pricing Model (Step 2)'!$A$22),_xlfn.ANCHORARRAY( 'V1 Pricing Model (Step 2)'!$D$22),,0)</f>
        <v>113.18</v>
      </c>
      <c r="G16" s="23" cm="1">
        <f t="array" ref="G16">_xlfn.XLOOKUP($A16,_xlfn.ANCHORARRAY('V1 Pricing Model (Step 2)'!$A$22),_xlfn.ANCHORARRAY( 'V1 Pricing Model (Step 2)'!$E$22),,0)</f>
        <v>39.01</v>
      </c>
      <c r="H16" s="24" cm="1">
        <f t="array" ref="H16">_xlfn.XLOOKUP($A16, 'Competitive Analysis (Step 1)'!$A$10:$A$209,_xlfn.ANCHORARRAY( 'Competitive Analysis (Step 1)'!$Q$10),,0)</f>
        <v>24</v>
      </c>
      <c r="I16" s="28">
        <f t="shared" si="1"/>
        <v>2716.32</v>
      </c>
      <c r="J16" s="28">
        <f t="shared" si="2"/>
        <v>936.24</v>
      </c>
      <c r="K16" s="28">
        <f t="shared" si="3"/>
        <v>1780.0800000000002</v>
      </c>
      <c r="L16" s="9">
        <f t="shared" si="0"/>
        <v>0.65532779643046479</v>
      </c>
      <c r="M16" s="23" cm="1">
        <f t="array" ref="M16:O16">_xlfn.XLOOKUP($A16,_xlfn.ANCHORARRAY('V1 Pricing Model (Step 2)'!$A$22),'V1 Pricing Model (Step 2)'!$U$22:$W$71,,0)</f>
        <v>122.07351223831479</v>
      </c>
      <c r="N16" s="23">
        <v>8.8935122383147842</v>
      </c>
      <c r="O16" s="21">
        <v>7.8578478868305213E-2</v>
      </c>
      <c r="P16" s="23" cm="1">
        <f t="array" ref="P16">_xlfn.XLOOKUP($A16,_xlfn.ANCHORARRAY( 'V1 Pricing Model (Step 2)'!$A$22), 'V1 Pricing Model (Step 2)'!$AC$22:$AC$71)</f>
        <v>91.370781481239646</v>
      </c>
      <c r="Q16" s="23" cm="1">
        <f t="array" ref="Q16">_xlfn.XLOOKUP($A16,_xlfn.ANCHORARRAY('V1 Pricing Model (Step 2)'!$A$22),'V1 Pricing Model (Step 2)'!$AI$22:$AI$71,,0)</f>
        <v>130.38078148123941</v>
      </c>
      <c r="R16" s="24" cm="1">
        <f t="array" ref="R16">COUNTA(_xlfn.UNIQUE(_xlfn._xlws.FILTER(Transactions_and_Customer_Information_Joined[Customer ID], (Transactions_and_Customer_Information_Joined[SKU]='Monte Carlo IO (4)'!$A16) * (Transactions_and_Customer_Information_Joined[Order Status] = "Completed"), "")))</f>
        <v>10</v>
      </c>
      <c r="S16" s="42" cm="1">
        <f t="array" ref="S16">AVERAGE(_xlfn._xlws.FILTER('V1-Based Churn Model (Step 3)'!$W$39:$W$590,
    ISNUMBER(MATCH('V1-Based Churn Model (Step 3)'!$A$39:$A$590,
    _xlfn.UNIQUE(_xlfn._xlws.FILTER(Transactions_and_Customer_Information_Joined[Customer ID],
    (Transactions_and_Customer_Information_Joined[SKU]='Monte Carlo IO (4)'!$A16)*
    (Transactions_and_Customer_Information_Joined[Order Status]="Completed"))),0))))</f>
        <v>63.379342377199613</v>
      </c>
      <c r="T16" s="25" cm="1">
        <f t="array" ref="T16">AVERAGE(_xlfn._xlws.FILTER('V1-Based Churn Model (Step 3)'!$Y$39:$Y$590,
    ISNUMBER(MATCH('V1-Based Churn Model (Step 3)'!$A$39:$A$590,
    _xlfn.UNIQUE(_xlfn._xlws.FILTER(Transactions_and_Customer_Information_Joined[Customer ID],
    (Transactions_and_Customer_Information_Joined[SKU]='Monte Carlo IO (4)'!$A16)*
    (Transactions_and_Customer_Information_Joined[Order Status]="Completed"))),0))))</f>
        <v>0.19532650064710491</v>
      </c>
      <c r="U16" s="23" cm="1">
        <f t="array" ref="U16">SUM(_xlfn._xlws.FILTER('V1-Based Churn Model (Step 3)'!$I$39:$I$590,
    ISNUMBER(MATCH('V1-Based Churn Model (Step 3)'!$A$39:$A$590,
    _xlfn.UNIQUE(_xlfn._xlws.FILTER(Transactions_and_Customer_Information_Joined[Customer ID],
    (Transactions_and_Customer_Information_Joined[SKU]='Monte Carlo IO (4)'!$A16)*
    (Transactions_and_Customer_Information_Joined[Order Status]="Completed"))),0))))</f>
        <v>8331.7199999999993</v>
      </c>
      <c r="V16" s="23" cm="1">
        <f t="array" ref="V16">SUM(_xlfn._xlws.FILTER('V1-Based Churn Model (Step 3)'!$Z$39:$Z$590,
    ISNUMBER(MATCH('V1-Based Churn Model (Step 3)'!$A$39:$A$590,
    _xlfn.UNIQUE(_xlfn._xlws.FILTER(Transactions_and_Customer_Information_Joined[Customer ID],
    (Transactions_and_Customer_Information_Joined[SKU]='Monte Carlo IO (4)'!$A16)*
    (Transactions_and_Customer_Information_Joined[Order Status]="Completed"))),0))))</f>
        <v>1378.1368137193899</v>
      </c>
      <c r="W16" s="21" cm="1">
        <f t="array" ref="W16">IFERROR(SUM(_xlfn._xlws.FILTER(('V1-Based Churn Model (Step 3)'!$X$39:$X$4039="Critical")*1,
    ISNUMBER(MATCH('V1-Based Churn Model (Step 3)'!$A$39:$A$4039,
    _xlfn.UNIQUE(_xlfn._xlws.FILTER(Transactions_and_Customer_Information_Joined[Customer ID],
    (Transactions_and_Customer_Information_Joined[SKU]='Monte Carlo IO (4)'!$A16)*
    (Transactions_and_Customer_Information_Joined[Order Status]="Completed"))),0))))
/ $R16, 0)</f>
        <v>0.4</v>
      </c>
      <c r="X16" s="21" cm="1">
        <f t="array" ref="X16">IFERROR(SUM(_xlfn._xlws.FILTER(('V1-Based Churn Model (Step 3)'!$X$39:$X$4039="High")*1,
    ISNUMBER(MATCH('V1-Based Churn Model (Step 3)'!$A$39:$A$4039,
    _xlfn.UNIQUE(_xlfn._xlws.FILTER(Transactions_and_Customer_Information_Joined[Customer ID],
    (Transactions_and_Customer_Information_Joined[SKU]='Monte Carlo IO (4)'!$A16)*
    (Transactions_and_Customer_Information_Joined[Order Status]="Completed"))),0))))
/ $R16, 0)</f>
        <v>0.3</v>
      </c>
      <c r="Y16" s="21" cm="1">
        <f t="array" ref="Y16">IFERROR(SUM(_xlfn._xlws.FILTER(('V1-Based Churn Model (Step 3)'!$X$39:$X$4039="Medium")*1,
    ISNUMBER(MATCH('V1-Based Churn Model (Step 3)'!$A$39:$A$4039,
    _xlfn.UNIQUE(_xlfn._xlws.FILTER(Transactions_and_Customer_Information_Joined[Customer ID],
    (Transactions_and_Customer_Information_Joined[SKU]='Monte Carlo IO (4)'!$A16)*
    (Transactions_and_Customer_Information_Joined[Order Status]="Completed"))),0))))
/ $R16, 0)</f>
        <v>0.2</v>
      </c>
      <c r="Z16" s="21" cm="1">
        <f t="array" ref="Z16">IFERROR(SUM(_xlfn._xlws.FILTER(('V1-Based Churn Model (Step 3)'!$X$39:$X$4039="Low")*1,
    ISNUMBER(MATCH('V1-Based Churn Model (Step 3)'!$A$39:$A$4039,
    _xlfn.UNIQUE(_xlfn._xlws.FILTER(Transactions_and_Customer_Information_Joined[Customer ID],
    (Transactions_and_Customer_Information_Joined[SKU]='Monte Carlo IO (4)'!$A16)*
    (Transactions_and_Customer_Information_Joined[Order Status]="Completed"))),0))))
/ $R16, 0)</f>
        <v>0.1</v>
      </c>
      <c r="AA16" s="3" t="str" cm="1">
        <f t="array" ref="AA16">_xlfn.IFS($W16 = MAX($W16:$Z16), "Critical", $X16 = MAX($W16:$Z16), "High", $Y16 = MAX($W16:$Z16), "Medium", $Z16 = MAX($W16:$Z16), "Low")</f>
        <v>Critical</v>
      </c>
      <c r="AB16" s="23" cm="1">
        <f t="array" ref="AB16:AD16">_xlfn.XLOOKUP($A16, Best_Outcomes[SKU], Best_Outcomes[[Adjusted Price]:[Adjusted Difference %]],,0)</f>
        <v>118.51610734298887</v>
      </c>
      <c r="AC16" s="23">
        <v>5.3361073429888677</v>
      </c>
      <c r="AD16" s="21">
        <v>4.7147087320983098E-2</v>
      </c>
      <c r="AE16" s="21">
        <f t="shared" si="4"/>
        <v>-1.8858834928393242E-2</v>
      </c>
      <c r="AF16" s="38">
        <f t="shared" si="5"/>
        <v>24.018858834928395</v>
      </c>
      <c r="AG16" s="23" cm="1">
        <f t="array" ref="AG16:AI16">_xlfn.XLOOKUP($A16,Best_Outcomes[SKU], Best_Outcomes[[Adjusted Gross Revenue]:[Gross Revenue Lift %]])</f>
        <v>2790.7447593180414</v>
      </c>
      <c r="AH16" s="23">
        <v>74.424759318041197</v>
      </c>
      <c r="AI16" s="21">
        <v>2.7399113255448988E-2</v>
      </c>
      <c r="AJ16" s="28">
        <f t="shared" si="6"/>
        <v>1272.0387638978077</v>
      </c>
      <c r="AK16" s="28">
        <f t="shared" si="7"/>
        <v>335.7987638978077</v>
      </c>
      <c r="AL16" s="9">
        <f t="shared" si="8"/>
        <v>0.35866739713941692</v>
      </c>
      <c r="AM16" s="23" cm="1">
        <f t="array" ref="AM16:AP16">_xlfn.XLOOKUP($A16,Best_Outcomes[SKU], Best_Outcomes[[Adjusted Gross Profit]:[Gross Profit Margin %]])</f>
        <v>1872.1611549314002</v>
      </c>
      <c r="AN16" s="23">
        <v>92.081154931400079</v>
      </c>
      <c r="AO16" s="21">
        <v>5.1728661032874969E-2</v>
      </c>
      <c r="AP16" s="21">
        <v>0.6708464286031266</v>
      </c>
      <c r="AQ16" s="9">
        <f t="shared" si="9"/>
        <v>1.5518632172661806E-2</v>
      </c>
      <c r="AR16" s="21" cm="1">
        <f t="array" ref="AR16:AU16">_xlfn.XLOOKUP($A16,Best_Outcomes[SKU], Best_Outcomes[[Gross Profit Margin Lift %]:[LTV Protection-Risk Ratio]])</f>
        <v>1.5518632172661806E-2</v>
      </c>
      <c r="AS16" s="23">
        <v>396.9034023511847</v>
      </c>
      <c r="AT16" s="23">
        <v>595.35510352677613</v>
      </c>
      <c r="AU16" s="21">
        <v>0.66666666666666774</v>
      </c>
    </row>
    <row r="17" spans="1:47">
      <c r="A17" s="24" t="str">
        <v>SKU-1009</v>
      </c>
      <c r="B17" s="24" t="str">
        <f>_xlfn.XLOOKUP($A17,_1_product_catalog_pricing[SKU], _1_product_catalog_pricing[Product Name],,0)</f>
        <v>Phone Stand</v>
      </c>
      <c r="C17" s="24" t="str">
        <f>_xlfn.XLOOKUP($A17, _1_product_catalog_pricing[SKU], _1_product_catalog_pricing[Category],,0)</f>
        <v>Electronics</v>
      </c>
      <c r="D17" s="24" t="str" cm="1">
        <f t="array" ref="D17">_xlfn.XLOOKUP($A17,_xlfn.ANCHORARRAY('V1 Pricing Model (Step 2)'!$A$22), 'V1 Pricing Model (Step 2)'!$T$22:$T$71,,0)</f>
        <v>Raise</v>
      </c>
      <c r="E17" s="24" t="str" cm="1">
        <f t="array" ref="E17">_xlfn.XLOOKUP($A17,_xlfn.ANCHORARRAY('V1 Pricing Model (Step 2)'!$A$22), 'V1 Pricing Model (Step 2)'!$AL$22:$AL$71,,0)</f>
        <v>Full</v>
      </c>
      <c r="F17" s="23" cm="1">
        <f t="array" ref="F17">_xlfn.XLOOKUP($A17,_xlfn.ANCHORARRAY('V1 Pricing Model (Step 2)'!$A$22),_xlfn.ANCHORARRAY( 'V1 Pricing Model (Step 2)'!$D$22),,0)</f>
        <v>177.91</v>
      </c>
      <c r="G17" s="23" cm="1">
        <f t="array" ref="G17">_xlfn.XLOOKUP($A17,_xlfn.ANCHORARRAY('V1 Pricing Model (Step 2)'!$A$22),_xlfn.ANCHORARRAY( 'V1 Pricing Model (Step 2)'!$E$22),,0)</f>
        <v>73.489999999999995</v>
      </c>
      <c r="H17" s="24" cm="1">
        <f t="array" ref="H17">_xlfn.XLOOKUP($A17, 'Competitive Analysis (Step 1)'!$A$10:$A$209,_xlfn.ANCHORARRAY( 'Competitive Analysis (Step 1)'!$Q$10),,0)</f>
        <v>36</v>
      </c>
      <c r="I17" s="28">
        <f t="shared" si="1"/>
        <v>6404.76</v>
      </c>
      <c r="J17" s="28">
        <f t="shared" si="2"/>
        <v>2645.64</v>
      </c>
      <c r="K17" s="28">
        <f t="shared" si="3"/>
        <v>3759.1200000000003</v>
      </c>
      <c r="L17" s="9">
        <f t="shared" si="0"/>
        <v>0.58692597380698108</v>
      </c>
      <c r="M17" s="23" cm="1">
        <f t="array" ref="M17:O17">_xlfn.XLOOKUP($A17,_xlfn.ANCHORARRAY('V1 Pricing Model (Step 2)'!$A$22),'V1 Pricing Model (Step 2)'!$U$22:$W$71,,0)</f>
        <v>210.36242056011631</v>
      </c>
      <c r="N17" s="23">
        <v>32.452420560116309</v>
      </c>
      <c r="O17" s="21">
        <v>0.18240919880904002</v>
      </c>
      <c r="P17" s="23" cm="1">
        <f t="array" ref="P17">_xlfn.XLOOKUP($A17,_xlfn.ANCHORARRAY( 'V1 Pricing Model (Step 2)'!$A$22), 'V1 Pricing Model (Step 2)'!$AC$22:$AC$71)</f>
        <v>2118.3198784838378</v>
      </c>
      <c r="Q17" s="23" cm="1">
        <f t="array" ref="Q17">_xlfn.XLOOKUP($A17,_xlfn.ANCHORARRAY('V1 Pricing Model (Step 2)'!$A$22),'V1 Pricing Model (Step 2)'!$AI$22:$AI$71,,0)</f>
        <v>2338.7898784838376</v>
      </c>
      <c r="R17" s="24" cm="1">
        <f t="array" ref="R17">COUNTA(_xlfn.UNIQUE(_xlfn._xlws.FILTER(Transactions_and_Customer_Information_Joined[Customer ID], (Transactions_and_Customer_Information_Joined[SKU]='Monte Carlo IO (4)'!$A17) * (Transactions_and_Customer_Information_Joined[Order Status] = "Completed"), "")))</f>
        <v>12</v>
      </c>
      <c r="S17" s="42" cm="1">
        <f t="array" ref="S17">AVERAGE(_xlfn._xlws.FILTER('V1-Based Churn Model (Step 3)'!$W$39:$W$590,
    ISNUMBER(MATCH('V1-Based Churn Model (Step 3)'!$A$39:$A$590,
    _xlfn.UNIQUE(_xlfn._xlws.FILTER(Transactions_and_Customer_Information_Joined[Customer ID],
    (Transactions_and_Customer_Information_Joined[SKU]='Monte Carlo IO (4)'!$A17)*
    (Transactions_and_Customer_Information_Joined[Order Status]="Completed"))),0))))</f>
        <v>72.583715875473729</v>
      </c>
      <c r="T17" s="25" cm="1">
        <f t="array" ref="T17">AVERAGE(_xlfn._xlws.FILTER('V1-Based Churn Model (Step 3)'!$Y$39:$Y$590,
    ISNUMBER(MATCH('V1-Based Churn Model (Step 3)'!$A$39:$A$590,
    _xlfn.UNIQUE(_xlfn._xlws.FILTER(Transactions_and_Customer_Information_Joined[Customer ID],
    (Transactions_and_Customer_Information_Joined[SKU]='Monte Carlo IO (4)'!$A17)*
    (Transactions_and_Customer_Information_Joined[Order Status]="Completed"))),0))))</f>
        <v>0.24760819868499095</v>
      </c>
      <c r="U17" s="23" cm="1">
        <f t="array" ref="U17">SUM(_xlfn._xlws.FILTER('V1-Based Churn Model (Step 3)'!$I$39:$I$590,
    ISNUMBER(MATCH('V1-Based Churn Model (Step 3)'!$A$39:$A$590,
    _xlfn.UNIQUE(_xlfn._xlws.FILTER(Transactions_and_Customer_Information_Joined[Customer ID],
    (Transactions_and_Customer_Information_Joined[SKU]='Monte Carlo IO (4)'!$A17)*
    (Transactions_and_Customer_Information_Joined[Order Status]="Completed"))),0))))</f>
        <v>9553.98</v>
      </c>
      <c r="V17" s="23" cm="1">
        <f t="array" ref="V17">SUM(_xlfn._xlws.FILTER('V1-Based Churn Model (Step 3)'!$Z$39:$Z$590,
    ISNUMBER(MATCH('V1-Based Churn Model (Step 3)'!$A$39:$A$590,
    _xlfn.UNIQUE(_xlfn._xlws.FILTER(Transactions_and_Customer_Information_Joined[Customer ID],
    (Transactions_and_Customer_Information_Joined[SKU]='Monte Carlo IO (4)'!$A17)*
    (Transactions_and_Customer_Information_Joined[Order Status]="Completed"))),0))))</f>
        <v>1987.17375700722</v>
      </c>
      <c r="W17" s="21" cm="1">
        <f t="array" ref="W17">IFERROR(SUM(_xlfn._xlws.FILTER(('V1-Based Churn Model (Step 3)'!$X$39:$X$4039="Critical")*1,
    ISNUMBER(MATCH('V1-Based Churn Model (Step 3)'!$A$39:$A$4039,
    _xlfn.UNIQUE(_xlfn._xlws.FILTER(Transactions_and_Customer_Information_Joined[Customer ID],
    (Transactions_and_Customer_Information_Joined[SKU]='Monte Carlo IO (4)'!$A17)*
    (Transactions_and_Customer_Information_Joined[Order Status]="Completed"))),0))))
/ $R17, 0)</f>
        <v>0.58333333333333337</v>
      </c>
      <c r="X17" s="21" cm="1">
        <f t="array" ref="X17">IFERROR(SUM(_xlfn._xlws.FILTER(('V1-Based Churn Model (Step 3)'!$X$39:$X$4039="High")*1,
    ISNUMBER(MATCH('V1-Based Churn Model (Step 3)'!$A$39:$A$4039,
    _xlfn.UNIQUE(_xlfn._xlws.FILTER(Transactions_and_Customer_Information_Joined[Customer ID],
    (Transactions_and_Customer_Information_Joined[SKU]='Monte Carlo IO (4)'!$A17)*
    (Transactions_and_Customer_Information_Joined[Order Status]="Completed"))),0))))
/ $R17, 0)</f>
        <v>0.33333333333333331</v>
      </c>
      <c r="Y17" s="21" cm="1">
        <f t="array" ref="Y17">IFERROR(SUM(_xlfn._xlws.FILTER(('V1-Based Churn Model (Step 3)'!$X$39:$X$4039="Medium")*1,
    ISNUMBER(MATCH('V1-Based Churn Model (Step 3)'!$A$39:$A$4039,
    _xlfn.UNIQUE(_xlfn._xlws.FILTER(Transactions_and_Customer_Information_Joined[Customer ID],
    (Transactions_and_Customer_Information_Joined[SKU]='Monte Carlo IO (4)'!$A17)*
    (Transactions_and_Customer_Information_Joined[Order Status]="Completed"))),0))))
/ $R17, 0)</f>
        <v>8.3333333333333329E-2</v>
      </c>
      <c r="Z17" s="21" cm="1">
        <f t="array" ref="Z17">IFERROR(SUM(_xlfn._xlws.FILTER(('V1-Based Churn Model (Step 3)'!$X$39:$X$4039="Low")*1,
    ISNUMBER(MATCH('V1-Based Churn Model (Step 3)'!$A$39:$A$4039,
    _xlfn.UNIQUE(_xlfn._xlws.FILTER(Transactions_and_Customer_Information_Joined[Customer ID],
    (Transactions_and_Customer_Information_Joined[SKU]='Monte Carlo IO (4)'!$A17)*
    (Transactions_and_Customer_Information_Joined[Order Status]="Completed"))),0))))
/ $R17, 0)</f>
        <v>0</v>
      </c>
      <c r="AA17" s="3" t="str" cm="1">
        <f t="array" ref="AA17">_xlfn.IFS($W17 = MAX($W17:$Z17), "Critical", $X17 = MAX($W17:$Z17), "High", $Y17 = MAX($W17:$Z17), "Medium", $Z17 = MAX($W17:$Z17), "Low")</f>
        <v>Critical</v>
      </c>
      <c r="AB17" s="23" cm="1">
        <f t="array" ref="AB17:AD17">_xlfn.XLOOKUP($A17, Best_Outcomes[SKU], Best_Outcomes[[Adjusted Price]:[Adjusted Difference %]],,0)</f>
        <v>197.38145233606977</v>
      </c>
      <c r="AC17" s="23">
        <v>19.471452336069774</v>
      </c>
      <c r="AD17" s="21">
        <v>0.10944551928542395</v>
      </c>
      <c r="AE17" s="21">
        <f t="shared" si="4"/>
        <v>-4.3778207714169584E-2</v>
      </c>
      <c r="AF17" s="38">
        <f t="shared" si="5"/>
        <v>36.043778207714169</v>
      </c>
      <c r="AG17" s="23" cm="1">
        <f t="array" ref="AG17:AI17">_xlfn.XLOOKUP($A17,Best_Outcomes[SKU], Best_Outcomes[[Adjusted Gross Revenue]:[Gross Revenue Lift %]])</f>
        <v>6794.6560602039663</v>
      </c>
      <c r="AH17" s="23">
        <v>389.89606020396604</v>
      </c>
      <c r="AI17" s="21">
        <v>6.087598289459184E-2</v>
      </c>
      <c r="AJ17" s="28">
        <f t="shared" si="6"/>
        <v>1908.8784938805425</v>
      </c>
      <c r="AK17" s="28">
        <f t="shared" si="7"/>
        <v>-736.76150611945741</v>
      </c>
      <c r="AL17" s="9">
        <f t="shared" si="8"/>
        <v>-0.27848139055935706</v>
      </c>
      <c r="AM17" s="23" cm="1">
        <f t="array" ref="AM17:AP17">_xlfn.XLOOKUP($A17,Best_Outcomes[SKU], Best_Outcomes[[Adjusted Gross Profit]:[Gross Profit Margin %]])</f>
        <v>4264.8374376608826</v>
      </c>
      <c r="AN17" s="23">
        <v>505.7174376608823</v>
      </c>
      <c r="AO17" s="21">
        <v>0.13453080445978907</v>
      </c>
      <c r="AP17" s="21">
        <v>0.62767524947139974</v>
      </c>
      <c r="AQ17" s="9">
        <f t="shared" si="9"/>
        <v>4.074927566441866E-2</v>
      </c>
      <c r="AR17" s="21" cm="1">
        <f t="array" ref="AR17:AU17">_xlfn.XLOOKUP($A17,Best_Outcomes[SKU], Best_Outcomes[[Gross Profit Margin Lift %]:[LTV Protection-Risk Ratio]])</f>
        <v>4.074927566441866E-2</v>
      </c>
      <c r="AS17" s="23">
        <v>688.88690242917028</v>
      </c>
      <c r="AT17" s="23">
        <v>1033.3303536437538</v>
      </c>
      <c r="AU17" s="21">
        <v>0.66666666666666774</v>
      </c>
    </row>
    <row r="18" spans="1:47">
      <c r="A18" s="24" t="str">
        <v>SKU-1010</v>
      </c>
      <c r="B18" s="24" t="str">
        <f>_xlfn.XLOOKUP($A18,_1_product_catalog_pricing[SKU], _1_product_catalog_pricing[Product Name],,0)</f>
        <v>Slim Fit Jeans</v>
      </c>
      <c r="C18" s="24" t="str">
        <f>_xlfn.XLOOKUP($A18, _1_product_catalog_pricing[SKU], _1_product_catalog_pricing[Category],,0)</f>
        <v>Apparel</v>
      </c>
      <c r="D18" s="24" t="str" cm="1">
        <f t="array" ref="D18">_xlfn.XLOOKUP($A18,_xlfn.ANCHORARRAY('V1 Pricing Model (Step 2)'!$A$22), 'V1 Pricing Model (Step 2)'!$T$22:$T$71,,0)</f>
        <v>Raise</v>
      </c>
      <c r="E18" s="24" t="str" cm="1">
        <f t="array" ref="E18">_xlfn.XLOOKUP($A18,_xlfn.ANCHORARRAY('V1 Pricing Model (Step 2)'!$A$22), 'V1 Pricing Model (Step 2)'!$AL$22:$AL$71,,0)</f>
        <v>Full</v>
      </c>
      <c r="F18" s="23" cm="1">
        <f t="array" ref="F18">_xlfn.XLOOKUP($A18,_xlfn.ANCHORARRAY('V1 Pricing Model (Step 2)'!$A$22),_xlfn.ANCHORARRAY( 'V1 Pricing Model (Step 2)'!$D$22),,0)</f>
        <v>45.86</v>
      </c>
      <c r="G18" s="23" cm="1">
        <f t="array" ref="G18">_xlfn.XLOOKUP($A18,_xlfn.ANCHORARRAY('V1 Pricing Model (Step 2)'!$A$22),_xlfn.ANCHORARRAY( 'V1 Pricing Model (Step 2)'!$E$22),,0)</f>
        <v>24.87</v>
      </c>
      <c r="H18" s="24" cm="1">
        <f t="array" ref="H18">_xlfn.XLOOKUP($A18, 'Competitive Analysis (Step 1)'!$A$10:$A$209,_xlfn.ANCHORARRAY( 'Competitive Analysis (Step 1)'!$Q$10),,0)</f>
        <v>42</v>
      </c>
      <c r="I18" s="28">
        <f t="shared" si="1"/>
        <v>1926.12</v>
      </c>
      <c r="J18" s="28">
        <f t="shared" si="2"/>
        <v>1044.54</v>
      </c>
      <c r="K18" s="28">
        <f t="shared" si="3"/>
        <v>881.57999999999993</v>
      </c>
      <c r="L18" s="9">
        <f t="shared" si="0"/>
        <v>0.45769733972961185</v>
      </c>
      <c r="M18" s="23" cm="1">
        <f t="array" ref="M18:O18">_xlfn.XLOOKUP($A18,_xlfn.ANCHORARRAY('V1 Pricing Model (Step 2)'!$A$22),'V1 Pricing Model (Step 2)'!$U$22:$W$71,,0)</f>
        <v>57.591701553971269</v>
      </c>
      <c r="N18" s="23">
        <v>11.73170155397127</v>
      </c>
      <c r="O18" s="21">
        <v>0.25581555939754186</v>
      </c>
      <c r="P18" s="23" cm="1">
        <f t="array" ref="P18">_xlfn.XLOOKUP($A18,_xlfn.ANCHORARRAY( 'V1 Pricing Model (Step 2)'!$A$22), 'V1 Pricing Model (Step 2)'!$AC$22:$AC$71)</f>
        <v>713.86465905090859</v>
      </c>
      <c r="Q18" s="23" cm="1">
        <f t="array" ref="Q18">_xlfn.XLOOKUP($A18,_xlfn.ANCHORARRAY('V1 Pricing Model (Step 2)'!$A$22),'V1 Pricing Model (Step 2)'!$AI$22:$AI$71,,0)</f>
        <v>813.3446590509086</v>
      </c>
      <c r="R18" s="24" cm="1">
        <f t="array" ref="R18">COUNTA(_xlfn.UNIQUE(_xlfn._xlws.FILTER(Transactions_and_Customer_Information_Joined[Customer ID], (Transactions_and_Customer_Information_Joined[SKU]='Monte Carlo IO (4)'!$A18) * (Transactions_and_Customer_Information_Joined[Order Status] = "Completed"), "")))</f>
        <v>17</v>
      </c>
      <c r="S18" s="42" cm="1">
        <f t="array" ref="S18">AVERAGE(_xlfn._xlws.FILTER('V1-Based Churn Model (Step 3)'!$W$39:$W$590,
    ISNUMBER(MATCH('V1-Based Churn Model (Step 3)'!$A$39:$A$590,
    _xlfn.UNIQUE(_xlfn._xlws.FILTER(Transactions_and_Customer_Information_Joined[Customer ID],
    (Transactions_and_Customer_Information_Joined[SKU]='Monte Carlo IO (4)'!$A18)*
    (Transactions_and_Customer_Information_Joined[Order Status]="Completed"))),0))))</f>
        <v>81.368042561098989</v>
      </c>
      <c r="T18" s="25" cm="1">
        <f t="array" ref="T18">AVERAGE(_xlfn._xlws.FILTER('V1-Based Churn Model (Step 3)'!$Y$39:$Y$590,
    ISNUMBER(MATCH('V1-Based Churn Model (Step 3)'!$A$39:$A$590,
    _xlfn.UNIQUE(_xlfn._xlws.FILTER(Transactions_and_Customer_Information_Joined[Customer ID],
    (Transactions_and_Customer_Information_Joined[SKU]='Monte Carlo IO (4)'!$A18)*
    (Transactions_and_Customer_Information_Joined[Order Status]="Completed"))),0))))</f>
        <v>0.36473223781720471</v>
      </c>
      <c r="U18" s="23" cm="1">
        <f t="array" ref="U18">SUM(_xlfn._xlws.FILTER('V1-Based Churn Model (Step 3)'!$I$39:$I$590,
    ISNUMBER(MATCH('V1-Based Churn Model (Step 3)'!$A$39:$A$590,
    _xlfn.UNIQUE(_xlfn._xlws.FILTER(Transactions_and_Customer_Information_Joined[Customer ID],
    (Transactions_and_Customer_Information_Joined[SKU]='Monte Carlo IO (4)'!$A18)*
    (Transactions_and_Customer_Information_Joined[Order Status]="Completed"))),0))))</f>
        <v>5696.8899999999994</v>
      </c>
      <c r="V18" s="23" cm="1">
        <f t="array" ref="V18">SUM(_xlfn._xlws.FILTER('V1-Based Churn Model (Step 3)'!$Z$39:$Z$590,
    ISNUMBER(MATCH('V1-Based Churn Model (Step 3)'!$A$39:$A$590,
    _xlfn.UNIQUE(_xlfn._xlws.FILTER(Transactions_and_Customer_Information_Joined[Customer ID],
    (Transactions_and_Customer_Information_Joined[SKU]='Monte Carlo IO (4)'!$A18)*
    (Transactions_and_Customer_Information_Joined[Order Status]="Completed"))),0))))</f>
        <v>1838.4436548864205</v>
      </c>
      <c r="W18" s="21" cm="1">
        <f t="array" ref="W18">IFERROR(SUM(_xlfn._xlws.FILTER(('V1-Based Churn Model (Step 3)'!$X$39:$X$4039="Critical")*1,
    ISNUMBER(MATCH('V1-Based Churn Model (Step 3)'!$A$39:$A$4039,
    _xlfn.UNIQUE(_xlfn._xlws.FILTER(Transactions_and_Customer_Information_Joined[Customer ID],
    (Transactions_and_Customer_Information_Joined[SKU]='Monte Carlo IO (4)'!$A18)*
    (Transactions_and_Customer_Information_Joined[Order Status]="Completed"))),0))))
/ $R18, 0)</f>
        <v>0.70588235294117652</v>
      </c>
      <c r="X18" s="21" cm="1">
        <f t="array" ref="X18">IFERROR(SUM(_xlfn._xlws.FILTER(('V1-Based Churn Model (Step 3)'!$X$39:$X$4039="High")*1,
    ISNUMBER(MATCH('V1-Based Churn Model (Step 3)'!$A$39:$A$4039,
    _xlfn.UNIQUE(_xlfn._xlws.FILTER(Transactions_and_Customer_Information_Joined[Customer ID],
    (Transactions_and_Customer_Information_Joined[SKU]='Monte Carlo IO (4)'!$A18)*
    (Transactions_and_Customer_Information_Joined[Order Status]="Completed"))),0))))
/ $R18, 0)</f>
        <v>0.23529411764705882</v>
      </c>
      <c r="Y18" s="21" cm="1">
        <f t="array" ref="Y18">IFERROR(SUM(_xlfn._xlws.FILTER(('V1-Based Churn Model (Step 3)'!$X$39:$X$4039="Medium")*1,
    ISNUMBER(MATCH('V1-Based Churn Model (Step 3)'!$A$39:$A$4039,
    _xlfn.UNIQUE(_xlfn._xlws.FILTER(Transactions_and_Customer_Information_Joined[Customer ID],
    (Transactions_and_Customer_Information_Joined[SKU]='Monte Carlo IO (4)'!$A18)*
    (Transactions_and_Customer_Information_Joined[Order Status]="Completed"))),0))))
/ $R18, 0)</f>
        <v>5.8823529411764705E-2</v>
      </c>
      <c r="Z18" s="21" cm="1">
        <f t="array" ref="Z18">IFERROR(SUM(_xlfn._xlws.FILTER(('V1-Based Churn Model (Step 3)'!$X$39:$X$4039="Low")*1,
    ISNUMBER(MATCH('V1-Based Churn Model (Step 3)'!$A$39:$A$4039,
    _xlfn.UNIQUE(_xlfn._xlws.FILTER(Transactions_and_Customer_Information_Joined[Customer ID],
    (Transactions_and_Customer_Information_Joined[SKU]='Monte Carlo IO (4)'!$A18)*
    (Transactions_and_Customer_Information_Joined[Order Status]="Completed"))),0))))
/ $R18, 0)</f>
        <v>0</v>
      </c>
      <c r="AA18" s="3" t="str" cm="1">
        <f t="array" ref="AA18">_xlfn.IFS($W18 = MAX($W18:$Z18), "Critical", $X18 = MAX($W18:$Z18), "High", $Y18 = MAX($W18:$Z18), "Medium", $Z18 = MAX($W18:$Z18), "Low")</f>
        <v>Critical</v>
      </c>
      <c r="AB18" s="23" cm="1">
        <f t="array" ref="AB18:AD18">_xlfn.XLOOKUP($A18, Best_Outcomes[SKU], Best_Outcomes[[Adjusted Price]:[Adjusted Difference %]],,0)</f>
        <v>52.899020932382761</v>
      </c>
      <c r="AC18" s="23">
        <v>7.0390209323827619</v>
      </c>
      <c r="AD18" s="21">
        <v>0.15348933563852513</v>
      </c>
      <c r="AE18" s="21">
        <f t="shared" si="4"/>
        <v>-6.1395734255410055E-2</v>
      </c>
      <c r="AF18" s="38">
        <f t="shared" si="5"/>
        <v>42.061395734255413</v>
      </c>
      <c r="AG18" s="23" cm="1">
        <f t="array" ref="AG18:AI18">_xlfn.XLOOKUP($A18,Best_Outcomes[SKU], Best_Outcomes[[Adjusted Gross Revenue]:[Gross Revenue Lift %]])</f>
        <v>2085.3523614355663</v>
      </c>
      <c r="AH18" s="23">
        <v>159.23236143556642</v>
      </c>
      <c r="AI18" s="21">
        <v>8.2670010921212816E-2</v>
      </c>
      <c r="AJ18" s="28">
        <f t="shared" si="6"/>
        <v>2227.5715180861666</v>
      </c>
      <c r="AK18" s="28">
        <f t="shared" si="7"/>
        <v>1183.0315180861667</v>
      </c>
      <c r="AL18" s="9">
        <f t="shared" si="8"/>
        <v>1.1325861317768269</v>
      </c>
      <c r="AM18" s="23" cm="1">
        <f t="array" ref="AM18:AP18">_xlfn.XLOOKUP($A18,Best_Outcomes[SKU], Best_Outcomes[[Adjusted Gross Profit]:[Gross Profit Margin %]])</f>
        <v>1104.9426616947121</v>
      </c>
      <c r="AN18" s="23">
        <v>223.36266169471219</v>
      </c>
      <c r="AO18" s="21">
        <v>0.25336629879842126</v>
      </c>
      <c r="AP18" s="21">
        <v>0.52985897353772116</v>
      </c>
      <c r="AQ18" s="9">
        <f t="shared" si="9"/>
        <v>7.2161633808109304E-2</v>
      </c>
      <c r="AR18" s="21" cm="1">
        <f t="array" ref="AR18:AU18">_xlfn.XLOOKUP($A18,Best_Outcomes[SKU], Best_Outcomes[[Gross Profit Margin Lift %]:[LTV Protection-Risk Ratio]])</f>
        <v>7.2161633808109304E-2</v>
      </c>
      <c r="AS18" s="23">
        <v>666.16546553531475</v>
      </c>
      <c r="AT18" s="23">
        <v>999.24819830297201</v>
      </c>
      <c r="AU18" s="21">
        <v>0.66666666666666674</v>
      </c>
    </row>
    <row r="19" spans="1:47">
      <c r="A19" s="24" t="str">
        <v>SKU-1011</v>
      </c>
      <c r="B19" s="24" t="str">
        <f>_xlfn.XLOOKUP($A19,_1_product_catalog_pricing[SKU], _1_product_catalog_pricing[Product Name],,0)</f>
        <v>Graphic Tee</v>
      </c>
      <c r="C19" s="24" t="str">
        <f>_xlfn.XLOOKUP($A19, _1_product_catalog_pricing[SKU], _1_product_catalog_pricing[Category],,0)</f>
        <v>Apparel</v>
      </c>
      <c r="D19" s="24" t="str" cm="1">
        <f t="array" ref="D19">_xlfn.XLOOKUP($A19,_xlfn.ANCHORARRAY('V1 Pricing Model (Step 2)'!$A$22), 'V1 Pricing Model (Step 2)'!$T$22:$T$71,,0)</f>
        <v>Raise</v>
      </c>
      <c r="E19" s="24" t="str" cm="1">
        <f t="array" ref="E19">_xlfn.XLOOKUP($A19,_xlfn.ANCHORARRAY('V1 Pricing Model (Step 2)'!$A$22), 'V1 Pricing Model (Step 2)'!$AL$22:$AL$71,,0)</f>
        <v>Full</v>
      </c>
      <c r="F19" s="23" cm="1">
        <f t="array" ref="F19">_xlfn.XLOOKUP($A19,_xlfn.ANCHORARRAY('V1 Pricing Model (Step 2)'!$A$22),_xlfn.ANCHORARRAY( 'V1 Pricing Model (Step 2)'!$D$22),,0)</f>
        <v>67.56</v>
      </c>
      <c r="G19" s="23" cm="1">
        <f t="array" ref="G19">_xlfn.XLOOKUP($A19,_xlfn.ANCHORARRAY('V1 Pricing Model (Step 2)'!$A$22),_xlfn.ANCHORARRAY( 'V1 Pricing Model (Step 2)'!$E$22),,0)</f>
        <v>43.21</v>
      </c>
      <c r="H19" s="24" cm="1">
        <f t="array" ref="H19">_xlfn.XLOOKUP($A19, 'Competitive Analysis (Step 1)'!$A$10:$A$209,_xlfn.ANCHORARRAY( 'Competitive Analysis (Step 1)'!$Q$10),,0)</f>
        <v>22</v>
      </c>
      <c r="I19" s="28">
        <f t="shared" si="1"/>
        <v>1486.3200000000002</v>
      </c>
      <c r="J19" s="28">
        <f t="shared" si="2"/>
        <v>950.62</v>
      </c>
      <c r="K19" s="28">
        <f t="shared" si="3"/>
        <v>535.70000000000016</v>
      </c>
      <c r="L19" s="9">
        <f t="shared" si="0"/>
        <v>0.36042036708111314</v>
      </c>
      <c r="M19" s="23" cm="1">
        <f t="array" ref="M19:O19">_xlfn.XLOOKUP($A19,_xlfn.ANCHORARRAY('V1 Pricing Model (Step 2)'!$A$22),'V1 Pricing Model (Step 2)'!$U$22:$W$71,,0)</f>
        <v>74.848492484947073</v>
      </c>
      <c r="N19" s="23">
        <v>7.2884924849470707</v>
      </c>
      <c r="O19" s="21">
        <v>0.10788177153562864</v>
      </c>
      <c r="P19" s="23" cm="1">
        <f t="array" ref="P19">_xlfn.XLOOKUP($A19,_xlfn.ANCHORARRAY( 'V1 Pricing Model (Step 2)'!$A$22), 'V1 Pricing Model (Step 2)'!$AC$22:$AC$71)</f>
        <v>85.498342183888553</v>
      </c>
      <c r="Q19" s="23" cm="1">
        <f t="array" ref="Q19">_xlfn.XLOOKUP($A19,_xlfn.ANCHORARRAY('V1 Pricing Model (Step 2)'!$A$22),'V1 Pricing Model (Step 2)'!$AI$22:$AI$71,,0)</f>
        <v>128.7083421838887</v>
      </c>
      <c r="R19" s="24" cm="1">
        <f t="array" ref="R19">COUNTA(_xlfn.UNIQUE(_xlfn._xlws.FILTER(Transactions_and_Customer_Information_Joined[Customer ID], (Transactions_and_Customer_Information_Joined[SKU]='Monte Carlo IO (4)'!$A19) * (Transactions_and_Customer_Information_Joined[Order Status] = "Completed"), "")))</f>
        <v>10</v>
      </c>
      <c r="S19" s="42" cm="1">
        <f t="array" ref="S19">AVERAGE(_xlfn._xlws.FILTER('V1-Based Churn Model (Step 3)'!$W$39:$W$590,
    ISNUMBER(MATCH('V1-Based Churn Model (Step 3)'!$A$39:$A$590,
    _xlfn.UNIQUE(_xlfn._xlws.FILTER(Transactions_and_Customer_Information_Joined[Customer ID],
    (Transactions_and_Customer_Information_Joined[SKU]='Monte Carlo IO (4)'!$A19)*
    (Transactions_and_Customer_Information_Joined[Order Status]="Completed"))),0))))</f>
        <v>66.151439602997598</v>
      </c>
      <c r="T19" s="25" cm="1">
        <f t="array" ref="T19">AVERAGE(_xlfn._xlws.FILTER('V1-Based Churn Model (Step 3)'!$Y$39:$Y$590,
    ISNUMBER(MATCH('V1-Based Churn Model (Step 3)'!$A$39:$A$590,
    _xlfn.UNIQUE(_xlfn._xlws.FILTER(Transactions_and_Customer_Information_Joined[Customer ID],
    (Transactions_and_Customer_Information_Joined[SKU]='Monte Carlo IO (4)'!$A19)*
    (Transactions_and_Customer_Information_Joined[Order Status]="Completed"))),0))))</f>
        <v>0.25273448132010606</v>
      </c>
      <c r="U19" s="23" cm="1">
        <f t="array" ref="U19">SUM(_xlfn._xlws.FILTER('V1-Based Churn Model (Step 3)'!$I$39:$I$590,
    ISNUMBER(MATCH('V1-Based Churn Model (Step 3)'!$A$39:$A$590,
    _xlfn.UNIQUE(_xlfn._xlws.FILTER(Transactions_and_Customer_Information_Joined[Customer ID],
    (Transactions_and_Customer_Information_Joined[SKU]='Monte Carlo IO (4)'!$A19)*
    (Transactions_and_Customer_Information_Joined[Order Status]="Completed"))),0))))</f>
        <v>5893.09</v>
      </c>
      <c r="V19" s="23" cm="1">
        <f t="array" ref="V19">SUM(_xlfn._xlws.FILTER('V1-Based Churn Model (Step 3)'!$Z$39:$Z$590,
    ISNUMBER(MATCH('V1-Based Churn Model (Step 3)'!$A$39:$A$590,
    _xlfn.UNIQUE(_xlfn._xlws.FILTER(Transactions_and_Customer_Information_Joined[Customer ID],
    (Transactions_and_Customer_Information_Joined[SKU]='Monte Carlo IO (4)'!$A19)*
    (Transactions_and_Customer_Information_Joined[Order Status]="Completed"))),0))))</f>
        <v>1511.5432138179046</v>
      </c>
      <c r="W19" s="21" cm="1">
        <f t="array" ref="W19">IFERROR(SUM(_xlfn._xlws.FILTER(('V1-Based Churn Model (Step 3)'!$X$39:$X$4039="Critical")*1,
    ISNUMBER(MATCH('V1-Based Churn Model (Step 3)'!$A$39:$A$4039,
    _xlfn.UNIQUE(_xlfn._xlws.FILTER(Transactions_and_Customer_Information_Joined[Customer ID],
    (Transactions_and_Customer_Information_Joined[SKU]='Monte Carlo IO (4)'!$A19)*
    (Transactions_and_Customer_Information_Joined[Order Status]="Completed"))),0))))
/ $R19, 0)</f>
        <v>0.4</v>
      </c>
      <c r="X19" s="21" cm="1">
        <f t="array" ref="X19">IFERROR(SUM(_xlfn._xlws.FILTER(('V1-Based Churn Model (Step 3)'!$X$39:$X$4039="High")*1,
    ISNUMBER(MATCH('V1-Based Churn Model (Step 3)'!$A$39:$A$4039,
    _xlfn.UNIQUE(_xlfn._xlws.FILTER(Transactions_and_Customer_Information_Joined[Customer ID],
    (Transactions_and_Customer_Information_Joined[SKU]='Monte Carlo IO (4)'!$A19)*
    (Transactions_and_Customer_Information_Joined[Order Status]="Completed"))),0))))
/ $R19, 0)</f>
        <v>0.2</v>
      </c>
      <c r="Y19" s="21" cm="1">
        <f t="array" ref="Y19">IFERROR(SUM(_xlfn._xlws.FILTER(('V1-Based Churn Model (Step 3)'!$X$39:$X$4039="Medium")*1,
    ISNUMBER(MATCH('V1-Based Churn Model (Step 3)'!$A$39:$A$4039,
    _xlfn.UNIQUE(_xlfn._xlws.FILTER(Transactions_and_Customer_Information_Joined[Customer ID],
    (Transactions_and_Customer_Information_Joined[SKU]='Monte Carlo IO (4)'!$A19)*
    (Transactions_and_Customer_Information_Joined[Order Status]="Completed"))),0))))
/ $R19, 0)</f>
        <v>0.4</v>
      </c>
      <c r="Z19" s="21" cm="1">
        <f t="array" ref="Z19">IFERROR(SUM(_xlfn._xlws.FILTER(('V1-Based Churn Model (Step 3)'!$X$39:$X$4039="Low")*1,
    ISNUMBER(MATCH('V1-Based Churn Model (Step 3)'!$A$39:$A$4039,
    _xlfn.UNIQUE(_xlfn._xlws.FILTER(Transactions_and_Customer_Information_Joined[Customer ID],
    (Transactions_and_Customer_Information_Joined[SKU]='Monte Carlo IO (4)'!$A19)*
    (Transactions_and_Customer_Information_Joined[Order Status]="Completed"))),0))))
/ $R19, 0)</f>
        <v>0</v>
      </c>
      <c r="AA19" s="3" t="str" cm="1">
        <f t="array" ref="AA19">_xlfn.IFS($W19 = MAX($W19:$Z19), "Critical", $X19 = MAX($W19:$Z19), "High", $Y19 = MAX($W19:$Z19), "Medium", $Z19 = MAX($W19:$Z19), "Low")</f>
        <v>Critical</v>
      </c>
      <c r="AB19" s="23" cm="1">
        <f t="array" ref="AB19:AD19">_xlfn.XLOOKUP($A19, Best_Outcomes[SKU], Best_Outcomes[[Adjusted Price]:[Adjusted Difference %]],,0)</f>
        <v>71.933095490968242</v>
      </c>
      <c r="AC19" s="23">
        <v>4.3730954909682396</v>
      </c>
      <c r="AD19" s="21">
        <v>6.4729062921377131E-2</v>
      </c>
      <c r="AE19" s="21">
        <f t="shared" si="4"/>
        <v>-2.5891625168550855E-2</v>
      </c>
      <c r="AF19" s="38">
        <f t="shared" si="5"/>
        <v>22.025891625168551</v>
      </c>
      <c r="AG19" s="23" cm="1">
        <f t="array" ref="AG19:AI19">_xlfn.XLOOKUP($A19,Best_Outcomes[SKU], Best_Outcomes[[Adjusted Gross Revenue]:[Gross Revenue Lift %]])</f>
        <v>1541.5538763966556</v>
      </c>
      <c r="AH19" s="23">
        <v>55.233876396655432</v>
      </c>
      <c r="AI19" s="21">
        <v>3.7161497118154523E-2</v>
      </c>
      <c r="AJ19" s="28">
        <f t="shared" si="6"/>
        <v>1166.4912204689265</v>
      </c>
      <c r="AK19" s="28">
        <f t="shared" si="7"/>
        <v>215.87122046892648</v>
      </c>
      <c r="AL19" s="9">
        <f t="shared" si="8"/>
        <v>0.22708466103061842</v>
      </c>
      <c r="AM19" s="23" cm="1">
        <f t="array" ref="AM19:AP19">_xlfn.XLOOKUP($A19,Best_Outcomes[SKU], Best_Outcomes[[Adjusted Gross Profit]:[Gross Profit Margin %]])</f>
        <v>615.54697311438326</v>
      </c>
      <c r="AN19" s="23">
        <v>79.846973114383104</v>
      </c>
      <c r="AO19" s="21">
        <v>0.14905165785772462</v>
      </c>
      <c r="AP19" s="21">
        <v>0.39930292579407556</v>
      </c>
      <c r="AQ19" s="9">
        <f t="shared" si="9"/>
        <v>3.8882558712962423E-2</v>
      </c>
      <c r="AR19" s="21" cm="1">
        <f t="array" ref="AR19:AU19">_xlfn.XLOOKUP($A19,Best_Outcomes[SKU], Best_Outcomes[[Gross Profit Margin Lift %]:[LTV Protection-Risk Ratio]])</f>
        <v>3.8882558712962423E-2</v>
      </c>
      <c r="AS19" s="23">
        <v>429.27827272428533</v>
      </c>
      <c r="AT19" s="23">
        <v>643.91740908642703</v>
      </c>
      <c r="AU19" s="21">
        <v>0.66666666666666763</v>
      </c>
    </row>
    <row r="20" spans="1:47">
      <c r="A20" s="24" t="str">
        <v>SKU-1012</v>
      </c>
      <c r="B20" s="24" t="str">
        <f>_xlfn.XLOOKUP($A20,_1_product_catalog_pricing[SKU], _1_product_catalog_pricing[Product Name],,0)</f>
        <v>Hoodie</v>
      </c>
      <c r="C20" s="24" t="str">
        <f>_xlfn.XLOOKUP($A20, _1_product_catalog_pricing[SKU], _1_product_catalog_pricing[Category],,0)</f>
        <v>Apparel</v>
      </c>
      <c r="D20" s="24" t="str" cm="1">
        <f t="array" ref="D20">_xlfn.XLOOKUP($A20,_xlfn.ANCHORARRAY('V1 Pricing Model (Step 2)'!$A$22), 'V1 Pricing Model (Step 2)'!$T$22:$T$71,,0)</f>
        <v>Raise</v>
      </c>
      <c r="E20" s="24" t="str" cm="1">
        <f t="array" ref="E20">_xlfn.XLOOKUP($A20,_xlfn.ANCHORARRAY('V1 Pricing Model (Step 2)'!$A$22), 'V1 Pricing Model (Step 2)'!$AL$22:$AL$71,,0)</f>
        <v>Full</v>
      </c>
      <c r="F20" s="23" cm="1">
        <f t="array" ref="F20">_xlfn.XLOOKUP($A20,_xlfn.ANCHORARRAY('V1 Pricing Model (Step 2)'!$A$22),_xlfn.ANCHORARRAY( 'V1 Pricing Model (Step 2)'!$D$22),,0)</f>
        <v>20.37</v>
      </c>
      <c r="G20" s="23" cm="1">
        <f t="array" ref="G20">_xlfn.XLOOKUP($A20,_xlfn.ANCHORARRAY('V1 Pricing Model (Step 2)'!$A$22),_xlfn.ANCHORARRAY( 'V1 Pricing Model (Step 2)'!$E$22),,0)</f>
        <v>9.76</v>
      </c>
      <c r="H20" s="24" cm="1">
        <f t="array" ref="H20">_xlfn.XLOOKUP($A20, 'Competitive Analysis (Step 1)'!$A$10:$A$209,_xlfn.ANCHORARRAY( 'Competitive Analysis (Step 1)'!$Q$10),,0)</f>
        <v>15</v>
      </c>
      <c r="I20" s="28">
        <f t="shared" si="1"/>
        <v>305.55</v>
      </c>
      <c r="J20" s="28">
        <f t="shared" si="2"/>
        <v>146.4</v>
      </c>
      <c r="K20" s="28">
        <f t="shared" si="3"/>
        <v>159.15</v>
      </c>
      <c r="L20" s="9">
        <f t="shared" si="0"/>
        <v>0.52086401570937657</v>
      </c>
      <c r="M20" s="23" cm="1">
        <f t="array" ref="M20:O20">_xlfn.XLOOKUP($A20,_xlfn.ANCHORARRAY('V1 Pricing Model (Step 2)'!$A$22),'V1 Pricing Model (Step 2)'!$U$22:$W$71,,0)</f>
        <v>20.226861560308098</v>
      </c>
      <c r="N20" s="23">
        <v>-0.14313843969190287</v>
      </c>
      <c r="O20" s="21">
        <v>-7.0269238925823692E-3</v>
      </c>
      <c r="P20" s="23" cm="1">
        <f t="array" ref="P20">_xlfn.XLOOKUP($A20,_xlfn.ANCHORARRAY( 'V1 Pricing Model (Step 2)'!$A$22), 'V1 Pricing Model (Step 2)'!$AC$22:$AC$71)</f>
        <v>49.152923404621475</v>
      </c>
      <c r="Q20" s="23" cm="1">
        <f t="array" ref="Q20">_xlfn.XLOOKUP($A20,_xlfn.ANCHORARRAY('V1 Pricing Model (Step 2)'!$A$22),'V1 Pricing Model (Step 2)'!$AI$22:$AI$71,,0)</f>
        <v>49.152923404621447</v>
      </c>
      <c r="R20" s="24" cm="1">
        <f t="array" ref="R20">COUNTA(_xlfn.UNIQUE(_xlfn._xlws.FILTER(Transactions_and_Customer_Information_Joined[Customer ID], (Transactions_and_Customer_Information_Joined[SKU]='Monte Carlo IO (4)'!$A20) * (Transactions_and_Customer_Information_Joined[Order Status] = "Completed"), "")))</f>
        <v>7</v>
      </c>
      <c r="S20" s="42" cm="1">
        <f t="array" ref="S20">AVERAGE(_xlfn._xlws.FILTER('V1-Based Churn Model (Step 3)'!$W$39:$W$590,
    ISNUMBER(MATCH('V1-Based Churn Model (Step 3)'!$A$39:$A$590,
    _xlfn.UNIQUE(_xlfn._xlws.FILTER(Transactions_and_Customer_Information_Joined[Customer ID],
    (Transactions_and_Customer_Information_Joined[SKU]='Monte Carlo IO (4)'!$A20)*
    (Transactions_and_Customer_Information_Joined[Order Status]="Completed"))),0))))</f>
        <v>64.796463619813821</v>
      </c>
      <c r="T20" s="25" cm="1">
        <f t="array" ref="T20">AVERAGE(_xlfn._xlws.FILTER('V1-Based Churn Model (Step 3)'!$Y$39:$Y$590,
    ISNUMBER(MATCH('V1-Based Churn Model (Step 3)'!$A$39:$A$590,
    _xlfn.UNIQUE(_xlfn._xlws.FILTER(Transactions_and_Customer_Information_Joined[Customer ID],
    (Transactions_and_Customer_Information_Joined[SKU]='Monte Carlo IO (4)'!$A20)*
    (Transactions_and_Customer_Information_Joined[Order Status]="Completed"))),0))))</f>
        <v>0.20699221553298494</v>
      </c>
      <c r="U20" s="23" cm="1">
        <f t="array" ref="U20">SUM(_xlfn._xlws.FILTER('V1-Based Churn Model (Step 3)'!$I$39:$I$590,
    ISNUMBER(MATCH('V1-Based Churn Model (Step 3)'!$A$39:$A$590,
    _xlfn.UNIQUE(_xlfn._xlws.FILTER(Transactions_and_Customer_Information_Joined[Customer ID],
    (Transactions_and_Customer_Information_Joined[SKU]='Monte Carlo IO (4)'!$A20)*
    (Transactions_and_Customer_Information_Joined[Order Status]="Completed"))),0))))</f>
        <v>2907.3099999999995</v>
      </c>
      <c r="V20" s="23" cm="1">
        <f t="array" ref="V20">SUM(_xlfn._xlws.FILTER('V1-Based Churn Model (Step 3)'!$Z$39:$Z$590,
    ISNUMBER(MATCH('V1-Based Churn Model (Step 3)'!$A$39:$A$590,
    _xlfn.UNIQUE(_xlfn._xlws.FILTER(Transactions_and_Customer_Information_Joined[Customer ID],
    (Transactions_and_Customer_Information_Joined[SKU]='Monte Carlo IO (4)'!$A20)*
    (Transactions_and_Customer_Information_Joined[Order Status]="Completed"))),0))))</f>
        <v>464.13364002135626</v>
      </c>
      <c r="W20" s="21" cm="1">
        <f t="array" ref="W20">IFERROR(SUM(_xlfn._xlws.FILTER(('V1-Based Churn Model (Step 3)'!$X$39:$X$4039="Critical")*1,
    ISNUMBER(MATCH('V1-Based Churn Model (Step 3)'!$A$39:$A$4039,
    _xlfn.UNIQUE(_xlfn._xlws.FILTER(Transactions_and_Customer_Information_Joined[Customer ID],
    (Transactions_and_Customer_Information_Joined[SKU]='Monte Carlo IO (4)'!$A20)*
    (Transactions_and_Customer_Information_Joined[Order Status]="Completed"))),0))))
/ $R20, 0)</f>
        <v>0.42857142857142855</v>
      </c>
      <c r="X20" s="21" cm="1">
        <f t="array" ref="X20">IFERROR(SUM(_xlfn._xlws.FILTER(('V1-Based Churn Model (Step 3)'!$X$39:$X$4039="High")*1,
    ISNUMBER(MATCH('V1-Based Churn Model (Step 3)'!$A$39:$A$4039,
    _xlfn.UNIQUE(_xlfn._xlws.FILTER(Transactions_and_Customer_Information_Joined[Customer ID],
    (Transactions_and_Customer_Information_Joined[SKU]='Monte Carlo IO (4)'!$A20)*
    (Transactions_and_Customer_Information_Joined[Order Status]="Completed"))),0))))
/ $R20, 0)</f>
        <v>0.14285714285714285</v>
      </c>
      <c r="Y20" s="21" cm="1">
        <f t="array" ref="Y20">IFERROR(SUM(_xlfn._xlws.FILTER(('V1-Based Churn Model (Step 3)'!$X$39:$X$4039="Medium")*1,
    ISNUMBER(MATCH('V1-Based Churn Model (Step 3)'!$A$39:$A$4039,
    _xlfn.UNIQUE(_xlfn._xlws.FILTER(Transactions_and_Customer_Information_Joined[Customer ID],
    (Transactions_and_Customer_Information_Joined[SKU]='Monte Carlo IO (4)'!$A20)*
    (Transactions_and_Customer_Information_Joined[Order Status]="Completed"))),0))))
/ $R20, 0)</f>
        <v>0.2857142857142857</v>
      </c>
      <c r="Z20" s="21" cm="1">
        <f t="array" ref="Z20">IFERROR(SUM(_xlfn._xlws.FILTER(('V1-Based Churn Model (Step 3)'!$X$39:$X$4039="Low")*1,
    ISNUMBER(MATCH('V1-Based Churn Model (Step 3)'!$A$39:$A$4039,
    _xlfn.UNIQUE(_xlfn._xlws.FILTER(Transactions_and_Customer_Information_Joined[Customer ID],
    (Transactions_and_Customer_Information_Joined[SKU]='Monte Carlo IO (4)'!$A20)*
    (Transactions_and_Customer_Information_Joined[Order Status]="Completed"))),0))))
/ $R20, 0)</f>
        <v>0.14285714285714285</v>
      </c>
      <c r="AA20" s="3" t="str" cm="1">
        <f t="array" ref="AA20">_xlfn.IFS($W20 = MAX($W20:$Z20), "Critical", $X20 = MAX($W20:$Z20), "High", $Y20 = MAX($W20:$Z20), "Medium", $Z20 = MAX($W20:$Z20), "Low")</f>
        <v>Critical</v>
      </c>
      <c r="AB20" s="23" cm="1">
        <f t="array" ref="AB20:AD20">_xlfn.XLOOKUP($A20, Best_Outcomes[SKU], Best_Outcomes[[Adjusted Price]:[Adjusted Difference %]],,0)</f>
        <v>20.37</v>
      </c>
      <c r="AC20" s="23">
        <v>0</v>
      </c>
      <c r="AD20" s="21">
        <v>0</v>
      </c>
      <c r="AE20" s="21">
        <f t="shared" si="4"/>
        <v>0</v>
      </c>
      <c r="AF20" s="38">
        <f t="shared" si="5"/>
        <v>15</v>
      </c>
      <c r="AG20" s="23" cm="1">
        <f t="array" ref="AG20:AI20">_xlfn.XLOOKUP($A20,Best_Outcomes[SKU], Best_Outcomes[[Adjusted Gross Revenue]:[Gross Revenue Lift %]])</f>
        <v>305.55</v>
      </c>
      <c r="AH20" s="23">
        <v>0</v>
      </c>
      <c r="AI20" s="21">
        <v>0</v>
      </c>
      <c r="AJ20" s="28">
        <f t="shared" si="6"/>
        <v>794.4</v>
      </c>
      <c r="AK20" s="28">
        <f t="shared" si="7"/>
        <v>648</v>
      </c>
      <c r="AL20" s="9">
        <f t="shared" si="8"/>
        <v>4.4262295081967213</v>
      </c>
      <c r="AM20" s="23" cm="1">
        <f t="array" ref="AM20:AP20">_xlfn.XLOOKUP($A20,Best_Outcomes[SKU], Best_Outcomes[[Adjusted Gross Profit]:[Gross Profit Margin %]])</f>
        <v>159.15</v>
      </c>
      <c r="AN20" s="23">
        <v>0</v>
      </c>
      <c r="AO20" s="21">
        <v>0</v>
      </c>
      <c r="AP20" s="21">
        <v>0.52086401570937657</v>
      </c>
      <c r="AQ20" s="9">
        <f t="shared" si="9"/>
        <v>0</v>
      </c>
      <c r="AR20" s="21" cm="1">
        <f t="array" ref="AR20:AU20">_xlfn.XLOOKUP($A20,Best_Outcomes[SKU], Best_Outcomes[[Gross Profit Margin Lift %]:[LTV Protection-Risk Ratio]])</f>
        <v>0</v>
      </c>
      <c r="AS20" s="23">
        <v>311.63258687148209</v>
      </c>
      <c r="AT20" s="23">
        <v>0</v>
      </c>
      <c r="AU20" s="21">
        <v>0</v>
      </c>
    </row>
    <row r="21" spans="1:47">
      <c r="A21" s="24" t="str">
        <v>SKU-1013</v>
      </c>
      <c r="B21" s="24" t="str">
        <f>_xlfn.XLOOKUP($A21,_1_product_catalog_pricing[SKU], _1_product_catalog_pricing[Product Name],,0)</f>
        <v>Running Shorts</v>
      </c>
      <c r="C21" s="24" t="str">
        <f>_xlfn.XLOOKUP($A21, _1_product_catalog_pricing[SKU], _1_product_catalog_pricing[Category],,0)</f>
        <v>Apparel</v>
      </c>
      <c r="D21" s="24" t="str" cm="1">
        <f t="array" ref="D21">_xlfn.XLOOKUP($A21,_xlfn.ANCHORARRAY('V1 Pricing Model (Step 2)'!$A$22), 'V1 Pricing Model (Step 2)'!$T$22:$T$71,,0)</f>
        <v>Raise</v>
      </c>
      <c r="E21" s="24" t="str" cm="1">
        <f t="array" ref="E21">_xlfn.XLOOKUP($A21,_xlfn.ANCHORARRAY('V1 Pricing Model (Step 2)'!$A$22), 'V1 Pricing Model (Step 2)'!$AL$22:$AL$71,,0)</f>
        <v>Constrained</v>
      </c>
      <c r="F21" s="23" cm="1">
        <f t="array" ref="F21">_xlfn.XLOOKUP($A21,_xlfn.ANCHORARRAY('V1 Pricing Model (Step 2)'!$A$22),_xlfn.ANCHORARRAY( 'V1 Pricing Model (Step 2)'!$D$22),,0)</f>
        <v>84.95</v>
      </c>
      <c r="G21" s="23" cm="1">
        <f t="array" ref="G21">_xlfn.XLOOKUP($A21,_xlfn.ANCHORARRAY('V1 Pricing Model (Step 2)'!$A$22),_xlfn.ANCHORARRAY( 'V1 Pricing Model (Step 2)'!$E$22),,0)</f>
        <v>53.07</v>
      </c>
      <c r="H21" s="24" cm="1">
        <f t="array" ref="H21">_xlfn.XLOOKUP($A21, 'Competitive Analysis (Step 1)'!$A$10:$A$209,_xlfn.ANCHORARRAY( 'Competitive Analysis (Step 1)'!$Q$10),,0)</f>
        <v>36</v>
      </c>
      <c r="I21" s="28">
        <f t="shared" si="1"/>
        <v>3058.2000000000003</v>
      </c>
      <c r="J21" s="28">
        <f t="shared" si="2"/>
        <v>1910.52</v>
      </c>
      <c r="K21" s="28">
        <f t="shared" si="3"/>
        <v>1147.6800000000003</v>
      </c>
      <c r="L21" s="9">
        <f t="shared" si="0"/>
        <v>0.3752795762213067</v>
      </c>
      <c r="M21" s="23" cm="1">
        <f t="array" ref="M21:O21">_xlfn.XLOOKUP($A21,_xlfn.ANCHORARRAY('V1 Pricing Model (Step 2)'!$A$22),'V1 Pricing Model (Step 2)'!$U$22:$W$71,,0)</f>
        <v>84.95</v>
      </c>
      <c r="N21" s="23">
        <v>0</v>
      </c>
      <c r="O21" s="21">
        <v>0</v>
      </c>
      <c r="P21" s="23" cm="1">
        <f t="array" ref="P21">_xlfn.XLOOKUP($A21,_xlfn.ANCHORARRAY( 'V1 Pricing Model (Step 2)'!$A$22), 'V1 Pricing Model (Step 2)'!$AC$22:$AC$71)</f>
        <v>0</v>
      </c>
      <c r="Q21" s="23" cm="1">
        <f t="array" ref="Q21">_xlfn.XLOOKUP($A21,_xlfn.ANCHORARRAY('V1 Pricing Model (Step 2)'!$A$22),'V1 Pricing Model (Step 2)'!$AI$22:$AI$71,,0)</f>
        <v>0</v>
      </c>
      <c r="R21" s="24" cm="1">
        <f t="array" ref="R21">COUNTA(_xlfn.UNIQUE(_xlfn._xlws.FILTER(Transactions_and_Customer_Information_Joined[Customer ID], (Transactions_and_Customer_Information_Joined[SKU]='Monte Carlo IO (4)'!$A21) * (Transactions_and_Customer_Information_Joined[Order Status] = "Completed"), "")))</f>
        <v>14</v>
      </c>
      <c r="S21" s="42" cm="1">
        <f t="array" ref="S21">AVERAGE(_xlfn._xlws.FILTER('V1-Based Churn Model (Step 3)'!$W$39:$W$590,
    ISNUMBER(MATCH('V1-Based Churn Model (Step 3)'!$A$39:$A$590,
    _xlfn.UNIQUE(_xlfn._xlws.FILTER(Transactions_and_Customer_Information_Joined[Customer ID],
    (Transactions_and_Customer_Information_Joined[SKU]='Monte Carlo IO (4)'!$A21)*
    (Transactions_and_Customer_Information_Joined[Order Status]="Completed"))),0))))</f>
        <v>69.471560706073845</v>
      </c>
      <c r="T21" s="25" cm="1">
        <f t="array" ref="T21">AVERAGE(_xlfn._xlws.FILTER('V1-Based Churn Model (Step 3)'!$Y$39:$Y$590,
    ISNUMBER(MATCH('V1-Based Churn Model (Step 3)'!$A$39:$A$590,
    _xlfn.UNIQUE(_xlfn._xlws.FILTER(Transactions_and_Customer_Information_Joined[Customer ID],
    (Transactions_and_Customer_Information_Joined[SKU]='Monte Carlo IO (4)'!$A21)*
    (Transactions_and_Customer_Information_Joined[Order Status]="Completed"))),0))))</f>
        <v>0.24428943848218704</v>
      </c>
      <c r="U21" s="23" cm="1">
        <f t="array" ref="U21">SUM(_xlfn._xlws.FILTER('V1-Based Churn Model (Step 3)'!$I$39:$I$590,
    ISNUMBER(MATCH('V1-Based Churn Model (Step 3)'!$A$39:$A$590,
    _xlfn.UNIQUE(_xlfn._xlws.FILTER(Transactions_and_Customer_Information_Joined[Customer ID],
    (Transactions_and_Customer_Information_Joined[SKU]='Monte Carlo IO (4)'!$A21)*
    (Transactions_and_Customer_Information_Joined[Order Status]="Completed"))),0))))</f>
        <v>4298.12</v>
      </c>
      <c r="V21" s="23" cm="1">
        <f t="array" ref="V21">SUM(_xlfn._xlws.FILTER('V1-Based Churn Model (Step 3)'!$Z$39:$Z$590,
    ISNUMBER(MATCH('V1-Based Churn Model (Step 3)'!$A$39:$A$590,
    _xlfn.UNIQUE(_xlfn._xlws.FILTER(Transactions_and_Customer_Information_Joined[Customer ID],
    (Transactions_and_Customer_Information_Joined[SKU]='Monte Carlo IO (4)'!$A21)*
    (Transactions_and_Customer_Information_Joined[Order Status]="Completed"))),0))))</f>
        <v>1153.7475227686814</v>
      </c>
      <c r="W21" s="21" cm="1">
        <f t="array" ref="W21">IFERROR(SUM(_xlfn._xlws.FILTER(('V1-Based Churn Model (Step 3)'!$X$39:$X$4039="Critical")*1,
    ISNUMBER(MATCH('V1-Based Churn Model (Step 3)'!$A$39:$A$4039,
    _xlfn.UNIQUE(_xlfn._xlws.FILTER(Transactions_and_Customer_Information_Joined[Customer ID],
    (Transactions_and_Customer_Information_Joined[SKU]='Monte Carlo IO (4)'!$A21)*
    (Transactions_and_Customer_Information_Joined[Order Status]="Completed"))),0))))
/ $R21, 0)</f>
        <v>0.5714285714285714</v>
      </c>
      <c r="X21" s="21" cm="1">
        <f t="array" ref="X21">IFERROR(SUM(_xlfn._xlws.FILTER(('V1-Based Churn Model (Step 3)'!$X$39:$X$4039="High")*1,
    ISNUMBER(MATCH('V1-Based Churn Model (Step 3)'!$A$39:$A$4039,
    _xlfn.UNIQUE(_xlfn._xlws.FILTER(Transactions_and_Customer_Information_Joined[Customer ID],
    (Transactions_and_Customer_Information_Joined[SKU]='Monte Carlo IO (4)'!$A21)*
    (Transactions_and_Customer_Information_Joined[Order Status]="Completed"))),0))))
/ $R21, 0)</f>
        <v>0.14285714285714285</v>
      </c>
      <c r="Y21" s="21" cm="1">
        <f t="array" ref="Y21">IFERROR(SUM(_xlfn._xlws.FILTER(('V1-Based Churn Model (Step 3)'!$X$39:$X$4039="Medium")*1,
    ISNUMBER(MATCH('V1-Based Churn Model (Step 3)'!$A$39:$A$4039,
    _xlfn.UNIQUE(_xlfn._xlws.FILTER(Transactions_and_Customer_Information_Joined[Customer ID],
    (Transactions_and_Customer_Information_Joined[SKU]='Monte Carlo IO (4)'!$A21)*
    (Transactions_and_Customer_Information_Joined[Order Status]="Completed"))),0))))
/ $R21, 0)</f>
        <v>0.21428571428571427</v>
      </c>
      <c r="Z21" s="21" cm="1">
        <f t="array" ref="Z21">IFERROR(SUM(_xlfn._xlws.FILTER(('V1-Based Churn Model (Step 3)'!$X$39:$X$4039="Low")*1,
    ISNUMBER(MATCH('V1-Based Churn Model (Step 3)'!$A$39:$A$4039,
    _xlfn.UNIQUE(_xlfn._xlws.FILTER(Transactions_and_Customer_Information_Joined[Customer ID],
    (Transactions_and_Customer_Information_Joined[SKU]='Monte Carlo IO (4)'!$A21)*
    (Transactions_and_Customer_Information_Joined[Order Status]="Completed"))),0))))
/ $R21, 0)</f>
        <v>7.1428571428571425E-2</v>
      </c>
      <c r="AA21" s="3" t="str" cm="1">
        <f t="array" ref="AA21">_xlfn.IFS($W21 = MAX($W21:$Z21), "Critical", $X21 = MAX($W21:$Z21), "High", $Y21 = MAX($W21:$Z21), "Medium", $Z21 = MAX($W21:$Z21), "Low")</f>
        <v>Critical</v>
      </c>
      <c r="AB21" s="23" cm="1">
        <f t="array" ref="AB21:AD21">_xlfn.XLOOKUP($A21, Best_Outcomes[SKU], Best_Outcomes[[Adjusted Price]:[Adjusted Difference %]],,0)</f>
        <v>84.95</v>
      </c>
      <c r="AC21" s="23">
        <v>0</v>
      </c>
      <c r="AD21" s="21">
        <v>0</v>
      </c>
      <c r="AE21" s="21">
        <f t="shared" si="4"/>
        <v>0</v>
      </c>
      <c r="AF21" s="38">
        <f t="shared" si="5"/>
        <v>36</v>
      </c>
      <c r="AG21" s="23" cm="1">
        <f t="array" ref="AG21:AI21">_xlfn.XLOOKUP($A21,Best_Outcomes[SKU], Best_Outcomes[[Adjusted Gross Revenue]:[Gross Revenue Lift %]])</f>
        <v>3058.2000000000003</v>
      </c>
      <c r="AH21" s="23">
        <v>0</v>
      </c>
      <c r="AI21" s="21">
        <v>0</v>
      </c>
      <c r="AJ21" s="28">
        <f t="shared" si="6"/>
        <v>1906.56</v>
      </c>
      <c r="AK21" s="28">
        <f t="shared" si="7"/>
        <v>-3.9600000000000364</v>
      </c>
      <c r="AL21" s="9">
        <f t="shared" si="8"/>
        <v>-2.0727341247409273E-3</v>
      </c>
      <c r="AM21" s="23" cm="1">
        <f t="array" ref="AM21:AP21">_xlfn.XLOOKUP($A21,Best_Outcomes[SKU], Best_Outcomes[[Adjusted Gross Profit]:[Gross Profit Margin %]])</f>
        <v>1147.6800000000003</v>
      </c>
      <c r="AN21" s="23">
        <v>0</v>
      </c>
      <c r="AO21" s="21">
        <v>0</v>
      </c>
      <c r="AP21" s="21">
        <v>0.3752795762213067</v>
      </c>
      <c r="AQ21" s="9">
        <f t="shared" si="9"/>
        <v>0</v>
      </c>
      <c r="AR21" s="21" cm="1">
        <f t="array" ref="AR21:AU21">_xlfn.XLOOKUP($A21,Best_Outcomes[SKU], Best_Outcomes[[Gross Profit Margin Lift %]:[LTV Protection-Risk Ratio]])</f>
        <v>0</v>
      </c>
      <c r="AS21" s="23">
        <v>894.15433014572795</v>
      </c>
      <c r="AT21" s="23">
        <v>0</v>
      </c>
      <c r="AU21" s="21">
        <v>0</v>
      </c>
    </row>
    <row r="22" spans="1:47">
      <c r="A22" s="24" t="str">
        <v>SKU-1014</v>
      </c>
      <c r="B22" s="24" t="str">
        <f>_xlfn.XLOOKUP($A22,_1_product_catalog_pricing[SKU], _1_product_catalog_pricing[Product Name],,0)</f>
        <v>Wool Sweater</v>
      </c>
      <c r="C22" s="24" t="str">
        <f>_xlfn.XLOOKUP($A22, _1_product_catalog_pricing[SKU], _1_product_catalog_pricing[Category],,0)</f>
        <v>Apparel</v>
      </c>
      <c r="D22" s="24" t="str" cm="1">
        <f t="array" ref="D22">_xlfn.XLOOKUP($A22,_xlfn.ANCHORARRAY('V1 Pricing Model (Step 2)'!$A$22), 'V1 Pricing Model (Step 2)'!$T$22:$T$71,,0)</f>
        <v>Raise</v>
      </c>
      <c r="E22" s="24" t="str" cm="1">
        <f t="array" ref="E22">_xlfn.XLOOKUP($A22,_xlfn.ANCHORARRAY('V1 Pricing Model (Step 2)'!$A$22), 'V1 Pricing Model (Step 2)'!$AL$22:$AL$71,,0)</f>
        <v>Full</v>
      </c>
      <c r="F22" s="23" cm="1">
        <f t="array" ref="F22">_xlfn.XLOOKUP($A22,_xlfn.ANCHORARRAY('V1 Pricing Model (Step 2)'!$A$22),_xlfn.ANCHORARRAY( 'V1 Pricing Model (Step 2)'!$D$22),,0)</f>
        <v>143.80000000000001</v>
      </c>
      <c r="G22" s="23" cm="1">
        <f t="array" ref="G22">_xlfn.XLOOKUP($A22,_xlfn.ANCHORARRAY('V1 Pricing Model (Step 2)'!$A$22),_xlfn.ANCHORARRAY( 'V1 Pricing Model (Step 2)'!$E$22),,0)</f>
        <v>62.15</v>
      </c>
      <c r="H22" s="24" cm="1">
        <f t="array" ref="H22">_xlfn.XLOOKUP($A22, 'Competitive Analysis (Step 1)'!$A$10:$A$209,_xlfn.ANCHORARRAY( 'Competitive Analysis (Step 1)'!$Q$10),,0)</f>
        <v>29</v>
      </c>
      <c r="I22" s="28">
        <f t="shared" si="1"/>
        <v>4170.2000000000007</v>
      </c>
      <c r="J22" s="28">
        <f t="shared" si="2"/>
        <v>1802.35</v>
      </c>
      <c r="K22" s="28">
        <f t="shared" si="3"/>
        <v>2367.8500000000008</v>
      </c>
      <c r="L22" s="9">
        <f t="shared" si="0"/>
        <v>0.56780250347705152</v>
      </c>
      <c r="M22" s="23" cm="1">
        <f t="array" ref="M22:O22">_xlfn.XLOOKUP($A22,_xlfn.ANCHORARRAY('V1 Pricing Model (Step 2)'!$A$22),'V1 Pricing Model (Step 2)'!$U$22:$W$71,,0)</f>
        <v>176.09452849869206</v>
      </c>
      <c r="N22" s="23">
        <v>32.294528498692046</v>
      </c>
      <c r="O22" s="21">
        <v>0.22457947495613381</v>
      </c>
      <c r="P22" s="23" cm="1">
        <f t="array" ref="P22">_xlfn.XLOOKUP($A22,_xlfn.ANCHORARRAY( 'V1 Pricing Model (Step 2)'!$A$22), 'V1 Pricing Model (Step 2)'!$AC$22:$AC$71)</f>
        <v>408.25774096599343</v>
      </c>
      <c r="Q22" s="23" cm="1">
        <f t="array" ref="Q22">_xlfn.XLOOKUP($A22,_xlfn.ANCHORARRAY('V1 Pricing Model (Step 2)'!$A$22),'V1 Pricing Model (Step 2)'!$AI$22:$AI$71,,0)</f>
        <v>594.70774096599325</v>
      </c>
      <c r="R22" s="24" cm="1">
        <f t="array" ref="R22">COUNTA(_xlfn.UNIQUE(_xlfn._xlws.FILTER(Transactions_and_Customer_Information_Joined[Customer ID], (Transactions_and_Customer_Information_Joined[SKU]='Monte Carlo IO (4)'!$A22) * (Transactions_and_Customer_Information_Joined[Order Status] = "Completed"), "")))</f>
        <v>10</v>
      </c>
      <c r="S22" s="42" cm="1">
        <f t="array" ref="S22">AVERAGE(_xlfn._xlws.FILTER('V1-Based Churn Model (Step 3)'!$W$39:$W$590,
    ISNUMBER(MATCH('V1-Based Churn Model (Step 3)'!$A$39:$A$590,
    _xlfn.UNIQUE(_xlfn._xlws.FILTER(Transactions_and_Customer_Information_Joined[Customer ID],
    (Transactions_and_Customer_Information_Joined[SKU]='Monte Carlo IO (4)'!$A22)*
    (Transactions_and_Customer_Information_Joined[Order Status]="Completed"))),0))))</f>
        <v>75.76755153998532</v>
      </c>
      <c r="T22" s="25" cm="1">
        <f t="array" ref="T22">AVERAGE(_xlfn._xlws.FILTER('V1-Based Churn Model (Step 3)'!$Y$39:$Y$590,
    ISNUMBER(MATCH('V1-Based Churn Model (Step 3)'!$A$39:$A$590,
    _xlfn.UNIQUE(_xlfn._xlws.FILTER(Transactions_and_Customer_Information_Joined[Customer ID],
    (Transactions_and_Customer_Information_Joined[SKU]='Monte Carlo IO (4)'!$A22)*
    (Transactions_and_Customer_Information_Joined[Order Status]="Completed"))),0))))</f>
        <v>0.28614482209176356</v>
      </c>
      <c r="U22" s="23" cm="1">
        <f t="array" ref="U22">SUM(_xlfn._xlws.FILTER('V1-Based Churn Model (Step 3)'!$I$39:$I$590,
    ISNUMBER(MATCH('V1-Based Churn Model (Step 3)'!$A$39:$A$590,
    _xlfn.UNIQUE(_xlfn._xlws.FILTER(Transactions_and_Customer_Information_Joined[Customer ID],
    (Transactions_and_Customer_Information_Joined[SKU]='Monte Carlo IO (4)'!$A22)*
    (Transactions_and_Customer_Information_Joined[Order Status]="Completed"))),0))))</f>
        <v>4045.5299999999997</v>
      </c>
      <c r="V22" s="23" cm="1">
        <f t="array" ref="V22">SUM(_xlfn._xlws.FILTER('V1-Based Churn Model (Step 3)'!$Z$39:$Z$590,
    ISNUMBER(MATCH('V1-Based Churn Model (Step 3)'!$A$39:$A$590,
    _xlfn.UNIQUE(_xlfn._xlws.FILTER(Transactions_and_Customer_Information_Joined[Customer ID],
    (Transactions_and_Customer_Information_Joined[SKU]='Monte Carlo IO (4)'!$A22)*
    (Transactions_and_Customer_Information_Joined[Order Status]="Completed"))),0))))</f>
        <v>1207.1798191480714</v>
      </c>
      <c r="W22" s="21" cm="1">
        <f t="array" ref="W22">IFERROR(SUM(_xlfn._xlws.FILTER(('V1-Based Churn Model (Step 3)'!$X$39:$X$4039="Critical")*1,
    ISNUMBER(MATCH('V1-Based Churn Model (Step 3)'!$A$39:$A$4039,
    _xlfn.UNIQUE(_xlfn._xlws.FILTER(Transactions_and_Customer_Information_Joined[Customer ID],
    (Transactions_and_Customer_Information_Joined[SKU]='Monte Carlo IO (4)'!$A22)*
    (Transactions_and_Customer_Information_Joined[Order Status]="Completed"))),0))))
/ $R22, 0)</f>
        <v>0.5</v>
      </c>
      <c r="X22" s="21" cm="1">
        <f t="array" ref="X22">IFERROR(SUM(_xlfn._xlws.FILTER(('V1-Based Churn Model (Step 3)'!$X$39:$X$4039="High")*1,
    ISNUMBER(MATCH('V1-Based Churn Model (Step 3)'!$A$39:$A$4039,
    _xlfn.UNIQUE(_xlfn._xlws.FILTER(Transactions_and_Customer_Information_Joined[Customer ID],
    (Transactions_and_Customer_Information_Joined[SKU]='Monte Carlo IO (4)'!$A22)*
    (Transactions_and_Customer_Information_Joined[Order Status]="Completed"))),0))))
/ $R22, 0)</f>
        <v>0.5</v>
      </c>
      <c r="Y22" s="21" cm="1">
        <f t="array" ref="Y22">IFERROR(SUM(_xlfn._xlws.FILTER(('V1-Based Churn Model (Step 3)'!$X$39:$X$4039="Medium")*1,
    ISNUMBER(MATCH('V1-Based Churn Model (Step 3)'!$A$39:$A$4039,
    _xlfn.UNIQUE(_xlfn._xlws.FILTER(Transactions_and_Customer_Information_Joined[Customer ID],
    (Transactions_and_Customer_Information_Joined[SKU]='Monte Carlo IO (4)'!$A22)*
    (Transactions_and_Customer_Information_Joined[Order Status]="Completed"))),0))))
/ $R22, 0)</f>
        <v>0</v>
      </c>
      <c r="Z22" s="21" cm="1">
        <f t="array" ref="Z22">IFERROR(SUM(_xlfn._xlws.FILTER(('V1-Based Churn Model (Step 3)'!$X$39:$X$4039="Low")*1,
    ISNUMBER(MATCH('V1-Based Churn Model (Step 3)'!$A$39:$A$4039,
    _xlfn.UNIQUE(_xlfn._xlws.FILTER(Transactions_and_Customer_Information_Joined[Customer ID],
    (Transactions_and_Customer_Information_Joined[SKU]='Monte Carlo IO (4)'!$A22)*
    (Transactions_and_Customer_Information_Joined[Order Status]="Completed"))),0))))
/ $R22, 0)</f>
        <v>0</v>
      </c>
      <c r="AA22" s="3" t="str" cm="1">
        <f t="array" ref="AA22">_xlfn.IFS($W22 = MAX($W22:$Z22), "Critical", $X22 = MAX($W22:$Z22), "High", $Y22 = MAX($W22:$Z22), "Medium", $Z22 = MAX($W22:$Z22), "Low")</f>
        <v>Critical</v>
      </c>
      <c r="AB22" s="23" cm="1">
        <f t="array" ref="AB22:AD22">_xlfn.XLOOKUP($A22, Best_Outcomes[SKU], Best_Outcomes[[Adjusted Price]:[Adjusted Difference %]],,0)</f>
        <v>163.17671709921524</v>
      </c>
      <c r="AC22" s="23">
        <v>19.376717099215227</v>
      </c>
      <c r="AD22" s="21">
        <v>0.13474768497368028</v>
      </c>
      <c r="AE22" s="21">
        <f t="shared" si="4"/>
        <v>-5.3899073989472114E-2</v>
      </c>
      <c r="AF22" s="38">
        <f t="shared" si="5"/>
        <v>29.053899073989474</v>
      </c>
      <c r="AG22" s="23" cm="1">
        <f t="array" ref="AG22:AI22">_xlfn.XLOOKUP($A22,Best_Outcomes[SKU], Best_Outcomes[[Adjusted Gross Revenue]:[Gross Revenue Lift %]])</f>
        <v>4477.0676513768385</v>
      </c>
      <c r="AH22" s="23">
        <v>306.86765137683778</v>
      </c>
      <c r="AI22" s="21">
        <v>7.3585835541901526E-2</v>
      </c>
      <c r="AJ22" s="28">
        <f t="shared" si="6"/>
        <v>1538.6944949584824</v>
      </c>
      <c r="AK22" s="28">
        <f t="shared" si="7"/>
        <v>-263.65550504151747</v>
      </c>
      <c r="AL22" s="9">
        <f t="shared" si="8"/>
        <v>-0.14628429830028433</v>
      </c>
      <c r="AM22" s="23" cm="1">
        <f t="array" ref="AM22:AP22">_xlfn.XLOOKUP($A22,Best_Outcomes[SKU], Best_Outcomes[[Adjusted Gross Profit]:[Gross Profit Margin %]])</f>
        <v>2771.8626473817635</v>
      </c>
      <c r="AN22" s="23">
        <v>404.01264738176269</v>
      </c>
      <c r="AO22" s="21">
        <v>0.17062425718764387</v>
      </c>
      <c r="AP22" s="21">
        <v>0.61912458404092441</v>
      </c>
      <c r="AQ22" s="9">
        <f t="shared" si="9"/>
        <v>5.1322080563872885E-2</v>
      </c>
      <c r="AR22" s="21" cm="1">
        <f t="array" ref="AR22:AU22">_xlfn.XLOOKUP($A22,Best_Outcomes[SKU], Best_Outcomes[[Gross Profit Margin Lift %]:[LTV Protection-Risk Ratio]])</f>
        <v>5.1322080563872885E-2</v>
      </c>
      <c r="AS22" s="23">
        <v>422.51293670182497</v>
      </c>
      <c r="AT22" s="23">
        <v>633.7694050527374</v>
      </c>
      <c r="AU22" s="21">
        <v>0.66666666666666674</v>
      </c>
    </row>
    <row r="23" spans="1:47">
      <c r="A23" s="24" t="str">
        <v>SKU-1017</v>
      </c>
      <c r="B23" s="24" t="str">
        <f>_xlfn.XLOOKUP($A23,_1_product_catalog_pricing[SKU], _1_product_catalog_pricing[Product Name],,0)</f>
        <v>Baseball Cap</v>
      </c>
      <c r="C23" s="24" t="str">
        <f>_xlfn.XLOOKUP($A23, _1_product_catalog_pricing[SKU], _1_product_catalog_pricing[Category],,0)</f>
        <v>Apparel</v>
      </c>
      <c r="D23" s="24" t="str" cm="1">
        <f t="array" ref="D23">_xlfn.XLOOKUP($A23,_xlfn.ANCHORARRAY('V1 Pricing Model (Step 2)'!$A$22), 'V1 Pricing Model (Step 2)'!$T$22:$T$71,,0)</f>
        <v>Raise</v>
      </c>
      <c r="E23" s="24" t="str" cm="1">
        <f t="array" ref="E23">_xlfn.XLOOKUP($A23,_xlfn.ANCHORARRAY('V1 Pricing Model (Step 2)'!$A$22), 'V1 Pricing Model (Step 2)'!$AL$22:$AL$71,,0)</f>
        <v>Full</v>
      </c>
      <c r="F23" s="23" cm="1">
        <f t="array" ref="F23">_xlfn.XLOOKUP($A23,_xlfn.ANCHORARRAY('V1 Pricing Model (Step 2)'!$A$22),_xlfn.ANCHORARRAY( 'V1 Pricing Model (Step 2)'!$D$22),,0)</f>
        <v>63.19</v>
      </c>
      <c r="G23" s="23" cm="1">
        <f t="array" ref="G23">_xlfn.XLOOKUP($A23,_xlfn.ANCHORARRAY('V1 Pricing Model (Step 2)'!$A$22),_xlfn.ANCHORARRAY( 'V1 Pricing Model (Step 2)'!$E$22),,0)</f>
        <v>41.45</v>
      </c>
      <c r="H23" s="24" cm="1">
        <f t="array" ref="H23">_xlfn.XLOOKUP($A23, 'Competitive Analysis (Step 1)'!$A$10:$A$209,_xlfn.ANCHORARRAY( 'Competitive Analysis (Step 1)'!$Q$10),,0)</f>
        <v>19</v>
      </c>
      <c r="I23" s="28">
        <f t="shared" si="1"/>
        <v>1200.6099999999999</v>
      </c>
      <c r="J23" s="28">
        <f t="shared" si="2"/>
        <v>787.55000000000007</v>
      </c>
      <c r="K23" s="28">
        <f t="shared" si="3"/>
        <v>413.05999999999983</v>
      </c>
      <c r="L23" s="9">
        <f t="shared" si="0"/>
        <v>0.34404177876246228</v>
      </c>
      <c r="M23" s="23" cm="1">
        <f t="array" ref="M23:O23">_xlfn.XLOOKUP($A23,_xlfn.ANCHORARRAY('V1 Pricing Model (Step 2)'!$A$22),'V1 Pricing Model (Step 2)'!$U$22:$W$71,,0)</f>
        <v>64.147135922714369</v>
      </c>
      <c r="N23" s="23">
        <v>0.95713592271437165</v>
      </c>
      <c r="O23" s="21">
        <v>1.5146952408836394E-2</v>
      </c>
      <c r="P23" s="23" cm="1">
        <f t="array" ref="P23">_xlfn.XLOOKUP($A23,_xlfn.ANCHORARRAY( 'V1 Pricing Model (Step 2)'!$A$22), 'V1 Pricing Model (Step 2)'!$AC$22:$AC$71)</f>
        <v>148.52558253157304</v>
      </c>
      <c r="Q23" s="23" cm="1">
        <f t="array" ref="Q23">_xlfn.XLOOKUP($A23,_xlfn.ANCHORARRAY('V1 Pricing Model (Step 2)'!$A$22),'V1 Pricing Model (Step 2)'!$AI$22:$AI$71,,0)</f>
        <v>148.52558253157304</v>
      </c>
      <c r="R23" s="24" cm="1">
        <f t="array" ref="R23">COUNTA(_xlfn.UNIQUE(_xlfn._xlws.FILTER(Transactions_and_Customer_Information_Joined[Customer ID], (Transactions_and_Customer_Information_Joined[SKU]='Monte Carlo IO (4)'!$A23) * (Transactions_and_Customer_Information_Joined[Order Status] = "Completed"), "")))</f>
        <v>9</v>
      </c>
      <c r="S23" s="42" cm="1">
        <f t="array" ref="S23">AVERAGE(_xlfn._xlws.FILTER('V1-Based Churn Model (Step 3)'!$W$39:$W$590,
    ISNUMBER(MATCH('V1-Based Churn Model (Step 3)'!$A$39:$A$590,
    _xlfn.UNIQUE(_xlfn._xlws.FILTER(Transactions_and_Customer_Information_Joined[Customer ID],
    (Transactions_and_Customer_Information_Joined[SKU]='Monte Carlo IO (4)'!$A23)*
    (Transactions_and_Customer_Information_Joined[Order Status]="Completed"))),0))))</f>
        <v>66.776278750626886</v>
      </c>
      <c r="T23" s="25" cm="1">
        <f t="array" ref="T23">AVERAGE(_xlfn._xlws.FILTER('V1-Based Churn Model (Step 3)'!$Y$39:$Y$590,
    ISNUMBER(MATCH('V1-Based Churn Model (Step 3)'!$A$39:$A$590,
    _xlfn.UNIQUE(_xlfn._xlws.FILTER(Transactions_and_Customer_Information_Joined[Customer ID],
    (Transactions_and_Customer_Information_Joined[SKU]='Monte Carlo IO (4)'!$A23)*
    (Transactions_and_Customer_Information_Joined[Order Status]="Completed"))),0))))</f>
        <v>0.25641746768705587</v>
      </c>
      <c r="U23" s="23" cm="1">
        <f t="array" ref="U23">SUM(_xlfn._xlws.FILTER('V1-Based Churn Model (Step 3)'!$I$39:$I$590,
    ISNUMBER(MATCH('V1-Based Churn Model (Step 3)'!$A$39:$A$590,
    _xlfn.UNIQUE(_xlfn._xlws.FILTER(Transactions_and_Customer_Information_Joined[Customer ID],
    (Transactions_and_Customer_Information_Joined[SKU]='Monte Carlo IO (4)'!$A23)*
    (Transactions_and_Customer_Information_Joined[Order Status]="Completed"))),0))))</f>
        <v>4780.78</v>
      </c>
      <c r="V23" s="23" cm="1">
        <f t="array" ref="V23">SUM(_xlfn._xlws.FILTER('V1-Based Churn Model (Step 3)'!$Z$39:$Z$590,
    ISNUMBER(MATCH('V1-Based Churn Model (Step 3)'!$A$39:$A$590,
    _xlfn.UNIQUE(_xlfn._xlws.FILTER(Transactions_and_Customer_Information_Joined[Customer ID],
    (Transactions_and_Customer_Information_Joined[SKU]='Monte Carlo IO (4)'!$A23)*
    (Transactions_and_Customer_Information_Joined[Order Status]="Completed"))),0))))</f>
        <v>1170.2077584860217</v>
      </c>
      <c r="W23" s="21" cm="1">
        <f t="array" ref="W23">IFERROR(SUM(_xlfn._xlws.FILTER(('V1-Based Churn Model (Step 3)'!$X$39:$X$4039="Critical")*1,
    ISNUMBER(MATCH('V1-Based Churn Model (Step 3)'!$A$39:$A$4039,
    _xlfn.UNIQUE(_xlfn._xlws.FILTER(Transactions_and_Customer_Information_Joined[Customer ID],
    (Transactions_and_Customer_Information_Joined[SKU]='Monte Carlo IO (4)'!$A23)*
    (Transactions_and_Customer_Information_Joined[Order Status]="Completed"))),0))))
/ $R23, 0)</f>
        <v>0.55555555555555558</v>
      </c>
      <c r="X23" s="21" cm="1">
        <f t="array" ref="X23">IFERROR(SUM(_xlfn._xlws.FILTER(('V1-Based Churn Model (Step 3)'!$X$39:$X$4039="High")*1,
    ISNUMBER(MATCH('V1-Based Churn Model (Step 3)'!$A$39:$A$4039,
    _xlfn.UNIQUE(_xlfn._xlws.FILTER(Transactions_and_Customer_Information_Joined[Customer ID],
    (Transactions_and_Customer_Information_Joined[SKU]='Monte Carlo IO (4)'!$A23)*
    (Transactions_and_Customer_Information_Joined[Order Status]="Completed"))),0))))
/ $R23, 0)</f>
        <v>0</v>
      </c>
      <c r="Y23" s="21" cm="1">
        <f t="array" ref="Y23">IFERROR(SUM(_xlfn._xlws.FILTER(('V1-Based Churn Model (Step 3)'!$X$39:$X$4039="Medium")*1,
    ISNUMBER(MATCH('V1-Based Churn Model (Step 3)'!$A$39:$A$4039,
    _xlfn.UNIQUE(_xlfn._xlws.FILTER(Transactions_and_Customer_Information_Joined[Customer ID],
    (Transactions_and_Customer_Information_Joined[SKU]='Monte Carlo IO (4)'!$A23)*
    (Transactions_and_Customer_Information_Joined[Order Status]="Completed"))),0))))
/ $R23, 0)</f>
        <v>0.44444444444444442</v>
      </c>
      <c r="Z23" s="21" cm="1">
        <f t="array" ref="Z23">IFERROR(SUM(_xlfn._xlws.FILTER(('V1-Based Churn Model (Step 3)'!$X$39:$X$4039="Low")*1,
    ISNUMBER(MATCH('V1-Based Churn Model (Step 3)'!$A$39:$A$4039,
    _xlfn.UNIQUE(_xlfn._xlws.FILTER(Transactions_and_Customer_Information_Joined[Customer ID],
    (Transactions_and_Customer_Information_Joined[SKU]='Monte Carlo IO (4)'!$A23)*
    (Transactions_and_Customer_Information_Joined[Order Status]="Completed"))),0))))
/ $R23, 0)</f>
        <v>0</v>
      </c>
      <c r="AA23" s="3" t="str" cm="1">
        <f t="array" ref="AA23">_xlfn.IFS($W23 = MAX($W23:$Z23), "Critical", $X23 = MAX($W23:$Z23), "High", $Y23 = MAX($W23:$Z23), "Medium", $Z23 = MAX($W23:$Z23), "Low")</f>
        <v>Critical</v>
      </c>
      <c r="AB23" s="23" cm="1">
        <f t="array" ref="AB23:AD23">_xlfn.XLOOKUP($A23, Best_Outcomes[SKU], Best_Outcomes[[Adjusted Price]:[Adjusted Difference %]],,0)</f>
        <v>63.19</v>
      </c>
      <c r="AC23" s="23">
        <v>0</v>
      </c>
      <c r="AD23" s="21">
        <v>0</v>
      </c>
      <c r="AE23" s="21">
        <f t="shared" si="4"/>
        <v>0</v>
      </c>
      <c r="AF23" s="38">
        <f t="shared" si="5"/>
        <v>19</v>
      </c>
      <c r="AG23" s="23" cm="1">
        <f t="array" ref="AG23:AI23">_xlfn.XLOOKUP($A23,Best_Outcomes[SKU], Best_Outcomes[[Adjusted Gross Revenue]:[Gross Revenue Lift %]])</f>
        <v>1200.6099999999999</v>
      </c>
      <c r="AH23" s="23">
        <v>0</v>
      </c>
      <c r="AI23" s="21">
        <v>0</v>
      </c>
      <c r="AJ23" s="28">
        <f t="shared" si="6"/>
        <v>1006.24</v>
      </c>
      <c r="AK23" s="28">
        <f t="shared" si="7"/>
        <v>218.68999999999994</v>
      </c>
      <c r="AL23" s="9">
        <f t="shared" si="8"/>
        <v>0.27768395657418565</v>
      </c>
      <c r="AM23" s="23" cm="1">
        <f t="array" ref="AM23:AP23">_xlfn.XLOOKUP($A23,Best_Outcomes[SKU], Best_Outcomes[[Adjusted Gross Profit]:[Gross Profit Margin %]])</f>
        <v>413.05999999999983</v>
      </c>
      <c r="AN23" s="23">
        <v>0</v>
      </c>
      <c r="AO23" s="21">
        <v>0</v>
      </c>
      <c r="AP23" s="21">
        <v>0.34404177876246228</v>
      </c>
      <c r="AQ23" s="9">
        <f t="shared" si="9"/>
        <v>0</v>
      </c>
      <c r="AR23" s="21" cm="1">
        <f t="array" ref="AR23:AU23">_xlfn.XLOOKUP($A23,Best_Outcomes[SKU], Best_Outcomes[[Gross Profit Margin Lift %]:[LTV Protection-Risk Ratio]])</f>
        <v>0</v>
      </c>
      <c r="AS23" s="23">
        <v>858.15235622308262</v>
      </c>
      <c r="AT23" s="23">
        <v>0</v>
      </c>
      <c r="AU23" s="21">
        <v>0</v>
      </c>
    </row>
    <row r="24" spans="1:47">
      <c r="A24" s="24" t="str">
        <v>SKU-1018</v>
      </c>
      <c r="B24" s="24" t="str">
        <f>_xlfn.XLOOKUP($A24,_1_product_catalog_pricing[SKU], _1_product_catalog_pricing[Product Name],,0)</f>
        <v>Sneakers</v>
      </c>
      <c r="C24" s="24" t="str">
        <f>_xlfn.XLOOKUP($A24, _1_product_catalog_pricing[SKU], _1_product_catalog_pricing[Category],,0)</f>
        <v>Apparel</v>
      </c>
      <c r="D24" s="24" t="str" cm="1">
        <f t="array" ref="D24">_xlfn.XLOOKUP($A24,_xlfn.ANCHORARRAY('V1 Pricing Model (Step 2)'!$A$22), 'V1 Pricing Model (Step 2)'!$T$22:$T$71,,0)</f>
        <v>Hold</v>
      </c>
      <c r="E24" s="24" t="str" cm="1">
        <f t="array" ref="E24">_xlfn.XLOOKUP($A24,_xlfn.ANCHORARRAY('V1 Pricing Model (Step 2)'!$A$22), 'V1 Pricing Model (Step 2)'!$AL$22:$AL$71,,0)</f>
        <v>Full</v>
      </c>
      <c r="F24" s="23" cm="1">
        <f t="array" ref="F24">_xlfn.XLOOKUP($A24,_xlfn.ANCHORARRAY('V1 Pricing Model (Step 2)'!$A$22),_xlfn.ANCHORARRAY( 'V1 Pricing Model (Step 2)'!$D$22),,0)</f>
        <v>111.09</v>
      </c>
      <c r="G24" s="23" cm="1">
        <f t="array" ref="G24">_xlfn.XLOOKUP($A24,_xlfn.ANCHORARRAY('V1 Pricing Model (Step 2)'!$A$22),_xlfn.ANCHORARRAY( 'V1 Pricing Model (Step 2)'!$E$22),,0)</f>
        <v>44.58</v>
      </c>
      <c r="H24" s="24" cm="1">
        <f t="array" ref="H24">_xlfn.XLOOKUP($A24, 'Competitive Analysis (Step 1)'!$A$10:$A$209,_xlfn.ANCHORARRAY( 'Competitive Analysis (Step 1)'!$Q$10),,0)</f>
        <v>43</v>
      </c>
      <c r="I24" s="28">
        <f t="shared" si="1"/>
        <v>4776.87</v>
      </c>
      <c r="J24" s="28">
        <f t="shared" si="2"/>
        <v>1916.9399999999998</v>
      </c>
      <c r="K24" s="28">
        <f t="shared" si="3"/>
        <v>2859.9300000000003</v>
      </c>
      <c r="L24" s="9">
        <f t="shared" si="0"/>
        <v>0.59870375371320561</v>
      </c>
      <c r="M24" s="23" cm="1">
        <f t="array" ref="M24:O24">_xlfn.XLOOKUP($A24,_xlfn.ANCHORARRAY('V1 Pricing Model (Step 2)'!$A$22),'V1 Pricing Model (Step 2)'!$U$22:$W$71,,0)</f>
        <v>111.21028729391587</v>
      </c>
      <c r="N24" s="23">
        <v>0.12028729391586523</v>
      </c>
      <c r="O24" s="21">
        <v>1.0827913756041518E-3</v>
      </c>
      <c r="P24" s="23" cm="1">
        <f t="array" ref="P24">_xlfn.XLOOKUP($A24,_xlfn.ANCHORARRAY( 'V1 Pricing Model (Step 2)'!$A$22), 'V1 Pricing Model (Step 2)'!$AC$22:$AC$71)</f>
        <v>328.96235363838241</v>
      </c>
      <c r="Q24" s="23" cm="1">
        <f t="array" ref="Q24">_xlfn.XLOOKUP($A24,_xlfn.ANCHORARRAY('V1 Pricing Model (Step 2)'!$A$22),'V1 Pricing Model (Step 2)'!$AI$22:$AI$71,,0)</f>
        <v>328.96235363838287</v>
      </c>
      <c r="R24" s="24" cm="1">
        <f t="array" ref="R24">COUNTA(_xlfn.UNIQUE(_xlfn._xlws.FILTER(Transactions_and_Customer_Information_Joined[Customer ID], (Transactions_and_Customer_Information_Joined[SKU]='Monte Carlo IO (4)'!$A24) * (Transactions_and_Customer_Information_Joined[Order Status] = "Completed"), "")))</f>
        <v>16</v>
      </c>
      <c r="S24" s="42" cm="1">
        <f t="array" ref="S24">AVERAGE(_xlfn._xlws.FILTER('V1-Based Churn Model (Step 3)'!$W$39:$W$590,
    ISNUMBER(MATCH('V1-Based Churn Model (Step 3)'!$A$39:$A$590,
    _xlfn.UNIQUE(_xlfn._xlws.FILTER(Transactions_and_Customer_Information_Joined[Customer ID],
    (Transactions_and_Customer_Information_Joined[SKU]='Monte Carlo IO (4)'!$A24)*
    (Transactions_and_Customer_Information_Joined[Order Status]="Completed"))),0))))</f>
        <v>54.912869233337879</v>
      </c>
      <c r="T24" s="25" cm="1">
        <f t="array" ref="T24">AVERAGE(_xlfn._xlws.FILTER('V1-Based Churn Model (Step 3)'!$Y$39:$Y$590,
    ISNUMBER(MATCH('V1-Based Churn Model (Step 3)'!$A$39:$A$590,
    _xlfn.UNIQUE(_xlfn._xlws.FILTER(Transactions_and_Customer_Information_Joined[Customer ID],
    (Transactions_and_Customer_Information_Joined[SKU]='Monte Carlo IO (4)'!$A24)*
    (Transactions_and_Customer_Information_Joined[Order Status]="Completed"))),0))))</f>
        <v>0.19636616438660343</v>
      </c>
      <c r="U24" s="23" cm="1">
        <f t="array" ref="U24">SUM(_xlfn._xlws.FILTER('V1-Based Churn Model (Step 3)'!$I$39:$I$590,
    ISNUMBER(MATCH('V1-Based Churn Model (Step 3)'!$A$39:$A$590,
    _xlfn.UNIQUE(_xlfn._xlws.FILTER(Transactions_and_Customer_Information_Joined[Customer ID],
    (Transactions_and_Customer_Information_Joined[SKU]='Monte Carlo IO (4)'!$A24)*
    (Transactions_and_Customer_Information_Joined[Order Status]="Completed"))),0))))</f>
        <v>12438.72</v>
      </c>
      <c r="V24" s="23" cm="1">
        <f t="array" ref="V24">SUM(_xlfn._xlws.FILTER('V1-Based Churn Model (Step 3)'!$Z$39:$Z$590,
    ISNUMBER(MATCH('V1-Based Churn Model (Step 3)'!$A$39:$A$590,
    _xlfn.UNIQUE(_xlfn._xlws.FILTER(Transactions_and_Customer_Information_Joined[Customer ID],
    (Transactions_and_Customer_Information_Joined[SKU]='Monte Carlo IO (4)'!$A24)*
    (Transactions_and_Customer_Information_Joined[Order Status]="Completed"))),0))))</f>
        <v>2452.6593252940897</v>
      </c>
      <c r="W24" s="21" cm="1">
        <f t="array" ref="W24">IFERROR(SUM(_xlfn._xlws.FILTER(('V1-Based Churn Model (Step 3)'!$X$39:$X$4039="Critical")*1,
    ISNUMBER(MATCH('V1-Based Churn Model (Step 3)'!$A$39:$A$4039,
    _xlfn.UNIQUE(_xlfn._xlws.FILTER(Transactions_and_Customer_Information_Joined[Customer ID],
    (Transactions_and_Customer_Information_Joined[SKU]='Monte Carlo IO (4)'!$A24)*
    (Transactions_and_Customer_Information_Joined[Order Status]="Completed"))),0))))
/ $R24, 0)</f>
        <v>0.3125</v>
      </c>
      <c r="X24" s="21" cm="1">
        <f t="array" ref="X24">IFERROR(SUM(_xlfn._xlws.FILTER(('V1-Based Churn Model (Step 3)'!$X$39:$X$4039="High")*1,
    ISNUMBER(MATCH('V1-Based Churn Model (Step 3)'!$A$39:$A$4039,
    _xlfn.UNIQUE(_xlfn._xlws.FILTER(Transactions_and_Customer_Information_Joined[Customer ID],
    (Transactions_and_Customer_Information_Joined[SKU]='Monte Carlo IO (4)'!$A24)*
    (Transactions_and_Customer_Information_Joined[Order Status]="Completed"))),0))))
/ $R24, 0)</f>
        <v>0.25</v>
      </c>
      <c r="Y24" s="21" cm="1">
        <f t="array" ref="Y24">IFERROR(SUM(_xlfn._xlws.FILTER(('V1-Based Churn Model (Step 3)'!$X$39:$X$4039="Medium")*1,
    ISNUMBER(MATCH('V1-Based Churn Model (Step 3)'!$A$39:$A$4039,
    _xlfn.UNIQUE(_xlfn._xlws.FILTER(Transactions_and_Customer_Information_Joined[Customer ID],
    (Transactions_and_Customer_Information_Joined[SKU]='Monte Carlo IO (4)'!$A24)*
    (Transactions_and_Customer_Information_Joined[Order Status]="Completed"))),0))))
/ $R24, 0)</f>
        <v>0.25</v>
      </c>
      <c r="Z24" s="21" cm="1">
        <f t="array" ref="Z24">IFERROR(SUM(_xlfn._xlws.FILTER(('V1-Based Churn Model (Step 3)'!$X$39:$X$4039="Low")*1,
    ISNUMBER(MATCH('V1-Based Churn Model (Step 3)'!$A$39:$A$4039,
    _xlfn.UNIQUE(_xlfn._xlws.FILTER(Transactions_and_Customer_Information_Joined[Customer ID],
    (Transactions_and_Customer_Information_Joined[SKU]='Monte Carlo IO (4)'!$A24)*
    (Transactions_and_Customer_Information_Joined[Order Status]="Completed"))),0))))
/ $R24, 0)</f>
        <v>0.1875</v>
      </c>
      <c r="AA24" s="3" t="str" cm="1">
        <f t="array" ref="AA24">_xlfn.IFS($W24 = MAX($W24:$Z24), "Critical", $X24 = MAX($W24:$Z24), "High", $Y24 = MAX($W24:$Z24), "Medium", $Z24 = MAX($W24:$Z24), "Low")</f>
        <v>Critical</v>
      </c>
      <c r="AB24" s="23" cm="1">
        <f t="array" ref="AB24:AD24">_xlfn.XLOOKUP($A24, Best_Outcomes[SKU], Best_Outcomes[[Adjusted Price]:[Adjusted Difference %]],,0)</f>
        <v>111.09</v>
      </c>
      <c r="AC24" s="23">
        <v>0</v>
      </c>
      <c r="AD24" s="21">
        <v>0</v>
      </c>
      <c r="AE24" s="21">
        <f t="shared" si="4"/>
        <v>0</v>
      </c>
      <c r="AF24" s="38">
        <f t="shared" si="5"/>
        <v>43</v>
      </c>
      <c r="AG24" s="23" cm="1">
        <f t="array" ref="AG24:AI24">_xlfn.XLOOKUP($A24,Best_Outcomes[SKU], Best_Outcomes[[Adjusted Gross Revenue]:[Gross Revenue Lift %]])</f>
        <v>4776.87</v>
      </c>
      <c r="AH24" s="23">
        <v>0</v>
      </c>
      <c r="AI24" s="21">
        <v>0</v>
      </c>
      <c r="AJ24" s="28">
        <f t="shared" si="6"/>
        <v>2277.2800000000002</v>
      </c>
      <c r="AK24" s="28">
        <f t="shared" si="7"/>
        <v>360.34000000000037</v>
      </c>
      <c r="AL24" s="9">
        <f t="shared" si="8"/>
        <v>0.18797667115298361</v>
      </c>
      <c r="AM24" s="23" cm="1">
        <f t="array" ref="AM24:AP24">_xlfn.XLOOKUP($A24,Best_Outcomes[SKU], Best_Outcomes[[Adjusted Gross Profit]:[Gross Profit Margin %]])</f>
        <v>2859.9300000000003</v>
      </c>
      <c r="AN24" s="23">
        <v>0</v>
      </c>
      <c r="AO24" s="21">
        <v>0</v>
      </c>
      <c r="AP24" s="21">
        <v>0.59870375371320561</v>
      </c>
      <c r="AQ24" s="9">
        <f t="shared" si="9"/>
        <v>0</v>
      </c>
      <c r="AR24" s="21" cm="1">
        <f t="array" ref="AR24:AU24">_xlfn.XLOOKUP($A24,Best_Outcomes[SKU], Best_Outcomes[[Gross Profit Margin Lift %]:[LTV Protection-Risk Ratio]])</f>
        <v>0</v>
      </c>
      <c r="AS24" s="23">
        <v>1540.57663870035</v>
      </c>
      <c r="AT24" s="23">
        <v>0</v>
      </c>
      <c r="AU24" s="21">
        <v>0</v>
      </c>
    </row>
    <row r="25" spans="1:47">
      <c r="A25" s="24" t="str">
        <v>SKU-1019</v>
      </c>
      <c r="B25" s="24" t="str">
        <f>_xlfn.XLOOKUP($A25,_1_product_catalog_pricing[SKU], _1_product_catalog_pricing[Product Name],,0)</f>
        <v>Canvas Tote Bag</v>
      </c>
      <c r="C25" s="24" t="str">
        <f>_xlfn.XLOOKUP($A25, _1_product_catalog_pricing[SKU], _1_product_catalog_pricing[Category],,0)</f>
        <v>Apparel</v>
      </c>
      <c r="D25" s="24" t="str" cm="1">
        <f t="array" ref="D25">_xlfn.XLOOKUP($A25,_xlfn.ANCHORARRAY('V1 Pricing Model (Step 2)'!$A$22), 'V1 Pricing Model (Step 2)'!$T$22:$T$71,,0)</f>
        <v>Raise</v>
      </c>
      <c r="E25" s="24" t="str" cm="1">
        <f t="array" ref="E25">_xlfn.XLOOKUP($A25,_xlfn.ANCHORARRAY('V1 Pricing Model (Step 2)'!$A$22), 'V1 Pricing Model (Step 2)'!$AL$22:$AL$71,,0)</f>
        <v>Full</v>
      </c>
      <c r="F25" s="23" cm="1">
        <f t="array" ref="F25">_xlfn.XLOOKUP($A25,_xlfn.ANCHORARRAY('V1 Pricing Model (Step 2)'!$A$22),_xlfn.ANCHORARRAY( 'V1 Pricing Model (Step 2)'!$D$22),,0)</f>
        <v>160.35</v>
      </c>
      <c r="G25" s="23" cm="1">
        <f t="array" ref="G25">_xlfn.XLOOKUP($A25,_xlfn.ANCHORARRAY('V1 Pricing Model (Step 2)'!$A$22),_xlfn.ANCHORARRAY( 'V1 Pricing Model (Step 2)'!$E$22),,0)</f>
        <v>72.47</v>
      </c>
      <c r="H25" s="24" cm="1">
        <f t="array" ref="H25">_xlfn.XLOOKUP($A25, 'Competitive Analysis (Step 1)'!$A$10:$A$209,_xlfn.ANCHORARRAY( 'Competitive Analysis (Step 1)'!$Q$10),,0)</f>
        <v>36</v>
      </c>
      <c r="I25" s="28">
        <f t="shared" si="1"/>
        <v>5772.5999999999995</v>
      </c>
      <c r="J25" s="28">
        <f t="shared" si="2"/>
        <v>2608.92</v>
      </c>
      <c r="K25" s="28">
        <f t="shared" si="3"/>
        <v>3163.6799999999994</v>
      </c>
      <c r="L25" s="9">
        <f t="shared" si="0"/>
        <v>0.54805113813532891</v>
      </c>
      <c r="M25" s="23" cm="1">
        <f t="array" ref="M25:O25">_xlfn.XLOOKUP($A25,_xlfn.ANCHORARRAY('V1 Pricing Model (Step 2)'!$A$22),'V1 Pricing Model (Step 2)'!$U$22:$W$71,,0)</f>
        <v>182.28730909948831</v>
      </c>
      <c r="N25" s="23">
        <v>21.937309099488317</v>
      </c>
      <c r="O25" s="21">
        <v>0.13680891237597953</v>
      </c>
      <c r="P25" s="23" cm="1">
        <f t="array" ref="P25">_xlfn.XLOOKUP($A25,_xlfn.ANCHORARRAY( 'V1 Pricing Model (Step 2)'!$A$22), 'V1 Pricing Model (Step 2)'!$AC$22:$AC$71)</f>
        <v>425.16850938260268</v>
      </c>
      <c r="Q25" s="23" cm="1">
        <f t="array" ref="Q25">_xlfn.XLOOKUP($A25,_xlfn.ANCHORARRAY('V1 Pricing Model (Step 2)'!$A$22),'V1 Pricing Model (Step 2)'!$AI$22:$AI$71,,0)</f>
        <v>570.10850938260273</v>
      </c>
      <c r="R25" s="24" cm="1">
        <f t="array" ref="R25">COUNTA(_xlfn.UNIQUE(_xlfn._xlws.FILTER(Transactions_and_Customer_Information_Joined[Customer ID], (Transactions_and_Customer_Information_Joined[SKU]='Monte Carlo IO (4)'!$A25) * (Transactions_and_Customer_Information_Joined[Order Status] = "Completed"), "")))</f>
        <v>12</v>
      </c>
      <c r="S25" s="42" cm="1">
        <f t="array" ref="S25">AVERAGE(_xlfn._xlws.FILTER('V1-Based Churn Model (Step 3)'!$W$39:$W$590,
    ISNUMBER(MATCH('V1-Based Churn Model (Step 3)'!$A$39:$A$590,
    _xlfn.UNIQUE(_xlfn._xlws.FILTER(Transactions_and_Customer_Information_Joined[Customer ID],
    (Transactions_and_Customer_Information_Joined[SKU]='Monte Carlo IO (4)'!$A25)*
    (Transactions_and_Customer_Information_Joined[Order Status]="Completed"))),0))))</f>
        <v>69.769541493538881</v>
      </c>
      <c r="T25" s="25" cm="1">
        <f t="array" ref="T25">AVERAGE(_xlfn._xlws.FILTER('V1-Based Churn Model (Step 3)'!$Y$39:$Y$590,
    ISNUMBER(MATCH('V1-Based Churn Model (Step 3)'!$A$39:$A$590,
    _xlfn.UNIQUE(_xlfn._xlws.FILTER(Transactions_and_Customer_Information_Joined[Customer ID],
    (Transactions_and_Customer_Information_Joined[SKU]='Monte Carlo IO (4)'!$A25)*
    (Transactions_and_Customer_Information_Joined[Order Status]="Completed"))),0))))</f>
        <v>0.28227914447027186</v>
      </c>
      <c r="U25" s="23" cm="1">
        <f t="array" ref="U25">SUM(_xlfn._xlws.FILTER('V1-Based Churn Model (Step 3)'!$I$39:$I$590,
    ISNUMBER(MATCH('V1-Based Churn Model (Step 3)'!$A$39:$A$590,
    _xlfn.UNIQUE(_xlfn._xlws.FILTER(Transactions_and_Customer_Information_Joined[Customer ID],
    (Transactions_and_Customer_Information_Joined[SKU]='Monte Carlo IO (4)'!$A25)*
    (Transactions_and_Customer_Information_Joined[Order Status]="Completed"))),0))))</f>
        <v>5455.85</v>
      </c>
      <c r="V25" s="23" cm="1">
        <f t="array" ref="V25">SUM(_xlfn._xlws.FILTER('V1-Based Churn Model (Step 3)'!$Z$39:$Z$590,
    ISNUMBER(MATCH('V1-Based Churn Model (Step 3)'!$A$39:$A$590,
    _xlfn.UNIQUE(_xlfn._xlws.FILTER(Transactions_and_Customer_Information_Joined[Customer ID],
    (Transactions_and_Customer_Information_Joined[SKU]='Monte Carlo IO (4)'!$A25)*
    (Transactions_and_Customer_Information_Joined[Order Status]="Completed"))),0))))</f>
        <v>1437.4209803104648</v>
      </c>
      <c r="W25" s="21" cm="1">
        <f t="array" ref="W25">IFERROR(SUM(_xlfn._xlws.FILTER(('V1-Based Churn Model (Step 3)'!$X$39:$X$4039="Critical")*1,
    ISNUMBER(MATCH('V1-Based Churn Model (Step 3)'!$A$39:$A$4039,
    _xlfn.UNIQUE(_xlfn._xlws.FILTER(Transactions_and_Customer_Information_Joined[Customer ID],
    (Transactions_and_Customer_Information_Joined[SKU]='Monte Carlo IO (4)'!$A25)*
    (Transactions_and_Customer_Information_Joined[Order Status]="Completed"))),0))))
/ $R25, 0)</f>
        <v>0.41666666666666669</v>
      </c>
      <c r="X25" s="21" cm="1">
        <f t="array" ref="X25">IFERROR(SUM(_xlfn._xlws.FILTER(('V1-Based Churn Model (Step 3)'!$X$39:$X$4039="High")*1,
    ISNUMBER(MATCH('V1-Based Churn Model (Step 3)'!$A$39:$A$4039,
    _xlfn.UNIQUE(_xlfn._xlws.FILTER(Transactions_and_Customer_Information_Joined[Customer ID],
    (Transactions_and_Customer_Information_Joined[SKU]='Monte Carlo IO (4)'!$A25)*
    (Transactions_and_Customer_Information_Joined[Order Status]="Completed"))),0))))
/ $R25, 0)</f>
        <v>0.41666666666666669</v>
      </c>
      <c r="Y25" s="21" cm="1">
        <f t="array" ref="Y25">IFERROR(SUM(_xlfn._xlws.FILTER(('V1-Based Churn Model (Step 3)'!$X$39:$X$4039="Medium")*1,
    ISNUMBER(MATCH('V1-Based Churn Model (Step 3)'!$A$39:$A$4039,
    _xlfn.UNIQUE(_xlfn._xlws.FILTER(Transactions_and_Customer_Information_Joined[Customer ID],
    (Transactions_and_Customer_Information_Joined[SKU]='Monte Carlo IO (4)'!$A25)*
    (Transactions_and_Customer_Information_Joined[Order Status]="Completed"))),0))))
/ $R25, 0)</f>
        <v>0.16666666666666666</v>
      </c>
      <c r="Z25" s="21" cm="1">
        <f t="array" ref="Z25">IFERROR(SUM(_xlfn._xlws.FILTER(('V1-Based Churn Model (Step 3)'!$X$39:$X$4039="Low")*1,
    ISNUMBER(MATCH('V1-Based Churn Model (Step 3)'!$A$39:$A$4039,
    _xlfn.UNIQUE(_xlfn._xlws.FILTER(Transactions_and_Customer_Information_Joined[Customer ID],
    (Transactions_and_Customer_Information_Joined[SKU]='Monte Carlo IO (4)'!$A25)*
    (Transactions_and_Customer_Information_Joined[Order Status]="Completed"))),0))))
/ $R25, 0)</f>
        <v>0</v>
      </c>
      <c r="AA25" s="3" t="str" cm="1">
        <f t="array" ref="AA25">_xlfn.IFS($W25 = MAX($W25:$Z25), "Critical", $X25 = MAX($W25:$Z25), "High", $Y25 = MAX($W25:$Z25), "Medium", $Z25 = MAX($W25:$Z25), "Low")</f>
        <v>Critical</v>
      </c>
      <c r="AB25" s="23" cm="1">
        <f t="array" ref="AB25:AD25">_xlfn.XLOOKUP($A25, Best_Outcomes[SKU], Best_Outcomes[[Adjusted Price]:[Adjusted Difference %]],,0)</f>
        <v>173.51238545969298</v>
      </c>
      <c r="AC25" s="23">
        <v>13.162385459692985</v>
      </c>
      <c r="AD25" s="21">
        <v>8.2085347425587679E-2</v>
      </c>
      <c r="AE25" s="21">
        <f t="shared" si="4"/>
        <v>-3.2834138970235072E-2</v>
      </c>
      <c r="AF25" s="38">
        <f t="shared" si="5"/>
        <v>36.032834138970237</v>
      </c>
      <c r="AG25" s="23" cm="1">
        <f t="array" ref="AG25:AI25">_xlfn.XLOOKUP($A25,Best_Outcomes[SKU], Best_Outcomes[[Adjusted Gross Revenue]:[Gross Revenue Lift %]])</f>
        <v>6041.349204568287</v>
      </c>
      <c r="AH25" s="23">
        <v>268.7492045682875</v>
      </c>
      <c r="AI25" s="21">
        <v>4.655600675056084E-2</v>
      </c>
      <c r="AJ25" s="28">
        <f t="shared" si="6"/>
        <v>1908.2988959998638</v>
      </c>
      <c r="AK25" s="28">
        <f t="shared" si="7"/>
        <v>-700.62110400013626</v>
      </c>
      <c r="AL25" s="9">
        <f t="shared" si="8"/>
        <v>-0.26854832804384043</v>
      </c>
      <c r="AM25" s="23" cm="1">
        <f t="array" ref="AM25:AP25">_xlfn.XLOOKUP($A25,Best_Outcomes[SKU], Best_Outcomes[[Adjusted Gross Profit]:[Gross Profit Margin %]])</f>
        <v>3518.0908464105128</v>
      </c>
      <c r="AN25" s="23">
        <v>354.41084641051339</v>
      </c>
      <c r="AO25" s="21">
        <v>0.11202487179819497</v>
      </c>
      <c r="AP25" s="21">
        <v>0.582335290890028</v>
      </c>
      <c r="AQ25" s="9">
        <f t="shared" si="9"/>
        <v>3.4284152754699093E-2</v>
      </c>
      <c r="AR25" s="21" cm="1">
        <f t="array" ref="AR25:AU25">_xlfn.XLOOKUP($A25,Best_Outcomes[SKU], Best_Outcomes[[Gross Profit Margin Lift %]:[LTV Protection-Risk Ratio]])</f>
        <v>3.4284152754699093E-2</v>
      </c>
      <c r="AS25" s="23">
        <v>457.57901206549826</v>
      </c>
      <c r="AT25" s="23">
        <v>686.36851809824657</v>
      </c>
      <c r="AU25" s="21">
        <v>0.66666666666666752</v>
      </c>
    </row>
    <row r="26" spans="1:47">
      <c r="A26" s="24" t="str">
        <v>SKU-1020</v>
      </c>
      <c r="B26" s="24" t="str">
        <f>_xlfn.XLOOKUP($A26,_1_product_catalog_pricing[SKU], _1_product_catalog_pricing[Product Name],,0)</f>
        <v>Coffee Maker</v>
      </c>
      <c r="C26" s="24" t="str">
        <f>_xlfn.XLOOKUP($A26, _1_product_catalog_pricing[SKU], _1_product_catalog_pricing[Category],,0)</f>
        <v>Home &amp; Kitchen</v>
      </c>
      <c r="D26" s="24" t="str" cm="1">
        <f t="array" ref="D26">_xlfn.XLOOKUP($A26,_xlfn.ANCHORARRAY('V1 Pricing Model (Step 2)'!$A$22), 'V1 Pricing Model (Step 2)'!$T$22:$T$71,,0)</f>
        <v>Reduce</v>
      </c>
      <c r="E26" s="24" t="str" cm="1">
        <f t="array" ref="E26">_xlfn.XLOOKUP($A26,_xlfn.ANCHORARRAY('V1 Pricing Model (Step 2)'!$A$22), 'V1 Pricing Model (Step 2)'!$AL$22:$AL$71,,0)</f>
        <v>Full</v>
      </c>
      <c r="F26" s="23" cm="1">
        <f t="array" ref="F26">_xlfn.XLOOKUP($A26,_xlfn.ANCHORARRAY('V1 Pricing Model (Step 2)'!$A$22),_xlfn.ANCHORARRAY( 'V1 Pricing Model (Step 2)'!$D$22),,0)</f>
        <v>32.880000000000003</v>
      </c>
      <c r="G26" s="23" cm="1">
        <f t="array" ref="G26">_xlfn.XLOOKUP($A26,_xlfn.ANCHORARRAY('V1 Pricing Model (Step 2)'!$A$22),_xlfn.ANCHORARRAY( 'V1 Pricing Model (Step 2)'!$E$22),,0)</f>
        <v>21.52</v>
      </c>
      <c r="H26" s="24" cm="1">
        <f t="array" ref="H26">_xlfn.XLOOKUP($A26, 'Competitive Analysis (Step 1)'!$A$10:$A$209,_xlfn.ANCHORARRAY( 'Competitive Analysis (Step 1)'!$Q$10),,0)</f>
        <v>32</v>
      </c>
      <c r="I26" s="28">
        <f t="shared" si="1"/>
        <v>1052.1600000000001</v>
      </c>
      <c r="J26" s="28">
        <f t="shared" si="2"/>
        <v>688.64</v>
      </c>
      <c r="K26" s="28">
        <f t="shared" si="3"/>
        <v>363.5200000000001</v>
      </c>
      <c r="L26" s="9">
        <f t="shared" si="0"/>
        <v>0.34549878345498791</v>
      </c>
      <c r="M26" s="23" cm="1">
        <f t="array" ref="M26:O26">_xlfn.XLOOKUP($A26,_xlfn.ANCHORARRAY('V1 Pricing Model (Step 2)'!$A$22),'V1 Pricing Model (Step 2)'!$U$22:$W$71,,0)</f>
        <v>28.515197020399562</v>
      </c>
      <c r="N26" s="23">
        <v>-4.3648029796004408</v>
      </c>
      <c r="O26" s="21">
        <v>-0.13274948234794526</v>
      </c>
      <c r="P26" s="23" cm="1">
        <f t="array" ref="P26">_xlfn.XLOOKUP($A26,_xlfn.ANCHORARRAY( 'V1 Pricing Model (Step 2)'!$A$22), 'V1 Pricing Model (Step 2)'!$AC$22:$AC$71)</f>
        <v>201.23189571398484</v>
      </c>
      <c r="Q26" s="23" cm="1">
        <f t="array" ref="Q26">_xlfn.XLOOKUP($A26,_xlfn.ANCHORARRAY('V1 Pricing Model (Step 2)'!$A$22),'V1 Pricing Model (Step 2)'!$AI$22:$AI$71,,0)</f>
        <v>136.67189571398478</v>
      </c>
      <c r="R26" s="24" cm="1">
        <f t="array" ref="R26">COUNTA(_xlfn.UNIQUE(_xlfn._xlws.FILTER(Transactions_and_Customer_Information_Joined[Customer ID], (Transactions_and_Customer_Information_Joined[SKU]='Monte Carlo IO (4)'!$A26) * (Transactions_and_Customer_Information_Joined[Order Status] = "Completed"), "")))</f>
        <v>12</v>
      </c>
      <c r="S26" s="42" cm="1">
        <f t="array" ref="S26">AVERAGE(_xlfn._xlws.FILTER('V1-Based Churn Model (Step 3)'!$W$39:$W$590,
    ISNUMBER(MATCH('V1-Based Churn Model (Step 3)'!$A$39:$A$590,
    _xlfn.UNIQUE(_xlfn._xlws.FILTER(Transactions_and_Customer_Information_Joined[Customer ID],
    (Transactions_and_Customer_Information_Joined[SKU]='Monte Carlo IO (4)'!$A26)*
    (Transactions_and_Customer_Information_Joined[Order Status]="Completed"))),0))))</f>
        <v>64.415110717682666</v>
      </c>
      <c r="T26" s="25" cm="1">
        <f t="array" ref="T26">AVERAGE(_xlfn._xlws.FILTER('V1-Based Churn Model (Step 3)'!$Y$39:$Y$590,
    ISNUMBER(MATCH('V1-Based Churn Model (Step 3)'!$A$39:$A$590,
    _xlfn.UNIQUE(_xlfn._xlws.FILTER(Transactions_and_Customer_Information_Joined[Customer ID],
    (Transactions_and_Customer_Information_Joined[SKU]='Monte Carlo IO (4)'!$A26)*
    (Transactions_and_Customer_Information_Joined[Order Status]="Completed"))),0))))</f>
        <v>0.20955242607271854</v>
      </c>
      <c r="U26" s="23" cm="1">
        <f t="array" ref="U26">SUM(_xlfn._xlws.FILTER('V1-Based Churn Model (Step 3)'!$I$39:$I$590,
    ISNUMBER(MATCH('V1-Based Churn Model (Step 3)'!$A$39:$A$590,
    _xlfn.UNIQUE(_xlfn._xlws.FILTER(Transactions_and_Customer_Information_Joined[Customer ID],
    (Transactions_and_Customer_Information_Joined[SKU]='Monte Carlo IO (4)'!$A26)*
    (Transactions_and_Customer_Information_Joined[Order Status]="Completed"))),0))))</f>
        <v>10567.890000000001</v>
      </c>
      <c r="V26" s="23" cm="1">
        <f t="array" ref="V26">SUM(_xlfn._xlws.FILTER('V1-Based Churn Model (Step 3)'!$Z$39:$Z$590,
    ISNUMBER(MATCH('V1-Based Churn Model (Step 3)'!$A$39:$A$590,
    _xlfn.UNIQUE(_xlfn._xlws.FILTER(Transactions_and_Customer_Information_Joined[Customer ID],
    (Transactions_and_Customer_Information_Joined[SKU]='Monte Carlo IO (4)'!$A26)*
    (Transactions_and_Customer_Information_Joined[Order Status]="Completed"))),0))))</f>
        <v>2101.4202918077772</v>
      </c>
      <c r="W26" s="21" cm="1">
        <f t="array" ref="W26">IFERROR(SUM(_xlfn._xlws.FILTER(('V1-Based Churn Model (Step 3)'!$X$39:$X$4039="Critical")*1,
    ISNUMBER(MATCH('V1-Based Churn Model (Step 3)'!$A$39:$A$4039,
    _xlfn.UNIQUE(_xlfn._xlws.FILTER(Transactions_and_Customer_Information_Joined[Customer ID],
    (Transactions_and_Customer_Information_Joined[SKU]='Monte Carlo IO (4)'!$A26)*
    (Transactions_and_Customer_Information_Joined[Order Status]="Completed"))),0))))
/ $R26, 0)</f>
        <v>0.41666666666666669</v>
      </c>
      <c r="X26" s="21" cm="1">
        <f t="array" ref="X26">IFERROR(SUM(_xlfn._xlws.FILTER(('V1-Based Churn Model (Step 3)'!$X$39:$X$4039="High")*1,
    ISNUMBER(MATCH('V1-Based Churn Model (Step 3)'!$A$39:$A$4039,
    _xlfn.UNIQUE(_xlfn._xlws.FILTER(Transactions_and_Customer_Information_Joined[Customer ID],
    (Transactions_and_Customer_Information_Joined[SKU]='Monte Carlo IO (4)'!$A26)*
    (Transactions_and_Customer_Information_Joined[Order Status]="Completed"))),0))))
/ $R26, 0)</f>
        <v>0.33333333333333331</v>
      </c>
      <c r="Y26" s="21" cm="1">
        <f t="array" ref="Y26">IFERROR(SUM(_xlfn._xlws.FILTER(('V1-Based Churn Model (Step 3)'!$X$39:$X$4039="Medium")*1,
    ISNUMBER(MATCH('V1-Based Churn Model (Step 3)'!$A$39:$A$4039,
    _xlfn.UNIQUE(_xlfn._xlws.FILTER(Transactions_and_Customer_Information_Joined[Customer ID],
    (Transactions_and_Customer_Information_Joined[SKU]='Monte Carlo IO (4)'!$A26)*
    (Transactions_and_Customer_Information_Joined[Order Status]="Completed"))),0))))
/ $R26, 0)</f>
        <v>0.16666666666666666</v>
      </c>
      <c r="Z26" s="21" cm="1">
        <f t="array" ref="Z26">IFERROR(SUM(_xlfn._xlws.FILTER(('V1-Based Churn Model (Step 3)'!$X$39:$X$4039="Low")*1,
    ISNUMBER(MATCH('V1-Based Churn Model (Step 3)'!$A$39:$A$4039,
    _xlfn.UNIQUE(_xlfn._xlws.FILTER(Transactions_and_Customer_Information_Joined[Customer ID],
    (Transactions_and_Customer_Information_Joined[SKU]='Monte Carlo IO (4)'!$A26)*
    (Transactions_and_Customer_Information_Joined[Order Status]="Completed"))),0))))
/ $R26, 0)</f>
        <v>8.3333333333333329E-2</v>
      </c>
      <c r="AA26" s="3" t="str" cm="1">
        <f t="array" ref="AA26">_xlfn.IFS($W26 = MAX($W26:$Z26), "Critical", $X26 = MAX($W26:$Z26), "High", $Y26 = MAX($W26:$Z26), "Medium", $Z26 = MAX($W26:$Z26), "Low")</f>
        <v>Critical</v>
      </c>
      <c r="AB26" s="23" cm="1">
        <f t="array" ref="AB26:AD26">_xlfn.XLOOKUP($A26, Best_Outcomes[SKU], Best_Outcomes[[Adjusted Price]:[Adjusted Difference %]],,0)</f>
        <v>32.880000000000003</v>
      </c>
      <c r="AC26" s="23">
        <v>0</v>
      </c>
      <c r="AD26" s="21">
        <v>0</v>
      </c>
      <c r="AE26" s="21">
        <f t="shared" si="4"/>
        <v>0</v>
      </c>
      <c r="AF26" s="38">
        <f t="shared" si="5"/>
        <v>32</v>
      </c>
      <c r="AG26" s="23" cm="1">
        <f t="array" ref="AG26:AI26">_xlfn.XLOOKUP($A26,Best_Outcomes[SKU], Best_Outcomes[[Adjusted Gross Revenue]:[Gross Revenue Lift %]])</f>
        <v>1052.1600000000001</v>
      </c>
      <c r="AH26" s="23">
        <v>0</v>
      </c>
      <c r="AI26" s="21">
        <v>0</v>
      </c>
      <c r="AJ26" s="28">
        <f t="shared" si="6"/>
        <v>1694.72</v>
      </c>
      <c r="AK26" s="28">
        <f t="shared" si="7"/>
        <v>1006.08</v>
      </c>
      <c r="AL26" s="9">
        <f t="shared" si="8"/>
        <v>1.4609665427509295</v>
      </c>
      <c r="AM26" s="23" cm="1">
        <f t="array" ref="AM26:AP26">_xlfn.XLOOKUP($A26,Best_Outcomes[SKU], Best_Outcomes[[Adjusted Gross Profit]:[Gross Profit Margin %]])</f>
        <v>363.5200000000001</v>
      </c>
      <c r="AN26" s="23">
        <v>0</v>
      </c>
      <c r="AO26" s="21">
        <v>0</v>
      </c>
      <c r="AP26" s="21">
        <v>0.34549878345498791</v>
      </c>
      <c r="AQ26" s="9">
        <f t="shared" si="9"/>
        <v>0</v>
      </c>
      <c r="AR26" s="21" cm="1">
        <f t="array" ref="AR26:AU26">_xlfn.XLOOKUP($A26,Best_Outcomes[SKU], Best_Outcomes[[Gross Profit Margin Lift %]:[LTV Protection-Risk Ratio]])</f>
        <v>0</v>
      </c>
      <c r="AS26" s="23">
        <v>1567.3093009733004</v>
      </c>
      <c r="AT26" s="23">
        <v>0</v>
      </c>
      <c r="AU26" s="21">
        <v>0</v>
      </c>
    </row>
    <row r="27" spans="1:47">
      <c r="A27" s="24" t="str">
        <v>SKU-1021</v>
      </c>
      <c r="B27" s="24" t="str">
        <f>_xlfn.XLOOKUP($A27,_1_product_catalog_pricing[SKU], _1_product_catalog_pricing[Product Name],,0)</f>
        <v>Air Fryer</v>
      </c>
      <c r="C27" s="24" t="str">
        <f>_xlfn.XLOOKUP($A27, _1_product_catalog_pricing[SKU], _1_product_catalog_pricing[Category],,0)</f>
        <v>Home &amp; Kitchen</v>
      </c>
      <c r="D27" s="24" t="str" cm="1">
        <f t="array" ref="D27">_xlfn.XLOOKUP($A27,_xlfn.ANCHORARRAY('V1 Pricing Model (Step 2)'!$A$22), 'V1 Pricing Model (Step 2)'!$T$22:$T$71,,0)</f>
        <v>Raise</v>
      </c>
      <c r="E27" s="24" t="str" cm="1">
        <f t="array" ref="E27">_xlfn.XLOOKUP($A27,_xlfn.ANCHORARRAY('V1 Pricing Model (Step 2)'!$A$22), 'V1 Pricing Model (Step 2)'!$AL$22:$AL$71,,0)</f>
        <v>Full</v>
      </c>
      <c r="F27" s="23" cm="1">
        <f t="array" ref="F27">_xlfn.XLOOKUP($A27,_xlfn.ANCHORARRAY('V1 Pricing Model (Step 2)'!$A$22),_xlfn.ANCHORARRAY( 'V1 Pricing Model (Step 2)'!$D$22),,0)</f>
        <v>98.51</v>
      </c>
      <c r="G27" s="23" cm="1">
        <f t="array" ref="G27">_xlfn.XLOOKUP($A27,_xlfn.ANCHORARRAY('V1 Pricing Model (Step 2)'!$A$22),_xlfn.ANCHORARRAY( 'V1 Pricing Model (Step 2)'!$E$22),,0)</f>
        <v>55.17</v>
      </c>
      <c r="H27" s="24" cm="1">
        <f t="array" ref="H27">_xlfn.XLOOKUP($A27, 'Competitive Analysis (Step 1)'!$A$10:$A$209,_xlfn.ANCHORARRAY( 'Competitive Analysis (Step 1)'!$Q$10),,0)</f>
        <v>34</v>
      </c>
      <c r="I27" s="28">
        <f t="shared" si="1"/>
        <v>3349.34</v>
      </c>
      <c r="J27" s="28">
        <f t="shared" si="2"/>
        <v>1875.78</v>
      </c>
      <c r="K27" s="28">
        <f t="shared" si="3"/>
        <v>1473.5600000000002</v>
      </c>
      <c r="L27" s="9">
        <f t="shared" si="0"/>
        <v>0.4399553344838088</v>
      </c>
      <c r="M27" s="23" cm="1">
        <f t="array" ref="M27:O27">_xlfn.XLOOKUP($A27,_xlfn.ANCHORARRAY('V1 Pricing Model (Step 2)'!$A$22),'V1 Pricing Model (Step 2)'!$U$22:$W$71,,0)</f>
        <v>115.63152012124601</v>
      </c>
      <c r="N27" s="23">
        <v>17.121520121246007</v>
      </c>
      <c r="O27" s="21">
        <v>0.17380489413507264</v>
      </c>
      <c r="P27" s="23" cm="1">
        <f t="array" ref="P27">_xlfn.XLOOKUP($A27,_xlfn.ANCHORARRAY( 'V1 Pricing Model (Step 2)'!$A$22), 'V1 Pricing Model (Step 2)'!$AC$22:$AC$71)</f>
        <v>350.86864387987225</v>
      </c>
      <c r="Q27" s="23" cm="1">
        <f t="array" ref="Q27">_xlfn.XLOOKUP($A27,_xlfn.ANCHORARRAY('V1 Pricing Model (Step 2)'!$A$22),'V1 Pricing Model (Step 2)'!$AI$22:$AI$71,,0)</f>
        <v>461.20864387987217</v>
      </c>
      <c r="R27" s="24" cm="1">
        <f t="array" ref="R27">COUNTA(_xlfn.UNIQUE(_xlfn._xlws.FILTER(Transactions_and_Customer_Information_Joined[Customer ID], (Transactions_and_Customer_Information_Joined[SKU]='Monte Carlo IO (4)'!$A27) * (Transactions_and_Customer_Information_Joined[Order Status] = "Completed"), "")))</f>
        <v>13</v>
      </c>
      <c r="S27" s="42" cm="1">
        <f t="array" ref="S27">AVERAGE(_xlfn._xlws.FILTER('V1-Based Churn Model (Step 3)'!$W$39:$W$590,
    ISNUMBER(MATCH('V1-Based Churn Model (Step 3)'!$A$39:$A$590,
    _xlfn.UNIQUE(_xlfn._xlws.FILTER(Transactions_and_Customer_Information_Joined[Customer ID],
    (Transactions_and_Customer_Information_Joined[SKU]='Monte Carlo IO (4)'!$A27)*
    (Transactions_and_Customer_Information_Joined[Order Status]="Completed"))),0))))</f>
        <v>67.896640710337792</v>
      </c>
      <c r="T27" s="25" cm="1">
        <f t="array" ref="T27">AVERAGE(_xlfn._xlws.FILTER('V1-Based Churn Model (Step 3)'!$Y$39:$Y$590,
    ISNUMBER(MATCH('V1-Based Churn Model (Step 3)'!$A$39:$A$590,
    _xlfn.UNIQUE(_xlfn._xlws.FILTER(Transactions_and_Customer_Information_Joined[Customer ID],
    (Transactions_and_Customer_Information_Joined[SKU]='Monte Carlo IO (4)'!$A27)*
    (Transactions_and_Customer_Information_Joined[Order Status]="Completed"))),0))))</f>
        <v>0.21903189784736954</v>
      </c>
      <c r="U27" s="23" cm="1">
        <f t="array" ref="U27">SUM(_xlfn._xlws.FILTER('V1-Based Churn Model (Step 3)'!$I$39:$I$590,
    ISNUMBER(MATCH('V1-Based Churn Model (Step 3)'!$A$39:$A$590,
    _xlfn.UNIQUE(_xlfn._xlws.FILTER(Transactions_and_Customer_Information_Joined[Customer ID],
    (Transactions_and_Customer_Information_Joined[SKU]='Monte Carlo IO (4)'!$A27)*
    (Transactions_and_Customer_Information_Joined[Order Status]="Completed"))),0))))</f>
        <v>7864.8700000000008</v>
      </c>
      <c r="V27" s="23" cm="1">
        <f t="array" ref="V27">SUM(_xlfn._xlws.FILTER('V1-Based Churn Model (Step 3)'!$Z$39:$Z$590,
    ISNUMBER(MATCH('V1-Based Churn Model (Step 3)'!$A$39:$A$590,
    _xlfn.UNIQUE(_xlfn._xlws.FILTER(Transactions_and_Customer_Information_Joined[Customer ID],
    (Transactions_and_Customer_Information_Joined[SKU]='Monte Carlo IO (4)'!$A27)*
    (Transactions_and_Customer_Information_Joined[Order Status]="Completed"))),0))))</f>
        <v>1821.0803839968587</v>
      </c>
      <c r="W27" s="21" cm="1">
        <f t="array" ref="W27">IFERROR(SUM(_xlfn._xlws.FILTER(('V1-Based Churn Model (Step 3)'!$X$39:$X$4039="Critical")*1,
    ISNUMBER(MATCH('V1-Based Churn Model (Step 3)'!$A$39:$A$4039,
    _xlfn.UNIQUE(_xlfn._xlws.FILTER(Transactions_and_Customer_Information_Joined[Customer ID],
    (Transactions_and_Customer_Information_Joined[SKU]='Monte Carlo IO (4)'!$A27)*
    (Transactions_and_Customer_Information_Joined[Order Status]="Completed"))),0))))
/ $R27, 0)</f>
        <v>0.46153846153846156</v>
      </c>
      <c r="X27" s="21" cm="1">
        <f t="array" ref="X27">IFERROR(SUM(_xlfn._xlws.FILTER(('V1-Based Churn Model (Step 3)'!$X$39:$X$4039="High")*1,
    ISNUMBER(MATCH('V1-Based Churn Model (Step 3)'!$A$39:$A$4039,
    _xlfn.UNIQUE(_xlfn._xlws.FILTER(Transactions_and_Customer_Information_Joined[Customer ID],
    (Transactions_and_Customer_Information_Joined[SKU]='Monte Carlo IO (4)'!$A27)*
    (Transactions_and_Customer_Information_Joined[Order Status]="Completed"))),0))))
/ $R27, 0)</f>
        <v>0.38461538461538464</v>
      </c>
      <c r="Y27" s="21" cm="1">
        <f t="array" ref="Y27">IFERROR(SUM(_xlfn._xlws.FILTER(('V1-Based Churn Model (Step 3)'!$X$39:$X$4039="Medium")*1,
    ISNUMBER(MATCH('V1-Based Churn Model (Step 3)'!$A$39:$A$4039,
    _xlfn.UNIQUE(_xlfn._xlws.FILTER(Transactions_and_Customer_Information_Joined[Customer ID],
    (Transactions_and_Customer_Information_Joined[SKU]='Monte Carlo IO (4)'!$A27)*
    (Transactions_and_Customer_Information_Joined[Order Status]="Completed"))),0))))
/ $R27, 0)</f>
        <v>0.15384615384615385</v>
      </c>
      <c r="Z27" s="21" cm="1">
        <f t="array" ref="Z27">IFERROR(SUM(_xlfn._xlws.FILTER(('V1-Based Churn Model (Step 3)'!$X$39:$X$4039="Low")*1,
    ISNUMBER(MATCH('V1-Based Churn Model (Step 3)'!$A$39:$A$4039,
    _xlfn.UNIQUE(_xlfn._xlws.FILTER(Transactions_and_Customer_Information_Joined[Customer ID],
    (Transactions_and_Customer_Information_Joined[SKU]='Monte Carlo IO (4)'!$A27)*
    (Transactions_and_Customer_Information_Joined[Order Status]="Completed"))),0))))
/ $R27, 0)</f>
        <v>0</v>
      </c>
      <c r="AA27" s="3" t="str" cm="1">
        <f t="array" ref="AA27">_xlfn.IFS($W27 = MAX($W27:$Z27), "Critical", $X27 = MAX($W27:$Z27), "High", $Y27 = MAX($W27:$Z27), "Medium", $Z27 = MAX($W27:$Z27), "Low")</f>
        <v>Critical</v>
      </c>
      <c r="AB27" s="23" cm="1">
        <f t="array" ref="AB27:AD27">_xlfn.XLOOKUP($A27, Best_Outcomes[SKU], Best_Outcomes[[Adjusted Price]:[Adjusted Difference %]],,0)</f>
        <v>108.78291207274761</v>
      </c>
      <c r="AC27" s="23">
        <v>10.272912072747602</v>
      </c>
      <c r="AD27" s="21">
        <v>0.10428293648104356</v>
      </c>
      <c r="AE27" s="21">
        <f t="shared" si="4"/>
        <v>-4.1713174592417426E-2</v>
      </c>
      <c r="AF27" s="38">
        <f t="shared" si="5"/>
        <v>34.041713174592417</v>
      </c>
      <c r="AG27" s="23" cm="1">
        <f t="array" ref="AG27:AI27">_xlfn.XLOOKUP($A27,Best_Outcomes[SKU], Best_Outcomes[[Adjusted Gross Revenue]:[Gross Revenue Lift %]])</f>
        <v>3544.3378699387067</v>
      </c>
      <c r="AH27" s="23">
        <v>194.99786993870657</v>
      </c>
      <c r="AI27" s="21">
        <v>5.8219789552182391E-2</v>
      </c>
      <c r="AJ27" s="28">
        <f t="shared" si="6"/>
        <v>1802.8491297264145</v>
      </c>
      <c r="AK27" s="28">
        <f t="shared" si="7"/>
        <v>-72.930870273585469</v>
      </c>
      <c r="AL27" s="9">
        <f t="shared" si="8"/>
        <v>-3.8880289945295007E-2</v>
      </c>
      <c r="AM27" s="23" cm="1">
        <f t="array" ref="AM27:AP27">_xlfn.XLOOKUP($A27,Best_Outcomes[SKU], Best_Outcomes[[Adjusted Gross Profit]:[Gross Profit Margin %]])</f>
        <v>1746.8026085756715</v>
      </c>
      <c r="AN27" s="23">
        <v>273.24260857567128</v>
      </c>
      <c r="AO27" s="21">
        <v>0.1854302563693852</v>
      </c>
      <c r="AP27" s="21">
        <v>0.49284314099713056</v>
      </c>
      <c r="AQ27" s="9">
        <f t="shared" si="9"/>
        <v>5.2887806513321756E-2</v>
      </c>
      <c r="AR27" s="21" cm="1">
        <f t="array" ref="AR27:AU27">_xlfn.XLOOKUP($A27,Best_Outcomes[SKU], Best_Outcomes[[Gross Profit Margin Lift %]:[LTV Protection-Risk Ratio]])</f>
        <v>5.2887806513321756E-2</v>
      </c>
      <c r="AS27" s="23">
        <v>591.15070926667283</v>
      </c>
      <c r="AT27" s="23">
        <v>886.72606390000863</v>
      </c>
      <c r="AU27" s="21">
        <v>0.66666666666666718</v>
      </c>
    </row>
    <row r="28" spans="1:47">
      <c r="A28" s="24" t="str">
        <v>SKU-1022</v>
      </c>
      <c r="B28" s="24" t="str">
        <f>_xlfn.XLOOKUP($A28,_1_product_catalog_pricing[SKU], _1_product_catalog_pricing[Product Name],,0)</f>
        <v>Blender</v>
      </c>
      <c r="C28" s="24" t="str">
        <f>_xlfn.XLOOKUP($A28, _1_product_catalog_pricing[SKU], _1_product_catalog_pricing[Category],,0)</f>
        <v>Home &amp; Kitchen</v>
      </c>
      <c r="D28" s="24" t="str" cm="1">
        <f t="array" ref="D28">_xlfn.XLOOKUP($A28,_xlfn.ANCHORARRAY('V1 Pricing Model (Step 2)'!$A$22), 'V1 Pricing Model (Step 2)'!$T$22:$T$71,,0)</f>
        <v>Raise</v>
      </c>
      <c r="E28" s="24" t="str" cm="1">
        <f t="array" ref="E28">_xlfn.XLOOKUP($A28,_xlfn.ANCHORARRAY('V1 Pricing Model (Step 2)'!$A$22), 'V1 Pricing Model (Step 2)'!$AL$22:$AL$71,,0)</f>
        <v>Full</v>
      </c>
      <c r="F28" s="23" cm="1">
        <f t="array" ref="F28">_xlfn.XLOOKUP($A28,_xlfn.ANCHORARRAY('V1 Pricing Model (Step 2)'!$A$22),_xlfn.ANCHORARRAY( 'V1 Pricing Model (Step 2)'!$D$22),,0)</f>
        <v>26.7</v>
      </c>
      <c r="G28" s="23" cm="1">
        <f t="array" ref="G28">_xlfn.XLOOKUP($A28,_xlfn.ANCHORARRAY('V1 Pricing Model (Step 2)'!$A$22),_xlfn.ANCHORARRAY( 'V1 Pricing Model (Step 2)'!$E$22),,0)</f>
        <v>12.27</v>
      </c>
      <c r="H28" s="24" cm="1">
        <f t="array" ref="H28">_xlfn.XLOOKUP($A28, 'Competitive Analysis (Step 1)'!$A$10:$A$209,_xlfn.ANCHORARRAY( 'Competitive Analysis (Step 1)'!$Q$10),,0)</f>
        <v>29</v>
      </c>
      <c r="I28" s="28">
        <f t="shared" si="1"/>
        <v>774.3</v>
      </c>
      <c r="J28" s="28">
        <f t="shared" si="2"/>
        <v>355.83</v>
      </c>
      <c r="K28" s="28">
        <f t="shared" si="3"/>
        <v>418.46999999999997</v>
      </c>
      <c r="L28" s="9">
        <f t="shared" si="0"/>
        <v>0.54044943820224722</v>
      </c>
      <c r="M28" s="23" cm="1">
        <f t="array" ref="M28:O28">_xlfn.XLOOKUP($A28,_xlfn.ANCHORARRAY('V1 Pricing Model (Step 2)'!$A$22),'V1 Pricing Model (Step 2)'!$U$22:$W$71,,0)</f>
        <v>26.902436199041908</v>
      </c>
      <c r="N28" s="23">
        <v>0.20243619904190879</v>
      </c>
      <c r="O28" s="21">
        <v>7.5818801139291682E-3</v>
      </c>
      <c r="P28" s="23" cm="1">
        <f t="array" ref="P28">_xlfn.XLOOKUP($A28,_xlfn.ANCHORARRAY( 'V1 Pricing Model (Step 2)'!$A$22), 'V1 Pricing Model (Step 2)'!$AC$22:$AC$71)</f>
        <v>5.8706497722155291</v>
      </c>
      <c r="Q28" s="23" cm="1">
        <f t="array" ref="Q28">_xlfn.XLOOKUP($A28,_xlfn.ANCHORARRAY('V1 Pricing Model (Step 2)'!$A$22),'V1 Pricing Model (Step 2)'!$AI$22:$AI$71,,0)</f>
        <v>5.8706497722155291</v>
      </c>
      <c r="R28" s="24" cm="1">
        <f t="array" ref="R28">COUNTA(_xlfn.UNIQUE(_xlfn._xlws.FILTER(Transactions_and_Customer_Information_Joined[Customer ID], (Transactions_and_Customer_Information_Joined[SKU]='Monte Carlo IO (4)'!$A28) * (Transactions_and_Customer_Information_Joined[Order Status] = "Completed"), "")))</f>
        <v>12</v>
      </c>
      <c r="S28" s="42" cm="1">
        <f t="array" ref="S28">AVERAGE(_xlfn._xlws.FILTER('V1-Based Churn Model (Step 3)'!$W$39:$W$590,
    ISNUMBER(MATCH('V1-Based Churn Model (Step 3)'!$A$39:$A$590,
    _xlfn.UNIQUE(_xlfn._xlws.FILTER(Transactions_and_Customer_Information_Joined[Customer ID],
    (Transactions_and_Customer_Information_Joined[SKU]='Monte Carlo IO (4)'!$A28)*
    (Transactions_and_Customer_Information_Joined[Order Status]="Completed"))),0))))</f>
        <v>70.056413633286382</v>
      </c>
      <c r="T28" s="25" cm="1">
        <f t="array" ref="T28">AVERAGE(_xlfn._xlws.FILTER('V1-Based Churn Model (Step 3)'!$Y$39:$Y$590,
    ISNUMBER(MATCH('V1-Based Churn Model (Step 3)'!$A$39:$A$590,
    _xlfn.UNIQUE(_xlfn._xlws.FILTER(Transactions_and_Customer_Information_Joined[Customer ID],
    (Transactions_and_Customer_Information_Joined[SKU]='Monte Carlo IO (4)'!$A28)*
    (Transactions_and_Customer_Information_Joined[Order Status]="Completed"))),0))))</f>
        <v>0.34892010500984599</v>
      </c>
      <c r="U28" s="23" cm="1">
        <f t="array" ref="U28">SUM(_xlfn._xlws.FILTER('V1-Based Churn Model (Step 3)'!$I$39:$I$590,
    ISNUMBER(MATCH('V1-Based Churn Model (Step 3)'!$A$39:$A$590,
    _xlfn.UNIQUE(_xlfn._xlws.FILTER(Transactions_and_Customer_Information_Joined[Customer ID],
    (Transactions_and_Customer_Information_Joined[SKU]='Monte Carlo IO (4)'!$A28)*
    (Transactions_and_Customer_Information_Joined[Order Status]="Completed"))),0))))</f>
        <v>5528.9299999999994</v>
      </c>
      <c r="V28" s="23" cm="1">
        <f t="array" ref="V28">SUM(_xlfn._xlws.FILTER('V1-Based Churn Model (Step 3)'!$Z$39:$Z$590,
    ISNUMBER(MATCH('V1-Based Churn Model (Step 3)'!$A$39:$A$590,
    _xlfn.UNIQUE(_xlfn._xlws.FILTER(Transactions_and_Customer_Information_Joined[Customer ID],
    (Transactions_and_Customer_Information_Joined[SKU]='Monte Carlo IO (4)'!$A28)*
    (Transactions_and_Customer_Information_Joined[Order Status]="Completed"))),0))))</f>
        <v>1536.2038051779957</v>
      </c>
      <c r="W28" s="21" cm="1">
        <f t="array" ref="W28">IFERROR(SUM(_xlfn._xlws.FILTER(('V1-Based Churn Model (Step 3)'!$X$39:$X$4039="Critical")*1,
    ISNUMBER(MATCH('V1-Based Churn Model (Step 3)'!$A$39:$A$4039,
    _xlfn.UNIQUE(_xlfn._xlws.FILTER(Transactions_and_Customer_Information_Joined[Customer ID],
    (Transactions_and_Customer_Information_Joined[SKU]='Monte Carlo IO (4)'!$A28)*
    (Transactions_and_Customer_Information_Joined[Order Status]="Completed"))),0))))
/ $R28, 0)</f>
        <v>0.66666666666666663</v>
      </c>
      <c r="X28" s="21" cm="1">
        <f t="array" ref="X28">IFERROR(SUM(_xlfn._xlws.FILTER(('V1-Based Churn Model (Step 3)'!$X$39:$X$4039="High")*1,
    ISNUMBER(MATCH('V1-Based Churn Model (Step 3)'!$A$39:$A$4039,
    _xlfn.UNIQUE(_xlfn._xlws.FILTER(Transactions_and_Customer_Information_Joined[Customer ID],
    (Transactions_and_Customer_Information_Joined[SKU]='Monte Carlo IO (4)'!$A28)*
    (Transactions_and_Customer_Information_Joined[Order Status]="Completed"))),0))))
/ $R28, 0)</f>
        <v>0</v>
      </c>
      <c r="Y28" s="21" cm="1">
        <f t="array" ref="Y28">IFERROR(SUM(_xlfn._xlws.FILTER(('V1-Based Churn Model (Step 3)'!$X$39:$X$4039="Medium")*1,
    ISNUMBER(MATCH('V1-Based Churn Model (Step 3)'!$A$39:$A$4039,
    _xlfn.UNIQUE(_xlfn._xlws.FILTER(Transactions_and_Customer_Information_Joined[Customer ID],
    (Transactions_and_Customer_Information_Joined[SKU]='Monte Carlo IO (4)'!$A28)*
    (Transactions_and_Customer_Information_Joined[Order Status]="Completed"))),0))))
/ $R28, 0)</f>
        <v>0.33333333333333331</v>
      </c>
      <c r="Z28" s="21" cm="1">
        <f t="array" ref="Z28">IFERROR(SUM(_xlfn._xlws.FILTER(('V1-Based Churn Model (Step 3)'!$X$39:$X$4039="Low")*1,
    ISNUMBER(MATCH('V1-Based Churn Model (Step 3)'!$A$39:$A$4039,
    _xlfn.UNIQUE(_xlfn._xlws.FILTER(Transactions_and_Customer_Information_Joined[Customer ID],
    (Transactions_and_Customer_Information_Joined[SKU]='Monte Carlo IO (4)'!$A28)*
    (Transactions_and_Customer_Information_Joined[Order Status]="Completed"))),0))))
/ $R28, 0)</f>
        <v>0</v>
      </c>
      <c r="AA28" s="3" t="str" cm="1">
        <f t="array" ref="AA28">_xlfn.IFS($W28 = MAX($W28:$Z28), "Critical", $X28 = MAX($W28:$Z28), "High", $Y28 = MAX($W28:$Z28), "Medium", $Z28 = MAX($W28:$Z28), "Low")</f>
        <v>Critical</v>
      </c>
      <c r="AB28" s="23" cm="1">
        <f t="array" ref="AB28:AD28">_xlfn.XLOOKUP($A28, Best_Outcomes[SKU], Best_Outcomes[[Adjusted Price]:[Adjusted Difference %]],,0)</f>
        <v>26.7</v>
      </c>
      <c r="AC28" s="23">
        <v>0</v>
      </c>
      <c r="AD28" s="21">
        <v>0</v>
      </c>
      <c r="AE28" s="21">
        <f t="shared" si="4"/>
        <v>0</v>
      </c>
      <c r="AF28" s="38">
        <f t="shared" si="5"/>
        <v>29</v>
      </c>
      <c r="AG28" s="23" cm="1">
        <f t="array" ref="AG28:AI28">_xlfn.XLOOKUP($A28,Best_Outcomes[SKU], Best_Outcomes[[Adjusted Gross Revenue]:[Gross Revenue Lift %]])</f>
        <v>774.3</v>
      </c>
      <c r="AH28" s="23">
        <v>0</v>
      </c>
      <c r="AI28" s="21">
        <v>0</v>
      </c>
      <c r="AJ28" s="28">
        <f t="shared" si="6"/>
        <v>1535.84</v>
      </c>
      <c r="AK28" s="28">
        <f t="shared" si="7"/>
        <v>1180.01</v>
      </c>
      <c r="AL28" s="9">
        <f t="shared" si="8"/>
        <v>3.3162184189079054</v>
      </c>
      <c r="AM28" s="23" cm="1">
        <f t="array" ref="AM28:AP28">_xlfn.XLOOKUP($A28,Best_Outcomes[SKU], Best_Outcomes[[Adjusted Gross Profit]:[Gross Profit Margin %]])</f>
        <v>418.46999999999997</v>
      </c>
      <c r="AN28" s="23">
        <v>0</v>
      </c>
      <c r="AO28" s="21">
        <v>0</v>
      </c>
      <c r="AP28" s="21">
        <v>0.54044943820224722</v>
      </c>
      <c r="AQ28" s="9">
        <f t="shared" si="9"/>
        <v>0</v>
      </c>
      <c r="AR28" s="21" cm="1">
        <f t="array" ref="AR28:AU28">_xlfn.XLOOKUP($A28,Best_Outcomes[SKU], Best_Outcomes[[Gross Profit Margin Lift %]:[LTV Protection-Risk Ratio]])</f>
        <v>0</v>
      </c>
      <c r="AS28" s="23">
        <v>1228.9630441423965</v>
      </c>
      <c r="AT28" s="23">
        <v>0</v>
      </c>
      <c r="AU28" s="21">
        <v>0</v>
      </c>
    </row>
    <row r="29" spans="1:47">
      <c r="A29" s="24" t="str">
        <v>SKU-1023</v>
      </c>
      <c r="B29" s="24" t="str">
        <f>_xlfn.XLOOKUP($A29,_1_product_catalog_pricing[SKU], _1_product_catalog_pricing[Product Name],,0)</f>
        <v>Non-stick Pan</v>
      </c>
      <c r="C29" s="24" t="str">
        <f>_xlfn.XLOOKUP($A29, _1_product_catalog_pricing[SKU], _1_product_catalog_pricing[Category],,0)</f>
        <v>Home &amp; Kitchen</v>
      </c>
      <c r="D29" s="24" t="str" cm="1">
        <f t="array" ref="D29">_xlfn.XLOOKUP($A29,_xlfn.ANCHORARRAY('V1 Pricing Model (Step 2)'!$A$22), 'V1 Pricing Model (Step 2)'!$T$22:$T$71,,0)</f>
        <v>Raise</v>
      </c>
      <c r="E29" s="24" t="str" cm="1">
        <f t="array" ref="E29">_xlfn.XLOOKUP($A29,_xlfn.ANCHORARRAY('V1 Pricing Model (Step 2)'!$A$22), 'V1 Pricing Model (Step 2)'!$AL$22:$AL$71,,0)</f>
        <v>Full</v>
      </c>
      <c r="F29" s="23" cm="1">
        <f t="array" ref="F29">_xlfn.XLOOKUP($A29,_xlfn.ANCHORARRAY('V1 Pricing Model (Step 2)'!$A$22),_xlfn.ANCHORARRAY( 'V1 Pricing Model (Step 2)'!$D$22),,0)</f>
        <v>70.78</v>
      </c>
      <c r="G29" s="23" cm="1">
        <f t="array" ref="G29">_xlfn.XLOOKUP($A29,_xlfn.ANCHORARRAY('V1 Pricing Model (Step 2)'!$A$22),_xlfn.ANCHORARRAY( 'V1 Pricing Model (Step 2)'!$E$22),,0)</f>
        <v>35.200000000000003</v>
      </c>
      <c r="H29" s="24" cm="1">
        <f t="array" ref="H29">_xlfn.XLOOKUP($A29, 'Competitive Analysis (Step 1)'!$A$10:$A$209,_xlfn.ANCHORARRAY( 'Competitive Analysis (Step 1)'!$Q$10),,0)</f>
        <v>26</v>
      </c>
      <c r="I29" s="28">
        <f t="shared" si="1"/>
        <v>1840.28</v>
      </c>
      <c r="J29" s="28">
        <f t="shared" si="2"/>
        <v>915.2</v>
      </c>
      <c r="K29" s="28">
        <f t="shared" si="3"/>
        <v>925.07999999999993</v>
      </c>
      <c r="L29" s="9">
        <f t="shared" si="0"/>
        <v>0.50268437411698219</v>
      </c>
      <c r="M29" s="23" cm="1">
        <f t="array" ref="M29:O29">_xlfn.XLOOKUP($A29,_xlfn.ANCHORARRAY('V1 Pricing Model (Step 2)'!$A$22),'V1 Pricing Model (Step 2)'!$U$22:$W$71,,0)</f>
        <v>70.329603257360873</v>
      </c>
      <c r="N29" s="23">
        <v>-0.45039674263912843</v>
      </c>
      <c r="O29" s="21">
        <v>-6.3633334648082567E-3</v>
      </c>
      <c r="P29" s="23" cm="1">
        <f t="array" ref="P29">_xlfn.XLOOKUP($A29,_xlfn.ANCHORARRAY( 'V1 Pricing Model (Step 2)'!$A$22), 'V1 Pricing Model (Step 2)'!$AC$22:$AC$71)</f>
        <v>425.86968469138264</v>
      </c>
      <c r="Q29" s="23" cm="1">
        <f t="array" ref="Q29">_xlfn.XLOOKUP($A29,_xlfn.ANCHORARRAY('V1 Pricing Model (Step 2)'!$A$22),'V1 Pricing Model (Step 2)'!$AI$22:$AI$71,,0)</f>
        <v>425.86968469138264</v>
      </c>
      <c r="R29" s="24" cm="1">
        <f t="array" ref="R29">COUNTA(_xlfn.UNIQUE(_xlfn._xlws.FILTER(Transactions_and_Customer_Information_Joined[Customer ID], (Transactions_and_Customer_Information_Joined[SKU]='Monte Carlo IO (4)'!$A29) * (Transactions_and_Customer_Information_Joined[Order Status] = "Completed"), "")))</f>
        <v>10</v>
      </c>
      <c r="S29" s="42" cm="1">
        <f t="array" ref="S29">AVERAGE(_xlfn._xlws.FILTER('V1-Based Churn Model (Step 3)'!$W$39:$W$590,
    ISNUMBER(MATCH('V1-Based Churn Model (Step 3)'!$A$39:$A$590,
    _xlfn.UNIQUE(_xlfn._xlws.FILTER(Transactions_and_Customer_Information_Joined[Customer ID],
    (Transactions_and_Customer_Information_Joined[SKU]='Monte Carlo IO (4)'!$A29)*
    (Transactions_and_Customer_Information_Joined[Order Status]="Completed"))),0))))</f>
        <v>59.15583000473309</v>
      </c>
      <c r="T29" s="25" cm="1">
        <f t="array" ref="T29">AVERAGE(_xlfn._xlws.FILTER('V1-Based Churn Model (Step 3)'!$Y$39:$Y$590,
    ISNUMBER(MATCH('V1-Based Churn Model (Step 3)'!$A$39:$A$590,
    _xlfn.UNIQUE(_xlfn._xlws.FILTER(Transactions_and_Customer_Information_Joined[Customer ID],
    (Transactions_and_Customer_Information_Joined[SKU]='Monte Carlo IO (4)'!$A29)*
    (Transactions_and_Customer_Information_Joined[Order Status]="Completed"))),0))))</f>
        <v>0.24387992210016232</v>
      </c>
      <c r="U29" s="23" cm="1">
        <f t="array" ref="U29">SUM(_xlfn._xlws.FILTER('V1-Based Churn Model (Step 3)'!$I$39:$I$590,
    ISNUMBER(MATCH('V1-Based Churn Model (Step 3)'!$A$39:$A$590,
    _xlfn.UNIQUE(_xlfn._xlws.FILTER(Transactions_and_Customer_Information_Joined[Customer ID],
    (Transactions_and_Customer_Information_Joined[SKU]='Monte Carlo IO (4)'!$A29)*
    (Transactions_and_Customer_Information_Joined[Order Status]="Completed"))),0))))</f>
        <v>2926.27</v>
      </c>
      <c r="V29" s="23" cm="1">
        <f t="array" ref="V29">SUM(_xlfn._xlws.FILTER('V1-Based Churn Model (Step 3)'!$Z$39:$Z$590,
    ISNUMBER(MATCH('V1-Based Churn Model (Step 3)'!$A$39:$A$590,
    _xlfn.UNIQUE(_xlfn._xlws.FILTER(Transactions_and_Customer_Information_Joined[Customer ID],
    (Transactions_and_Customer_Information_Joined[SKU]='Monte Carlo IO (4)'!$A29)*
    (Transactions_and_Customer_Information_Joined[Order Status]="Completed"))),0))))</f>
        <v>644.90899917948718</v>
      </c>
      <c r="W29" s="21" cm="1">
        <f t="array" ref="W29">IFERROR(SUM(_xlfn._xlws.FILTER(('V1-Based Churn Model (Step 3)'!$X$39:$X$4039="Critical")*1,
    ISNUMBER(MATCH('V1-Based Churn Model (Step 3)'!$A$39:$A$4039,
    _xlfn.UNIQUE(_xlfn._xlws.FILTER(Transactions_and_Customer_Information_Joined[Customer ID],
    (Transactions_and_Customer_Information_Joined[SKU]='Monte Carlo IO (4)'!$A29)*
    (Transactions_and_Customer_Information_Joined[Order Status]="Completed"))),0))))
/ $R29, 0)</f>
        <v>0.4</v>
      </c>
      <c r="X29" s="21" cm="1">
        <f t="array" ref="X29">IFERROR(SUM(_xlfn._xlws.FILTER(('V1-Based Churn Model (Step 3)'!$X$39:$X$4039="High")*1,
    ISNUMBER(MATCH('V1-Based Churn Model (Step 3)'!$A$39:$A$4039,
    _xlfn.UNIQUE(_xlfn._xlws.FILTER(Transactions_and_Customer_Information_Joined[Customer ID],
    (Transactions_and_Customer_Information_Joined[SKU]='Monte Carlo IO (4)'!$A29)*
    (Transactions_and_Customer_Information_Joined[Order Status]="Completed"))),0))))
/ $R29, 0)</f>
        <v>0.3</v>
      </c>
      <c r="Y29" s="21" cm="1">
        <f t="array" ref="Y29">IFERROR(SUM(_xlfn._xlws.FILTER(('V1-Based Churn Model (Step 3)'!$X$39:$X$4039="Medium")*1,
    ISNUMBER(MATCH('V1-Based Churn Model (Step 3)'!$A$39:$A$4039,
    _xlfn.UNIQUE(_xlfn._xlws.FILTER(Transactions_and_Customer_Information_Joined[Customer ID],
    (Transactions_and_Customer_Information_Joined[SKU]='Monte Carlo IO (4)'!$A29)*
    (Transactions_and_Customer_Information_Joined[Order Status]="Completed"))),0))))
/ $R29, 0)</f>
        <v>0.2</v>
      </c>
      <c r="Z29" s="21" cm="1">
        <f t="array" ref="Z29">IFERROR(SUM(_xlfn._xlws.FILTER(('V1-Based Churn Model (Step 3)'!$X$39:$X$4039="Low")*1,
    ISNUMBER(MATCH('V1-Based Churn Model (Step 3)'!$A$39:$A$4039,
    _xlfn.UNIQUE(_xlfn._xlws.FILTER(Transactions_and_Customer_Information_Joined[Customer ID],
    (Transactions_and_Customer_Information_Joined[SKU]='Monte Carlo IO (4)'!$A29)*
    (Transactions_and_Customer_Information_Joined[Order Status]="Completed"))),0))))
/ $R29, 0)</f>
        <v>0.1</v>
      </c>
      <c r="AA29" s="3" t="str" cm="1">
        <f t="array" ref="AA29">_xlfn.IFS($W29 = MAX($W29:$Z29), "Critical", $X29 = MAX($W29:$Z29), "High", $Y29 = MAX($W29:$Z29), "Medium", $Z29 = MAX($W29:$Z29), "Low")</f>
        <v>Critical</v>
      </c>
      <c r="AB29" s="23" cm="1">
        <f t="array" ref="AB29:AD29">_xlfn.XLOOKUP($A29, Best_Outcomes[SKU], Best_Outcomes[[Adjusted Price]:[Adjusted Difference %]],,0)</f>
        <v>70.78</v>
      </c>
      <c r="AC29" s="23">
        <v>0</v>
      </c>
      <c r="AD29" s="21">
        <v>0</v>
      </c>
      <c r="AE29" s="21">
        <f t="shared" si="4"/>
        <v>0</v>
      </c>
      <c r="AF29" s="38">
        <f t="shared" si="5"/>
        <v>26</v>
      </c>
      <c r="AG29" s="23" cm="1">
        <f t="array" ref="AG29:AI29">_xlfn.XLOOKUP($A29,Best_Outcomes[SKU], Best_Outcomes[[Adjusted Gross Revenue]:[Gross Revenue Lift %]])</f>
        <v>1840.28</v>
      </c>
      <c r="AH29" s="23">
        <v>0</v>
      </c>
      <c r="AI29" s="21">
        <v>0</v>
      </c>
      <c r="AJ29" s="28">
        <f t="shared" si="6"/>
        <v>1376.96</v>
      </c>
      <c r="AK29" s="28">
        <f t="shared" si="7"/>
        <v>461.76</v>
      </c>
      <c r="AL29" s="9">
        <f t="shared" si="8"/>
        <v>0.50454545454545452</v>
      </c>
      <c r="AM29" s="23" cm="1">
        <f t="array" ref="AM29:AP29">_xlfn.XLOOKUP($A29,Best_Outcomes[SKU], Best_Outcomes[[Adjusted Gross Profit]:[Gross Profit Margin %]])</f>
        <v>925.07999999999993</v>
      </c>
      <c r="AN29" s="23">
        <v>0</v>
      </c>
      <c r="AO29" s="21">
        <v>0</v>
      </c>
      <c r="AP29" s="21">
        <v>0.50268437411698219</v>
      </c>
      <c r="AQ29" s="9">
        <f t="shared" si="9"/>
        <v>0</v>
      </c>
      <c r="AR29" s="21" cm="1">
        <f t="array" ref="AR29:AU29">_xlfn.XLOOKUP($A29,Best_Outcomes[SKU], Best_Outcomes[[Gross Profit Margin Lift %]:[LTV Protection-Risk Ratio]])</f>
        <v>0</v>
      </c>
      <c r="AS29" s="23">
        <v>464.33447940923082</v>
      </c>
      <c r="AT29" s="23">
        <v>0</v>
      </c>
      <c r="AU29" s="21">
        <v>0</v>
      </c>
    </row>
    <row r="30" spans="1:47">
      <c r="A30" s="24" t="str">
        <v>SKU-1024</v>
      </c>
      <c r="B30" s="24" t="str">
        <f>_xlfn.XLOOKUP($A30,_1_product_catalog_pricing[SKU], _1_product_catalog_pricing[Product Name],,0)</f>
        <v>Cutting Board</v>
      </c>
      <c r="C30" s="24" t="str">
        <f>_xlfn.XLOOKUP($A30, _1_product_catalog_pricing[SKU], _1_product_catalog_pricing[Category],,0)</f>
        <v>Home &amp; Kitchen</v>
      </c>
      <c r="D30" s="24" t="str" cm="1">
        <f t="array" ref="D30">_xlfn.XLOOKUP($A30,_xlfn.ANCHORARRAY('V1 Pricing Model (Step 2)'!$A$22), 'V1 Pricing Model (Step 2)'!$T$22:$T$71,,0)</f>
        <v>Hold</v>
      </c>
      <c r="E30" s="24" t="str" cm="1">
        <f t="array" ref="E30">_xlfn.XLOOKUP($A30,_xlfn.ANCHORARRAY('V1 Pricing Model (Step 2)'!$A$22), 'V1 Pricing Model (Step 2)'!$AL$22:$AL$71,,0)</f>
        <v>Full</v>
      </c>
      <c r="F30" s="23" cm="1">
        <f t="array" ref="F30">_xlfn.XLOOKUP($A30,_xlfn.ANCHORARRAY('V1 Pricing Model (Step 2)'!$A$22),_xlfn.ANCHORARRAY( 'V1 Pricing Model (Step 2)'!$D$22),,0)</f>
        <v>118.07</v>
      </c>
      <c r="G30" s="23" cm="1">
        <f t="array" ref="G30">_xlfn.XLOOKUP($A30,_xlfn.ANCHORARRAY('V1 Pricing Model (Step 2)'!$A$22),_xlfn.ANCHORARRAY( 'V1 Pricing Model (Step 2)'!$E$22),,0)</f>
        <v>39.700000000000003</v>
      </c>
      <c r="H30" s="24" cm="1">
        <f t="array" ref="H30">_xlfn.XLOOKUP($A30, 'Competitive Analysis (Step 1)'!$A$10:$A$209,_xlfn.ANCHORARRAY( 'Competitive Analysis (Step 1)'!$Q$10),,0)</f>
        <v>33</v>
      </c>
      <c r="I30" s="28">
        <f t="shared" si="1"/>
        <v>3896.31</v>
      </c>
      <c r="J30" s="28">
        <f t="shared" si="2"/>
        <v>1310.1000000000001</v>
      </c>
      <c r="K30" s="28">
        <f t="shared" si="3"/>
        <v>2586.21</v>
      </c>
      <c r="L30" s="9">
        <f t="shared" si="0"/>
        <v>0.66375878716015924</v>
      </c>
      <c r="M30" s="23" cm="1">
        <f t="array" ref="M30:O30">_xlfn.XLOOKUP($A30,_xlfn.ANCHORARRAY('V1 Pricing Model (Step 2)'!$A$22),'V1 Pricing Model (Step 2)'!$U$22:$W$71,,0)</f>
        <v>122.4697637688033</v>
      </c>
      <c r="N30" s="23">
        <v>4.3997637688033109</v>
      </c>
      <c r="O30" s="21">
        <v>3.7264027854690532E-2</v>
      </c>
      <c r="P30" s="23" cm="1">
        <f t="array" ref="P30">_xlfn.XLOOKUP($A30,_xlfn.ANCHORARRAY( 'V1 Pricing Model (Step 2)'!$A$22), 'V1 Pricing Model (Step 2)'!$AC$22:$AC$71)</f>
        <v>145.19220437050944</v>
      </c>
      <c r="Q30" s="23" cm="1">
        <f t="array" ref="Q30">_xlfn.XLOOKUP($A30,_xlfn.ANCHORARRAY('V1 Pricing Model (Step 2)'!$A$22),'V1 Pricing Model (Step 2)'!$AI$22:$AI$71,,0)</f>
        <v>145.1922043705099</v>
      </c>
      <c r="R30" s="24" cm="1">
        <f t="array" ref="R30">COUNTA(_xlfn.UNIQUE(_xlfn._xlws.FILTER(Transactions_and_Customer_Information_Joined[Customer ID], (Transactions_and_Customer_Information_Joined[SKU]='Monte Carlo IO (4)'!$A30) * (Transactions_and_Customer_Information_Joined[Order Status] = "Completed"), "")))</f>
        <v>13</v>
      </c>
      <c r="S30" s="42" cm="1">
        <f t="array" ref="S30">AVERAGE(_xlfn._xlws.FILTER('V1-Based Churn Model (Step 3)'!$W$39:$W$590,
    ISNUMBER(MATCH('V1-Based Churn Model (Step 3)'!$A$39:$A$590,
    _xlfn.UNIQUE(_xlfn._xlws.FILTER(Transactions_and_Customer_Information_Joined[Customer ID],
    (Transactions_and_Customer_Information_Joined[SKU]='Monte Carlo IO (4)'!$A30)*
    (Transactions_and_Customer_Information_Joined[Order Status]="Completed"))),0))))</f>
        <v>68.694851083654214</v>
      </c>
      <c r="T30" s="25" cm="1">
        <f t="array" ref="T30">AVERAGE(_xlfn._xlws.FILTER('V1-Based Churn Model (Step 3)'!$Y$39:$Y$590,
    ISNUMBER(MATCH('V1-Based Churn Model (Step 3)'!$A$39:$A$590,
    _xlfn.UNIQUE(_xlfn._xlws.FILTER(Transactions_and_Customer_Information_Joined[Customer ID],
    (Transactions_and_Customer_Information_Joined[SKU]='Monte Carlo IO (4)'!$A30)*
    (Transactions_and_Customer_Information_Joined[Order Status]="Completed"))),0))))</f>
        <v>0.23678900651660101</v>
      </c>
      <c r="U30" s="23" cm="1">
        <f t="array" ref="U30">SUM(_xlfn._xlws.FILTER('V1-Based Churn Model (Step 3)'!$I$39:$I$590,
    ISNUMBER(MATCH('V1-Based Churn Model (Step 3)'!$A$39:$A$590,
    _xlfn.UNIQUE(_xlfn._xlws.FILTER(Transactions_and_Customer_Information_Joined[Customer ID],
    (Transactions_and_Customer_Information_Joined[SKU]='Monte Carlo IO (4)'!$A30)*
    (Transactions_and_Customer_Information_Joined[Order Status]="Completed"))),0))))</f>
        <v>8951.9799999999977</v>
      </c>
      <c r="V30" s="23" cm="1">
        <f t="array" ref="V30">SUM(_xlfn._xlws.FILTER('V1-Based Churn Model (Step 3)'!$Z$39:$Z$590,
    ISNUMBER(MATCH('V1-Based Churn Model (Step 3)'!$A$39:$A$590,
    _xlfn.UNIQUE(_xlfn._xlws.FILTER(Transactions_and_Customer_Information_Joined[Customer ID],
    (Transactions_and_Customer_Information_Joined[SKU]='Monte Carlo IO (4)'!$A30)*
    (Transactions_and_Customer_Information_Joined[Order Status]="Completed"))),0))))</f>
        <v>1980.231264876048</v>
      </c>
      <c r="W30" s="21" cm="1">
        <f t="array" ref="W30">IFERROR(SUM(_xlfn._xlws.FILTER(('V1-Based Churn Model (Step 3)'!$X$39:$X$4039="Critical")*1,
    ISNUMBER(MATCH('V1-Based Churn Model (Step 3)'!$A$39:$A$4039,
    _xlfn.UNIQUE(_xlfn._xlws.FILTER(Transactions_and_Customer_Information_Joined[Customer ID],
    (Transactions_and_Customer_Information_Joined[SKU]='Monte Carlo IO (4)'!$A30)*
    (Transactions_and_Customer_Information_Joined[Order Status]="Completed"))),0))))
/ $R30, 0)</f>
        <v>0.38461538461538464</v>
      </c>
      <c r="X30" s="21" cm="1">
        <f t="array" ref="X30">IFERROR(SUM(_xlfn._xlws.FILTER(('V1-Based Churn Model (Step 3)'!$X$39:$X$4039="High")*1,
    ISNUMBER(MATCH('V1-Based Churn Model (Step 3)'!$A$39:$A$4039,
    _xlfn.UNIQUE(_xlfn._xlws.FILTER(Transactions_and_Customer_Information_Joined[Customer ID],
    (Transactions_and_Customer_Information_Joined[SKU]='Monte Carlo IO (4)'!$A30)*
    (Transactions_and_Customer_Information_Joined[Order Status]="Completed"))),0))))
/ $R30, 0)</f>
        <v>0.46153846153846156</v>
      </c>
      <c r="Y30" s="21" cm="1">
        <f t="array" ref="Y30">IFERROR(SUM(_xlfn._xlws.FILTER(('V1-Based Churn Model (Step 3)'!$X$39:$X$4039="Medium")*1,
    ISNUMBER(MATCH('V1-Based Churn Model (Step 3)'!$A$39:$A$4039,
    _xlfn.UNIQUE(_xlfn._xlws.FILTER(Transactions_and_Customer_Information_Joined[Customer ID],
    (Transactions_and_Customer_Information_Joined[SKU]='Monte Carlo IO (4)'!$A30)*
    (Transactions_and_Customer_Information_Joined[Order Status]="Completed"))),0))))
/ $R30, 0)</f>
        <v>7.6923076923076927E-2</v>
      </c>
      <c r="Z30" s="21" cm="1">
        <f t="array" ref="Z30">IFERROR(SUM(_xlfn._xlws.FILTER(('V1-Based Churn Model (Step 3)'!$X$39:$X$4039="Low")*1,
    ISNUMBER(MATCH('V1-Based Churn Model (Step 3)'!$A$39:$A$4039,
    _xlfn.UNIQUE(_xlfn._xlws.FILTER(Transactions_and_Customer_Information_Joined[Customer ID],
    (Transactions_and_Customer_Information_Joined[SKU]='Monte Carlo IO (4)'!$A30)*
    (Transactions_and_Customer_Information_Joined[Order Status]="Completed"))),0))))
/ $R30, 0)</f>
        <v>7.6923076923076927E-2</v>
      </c>
      <c r="AA30" s="3" t="str" cm="1">
        <f t="array" ref="AA30">_xlfn.IFS($W30 = MAX($W30:$Z30), "Critical", $X30 = MAX($W30:$Z30), "High", $Y30 = MAX($W30:$Z30), "Medium", $Z30 = MAX($W30:$Z30), "Low")</f>
        <v>High</v>
      </c>
      <c r="AB30" s="23" cm="1">
        <f t="array" ref="AB30:AD30">_xlfn.XLOOKUP($A30, Best_Outcomes[SKU], Best_Outcomes[[Adjusted Price]:[Adjusted Difference %]],,0)</f>
        <v>118.07</v>
      </c>
      <c r="AC30" s="23">
        <v>0</v>
      </c>
      <c r="AD30" s="21">
        <v>0</v>
      </c>
      <c r="AE30" s="21">
        <f t="shared" si="4"/>
        <v>0</v>
      </c>
      <c r="AF30" s="38">
        <f t="shared" si="5"/>
        <v>33</v>
      </c>
      <c r="AG30" s="23" cm="1">
        <f t="array" ref="AG30:AI30">_xlfn.XLOOKUP($A30,Best_Outcomes[SKU], Best_Outcomes[[Adjusted Gross Revenue]:[Gross Revenue Lift %]])</f>
        <v>3896.31</v>
      </c>
      <c r="AH30" s="23">
        <v>0</v>
      </c>
      <c r="AI30" s="21">
        <v>0</v>
      </c>
      <c r="AJ30" s="28">
        <f t="shared" si="6"/>
        <v>1747.68</v>
      </c>
      <c r="AK30" s="28">
        <f t="shared" si="7"/>
        <v>437.57999999999993</v>
      </c>
      <c r="AL30" s="9">
        <f t="shared" si="8"/>
        <v>0.3340050377833752</v>
      </c>
      <c r="AM30" s="23" cm="1">
        <f t="array" ref="AM30:AP30">_xlfn.XLOOKUP($A30,Best_Outcomes[SKU], Best_Outcomes[[Adjusted Gross Profit]:[Gross Profit Margin %]])</f>
        <v>2586.21</v>
      </c>
      <c r="AN30" s="23">
        <v>0</v>
      </c>
      <c r="AO30" s="21">
        <v>0</v>
      </c>
      <c r="AP30" s="21">
        <v>0.66375878716015924</v>
      </c>
      <c r="AQ30" s="9">
        <f t="shared" si="9"/>
        <v>0</v>
      </c>
      <c r="AR30" s="21" cm="1">
        <f t="array" ref="AR30:AU30">_xlfn.XLOOKUP($A30,Best_Outcomes[SKU], Best_Outcomes[[Gross Profit Margin Lift %]:[LTV Protection-Risk Ratio]])</f>
        <v>0</v>
      </c>
      <c r="AS30" s="23">
        <v>1530.8710932310987</v>
      </c>
      <c r="AT30" s="23">
        <v>0</v>
      </c>
      <c r="AU30" s="21">
        <v>0</v>
      </c>
    </row>
    <row r="31" spans="1:47">
      <c r="A31" s="24" t="str">
        <v>SKU-1026</v>
      </c>
      <c r="B31" s="24" t="str">
        <f>_xlfn.XLOOKUP($A31,_1_product_catalog_pricing[SKU], _1_product_catalog_pricing[Product Name],,0)</f>
        <v>Dish Rack</v>
      </c>
      <c r="C31" s="24" t="str">
        <f>_xlfn.XLOOKUP($A31, _1_product_catalog_pricing[SKU], _1_product_catalog_pricing[Category],,0)</f>
        <v>Home &amp; Kitchen</v>
      </c>
      <c r="D31" s="24" t="str" cm="1">
        <f t="array" ref="D31">_xlfn.XLOOKUP($A31,_xlfn.ANCHORARRAY('V1 Pricing Model (Step 2)'!$A$22), 'V1 Pricing Model (Step 2)'!$T$22:$T$71,,0)</f>
        <v>Raise</v>
      </c>
      <c r="E31" s="24" t="str" cm="1">
        <f t="array" ref="E31">_xlfn.XLOOKUP($A31,_xlfn.ANCHORARRAY('V1 Pricing Model (Step 2)'!$A$22), 'V1 Pricing Model (Step 2)'!$AL$22:$AL$71,,0)</f>
        <v>Full</v>
      </c>
      <c r="F31" s="23" cm="1">
        <f t="array" ref="F31">_xlfn.XLOOKUP($A31,_xlfn.ANCHORARRAY('V1 Pricing Model (Step 2)'!$A$22),_xlfn.ANCHORARRAY( 'V1 Pricing Model (Step 2)'!$D$22),,0)</f>
        <v>106.06</v>
      </c>
      <c r="G31" s="23" cm="1">
        <f t="array" ref="G31">_xlfn.XLOOKUP($A31,_xlfn.ANCHORARRAY('V1 Pricing Model (Step 2)'!$A$22),_xlfn.ANCHORARRAY( 'V1 Pricing Model (Step 2)'!$E$22),,0)</f>
        <v>33.42</v>
      </c>
      <c r="H31" s="24" cm="1">
        <f t="array" ref="H31">_xlfn.XLOOKUP($A31, 'Competitive Analysis (Step 1)'!$A$10:$A$209,_xlfn.ANCHORARRAY( 'Competitive Analysis (Step 1)'!$Q$10),,0)</f>
        <v>39</v>
      </c>
      <c r="I31" s="28">
        <f t="shared" si="1"/>
        <v>4136.34</v>
      </c>
      <c r="J31" s="28">
        <f t="shared" si="2"/>
        <v>1303.3800000000001</v>
      </c>
      <c r="K31" s="28">
        <f t="shared" si="3"/>
        <v>2832.96</v>
      </c>
      <c r="L31" s="9">
        <f t="shared" si="0"/>
        <v>0.68489534225909865</v>
      </c>
      <c r="M31" s="23" cm="1">
        <f t="array" ref="M31:O31">_xlfn.XLOOKUP($A31,_xlfn.ANCHORARRAY('V1 Pricing Model (Step 2)'!$A$22),'V1 Pricing Model (Step 2)'!$U$22:$W$71,,0)</f>
        <v>125.95982059079952</v>
      </c>
      <c r="N31" s="23">
        <v>19.899820590799521</v>
      </c>
      <c r="O31" s="21">
        <v>0.18762795201583557</v>
      </c>
      <c r="P31" s="23" cm="1">
        <f t="array" ref="P31">_xlfn.XLOOKUP($A31,_xlfn.ANCHORARRAY( 'V1 Pricing Model (Step 2)'!$A$22), 'V1 Pricing Model (Step 2)'!$AC$22:$AC$71)</f>
        <v>398.21354126878305</v>
      </c>
      <c r="Q31" s="23" cm="1">
        <f t="array" ref="Q31">_xlfn.XLOOKUP($A31,_xlfn.ANCHORARRAY('V1 Pricing Model (Step 2)'!$A$22),'V1 Pricing Model (Step 2)'!$AI$22:$AI$71,,0)</f>
        <v>498.47354126878326</v>
      </c>
      <c r="R31" s="24" cm="1">
        <f t="array" ref="R31">COUNTA(_xlfn.UNIQUE(_xlfn._xlws.FILTER(Transactions_and_Customer_Information_Joined[Customer ID], (Transactions_and_Customer_Information_Joined[SKU]='Monte Carlo IO (4)'!$A31) * (Transactions_and_Customer_Information_Joined[Order Status] = "Completed"), "")))</f>
        <v>12</v>
      </c>
      <c r="S31" s="42" cm="1">
        <f t="array" ref="S31">AVERAGE(_xlfn._xlws.FILTER('V1-Based Churn Model (Step 3)'!$W$39:$W$590,
    ISNUMBER(MATCH('V1-Based Churn Model (Step 3)'!$A$39:$A$590,
    _xlfn.UNIQUE(_xlfn._xlws.FILTER(Transactions_and_Customer_Information_Joined[Customer ID],
    (Transactions_and_Customer_Information_Joined[SKU]='Monte Carlo IO (4)'!$A31)*
    (Transactions_and_Customer_Information_Joined[Order Status]="Completed"))),0))))</f>
        <v>83.640693880369497</v>
      </c>
      <c r="T31" s="25" cm="1">
        <f t="array" ref="T31">AVERAGE(_xlfn._xlws.FILTER('V1-Based Churn Model (Step 3)'!$Y$39:$Y$590,
    ISNUMBER(MATCH('V1-Based Churn Model (Step 3)'!$A$39:$A$590,
    _xlfn.UNIQUE(_xlfn._xlws.FILTER(Transactions_and_Customer_Information_Joined[Customer ID],
    (Transactions_and_Customer_Information_Joined[SKU]='Monte Carlo IO (4)'!$A31)*
    (Transactions_and_Customer_Information_Joined[Order Status]="Completed"))),0))))</f>
        <v>0.39945616218468216</v>
      </c>
      <c r="U31" s="23" cm="1">
        <f t="array" ref="U31">SUM(_xlfn._xlws.FILTER('V1-Based Churn Model (Step 3)'!$I$39:$I$590,
    ISNUMBER(MATCH('V1-Based Churn Model (Step 3)'!$A$39:$A$590,
    _xlfn.UNIQUE(_xlfn._xlws.FILTER(Transactions_and_Customer_Information_Joined[Customer ID],
    (Transactions_and_Customer_Information_Joined[SKU]='Monte Carlo IO (4)'!$A31)*
    (Transactions_and_Customer_Information_Joined[Order Status]="Completed"))),0))))</f>
        <v>3203.34</v>
      </c>
      <c r="V31" s="23" cm="1">
        <f t="array" ref="V31">SUM(_xlfn._xlws.FILTER('V1-Based Churn Model (Step 3)'!$Z$39:$Z$590,
    ISNUMBER(MATCH('V1-Based Churn Model (Step 3)'!$A$39:$A$590,
    _xlfn.UNIQUE(_xlfn._xlws.FILTER(Transactions_and_Customer_Information_Joined[Customer ID],
    (Transactions_and_Customer_Information_Joined[SKU]='Monte Carlo IO (4)'!$A31)*
    (Transactions_and_Customer_Information_Joined[Order Status]="Completed"))),0))))</f>
        <v>1061.3751512398956</v>
      </c>
      <c r="W31" s="21" cm="1">
        <f t="array" ref="W31">IFERROR(SUM(_xlfn._xlws.FILTER(('V1-Based Churn Model (Step 3)'!$X$39:$X$4039="Critical")*1,
    ISNUMBER(MATCH('V1-Based Churn Model (Step 3)'!$A$39:$A$4039,
    _xlfn.UNIQUE(_xlfn._xlws.FILTER(Transactions_and_Customer_Information_Joined[Customer ID],
    (Transactions_and_Customer_Information_Joined[SKU]='Monte Carlo IO (4)'!$A31)*
    (Transactions_and_Customer_Information_Joined[Order Status]="Completed"))),0))))
/ $R31, 0)</f>
        <v>0.75</v>
      </c>
      <c r="X31" s="21" cm="1">
        <f t="array" ref="X31">IFERROR(SUM(_xlfn._xlws.FILTER(('V1-Based Churn Model (Step 3)'!$X$39:$X$4039="High")*1,
    ISNUMBER(MATCH('V1-Based Churn Model (Step 3)'!$A$39:$A$4039,
    _xlfn.UNIQUE(_xlfn._xlws.FILTER(Transactions_and_Customer_Information_Joined[Customer ID],
    (Transactions_and_Customer_Information_Joined[SKU]='Monte Carlo IO (4)'!$A31)*
    (Transactions_and_Customer_Information_Joined[Order Status]="Completed"))),0))))
/ $R31, 0)</f>
        <v>0.16666666666666666</v>
      </c>
      <c r="Y31" s="21" cm="1">
        <f t="array" ref="Y31">IFERROR(SUM(_xlfn._xlws.FILTER(('V1-Based Churn Model (Step 3)'!$X$39:$X$4039="Medium")*1,
    ISNUMBER(MATCH('V1-Based Churn Model (Step 3)'!$A$39:$A$4039,
    _xlfn.UNIQUE(_xlfn._xlws.FILTER(Transactions_and_Customer_Information_Joined[Customer ID],
    (Transactions_and_Customer_Information_Joined[SKU]='Monte Carlo IO (4)'!$A31)*
    (Transactions_and_Customer_Information_Joined[Order Status]="Completed"))),0))))
/ $R31, 0)</f>
        <v>8.3333333333333329E-2</v>
      </c>
      <c r="Z31" s="21" cm="1">
        <f t="array" ref="Z31">IFERROR(SUM(_xlfn._xlws.FILTER(('V1-Based Churn Model (Step 3)'!$X$39:$X$4039="Low")*1,
    ISNUMBER(MATCH('V1-Based Churn Model (Step 3)'!$A$39:$A$4039,
    _xlfn.UNIQUE(_xlfn._xlws.FILTER(Transactions_and_Customer_Information_Joined[Customer ID],
    (Transactions_and_Customer_Information_Joined[SKU]='Monte Carlo IO (4)'!$A31)*
    (Transactions_and_Customer_Information_Joined[Order Status]="Completed"))),0))))
/ $R31, 0)</f>
        <v>0</v>
      </c>
      <c r="AA31" s="3" t="str" cm="1">
        <f t="array" ref="AA31">_xlfn.IFS($W31 = MAX($W31:$Z31), "Critical", $X31 = MAX($W31:$Z31), "High", $Y31 = MAX($W31:$Z31), "Medium", $Z31 = MAX($W31:$Z31), "Low")</f>
        <v>Critical</v>
      </c>
      <c r="AB31" s="23" cm="1">
        <f t="array" ref="AB31:AD31">_xlfn.XLOOKUP($A31, Best_Outcomes[SKU], Best_Outcomes[[Adjusted Price]:[Adjusted Difference %]],,0)</f>
        <v>117.99989235447971</v>
      </c>
      <c r="AC31" s="23">
        <v>11.93989235447971</v>
      </c>
      <c r="AD31" s="21">
        <v>0.11257677120950131</v>
      </c>
      <c r="AE31" s="21">
        <f t="shared" si="4"/>
        <v>-4.503070848380053E-2</v>
      </c>
      <c r="AF31" s="38">
        <f t="shared" si="5"/>
        <v>39.0450307084838</v>
      </c>
      <c r="AG31" s="23" cm="1">
        <f t="array" ref="AG31:AI31">_xlfn.XLOOKUP($A31,Best_Outcomes[SKU], Best_Outcomes[[Adjusted Gross Revenue]:[Gross Revenue Lift %]])</f>
        <v>4394.7646704290664</v>
      </c>
      <c r="AH31" s="23">
        <v>258.42467042906628</v>
      </c>
      <c r="AI31" s="21">
        <v>6.247665095931821E-2</v>
      </c>
      <c r="AJ31" s="28">
        <f t="shared" si="6"/>
        <v>2067.8248263213022</v>
      </c>
      <c r="AK31" s="28">
        <f t="shared" si="7"/>
        <v>764.44482632130212</v>
      </c>
      <c r="AL31" s="9">
        <f t="shared" si="8"/>
        <v>0.58650955693757922</v>
      </c>
      <c r="AM31" s="23" cm="1">
        <f t="array" ref="AM31:AP31">_xlfn.XLOOKUP($A31,Best_Outcomes[SKU], Best_Outcomes[[Adjusted Gross Profit]:[Gross Profit Margin %]])</f>
        <v>3150.0767952526821</v>
      </c>
      <c r="AN31" s="23">
        <v>317.1167952526821</v>
      </c>
      <c r="AO31" s="21">
        <v>0.11193832431544466</v>
      </c>
      <c r="AP31" s="21">
        <v>0.71677940264891049</v>
      </c>
      <c r="AQ31" s="9">
        <f t="shared" si="9"/>
        <v>3.1884060389811841E-2</v>
      </c>
      <c r="AR31" s="21" cm="1">
        <f t="array" ref="AR31:AU31">_xlfn.XLOOKUP($A31,Best_Outcomes[SKU], Best_Outcomes[[Gross Profit Margin Lift %]:[LTV Protection-Risk Ratio]])</f>
        <v>3.1884060389811841E-2</v>
      </c>
      <c r="AS31" s="23">
        <v>385.63297161716218</v>
      </c>
      <c r="AT31" s="23">
        <v>578.44945742574293</v>
      </c>
      <c r="AU31" s="21">
        <v>0.66666666666666707</v>
      </c>
    </row>
    <row r="32" spans="1:47">
      <c r="A32" s="24" t="str">
        <v>SKU-1027</v>
      </c>
      <c r="B32" s="24" t="str">
        <f>_xlfn.XLOOKUP($A32,_1_product_catalog_pricing[SKU], _1_product_catalog_pricing[Product Name],,0)</f>
        <v>Storage Bins</v>
      </c>
      <c r="C32" s="24" t="str">
        <f>_xlfn.XLOOKUP($A32, _1_product_catalog_pricing[SKU], _1_product_catalog_pricing[Category],,0)</f>
        <v>Home &amp; Kitchen</v>
      </c>
      <c r="D32" s="24" t="str" cm="1">
        <f t="array" ref="D32">_xlfn.XLOOKUP($A32,_xlfn.ANCHORARRAY('V1 Pricing Model (Step 2)'!$A$22), 'V1 Pricing Model (Step 2)'!$T$22:$T$71,,0)</f>
        <v>Raise</v>
      </c>
      <c r="E32" s="24" t="str" cm="1">
        <f t="array" ref="E32">_xlfn.XLOOKUP($A32,_xlfn.ANCHORARRAY('V1 Pricing Model (Step 2)'!$A$22), 'V1 Pricing Model (Step 2)'!$AL$22:$AL$71,,0)</f>
        <v>Full</v>
      </c>
      <c r="F32" s="23" cm="1">
        <f t="array" ref="F32">_xlfn.XLOOKUP($A32,_xlfn.ANCHORARRAY('V1 Pricing Model (Step 2)'!$A$22),_xlfn.ANCHORARRAY( 'V1 Pricing Model (Step 2)'!$D$22),,0)</f>
        <v>34.479999999999997</v>
      </c>
      <c r="G32" s="23" cm="1">
        <f t="array" ref="G32">_xlfn.XLOOKUP($A32,_xlfn.ANCHORARRAY('V1 Pricing Model (Step 2)'!$A$22),_xlfn.ANCHORARRAY( 'V1 Pricing Model (Step 2)'!$E$22),,0)</f>
        <v>19.239999999999998</v>
      </c>
      <c r="H32" s="24" cm="1">
        <f t="array" ref="H32">_xlfn.XLOOKUP($A32, 'Competitive Analysis (Step 1)'!$A$10:$A$209,_xlfn.ANCHORARRAY( 'Competitive Analysis (Step 1)'!$Q$10),,0)</f>
        <v>19</v>
      </c>
      <c r="I32" s="28">
        <f t="shared" si="1"/>
        <v>655.11999999999989</v>
      </c>
      <c r="J32" s="28">
        <f t="shared" si="2"/>
        <v>365.55999999999995</v>
      </c>
      <c r="K32" s="28">
        <f t="shared" si="3"/>
        <v>289.55999999999995</v>
      </c>
      <c r="L32" s="9">
        <f t="shared" si="0"/>
        <v>0.44199535962877029</v>
      </c>
      <c r="M32" s="23" cm="1">
        <f t="array" ref="M32:O32">_xlfn.XLOOKUP($A32,_xlfn.ANCHORARRAY('V1 Pricing Model (Step 2)'!$A$22),'V1 Pricing Model (Step 2)'!$U$22:$W$71,,0)</f>
        <v>36.908161919642779</v>
      </c>
      <c r="N32" s="23">
        <v>2.4281619196427826</v>
      </c>
      <c r="O32" s="21">
        <v>7.0422329455997176E-2</v>
      </c>
      <c r="P32" s="23" cm="1">
        <f t="array" ref="P32">_xlfn.XLOOKUP($A32,_xlfn.ANCHORARRAY( 'V1 Pricing Model (Step 2)'!$A$22), 'V1 Pricing Model (Step 2)'!$AC$22:$AC$71)</f>
        <v>9.2269145535701682</v>
      </c>
      <c r="Q32" s="23" cm="1">
        <f t="array" ref="Q32">_xlfn.XLOOKUP($A32,_xlfn.ANCHORARRAY('V1 Pricing Model (Step 2)'!$A$22),'V1 Pricing Model (Step 2)'!$AI$22:$AI$71,,0)</f>
        <v>28.46691455357012</v>
      </c>
      <c r="R32" s="24" cm="1">
        <f t="array" ref="R32">COUNTA(_xlfn.UNIQUE(_xlfn._xlws.FILTER(Transactions_and_Customer_Information_Joined[Customer ID], (Transactions_and_Customer_Information_Joined[SKU]='Monte Carlo IO (4)'!$A32) * (Transactions_and_Customer_Information_Joined[Order Status] = "Completed"), "")))</f>
        <v>7</v>
      </c>
      <c r="S32" s="42" cm="1">
        <f t="array" ref="S32">AVERAGE(_xlfn._xlws.FILTER('V1-Based Churn Model (Step 3)'!$W$39:$W$590,
    ISNUMBER(MATCH('V1-Based Churn Model (Step 3)'!$A$39:$A$590,
    _xlfn.UNIQUE(_xlfn._xlws.FILTER(Transactions_and_Customer_Information_Joined[Customer ID],
    (Transactions_and_Customer_Information_Joined[SKU]='Monte Carlo IO (4)'!$A32)*
    (Transactions_and_Customer_Information_Joined[Order Status]="Completed"))),0))))</f>
        <v>73.55832454483901</v>
      </c>
      <c r="T32" s="25" cm="1">
        <f t="array" ref="T32">AVERAGE(_xlfn._xlws.FILTER('V1-Based Churn Model (Step 3)'!$Y$39:$Y$590,
    ISNUMBER(MATCH('V1-Based Churn Model (Step 3)'!$A$39:$A$590,
    _xlfn.UNIQUE(_xlfn._xlws.FILTER(Transactions_and_Customer_Information_Joined[Customer ID],
    (Transactions_and_Customer_Information_Joined[SKU]='Monte Carlo IO (4)'!$A32)*
    (Transactions_and_Customer_Information_Joined[Order Status]="Completed"))),0))))</f>
        <v>0.22727841967734827</v>
      </c>
      <c r="U32" s="23" cm="1">
        <f t="array" ref="U32">SUM(_xlfn._xlws.FILTER('V1-Based Churn Model (Step 3)'!$I$39:$I$590,
    ISNUMBER(MATCH('V1-Based Churn Model (Step 3)'!$A$39:$A$590,
    _xlfn.UNIQUE(_xlfn._xlws.FILTER(Transactions_and_Customer_Information_Joined[Customer ID],
    (Transactions_and_Customer_Information_Joined[SKU]='Monte Carlo IO (4)'!$A32)*
    (Transactions_and_Customer_Information_Joined[Order Status]="Completed"))),0))))</f>
        <v>2703.1299999999997</v>
      </c>
      <c r="V32" s="23" cm="1">
        <f t="array" ref="V32">SUM(_xlfn._xlws.FILTER('V1-Based Churn Model (Step 3)'!$Z$39:$Z$590,
    ISNUMBER(MATCH('V1-Based Churn Model (Step 3)'!$A$39:$A$590,
    _xlfn.UNIQUE(_xlfn._xlws.FILTER(Transactions_and_Customer_Information_Joined[Customer ID],
    (Transactions_and_Customer_Information_Joined[SKU]='Monte Carlo IO (4)'!$A32)*
    (Transactions_and_Customer_Information_Joined[Order Status]="Completed"))),0))))</f>
        <v>804.52718410151249</v>
      </c>
      <c r="W32" s="21" cm="1">
        <f t="array" ref="W32">IFERROR(SUM(_xlfn._xlws.FILTER(('V1-Based Churn Model (Step 3)'!$X$39:$X$4039="Critical")*1,
    ISNUMBER(MATCH('V1-Based Churn Model (Step 3)'!$A$39:$A$4039,
    _xlfn.UNIQUE(_xlfn._xlws.FILTER(Transactions_and_Customer_Information_Joined[Customer ID],
    (Transactions_and_Customer_Information_Joined[SKU]='Monte Carlo IO (4)'!$A32)*
    (Transactions_and_Customer_Information_Joined[Order Status]="Completed"))),0))))
/ $R32, 0)</f>
        <v>0.5714285714285714</v>
      </c>
      <c r="X32" s="21" cm="1">
        <f t="array" ref="X32">IFERROR(SUM(_xlfn._xlws.FILTER(('V1-Based Churn Model (Step 3)'!$X$39:$X$4039="High")*1,
    ISNUMBER(MATCH('V1-Based Churn Model (Step 3)'!$A$39:$A$4039,
    _xlfn.UNIQUE(_xlfn._xlws.FILTER(Transactions_and_Customer_Information_Joined[Customer ID],
    (Transactions_and_Customer_Information_Joined[SKU]='Monte Carlo IO (4)'!$A32)*
    (Transactions_and_Customer_Information_Joined[Order Status]="Completed"))),0))))
/ $R32, 0)</f>
        <v>0.14285714285714285</v>
      </c>
      <c r="Y32" s="21" cm="1">
        <f t="array" ref="Y32">IFERROR(SUM(_xlfn._xlws.FILTER(('V1-Based Churn Model (Step 3)'!$X$39:$X$4039="Medium")*1,
    ISNUMBER(MATCH('V1-Based Churn Model (Step 3)'!$A$39:$A$4039,
    _xlfn.UNIQUE(_xlfn._xlws.FILTER(Transactions_and_Customer_Information_Joined[Customer ID],
    (Transactions_and_Customer_Information_Joined[SKU]='Monte Carlo IO (4)'!$A32)*
    (Transactions_and_Customer_Information_Joined[Order Status]="Completed"))),0))))
/ $R32, 0)</f>
        <v>0.2857142857142857</v>
      </c>
      <c r="Z32" s="21" cm="1">
        <f t="array" ref="Z32">IFERROR(SUM(_xlfn._xlws.FILTER(('V1-Based Churn Model (Step 3)'!$X$39:$X$4039="Low")*1,
    ISNUMBER(MATCH('V1-Based Churn Model (Step 3)'!$A$39:$A$4039,
    _xlfn.UNIQUE(_xlfn._xlws.FILTER(Transactions_and_Customer_Information_Joined[Customer ID],
    (Transactions_and_Customer_Information_Joined[SKU]='Monte Carlo IO (4)'!$A32)*
    (Transactions_and_Customer_Information_Joined[Order Status]="Completed"))),0))))
/ $R32, 0)</f>
        <v>0</v>
      </c>
      <c r="AA32" s="3" t="str" cm="1">
        <f t="array" ref="AA32">_xlfn.IFS($W32 = MAX($W32:$Z32), "Critical", $X32 = MAX($W32:$Z32), "High", $Y32 = MAX($W32:$Z32), "Medium", $Z32 = MAX($W32:$Z32), "Low")</f>
        <v>Critical</v>
      </c>
      <c r="AB32" s="23" cm="1">
        <f t="array" ref="AB32:AD32">_xlfn.XLOOKUP($A32, Best_Outcomes[SKU], Best_Outcomes[[Adjusted Price]:[Adjusted Difference %]],,0)</f>
        <v>35.936897151785665</v>
      </c>
      <c r="AC32" s="23">
        <v>1.4568971517856681</v>
      </c>
      <c r="AD32" s="21">
        <v>4.2253397673598266E-2</v>
      </c>
      <c r="AE32" s="21">
        <f t="shared" si="4"/>
        <v>-1.6901359069439306E-2</v>
      </c>
      <c r="AF32" s="38">
        <f t="shared" si="5"/>
        <v>19.01690135906944</v>
      </c>
      <c r="AG32" s="23" cm="1">
        <f t="array" ref="AG32:AI32">_xlfn.XLOOKUP($A32,Best_Outcomes[SKU], Best_Outcomes[[Adjusted Gross Revenue]:[Gross Revenue Lift %]])</f>
        <v>671.26078023445461</v>
      </c>
      <c r="AH32" s="23">
        <v>16.140780234454724</v>
      </c>
      <c r="AI32" s="21">
        <v>2.4637898758173658E-2</v>
      </c>
      <c r="AJ32" s="28">
        <f t="shared" si="6"/>
        <v>1007.1350959763175</v>
      </c>
      <c r="AK32" s="28">
        <f t="shared" si="7"/>
        <v>641.57509597631758</v>
      </c>
      <c r="AL32" s="9">
        <f t="shared" si="8"/>
        <v>1.7550473136456879</v>
      </c>
      <c r="AM32" s="23" cm="1">
        <f t="array" ref="AM32:AP32">_xlfn.XLOOKUP($A32,Best_Outcomes[SKU], Best_Outcomes[[Adjusted Gross Profit]:[Gross Profit Margin %]])</f>
        <v>311.87924105587894</v>
      </c>
      <c r="AN32" s="23">
        <v>22.31924105587899</v>
      </c>
      <c r="AO32" s="21">
        <v>7.7079848928992251E-2</v>
      </c>
      <c r="AP32" s="21">
        <v>0.46461710595835393</v>
      </c>
      <c r="AQ32" s="9">
        <f t="shared" si="9"/>
        <v>2.2621746329583636E-2</v>
      </c>
      <c r="AR32" s="21" cm="1">
        <f t="array" ref="AR32:AU32">_xlfn.XLOOKUP($A32,Best_Outcomes[SKU], Best_Outcomes[[Gross Profit Margin Lift %]:[LTV Protection-Risk Ratio]])</f>
        <v>2.2621746329583636E-2</v>
      </c>
      <c r="AS32" s="23">
        <v>255.15004981505146</v>
      </c>
      <c r="AT32" s="23">
        <v>382.72507472257621</v>
      </c>
      <c r="AU32" s="21">
        <v>0.66666666666666841</v>
      </c>
    </row>
    <row r="33" spans="1:47">
      <c r="A33" s="24" t="str">
        <v>SKU-1028</v>
      </c>
      <c r="B33" s="24" t="str">
        <f>_xlfn.XLOOKUP($A33,_1_product_catalog_pricing[SKU], _1_product_catalog_pricing[Product Name],,0)</f>
        <v>Throw Pillow</v>
      </c>
      <c r="C33" s="24" t="str">
        <f>_xlfn.XLOOKUP($A33, _1_product_catalog_pricing[SKU], _1_product_catalog_pricing[Category],,0)</f>
        <v>Home &amp; Kitchen</v>
      </c>
      <c r="D33" s="24" t="str" cm="1">
        <f t="array" ref="D33">_xlfn.XLOOKUP($A33,_xlfn.ANCHORARRAY('V1 Pricing Model (Step 2)'!$A$22), 'V1 Pricing Model (Step 2)'!$T$22:$T$71,,0)</f>
        <v>Raise</v>
      </c>
      <c r="E33" s="24" t="str" cm="1">
        <f t="array" ref="E33">_xlfn.XLOOKUP($A33,_xlfn.ANCHORARRAY('V1 Pricing Model (Step 2)'!$A$22), 'V1 Pricing Model (Step 2)'!$AL$22:$AL$71,,0)</f>
        <v>Full</v>
      </c>
      <c r="F33" s="23" cm="1">
        <f t="array" ref="F33">_xlfn.XLOOKUP($A33,_xlfn.ANCHORARRAY('V1 Pricing Model (Step 2)'!$A$22),_xlfn.ANCHORARRAY( 'V1 Pricing Model (Step 2)'!$D$22),,0)</f>
        <v>174.23</v>
      </c>
      <c r="G33" s="23" cm="1">
        <f t="array" ref="G33">_xlfn.XLOOKUP($A33,_xlfn.ANCHORARRAY('V1 Pricing Model (Step 2)'!$A$22),_xlfn.ANCHORARRAY( 'V1 Pricing Model (Step 2)'!$E$22),,0)</f>
        <v>73.95</v>
      </c>
      <c r="H33" s="24" cm="1">
        <f t="array" ref="H33">_xlfn.XLOOKUP($A33, 'Competitive Analysis (Step 1)'!$A$10:$A$209,_xlfn.ANCHORARRAY( 'Competitive Analysis (Step 1)'!$Q$10),,0)</f>
        <v>26</v>
      </c>
      <c r="I33" s="28">
        <f t="shared" si="1"/>
        <v>4529.9799999999996</v>
      </c>
      <c r="J33" s="28">
        <f t="shared" si="2"/>
        <v>1922.7</v>
      </c>
      <c r="K33" s="28">
        <f t="shared" si="3"/>
        <v>2607.2799999999997</v>
      </c>
      <c r="L33" s="9">
        <f t="shared" si="0"/>
        <v>0.57556104000459163</v>
      </c>
      <c r="M33" s="23" cm="1">
        <f t="array" ref="M33:O33">_xlfn.XLOOKUP($A33,_xlfn.ANCHORARRAY('V1 Pricing Model (Step 2)'!$A$22),'V1 Pricing Model (Step 2)'!$U$22:$W$71,,0)</f>
        <v>184.39598592354483</v>
      </c>
      <c r="N33" s="23">
        <v>10.165985923544838</v>
      </c>
      <c r="O33" s="21">
        <v>5.8348079685156623E-2</v>
      </c>
      <c r="P33" s="23" cm="1">
        <f t="array" ref="P33">_xlfn.XLOOKUP($A33,_xlfn.ANCHORARRAY( 'V1 Pricing Model (Step 2)'!$A$22), 'V1 Pricing Model (Step 2)'!$AC$22:$AC$71)</f>
        <v>79.919648088621216</v>
      </c>
      <c r="Q33" s="23" cm="1">
        <f t="array" ref="Q33">_xlfn.XLOOKUP($A33,_xlfn.ANCHORARRAY('V1 Pricing Model (Step 2)'!$A$22),'V1 Pricing Model (Step 2)'!$AI$22:$AI$71,,0)</f>
        <v>153.86964808862149</v>
      </c>
      <c r="R33" s="24" cm="1">
        <f t="array" ref="R33">COUNTA(_xlfn.UNIQUE(_xlfn._xlws.FILTER(Transactions_and_Customer_Information_Joined[Customer ID], (Transactions_and_Customer_Information_Joined[SKU]='Monte Carlo IO (4)'!$A33) * (Transactions_and_Customer_Information_Joined[Order Status] = "Completed"), "")))</f>
        <v>13</v>
      </c>
      <c r="S33" s="42" cm="1">
        <f t="array" ref="S33">AVERAGE(_xlfn._xlws.FILTER('V1-Based Churn Model (Step 3)'!$W$39:$W$590,
    ISNUMBER(MATCH('V1-Based Churn Model (Step 3)'!$A$39:$A$590,
    _xlfn.UNIQUE(_xlfn._xlws.FILTER(Transactions_and_Customer_Information_Joined[Customer ID],
    (Transactions_and_Customer_Information_Joined[SKU]='Monte Carlo IO (4)'!$A33)*
    (Transactions_and_Customer_Information_Joined[Order Status]="Completed"))),0))))</f>
        <v>59.315565255198649</v>
      </c>
      <c r="T33" s="25" cm="1">
        <f t="array" ref="T33">AVERAGE(_xlfn._xlws.FILTER('V1-Based Churn Model (Step 3)'!$Y$39:$Y$590,
    ISNUMBER(MATCH('V1-Based Churn Model (Step 3)'!$A$39:$A$590,
    _xlfn.UNIQUE(_xlfn._xlws.FILTER(Transactions_and_Customer_Information_Joined[Customer ID],
    (Transactions_and_Customer_Information_Joined[SKU]='Monte Carlo IO (4)'!$A33)*
    (Transactions_and_Customer_Information_Joined[Order Status]="Completed"))),0))))</f>
        <v>0.21222178644084844</v>
      </c>
      <c r="U33" s="23" cm="1">
        <f t="array" ref="U33">SUM(_xlfn._xlws.FILTER('V1-Based Churn Model (Step 3)'!$I$39:$I$590,
    ISNUMBER(MATCH('V1-Based Churn Model (Step 3)'!$A$39:$A$590,
    _xlfn.UNIQUE(_xlfn._xlws.FILTER(Transactions_and_Customer_Information_Joined[Customer ID],
    (Transactions_and_Customer_Information_Joined[SKU]='Monte Carlo IO (4)'!$A33)*
    (Transactions_and_Customer_Information_Joined[Order Status]="Completed"))),0))))</f>
        <v>11368.2</v>
      </c>
      <c r="V33" s="23" cm="1">
        <f t="array" ref="V33">SUM(_xlfn._xlws.FILTER('V1-Based Churn Model (Step 3)'!$Z$39:$Z$590,
    ISNUMBER(MATCH('V1-Based Churn Model (Step 3)'!$A$39:$A$590,
    _xlfn.UNIQUE(_xlfn._xlws.FILTER(Transactions_and_Customer_Information_Joined[Customer ID],
    (Transactions_and_Customer_Information_Joined[SKU]='Monte Carlo IO (4)'!$A33)*
    (Transactions_and_Customer_Information_Joined[Order Status]="Completed"))),0))))</f>
        <v>2598.4440465962343</v>
      </c>
      <c r="W33" s="21" cm="1">
        <f t="array" ref="W33">IFERROR(SUM(_xlfn._xlws.FILTER(('V1-Based Churn Model (Step 3)'!$X$39:$X$4039="Critical")*1,
    ISNUMBER(MATCH('V1-Based Churn Model (Step 3)'!$A$39:$A$4039,
    _xlfn.UNIQUE(_xlfn._xlws.FILTER(Transactions_and_Customer_Information_Joined[Customer ID],
    (Transactions_and_Customer_Information_Joined[SKU]='Monte Carlo IO (4)'!$A33)*
    (Transactions_and_Customer_Information_Joined[Order Status]="Completed"))),0))))
/ $R33, 0)</f>
        <v>0.38461538461538464</v>
      </c>
      <c r="X33" s="21" cm="1">
        <f t="array" ref="X33">IFERROR(SUM(_xlfn._xlws.FILTER(('V1-Based Churn Model (Step 3)'!$X$39:$X$4039="High")*1,
    ISNUMBER(MATCH('V1-Based Churn Model (Step 3)'!$A$39:$A$4039,
    _xlfn.UNIQUE(_xlfn._xlws.FILTER(Transactions_and_Customer_Information_Joined[Customer ID],
    (Transactions_and_Customer_Information_Joined[SKU]='Monte Carlo IO (4)'!$A33)*
    (Transactions_and_Customer_Information_Joined[Order Status]="Completed"))),0))))
/ $R33, 0)</f>
        <v>0.15384615384615385</v>
      </c>
      <c r="Y33" s="21" cm="1">
        <f t="array" ref="Y33">IFERROR(SUM(_xlfn._xlws.FILTER(('V1-Based Churn Model (Step 3)'!$X$39:$X$4039="Medium")*1,
    ISNUMBER(MATCH('V1-Based Churn Model (Step 3)'!$A$39:$A$4039,
    _xlfn.UNIQUE(_xlfn._xlws.FILTER(Transactions_and_Customer_Information_Joined[Customer ID],
    (Transactions_and_Customer_Information_Joined[SKU]='Monte Carlo IO (4)'!$A33)*
    (Transactions_and_Customer_Information_Joined[Order Status]="Completed"))),0))))
/ $R33, 0)</f>
        <v>0.30769230769230771</v>
      </c>
      <c r="Z33" s="21" cm="1">
        <f t="array" ref="Z33">IFERROR(SUM(_xlfn._xlws.FILTER(('V1-Based Churn Model (Step 3)'!$X$39:$X$4039="Low")*1,
    ISNUMBER(MATCH('V1-Based Churn Model (Step 3)'!$A$39:$A$4039,
    _xlfn.UNIQUE(_xlfn._xlws.FILTER(Transactions_and_Customer_Information_Joined[Customer ID],
    (Transactions_and_Customer_Information_Joined[SKU]='Monte Carlo IO (4)'!$A33)*
    (Transactions_and_Customer_Information_Joined[Order Status]="Completed"))),0))))
/ $R33, 0)</f>
        <v>0.15384615384615385</v>
      </c>
      <c r="AA33" s="3" t="str" cm="1">
        <f t="array" ref="AA33">_xlfn.IFS($W33 = MAX($W33:$Z33), "Critical", $X33 = MAX($W33:$Z33), "High", $Y33 = MAX($W33:$Z33), "Medium", $Z33 = MAX($W33:$Z33), "Low")</f>
        <v>Critical</v>
      </c>
      <c r="AB33" s="23" cm="1">
        <f t="array" ref="AB33:AD33">_xlfn.XLOOKUP($A33, Best_Outcomes[SKU], Best_Outcomes[[Adjusted Price]:[Adjusted Difference %]],,0)</f>
        <v>174.23</v>
      </c>
      <c r="AC33" s="23">
        <v>0</v>
      </c>
      <c r="AD33" s="21">
        <v>0</v>
      </c>
      <c r="AE33" s="21">
        <f t="shared" si="4"/>
        <v>0</v>
      </c>
      <c r="AF33" s="38">
        <f t="shared" si="5"/>
        <v>26</v>
      </c>
      <c r="AG33" s="23" cm="1">
        <f t="array" ref="AG33:AI33">_xlfn.XLOOKUP($A33,Best_Outcomes[SKU], Best_Outcomes[[Adjusted Gross Revenue]:[Gross Revenue Lift %]])</f>
        <v>4529.9799999999996</v>
      </c>
      <c r="AH33" s="23">
        <v>0</v>
      </c>
      <c r="AI33" s="21">
        <v>0</v>
      </c>
      <c r="AJ33" s="28">
        <f t="shared" si="6"/>
        <v>1376.96</v>
      </c>
      <c r="AK33" s="28">
        <f t="shared" si="7"/>
        <v>-545.74</v>
      </c>
      <c r="AL33" s="9">
        <f t="shared" si="8"/>
        <v>-0.28384043272481407</v>
      </c>
      <c r="AM33" s="23" cm="1">
        <f t="array" ref="AM33:AP33">_xlfn.XLOOKUP($A33,Best_Outcomes[SKU], Best_Outcomes[[Adjusted Gross Profit]:[Gross Profit Margin %]])</f>
        <v>2607.2799999999997</v>
      </c>
      <c r="AN33" s="23">
        <v>0</v>
      </c>
      <c r="AO33" s="21">
        <v>0</v>
      </c>
      <c r="AP33" s="21">
        <v>0.57556104000459163</v>
      </c>
      <c r="AQ33" s="9">
        <f t="shared" si="9"/>
        <v>0</v>
      </c>
      <c r="AR33" s="21" cm="1">
        <f t="array" ref="AR33:AU33">_xlfn.XLOOKUP($A33,Best_Outcomes[SKU], Best_Outcomes[[Gross Profit Margin Lift %]:[LTV Protection-Risk Ratio]])</f>
        <v>0</v>
      </c>
      <c r="AS33" s="23">
        <v>1678.9946147237208</v>
      </c>
      <c r="AT33" s="23">
        <v>0</v>
      </c>
      <c r="AU33" s="21">
        <v>0</v>
      </c>
    </row>
    <row r="34" spans="1:47">
      <c r="A34" s="24" t="str">
        <v>SKU-1029</v>
      </c>
      <c r="B34" s="24" t="str">
        <f>_xlfn.XLOOKUP($A34,_1_product_catalog_pricing[SKU], _1_product_catalog_pricing[Product Name],,0)</f>
        <v>Scented Candle</v>
      </c>
      <c r="C34" s="24" t="str">
        <f>_xlfn.XLOOKUP($A34, _1_product_catalog_pricing[SKU], _1_product_catalog_pricing[Category],,0)</f>
        <v>Home &amp; Kitchen</v>
      </c>
      <c r="D34" s="24" t="str" cm="1">
        <f t="array" ref="D34">_xlfn.XLOOKUP($A34,_xlfn.ANCHORARRAY('V1 Pricing Model (Step 2)'!$A$22), 'V1 Pricing Model (Step 2)'!$T$22:$T$71,,0)</f>
        <v>Raise</v>
      </c>
      <c r="E34" s="24" t="str" cm="1">
        <f t="array" ref="E34">_xlfn.XLOOKUP($A34,_xlfn.ANCHORARRAY('V1 Pricing Model (Step 2)'!$A$22), 'V1 Pricing Model (Step 2)'!$AL$22:$AL$71,,0)</f>
        <v>Full</v>
      </c>
      <c r="F34" s="23" cm="1">
        <f t="array" ref="F34">_xlfn.XLOOKUP($A34,_xlfn.ANCHORARRAY('V1 Pricing Model (Step 2)'!$A$22),_xlfn.ANCHORARRAY( 'V1 Pricing Model (Step 2)'!$D$22),,0)</f>
        <v>148.11000000000001</v>
      </c>
      <c r="G34" s="23" cm="1">
        <f t="array" ref="G34">_xlfn.XLOOKUP($A34,_xlfn.ANCHORARRAY('V1 Pricing Model (Step 2)'!$A$22),_xlfn.ANCHORARRAY( 'V1 Pricing Model (Step 2)'!$E$22),,0)</f>
        <v>69.64</v>
      </c>
      <c r="H34" s="24" cm="1">
        <f t="array" ref="H34">_xlfn.XLOOKUP($A34, 'Competitive Analysis (Step 1)'!$A$10:$A$209,_xlfn.ANCHORARRAY( 'Competitive Analysis (Step 1)'!$Q$10),,0)</f>
        <v>27</v>
      </c>
      <c r="I34" s="28">
        <f t="shared" si="1"/>
        <v>3998.9700000000003</v>
      </c>
      <c r="J34" s="28">
        <f t="shared" si="2"/>
        <v>1880.28</v>
      </c>
      <c r="K34" s="28">
        <f t="shared" si="3"/>
        <v>2118.6900000000005</v>
      </c>
      <c r="L34" s="9">
        <f t="shared" si="0"/>
        <v>0.52980892579839323</v>
      </c>
      <c r="M34" s="23" cm="1">
        <f t="array" ref="M34:O34">_xlfn.XLOOKUP($A34,_xlfn.ANCHORARRAY('V1 Pricing Model (Step 2)'!$A$22),'V1 Pricing Model (Step 2)'!$U$22:$W$71,,0)</f>
        <v>164.85971574016031</v>
      </c>
      <c r="N34" s="23">
        <v>16.749715740160298</v>
      </c>
      <c r="O34" s="21">
        <v>0.1130897018443069</v>
      </c>
      <c r="P34" s="23" cm="1">
        <f t="array" ref="P34">_xlfn.XLOOKUP($A34,_xlfn.ANCHORARRAY( 'V1 Pricing Model (Step 2)'!$A$22), 'V1 Pricing Model (Step 2)'!$AC$22:$AC$71)</f>
        <v>917.56260924416802</v>
      </c>
      <c r="Q34" s="23" cm="1">
        <f t="array" ref="Q34">_xlfn.XLOOKUP($A34,_xlfn.ANCHORARRAY('V1 Pricing Model (Step 2)'!$A$22),'V1 Pricing Model (Step 2)'!$AI$22:$AI$71,,0)</f>
        <v>987.20260924416789</v>
      </c>
      <c r="R34" s="24" cm="1">
        <f t="array" ref="R34">COUNTA(_xlfn.UNIQUE(_xlfn._xlws.FILTER(Transactions_and_Customer_Information_Joined[Customer ID], (Transactions_and_Customer_Information_Joined[SKU]='Monte Carlo IO (4)'!$A34) * (Transactions_and_Customer_Information_Joined[Order Status] = "Completed"), "")))</f>
        <v>12</v>
      </c>
      <c r="S34" s="42" cm="1">
        <f t="array" ref="S34">AVERAGE(_xlfn._xlws.FILTER('V1-Based Churn Model (Step 3)'!$W$39:$W$590,
    ISNUMBER(MATCH('V1-Based Churn Model (Step 3)'!$A$39:$A$590,
    _xlfn.UNIQUE(_xlfn._xlws.FILTER(Transactions_and_Customer_Information_Joined[Customer ID],
    (Transactions_and_Customer_Information_Joined[SKU]='Monte Carlo IO (4)'!$A34)*
    (Transactions_and_Customer_Information_Joined[Order Status]="Completed"))),0))))</f>
        <v>67.0117400614769</v>
      </c>
      <c r="T34" s="25" cm="1">
        <f t="array" ref="T34">AVERAGE(_xlfn._xlws.FILTER('V1-Based Churn Model (Step 3)'!$Y$39:$Y$590,
    ISNUMBER(MATCH('V1-Based Churn Model (Step 3)'!$A$39:$A$590,
    _xlfn.UNIQUE(_xlfn._xlws.FILTER(Transactions_and_Customer_Information_Joined[Customer ID],
    (Transactions_and_Customer_Information_Joined[SKU]='Monte Carlo IO (4)'!$A34)*
    (Transactions_and_Customer_Information_Joined[Order Status]="Completed"))),0))))</f>
        <v>0.25894826805529225</v>
      </c>
      <c r="U34" s="23" cm="1">
        <f t="array" ref="U34">SUM(_xlfn._xlws.FILTER('V1-Based Churn Model (Step 3)'!$I$39:$I$590,
    ISNUMBER(MATCH('V1-Based Churn Model (Step 3)'!$A$39:$A$590,
    _xlfn.UNIQUE(_xlfn._xlws.FILTER(Transactions_and_Customer_Information_Joined[Customer ID],
    (Transactions_and_Customer_Information_Joined[SKU]='Monte Carlo IO (4)'!$A34)*
    (Transactions_and_Customer_Information_Joined[Order Status]="Completed"))),0))))</f>
        <v>7071.97</v>
      </c>
      <c r="V34" s="23" cm="1">
        <f t="array" ref="V34">SUM(_xlfn._xlws.FILTER('V1-Based Churn Model (Step 3)'!$Z$39:$Z$590,
    ISNUMBER(MATCH('V1-Based Churn Model (Step 3)'!$A$39:$A$590,
    _xlfn.UNIQUE(_xlfn._xlws.FILTER(Transactions_and_Customer_Information_Joined[Customer ID],
    (Transactions_and_Customer_Information_Joined[SKU]='Monte Carlo IO (4)'!$A34)*
    (Transactions_and_Customer_Information_Joined[Order Status]="Completed"))),0))))</f>
        <v>1774.9243566264481</v>
      </c>
      <c r="W34" s="21" cm="1">
        <f t="array" ref="W34">IFERROR(SUM(_xlfn._xlws.FILTER(('V1-Based Churn Model (Step 3)'!$X$39:$X$4039="Critical")*1,
    ISNUMBER(MATCH('V1-Based Churn Model (Step 3)'!$A$39:$A$4039,
    _xlfn.UNIQUE(_xlfn._xlws.FILTER(Transactions_and_Customer_Information_Joined[Customer ID],
    (Transactions_and_Customer_Information_Joined[SKU]='Monte Carlo IO (4)'!$A34)*
    (Transactions_and_Customer_Information_Joined[Order Status]="Completed"))),0))))
/ $R34, 0)</f>
        <v>0.5</v>
      </c>
      <c r="X34" s="21" cm="1">
        <f t="array" ref="X34">IFERROR(SUM(_xlfn._xlws.FILTER(('V1-Based Churn Model (Step 3)'!$X$39:$X$4039="High")*1,
    ISNUMBER(MATCH('V1-Based Churn Model (Step 3)'!$A$39:$A$4039,
    _xlfn.UNIQUE(_xlfn._xlws.FILTER(Transactions_and_Customer_Information_Joined[Customer ID],
    (Transactions_and_Customer_Information_Joined[SKU]='Monte Carlo IO (4)'!$A34)*
    (Transactions_and_Customer_Information_Joined[Order Status]="Completed"))),0))))
/ $R34, 0)</f>
        <v>8.3333333333333329E-2</v>
      </c>
      <c r="Y34" s="21" cm="1">
        <f t="array" ref="Y34">IFERROR(SUM(_xlfn._xlws.FILTER(('V1-Based Churn Model (Step 3)'!$X$39:$X$4039="Medium")*1,
    ISNUMBER(MATCH('V1-Based Churn Model (Step 3)'!$A$39:$A$4039,
    _xlfn.UNIQUE(_xlfn._xlws.FILTER(Transactions_and_Customer_Information_Joined[Customer ID],
    (Transactions_and_Customer_Information_Joined[SKU]='Monte Carlo IO (4)'!$A34)*
    (Transactions_and_Customer_Information_Joined[Order Status]="Completed"))),0))))
/ $R34, 0)</f>
        <v>0.41666666666666669</v>
      </c>
      <c r="Z34" s="21" cm="1">
        <f t="array" ref="Z34">IFERROR(SUM(_xlfn._xlws.FILTER(('V1-Based Churn Model (Step 3)'!$X$39:$X$4039="Low")*1,
    ISNUMBER(MATCH('V1-Based Churn Model (Step 3)'!$A$39:$A$4039,
    _xlfn.UNIQUE(_xlfn._xlws.FILTER(Transactions_and_Customer_Information_Joined[Customer ID],
    (Transactions_and_Customer_Information_Joined[SKU]='Monte Carlo IO (4)'!$A34)*
    (Transactions_and_Customer_Information_Joined[Order Status]="Completed"))),0))))
/ $R34, 0)</f>
        <v>0</v>
      </c>
      <c r="AA34" s="3" t="str" cm="1">
        <f t="array" ref="AA34">_xlfn.IFS($W34 = MAX($W34:$Z34), "Critical", $X34 = MAX($W34:$Z34), "High", $Y34 = MAX($W34:$Z34), "Medium", $Z34 = MAX($W34:$Z34), "Low")</f>
        <v>Critical</v>
      </c>
      <c r="AB34" s="23" cm="1">
        <f t="array" ref="AB34:AD34">_xlfn.XLOOKUP($A34, Best_Outcomes[SKU], Best_Outcomes[[Adjusted Price]:[Adjusted Difference %]],,0)</f>
        <v>157.82483512929298</v>
      </c>
      <c r="AC34" s="23">
        <v>9.7148351292929647</v>
      </c>
      <c r="AD34" s="21">
        <v>6.5592027069697953E-2</v>
      </c>
      <c r="AE34" s="21">
        <f t="shared" si="4"/>
        <v>-2.6236810827879181E-2</v>
      </c>
      <c r="AF34" s="38">
        <f t="shared" si="5"/>
        <v>27.026236810827879</v>
      </c>
      <c r="AG34" s="23" cm="1">
        <f t="array" ref="AG34:AI34">_xlfn.XLOOKUP($A34,Best_Outcomes[SKU], Best_Outcomes[[Adjusted Gross Revenue]:[Gross Revenue Lift %]])</f>
        <v>4149.4683992237415</v>
      </c>
      <c r="AH34" s="23">
        <v>150.49839922374122</v>
      </c>
      <c r="AI34" s="21">
        <v>3.7634290635774011E-2</v>
      </c>
      <c r="AJ34" s="28">
        <f t="shared" si="6"/>
        <v>1431.3095015014444</v>
      </c>
      <c r="AK34" s="28">
        <f t="shared" si="7"/>
        <v>-448.97049849855557</v>
      </c>
      <c r="AL34" s="9">
        <f t="shared" si="8"/>
        <v>-0.2387785321859274</v>
      </c>
      <c r="AM34" s="23" cm="1">
        <f t="array" ref="AM34:AP34">_xlfn.XLOOKUP($A34,Best_Outcomes[SKU], Best_Outcomes[[Adjusted Gross Profit]:[Gross Profit Margin %]])</f>
        <v>2318.5209498871864</v>
      </c>
      <c r="AN34" s="23">
        <v>199.83094988718585</v>
      </c>
      <c r="AO34" s="21">
        <v>9.4318163528966395E-2</v>
      </c>
      <c r="AP34" s="21">
        <v>0.55875132108993086</v>
      </c>
      <c r="AQ34" s="9">
        <f t="shared" si="9"/>
        <v>2.8942395291537637E-2</v>
      </c>
      <c r="AR34" s="21" cm="1">
        <f t="array" ref="AR34:AU34">_xlfn.XLOOKUP($A34,Best_Outcomes[SKU], Best_Outcomes[[Gross Profit Margin Lift %]:[LTV Protection-Risk Ratio]])</f>
        <v>2.8942395291537637E-2</v>
      </c>
      <c r="AS34" s="23">
        <v>543.57058421685042</v>
      </c>
      <c r="AT34" s="23">
        <v>750.64509248993477</v>
      </c>
      <c r="AU34" s="21">
        <v>0.72413793103448421</v>
      </c>
    </row>
    <row r="35" spans="1:47">
      <c r="A35" s="24" t="str">
        <v>SKU-1030</v>
      </c>
      <c r="B35" s="24" t="str">
        <f>_xlfn.XLOOKUP($A35,_1_product_catalog_pricing[SKU], _1_product_catalog_pricing[Product Name],,0)</f>
        <v>Vitamin C Serum</v>
      </c>
      <c r="C35" s="24" t="str">
        <f>_xlfn.XLOOKUP($A35, _1_product_catalog_pricing[SKU], _1_product_catalog_pricing[Category],,0)</f>
        <v>Beauty &amp; Personal Care</v>
      </c>
      <c r="D35" s="24" t="str" cm="1">
        <f t="array" ref="D35">_xlfn.XLOOKUP($A35,_xlfn.ANCHORARRAY('V1 Pricing Model (Step 2)'!$A$22), 'V1 Pricing Model (Step 2)'!$T$22:$T$71,,0)</f>
        <v>Raise</v>
      </c>
      <c r="E35" s="24" t="str" cm="1">
        <f t="array" ref="E35">_xlfn.XLOOKUP($A35,_xlfn.ANCHORARRAY('V1 Pricing Model (Step 2)'!$A$22), 'V1 Pricing Model (Step 2)'!$AL$22:$AL$71,,0)</f>
        <v>Full</v>
      </c>
      <c r="F35" s="23" cm="1">
        <f t="array" ref="F35">_xlfn.XLOOKUP($A35,_xlfn.ANCHORARRAY('V1 Pricing Model (Step 2)'!$A$22),_xlfn.ANCHORARRAY( 'V1 Pricing Model (Step 2)'!$D$22),,0)</f>
        <v>54.64</v>
      </c>
      <c r="G35" s="23" cm="1">
        <f t="array" ref="G35">_xlfn.XLOOKUP($A35,_xlfn.ANCHORARRAY('V1 Pricing Model (Step 2)'!$A$22),_xlfn.ANCHORARRAY( 'V1 Pricing Model (Step 2)'!$E$22),,0)</f>
        <v>20.32</v>
      </c>
      <c r="H35" s="24" cm="1">
        <f t="array" ref="H35">_xlfn.XLOOKUP($A35, 'Competitive Analysis (Step 1)'!$A$10:$A$209,_xlfn.ANCHORARRAY( 'Competitive Analysis (Step 1)'!$Q$10),,0)</f>
        <v>55</v>
      </c>
      <c r="I35" s="28">
        <f t="shared" si="1"/>
        <v>3005.2</v>
      </c>
      <c r="J35" s="28">
        <f t="shared" si="2"/>
        <v>1117.5999999999999</v>
      </c>
      <c r="K35" s="28">
        <f t="shared" si="3"/>
        <v>1887.6</v>
      </c>
      <c r="L35" s="9">
        <f t="shared" si="0"/>
        <v>0.62811127379209375</v>
      </c>
      <c r="M35" s="23" cm="1">
        <f t="array" ref="M35:O35">_xlfn.XLOOKUP($A35,_xlfn.ANCHORARRAY('V1 Pricing Model (Step 2)'!$A$22),'V1 Pricing Model (Step 2)'!$U$22:$W$71,,0)</f>
        <v>68.209095073095426</v>
      </c>
      <c r="N35" s="23">
        <v>13.569095073095426</v>
      </c>
      <c r="O35" s="21">
        <v>0.24833629343146826</v>
      </c>
      <c r="P35" s="23" cm="1">
        <f t="array" ref="P35">_xlfn.XLOOKUP($A35,_xlfn.ANCHORARRAY( 'V1 Pricing Model (Step 2)'!$A$22), 'V1 Pricing Model (Step 2)'!$AC$22:$AC$71)</f>
        <v>405.25475365476996</v>
      </c>
      <c r="Q35" s="23" cm="1">
        <f t="array" ref="Q35">_xlfn.XLOOKUP($A35,_xlfn.ANCHORARRAY('V1 Pricing Model (Step 2)'!$A$22),'V1 Pricing Model (Step 2)'!$AI$22:$AI$71,,0)</f>
        <v>506.85475365477032</v>
      </c>
      <c r="R35" s="24" cm="1">
        <f t="array" ref="R35">COUNTA(_xlfn.UNIQUE(_xlfn._xlws.FILTER(Transactions_and_Customer_Information_Joined[Customer ID], (Transactions_and_Customer_Information_Joined[SKU]='Monte Carlo IO (4)'!$A35) * (Transactions_and_Customer_Information_Joined[Order Status] = "Completed"), "")))</f>
        <v>21</v>
      </c>
      <c r="S35" s="42" cm="1">
        <f t="array" ref="S35">AVERAGE(_xlfn._xlws.FILTER('V1-Based Churn Model (Step 3)'!$W$39:$W$590,
    ISNUMBER(MATCH('V1-Based Churn Model (Step 3)'!$A$39:$A$590,
    _xlfn.UNIQUE(_xlfn._xlws.FILTER(Transactions_and_Customer_Information_Joined[Customer ID],
    (Transactions_and_Customer_Information_Joined[SKU]='Monte Carlo IO (4)'!$A35)*
    (Transactions_and_Customer_Information_Joined[Order Status]="Completed"))),0))))</f>
        <v>70.565038007429024</v>
      </c>
      <c r="T35" s="25" cm="1">
        <f t="array" ref="T35">AVERAGE(_xlfn._xlws.FILTER('V1-Based Churn Model (Step 3)'!$Y$39:$Y$590,
    ISNUMBER(MATCH('V1-Based Churn Model (Step 3)'!$A$39:$A$590,
    _xlfn.UNIQUE(_xlfn._xlws.FILTER(Transactions_and_Customer_Information_Joined[Customer ID],
    (Transactions_and_Customer_Information_Joined[SKU]='Monte Carlo IO (4)'!$A35)*
    (Transactions_and_Customer_Information_Joined[Order Status]="Completed"))),0))))</f>
        <v>0.2746601403332547</v>
      </c>
      <c r="U35" s="23" cm="1">
        <f t="array" ref="U35">SUM(_xlfn._xlws.FILTER('V1-Based Churn Model (Step 3)'!$I$39:$I$590,
    ISNUMBER(MATCH('V1-Based Churn Model (Step 3)'!$A$39:$A$590,
    _xlfn.UNIQUE(_xlfn._xlws.FILTER(Transactions_and_Customer_Information_Joined[Customer ID],
    (Transactions_and_Customer_Information_Joined[SKU]='Monte Carlo IO (4)'!$A35)*
    (Transactions_and_Customer_Information_Joined[Order Status]="Completed"))),0))))</f>
        <v>8609.74</v>
      </c>
      <c r="V35" s="23" cm="1">
        <f t="array" ref="V35">SUM(_xlfn._xlws.FILTER('V1-Based Churn Model (Step 3)'!$Z$39:$Z$590,
    ISNUMBER(MATCH('V1-Based Churn Model (Step 3)'!$A$39:$A$590,
    _xlfn.UNIQUE(_xlfn._xlws.FILTER(Transactions_and_Customer_Information_Joined[Customer ID],
    (Transactions_and_Customer_Information_Joined[SKU]='Monte Carlo IO (4)'!$A35)*
    (Transactions_and_Customer_Information_Joined[Order Status]="Completed"))),0))))</f>
        <v>2363.2455169389877</v>
      </c>
      <c r="W35" s="21" cm="1">
        <f t="array" ref="W35">IFERROR(SUM(_xlfn._xlws.FILTER(('V1-Based Churn Model (Step 3)'!$X$39:$X$4039="Critical")*1,
    ISNUMBER(MATCH('V1-Based Churn Model (Step 3)'!$A$39:$A$4039,
    _xlfn.UNIQUE(_xlfn._xlws.FILTER(Transactions_and_Customer_Information_Joined[Customer ID],
    (Transactions_and_Customer_Information_Joined[SKU]='Monte Carlo IO (4)'!$A35)*
    (Transactions_and_Customer_Information_Joined[Order Status]="Completed"))),0))))
/ $R35, 0)</f>
        <v>0.47619047619047616</v>
      </c>
      <c r="X35" s="21" cm="1">
        <f t="array" ref="X35">IFERROR(SUM(_xlfn._xlws.FILTER(('V1-Based Churn Model (Step 3)'!$X$39:$X$4039="High")*1,
    ISNUMBER(MATCH('V1-Based Churn Model (Step 3)'!$A$39:$A$4039,
    _xlfn.UNIQUE(_xlfn._xlws.FILTER(Transactions_and_Customer_Information_Joined[Customer ID],
    (Transactions_and_Customer_Information_Joined[SKU]='Monte Carlo IO (4)'!$A35)*
    (Transactions_and_Customer_Information_Joined[Order Status]="Completed"))),0))))
/ $R35, 0)</f>
        <v>0.33333333333333331</v>
      </c>
      <c r="Y35" s="21" cm="1">
        <f t="array" ref="Y35">IFERROR(SUM(_xlfn._xlws.FILTER(('V1-Based Churn Model (Step 3)'!$X$39:$X$4039="Medium")*1,
    ISNUMBER(MATCH('V1-Based Churn Model (Step 3)'!$A$39:$A$4039,
    _xlfn.UNIQUE(_xlfn._xlws.FILTER(Transactions_and_Customer_Information_Joined[Customer ID],
    (Transactions_and_Customer_Information_Joined[SKU]='Monte Carlo IO (4)'!$A35)*
    (Transactions_and_Customer_Information_Joined[Order Status]="Completed"))),0))))
/ $R35, 0)</f>
        <v>0.19047619047619047</v>
      </c>
      <c r="Z35" s="21" cm="1">
        <f t="array" ref="Z35">IFERROR(SUM(_xlfn._xlws.FILTER(('V1-Based Churn Model (Step 3)'!$X$39:$X$4039="Low")*1,
    ISNUMBER(MATCH('V1-Based Churn Model (Step 3)'!$A$39:$A$4039,
    _xlfn.UNIQUE(_xlfn._xlws.FILTER(Transactions_and_Customer_Information_Joined[Customer ID],
    (Transactions_and_Customer_Information_Joined[SKU]='Monte Carlo IO (4)'!$A35)*
    (Transactions_and_Customer_Information_Joined[Order Status]="Completed"))),0))))
/ $R35, 0)</f>
        <v>0</v>
      </c>
      <c r="AA35" s="3" t="str" cm="1">
        <f t="array" ref="AA35">_xlfn.IFS($W35 = MAX($W35:$Z35), "Critical", $X35 = MAX($W35:$Z35), "High", $Y35 = MAX($W35:$Z35), "Medium", $Z35 = MAX($W35:$Z35), "Low")</f>
        <v>Critical</v>
      </c>
      <c r="AB35" s="23" cm="1">
        <f t="array" ref="AB35:AD35">_xlfn.XLOOKUP($A35, Best_Outcomes[SKU], Best_Outcomes[[Adjusted Price]:[Adjusted Difference %]],,0)</f>
        <v>62.781457043857259</v>
      </c>
      <c r="AC35" s="23">
        <v>8.1414570438572582</v>
      </c>
      <c r="AD35" s="21">
        <v>0.14900177605888101</v>
      </c>
      <c r="AE35" s="21">
        <f t="shared" si="4"/>
        <v>-5.960071042355241E-2</v>
      </c>
      <c r="AF35" s="38">
        <f t="shared" si="5"/>
        <v>55.059600710423553</v>
      </c>
      <c r="AG35" s="23" cm="1">
        <f t="array" ref="AG35:AI35">_xlfn.XLOOKUP($A35,Best_Outcomes[SKU], Best_Outcomes[[Adjusted Gross Revenue]:[Gross Revenue Lift %]])</f>
        <v>3247.1800681439695</v>
      </c>
      <c r="AH35" s="23">
        <v>241.98006814396967</v>
      </c>
      <c r="AI35" s="21">
        <v>8.052045392784829E-2</v>
      </c>
      <c r="AJ35" s="28">
        <f t="shared" si="6"/>
        <v>2915.9564536240314</v>
      </c>
      <c r="AK35" s="28">
        <f t="shared" si="7"/>
        <v>1798.3564536240315</v>
      </c>
      <c r="AL35" s="9">
        <f t="shared" si="8"/>
        <v>1.6091235268647384</v>
      </c>
      <c r="AM35" s="23" cm="1">
        <f t="array" ref="AM35:AP35">_xlfn.XLOOKUP($A35,Best_Outcomes[SKU], Best_Outcomes[[Adjusted Gross Profit]:[Gross Profit Margin %]])</f>
        <v>2196.1898221133315</v>
      </c>
      <c r="AN35" s="23">
        <v>308.58982211333159</v>
      </c>
      <c r="AO35" s="21">
        <v>0.16348263515222061</v>
      </c>
      <c r="AP35" s="21">
        <v>0.67633755320770816</v>
      </c>
      <c r="AQ35" s="9">
        <f t="shared" si="9"/>
        <v>4.8226279415614415E-2</v>
      </c>
      <c r="AR35" s="21" cm="1">
        <f t="array" ref="AR35:AU35">_xlfn.XLOOKUP($A35,Best_Outcomes[SKU], Best_Outcomes[[Gross Profit Margin Lift %]:[LTV Protection-Risk Ratio]])</f>
        <v>4.8226279415614415E-2</v>
      </c>
      <c r="AS35" s="23">
        <v>758.48927543660807</v>
      </c>
      <c r="AT35" s="23">
        <v>1137.7339131549131</v>
      </c>
      <c r="AU35" s="21">
        <v>0.66666666666666607</v>
      </c>
    </row>
    <row r="36" spans="1:47">
      <c r="A36" s="24" t="str">
        <v>SKU-1031</v>
      </c>
      <c r="B36" s="24" t="str">
        <f>_xlfn.XLOOKUP($A36,_1_product_catalog_pricing[SKU], _1_product_catalog_pricing[Product Name],,0)</f>
        <v>SPF Moisturizer</v>
      </c>
      <c r="C36" s="24" t="str">
        <f>_xlfn.XLOOKUP($A36, _1_product_catalog_pricing[SKU], _1_product_catalog_pricing[Category],,0)</f>
        <v>Beauty &amp; Personal Care</v>
      </c>
      <c r="D36" s="24" t="str" cm="1">
        <f t="array" ref="D36">_xlfn.XLOOKUP($A36,_xlfn.ANCHORARRAY('V1 Pricing Model (Step 2)'!$A$22), 'V1 Pricing Model (Step 2)'!$T$22:$T$71,,0)</f>
        <v>Raise</v>
      </c>
      <c r="E36" s="24" t="str" cm="1">
        <f t="array" ref="E36">_xlfn.XLOOKUP($A36,_xlfn.ANCHORARRAY('V1 Pricing Model (Step 2)'!$A$22), 'V1 Pricing Model (Step 2)'!$AL$22:$AL$71,,0)</f>
        <v>Full</v>
      </c>
      <c r="F36" s="23" cm="1">
        <f t="array" ref="F36">_xlfn.XLOOKUP($A36,_xlfn.ANCHORARRAY('V1 Pricing Model (Step 2)'!$A$22),_xlfn.ANCHORARRAY( 'V1 Pricing Model (Step 2)'!$D$22),,0)</f>
        <v>230.34</v>
      </c>
      <c r="G36" s="23" cm="1">
        <f t="array" ref="G36">_xlfn.XLOOKUP($A36,_xlfn.ANCHORARRAY('V1 Pricing Model (Step 2)'!$A$22),_xlfn.ANCHORARRAY( 'V1 Pricing Model (Step 2)'!$E$22),,0)</f>
        <v>74.680000000000007</v>
      </c>
      <c r="H36" s="24" cm="1">
        <f t="array" ref="H36">_xlfn.XLOOKUP($A36, 'Competitive Analysis (Step 1)'!$A$10:$A$209,_xlfn.ANCHORARRAY( 'Competitive Analysis (Step 1)'!$Q$10),,0)</f>
        <v>21</v>
      </c>
      <c r="I36" s="28">
        <f t="shared" si="1"/>
        <v>4837.1400000000003</v>
      </c>
      <c r="J36" s="28">
        <f t="shared" si="2"/>
        <v>1568.2800000000002</v>
      </c>
      <c r="K36" s="28">
        <f t="shared" si="3"/>
        <v>3268.86</v>
      </c>
      <c r="L36" s="9">
        <f t="shared" si="0"/>
        <v>0.675783624207693</v>
      </c>
      <c r="M36" s="23" cm="1">
        <f t="array" ref="M36:O36">_xlfn.XLOOKUP($A36,_xlfn.ANCHORARRAY('V1 Pricing Model (Step 2)'!$A$22),'V1 Pricing Model (Step 2)'!$U$22:$W$71,,0)</f>
        <v>292.05233671227234</v>
      </c>
      <c r="N36" s="23">
        <v>61.712336712272332</v>
      </c>
      <c r="O36" s="21">
        <v>0.26791845407776477</v>
      </c>
      <c r="P36" s="23" cm="1">
        <f t="array" ref="P36">_xlfn.XLOOKUP($A36,_xlfn.ANCHORARRAY( 'V1 Pricing Model (Step 2)'!$A$22), 'V1 Pricing Model (Step 2)'!$AC$22:$AC$71)</f>
        <v>711.85439753317496</v>
      </c>
      <c r="Q36" s="23" cm="1">
        <f t="array" ref="Q36">_xlfn.XLOOKUP($A36,_xlfn.ANCHORARRAY('V1 Pricing Model (Step 2)'!$A$22),'V1 Pricing Model (Step 2)'!$AI$22:$AI$71,,0)</f>
        <v>861.21439753317463</v>
      </c>
      <c r="R36" s="24" cm="1">
        <f t="array" ref="R36">COUNTA(_xlfn.UNIQUE(_xlfn._xlws.FILTER(Transactions_and_Customer_Information_Joined[Customer ID], (Transactions_and_Customer_Information_Joined[SKU]='Monte Carlo IO (4)'!$A36) * (Transactions_and_Customer_Information_Joined[Order Status] = "Completed"), "")))</f>
        <v>9</v>
      </c>
      <c r="S36" s="42" cm="1">
        <f t="array" ref="S36">AVERAGE(_xlfn._xlws.FILTER('V1-Based Churn Model (Step 3)'!$W$39:$W$590,
    ISNUMBER(MATCH('V1-Based Churn Model (Step 3)'!$A$39:$A$590,
    _xlfn.UNIQUE(_xlfn._xlws.FILTER(Transactions_and_Customer_Information_Joined[Customer ID],
    (Transactions_and_Customer_Information_Joined[SKU]='Monte Carlo IO (4)'!$A36)*
    (Transactions_and_Customer_Information_Joined[Order Status]="Completed"))),0))))</f>
        <v>80.563831352305286</v>
      </c>
      <c r="T36" s="25" cm="1">
        <f t="array" ref="T36">AVERAGE(_xlfn._xlws.FILTER('V1-Based Churn Model (Step 3)'!$Y$39:$Y$590,
    ISNUMBER(MATCH('V1-Based Churn Model (Step 3)'!$A$39:$A$590,
    _xlfn.UNIQUE(_xlfn._xlws.FILTER(Transactions_and_Customer_Information_Joined[Customer ID],
    (Transactions_and_Customer_Information_Joined[SKU]='Monte Carlo IO (4)'!$A36)*
    (Transactions_and_Customer_Information_Joined[Order Status]="Completed"))),0))))</f>
        <v>0.3388387101196903</v>
      </c>
      <c r="U36" s="23" cm="1">
        <f t="array" ref="U36">SUM(_xlfn._xlws.FILTER('V1-Based Churn Model (Step 3)'!$I$39:$I$590,
    ISNUMBER(MATCH('V1-Based Churn Model (Step 3)'!$A$39:$A$590,
    _xlfn.UNIQUE(_xlfn._xlws.FILTER(Transactions_and_Customer_Information_Joined[Customer ID],
    (Transactions_and_Customer_Information_Joined[SKU]='Monte Carlo IO (4)'!$A36)*
    (Transactions_and_Customer_Information_Joined[Order Status]="Completed"))),0))))</f>
        <v>3506.05</v>
      </c>
      <c r="V36" s="23" cm="1">
        <f t="array" ref="V36">SUM(_xlfn._xlws.FILTER('V1-Based Churn Model (Step 3)'!$Z$39:$Z$590,
    ISNUMBER(MATCH('V1-Based Churn Model (Step 3)'!$A$39:$A$590,
    _xlfn.UNIQUE(_xlfn._xlws.FILTER(Transactions_and_Customer_Information_Joined[Customer ID],
    (Transactions_and_Customer_Information_Joined[SKU]='Monte Carlo IO (4)'!$A36)*
    (Transactions_and_Customer_Information_Joined[Order Status]="Completed"))),0))))</f>
        <v>1125.247970158546</v>
      </c>
      <c r="W36" s="21" cm="1">
        <f t="array" ref="W36">IFERROR(SUM(_xlfn._xlws.FILTER(('V1-Based Churn Model (Step 3)'!$X$39:$X$4039="Critical")*1,
    ISNUMBER(MATCH('V1-Based Churn Model (Step 3)'!$A$39:$A$4039,
    _xlfn.UNIQUE(_xlfn._xlws.FILTER(Transactions_and_Customer_Information_Joined[Customer ID],
    (Transactions_and_Customer_Information_Joined[SKU]='Monte Carlo IO (4)'!$A36)*
    (Transactions_and_Customer_Information_Joined[Order Status]="Completed"))),0))))
/ $R36, 0)</f>
        <v>0.55555555555555558</v>
      </c>
      <c r="X36" s="21" cm="1">
        <f t="array" ref="X36">IFERROR(SUM(_xlfn._xlws.FILTER(('V1-Based Churn Model (Step 3)'!$X$39:$X$4039="High")*1,
    ISNUMBER(MATCH('V1-Based Churn Model (Step 3)'!$A$39:$A$4039,
    _xlfn.UNIQUE(_xlfn._xlws.FILTER(Transactions_and_Customer_Information_Joined[Customer ID],
    (Transactions_and_Customer_Information_Joined[SKU]='Monte Carlo IO (4)'!$A36)*
    (Transactions_and_Customer_Information_Joined[Order Status]="Completed"))),0))))
/ $R36, 0)</f>
        <v>0.44444444444444442</v>
      </c>
      <c r="Y36" s="21" cm="1">
        <f t="array" ref="Y36">IFERROR(SUM(_xlfn._xlws.FILTER(('V1-Based Churn Model (Step 3)'!$X$39:$X$4039="Medium")*1,
    ISNUMBER(MATCH('V1-Based Churn Model (Step 3)'!$A$39:$A$4039,
    _xlfn.UNIQUE(_xlfn._xlws.FILTER(Transactions_and_Customer_Information_Joined[Customer ID],
    (Transactions_and_Customer_Information_Joined[SKU]='Monte Carlo IO (4)'!$A36)*
    (Transactions_and_Customer_Information_Joined[Order Status]="Completed"))),0))))
/ $R36, 0)</f>
        <v>0</v>
      </c>
      <c r="Z36" s="21" cm="1">
        <f t="array" ref="Z36">IFERROR(SUM(_xlfn._xlws.FILTER(('V1-Based Churn Model (Step 3)'!$X$39:$X$4039="Low")*1,
    ISNUMBER(MATCH('V1-Based Churn Model (Step 3)'!$A$39:$A$4039,
    _xlfn.UNIQUE(_xlfn._xlws.FILTER(Transactions_and_Customer_Information_Joined[Customer ID],
    (Transactions_and_Customer_Information_Joined[SKU]='Monte Carlo IO (4)'!$A36)*
    (Transactions_and_Customer_Information_Joined[Order Status]="Completed"))),0))))
/ $R36, 0)</f>
        <v>0</v>
      </c>
      <c r="AA36" s="3" t="str" cm="1">
        <f t="array" ref="AA36">_xlfn.IFS($W36 = MAX($W36:$Z36), "Critical", $X36 = MAX($W36:$Z36), "High", $Y36 = MAX($W36:$Z36), "Medium", $Z36 = MAX($W36:$Z36), "Low")</f>
        <v>Critical</v>
      </c>
      <c r="AB36" s="23" cm="1">
        <f t="array" ref="AB36:AD36">_xlfn.XLOOKUP($A36, Best_Outcomes[SKU], Best_Outcomes[[Adjusted Price]:[Adjusted Difference %]],,0)</f>
        <v>267.36740202736343</v>
      </c>
      <c r="AC36" s="23">
        <v>37.027402027363422</v>
      </c>
      <c r="AD36" s="21">
        <v>0.16075107244665895</v>
      </c>
      <c r="AE36" s="21">
        <f t="shared" si="4"/>
        <v>-6.4300428978663587E-2</v>
      </c>
      <c r="AF36" s="38">
        <f t="shared" si="5"/>
        <v>21.064300428978665</v>
      </c>
      <c r="AG36" s="23" cm="1">
        <f t="array" ref="AG36:AI36">_xlfn.XLOOKUP($A36,Best_Outcomes[SKU], Best_Outcomes[[Adjusted Gross Revenue]:[Gross Revenue Lift %]])</f>
        <v>5253.6868310239561</v>
      </c>
      <c r="AH36" s="23">
        <v>416.54683102395575</v>
      </c>
      <c r="AI36" s="21">
        <v>8.6114280550894887E-2</v>
      </c>
      <c r="AJ36" s="28">
        <f t="shared" si="6"/>
        <v>1115.5653507187101</v>
      </c>
      <c r="AK36" s="28">
        <f t="shared" si="7"/>
        <v>-452.71464928129012</v>
      </c>
      <c r="AL36" s="9">
        <f t="shared" si="8"/>
        <v>-0.28866952921754407</v>
      </c>
      <c r="AM36" s="23" cm="1">
        <f t="array" ref="AM36:AP36">_xlfn.XLOOKUP($A36,Best_Outcomes[SKU], Best_Outcomes[[Adjusted Gross Profit]:[Gross Profit Margin %]])</f>
        <v>3786.2479077826147</v>
      </c>
      <c r="AN36" s="23">
        <v>517.38790778261455</v>
      </c>
      <c r="AO36" s="21">
        <v>0.15827778117833574</v>
      </c>
      <c r="AP36" s="21">
        <v>0.72068397480872792</v>
      </c>
      <c r="AQ36" s="9">
        <f t="shared" si="9"/>
        <v>4.4900350601034922E-2</v>
      </c>
      <c r="AR36" s="21" cm="1">
        <f t="array" ref="AR36:AU36">_xlfn.XLOOKUP($A36,Best_Outcomes[SKU], Best_Outcomes[[Gross Profit Margin Lift %]:[LTV Protection-Risk Ratio]])</f>
        <v>4.4900350601034922E-2</v>
      </c>
      <c r="AS36" s="23">
        <v>400.08816716748254</v>
      </c>
      <c r="AT36" s="23">
        <v>600.13225075122489</v>
      </c>
      <c r="AU36" s="21">
        <v>0.66666666666666552</v>
      </c>
    </row>
    <row r="37" spans="1:47">
      <c r="A37" s="24" t="str">
        <v>SKU-1032</v>
      </c>
      <c r="B37" s="24" t="str">
        <f>_xlfn.XLOOKUP($A37,_1_product_catalog_pricing[SKU], _1_product_catalog_pricing[Product Name],,0)</f>
        <v>Shampoo Bar</v>
      </c>
      <c r="C37" s="24" t="str">
        <f>_xlfn.XLOOKUP($A37, _1_product_catalog_pricing[SKU], _1_product_catalog_pricing[Category],,0)</f>
        <v>Beauty &amp; Personal Care</v>
      </c>
      <c r="D37" s="24" t="str" cm="1">
        <f t="array" ref="D37">_xlfn.XLOOKUP($A37,_xlfn.ANCHORARRAY('V1 Pricing Model (Step 2)'!$A$22), 'V1 Pricing Model (Step 2)'!$T$22:$T$71,,0)</f>
        <v>Reduce</v>
      </c>
      <c r="E37" s="24" t="str" cm="1">
        <f t="array" ref="E37">_xlfn.XLOOKUP($A37,_xlfn.ANCHORARRAY('V1 Pricing Model (Step 2)'!$A$22), 'V1 Pricing Model (Step 2)'!$AL$22:$AL$71,,0)</f>
        <v>Full</v>
      </c>
      <c r="F37" s="23" cm="1">
        <f t="array" ref="F37">_xlfn.XLOOKUP($A37,_xlfn.ANCHORARRAY('V1 Pricing Model (Step 2)'!$A$22),_xlfn.ANCHORARRAY( 'V1 Pricing Model (Step 2)'!$D$22),,0)</f>
        <v>223.89</v>
      </c>
      <c r="G37" s="23" cm="1">
        <f t="array" ref="G37">_xlfn.XLOOKUP($A37,_xlfn.ANCHORARRAY('V1 Pricing Model (Step 2)'!$A$22),_xlfn.ANCHORARRAY( 'V1 Pricing Model (Step 2)'!$E$22),,0)</f>
        <v>74.989999999999995</v>
      </c>
      <c r="H37" s="24" cm="1">
        <f t="array" ref="H37">_xlfn.XLOOKUP($A37, 'Competitive Analysis (Step 1)'!$A$10:$A$209,_xlfn.ANCHORARRAY( 'Competitive Analysis (Step 1)'!$Q$10),,0)</f>
        <v>18</v>
      </c>
      <c r="I37" s="28">
        <f t="shared" si="1"/>
        <v>4030.0199999999995</v>
      </c>
      <c r="J37" s="28">
        <f t="shared" si="2"/>
        <v>1349.82</v>
      </c>
      <c r="K37" s="28">
        <f t="shared" si="3"/>
        <v>2680.2</v>
      </c>
      <c r="L37" s="9">
        <f t="shared" si="0"/>
        <v>0.6650587341998303</v>
      </c>
      <c r="M37" s="23" cm="1">
        <f t="array" ref="M37:O37">_xlfn.XLOOKUP($A37,_xlfn.ANCHORARRAY('V1 Pricing Model (Step 2)'!$A$22),'V1 Pricing Model (Step 2)'!$U$22:$W$71,,0)</f>
        <v>245.05998830009713</v>
      </c>
      <c r="N37" s="23">
        <v>21.169988300097145</v>
      </c>
      <c r="O37" s="21">
        <v>9.4555309750757724E-2</v>
      </c>
      <c r="P37" s="23" cm="1">
        <f t="array" ref="P37">_xlfn.XLOOKUP($A37,_xlfn.ANCHORARRAY( 'V1 Pricing Model (Step 2)'!$A$22), 'V1 Pricing Model (Step 2)'!$AC$22:$AC$71)</f>
        <v>972.6398011016513</v>
      </c>
      <c r="Q37" s="23" cm="1">
        <f t="array" ref="Q37">_xlfn.XLOOKUP($A37,_xlfn.ANCHORARRAY('V1 Pricing Model (Step 2)'!$A$22),'V1 Pricing Model (Step 2)'!$AI$22:$AI$71,,0)</f>
        <v>1047.6298011016513</v>
      </c>
      <c r="R37" s="24" cm="1">
        <f t="array" ref="R37">COUNTA(_xlfn.UNIQUE(_xlfn._xlws.FILTER(Transactions_and_Customer_Information_Joined[Customer ID], (Transactions_and_Customer_Information_Joined[SKU]='Monte Carlo IO (4)'!$A37) * (Transactions_and_Customer_Information_Joined[Order Status] = "Completed"), "")))</f>
        <v>9</v>
      </c>
      <c r="S37" s="42" cm="1">
        <f t="array" ref="S37">AVERAGE(_xlfn._xlws.FILTER('V1-Based Churn Model (Step 3)'!$W$39:$W$590,
    ISNUMBER(MATCH('V1-Based Churn Model (Step 3)'!$A$39:$A$590,
    _xlfn.UNIQUE(_xlfn._xlws.FILTER(Transactions_and_Customer_Information_Joined[Customer ID],
    (Transactions_and_Customer_Information_Joined[SKU]='Monte Carlo IO (4)'!$A37)*
    (Transactions_and_Customer_Information_Joined[Order Status]="Completed"))),0))))</f>
        <v>65.67202793155235</v>
      </c>
      <c r="T37" s="25" cm="1">
        <f t="array" ref="T37">AVERAGE(_xlfn._xlws.FILTER('V1-Based Churn Model (Step 3)'!$Y$39:$Y$590,
    ISNUMBER(MATCH('V1-Based Churn Model (Step 3)'!$A$39:$A$590,
    _xlfn.UNIQUE(_xlfn._xlws.FILTER(Transactions_and_Customer_Information_Joined[Customer ID],
    (Transactions_and_Customer_Information_Joined[SKU]='Monte Carlo IO (4)'!$A37)*
    (Transactions_and_Customer_Information_Joined[Order Status]="Completed"))),0))))</f>
        <v>0.27990379390485837</v>
      </c>
      <c r="U37" s="23" cm="1">
        <f t="array" ref="U37">SUM(_xlfn._xlws.FILTER('V1-Based Churn Model (Step 3)'!$I$39:$I$590,
    ISNUMBER(MATCH('V1-Based Churn Model (Step 3)'!$A$39:$A$590,
    _xlfn.UNIQUE(_xlfn._xlws.FILTER(Transactions_and_Customer_Information_Joined[Customer ID],
    (Transactions_and_Customer_Information_Joined[SKU]='Monte Carlo IO (4)'!$A37)*
    (Transactions_and_Customer_Information_Joined[Order Status]="Completed"))),0))))</f>
        <v>4640.62</v>
      </c>
      <c r="V37" s="23" cm="1">
        <f t="array" ref="V37">SUM(_xlfn._xlws.FILTER('V1-Based Churn Model (Step 3)'!$Z$39:$Z$590,
    ISNUMBER(MATCH('V1-Based Churn Model (Step 3)'!$A$39:$A$590,
    _xlfn.UNIQUE(_xlfn._xlws.FILTER(Transactions_and_Customer_Information_Joined[Customer ID],
    (Transactions_and_Customer_Information_Joined[SKU]='Monte Carlo IO (4)'!$A37)*
    (Transactions_and_Customer_Information_Joined[Order Status]="Completed"))),0))))</f>
        <v>838.02615583978798</v>
      </c>
      <c r="W37" s="21" cm="1">
        <f t="array" ref="W37">IFERROR(SUM(_xlfn._xlws.FILTER(('V1-Based Churn Model (Step 3)'!$X$39:$X$4039="Critical")*1,
    ISNUMBER(MATCH('V1-Based Churn Model (Step 3)'!$A$39:$A$4039,
    _xlfn.UNIQUE(_xlfn._xlws.FILTER(Transactions_and_Customer_Information_Joined[Customer ID],
    (Transactions_and_Customer_Information_Joined[SKU]='Monte Carlo IO (4)'!$A37)*
    (Transactions_and_Customer_Information_Joined[Order Status]="Completed"))),0))))
/ $R37, 0)</f>
        <v>0.44444444444444442</v>
      </c>
      <c r="X37" s="21" cm="1">
        <f t="array" ref="X37">IFERROR(SUM(_xlfn._xlws.FILTER(('V1-Based Churn Model (Step 3)'!$X$39:$X$4039="High")*1,
    ISNUMBER(MATCH('V1-Based Churn Model (Step 3)'!$A$39:$A$4039,
    _xlfn.UNIQUE(_xlfn._xlws.FILTER(Transactions_and_Customer_Information_Joined[Customer ID],
    (Transactions_and_Customer_Information_Joined[SKU]='Monte Carlo IO (4)'!$A37)*
    (Transactions_and_Customer_Information_Joined[Order Status]="Completed"))),0))))
/ $R37, 0)</f>
        <v>0.22222222222222221</v>
      </c>
      <c r="Y37" s="21" cm="1">
        <f t="array" ref="Y37">IFERROR(SUM(_xlfn._xlws.FILTER(('V1-Based Churn Model (Step 3)'!$X$39:$X$4039="Medium")*1,
    ISNUMBER(MATCH('V1-Based Churn Model (Step 3)'!$A$39:$A$4039,
    _xlfn.UNIQUE(_xlfn._xlws.FILTER(Transactions_and_Customer_Information_Joined[Customer ID],
    (Transactions_and_Customer_Information_Joined[SKU]='Monte Carlo IO (4)'!$A37)*
    (Transactions_and_Customer_Information_Joined[Order Status]="Completed"))),0))))
/ $R37, 0)</f>
        <v>0.22222222222222221</v>
      </c>
      <c r="Z37" s="21" cm="1">
        <f t="array" ref="Z37">IFERROR(SUM(_xlfn._xlws.FILTER(('V1-Based Churn Model (Step 3)'!$X$39:$X$4039="Low")*1,
    ISNUMBER(MATCH('V1-Based Churn Model (Step 3)'!$A$39:$A$4039,
    _xlfn.UNIQUE(_xlfn._xlws.FILTER(Transactions_and_Customer_Information_Joined[Customer ID],
    (Transactions_and_Customer_Information_Joined[SKU]='Monte Carlo IO (4)'!$A37)*
    (Transactions_and_Customer_Information_Joined[Order Status]="Completed"))),0))))
/ $R37, 0)</f>
        <v>0.1111111111111111</v>
      </c>
      <c r="AA37" s="3" t="str" cm="1">
        <f t="array" ref="AA37">_xlfn.IFS($W37 = MAX($W37:$Z37), "Critical", $X37 = MAX($W37:$Z37), "High", $Y37 = MAX($W37:$Z37), "Medium", $Z37 = MAX($W37:$Z37), "Low")</f>
        <v>Critical</v>
      </c>
      <c r="AB37" s="23" cm="1">
        <f t="array" ref="AB37:AD37">_xlfn.XLOOKUP($A37, Best_Outcomes[SKU], Best_Outcomes[[Adjusted Price]:[Adjusted Difference %]],,0)</f>
        <v>223.89</v>
      </c>
      <c r="AC37" s="23">
        <v>0</v>
      </c>
      <c r="AD37" s="21">
        <v>0</v>
      </c>
      <c r="AE37" s="21">
        <f t="shared" si="4"/>
        <v>0</v>
      </c>
      <c r="AF37" s="38">
        <f t="shared" si="5"/>
        <v>18</v>
      </c>
      <c r="AG37" s="23" cm="1">
        <f t="array" ref="AG37:AI37">_xlfn.XLOOKUP($A37,Best_Outcomes[SKU], Best_Outcomes[[Adjusted Gross Revenue]:[Gross Revenue Lift %]])</f>
        <v>4030.0199999999995</v>
      </c>
      <c r="AH37" s="23">
        <v>0</v>
      </c>
      <c r="AI37" s="21">
        <v>0</v>
      </c>
      <c r="AJ37" s="28">
        <f t="shared" si="6"/>
        <v>953.28</v>
      </c>
      <c r="AK37" s="28">
        <f t="shared" si="7"/>
        <v>-396.53999999999996</v>
      </c>
      <c r="AL37" s="9">
        <f t="shared" si="8"/>
        <v>-0.29377250300040003</v>
      </c>
      <c r="AM37" s="23" cm="1">
        <f t="array" ref="AM37:AP37">_xlfn.XLOOKUP($A37,Best_Outcomes[SKU], Best_Outcomes[[Adjusted Gross Profit]:[Gross Profit Margin %]])</f>
        <v>2680.2</v>
      </c>
      <c r="AN37" s="23">
        <v>0</v>
      </c>
      <c r="AO37" s="21">
        <v>0</v>
      </c>
      <c r="AP37" s="21">
        <v>0.6650587341998303</v>
      </c>
      <c r="AQ37" s="9">
        <f t="shared" si="9"/>
        <v>0</v>
      </c>
      <c r="AR37" s="21" cm="1">
        <f t="array" ref="AR37:AU37">_xlfn.XLOOKUP($A37,Best_Outcomes[SKU], Best_Outcomes[[Gross Profit Margin Lift %]:[LTV Protection-Risk Ratio]])</f>
        <v>0</v>
      </c>
      <c r="AS37" s="23">
        <v>600.58541168518138</v>
      </c>
      <c r="AT37" s="23">
        <v>0</v>
      </c>
      <c r="AU37" s="21">
        <v>0</v>
      </c>
    </row>
    <row r="38" spans="1:47">
      <c r="A38" s="24" t="str">
        <v>SKU-1033</v>
      </c>
      <c r="B38" s="24" t="str">
        <f>_xlfn.XLOOKUP($A38,_1_product_catalog_pricing[SKU], _1_product_catalog_pricing[Product Name],,0)</f>
        <v>Electric Toothbrush</v>
      </c>
      <c r="C38" s="24" t="str">
        <f>_xlfn.XLOOKUP($A38, _1_product_catalog_pricing[SKU], _1_product_catalog_pricing[Category],,0)</f>
        <v>Beauty &amp; Personal Care</v>
      </c>
      <c r="D38" s="24" t="str" cm="1">
        <f t="array" ref="D38">_xlfn.XLOOKUP($A38,_xlfn.ANCHORARRAY('V1 Pricing Model (Step 2)'!$A$22), 'V1 Pricing Model (Step 2)'!$T$22:$T$71,,0)</f>
        <v>Raise</v>
      </c>
      <c r="E38" s="24" t="str" cm="1">
        <f t="array" ref="E38">_xlfn.XLOOKUP($A38,_xlfn.ANCHORARRAY('V1 Pricing Model (Step 2)'!$A$22), 'V1 Pricing Model (Step 2)'!$AL$22:$AL$71,,0)</f>
        <v>Full</v>
      </c>
      <c r="F38" s="23" cm="1">
        <f t="array" ref="F38">_xlfn.XLOOKUP($A38,_xlfn.ANCHORARRAY('V1 Pricing Model (Step 2)'!$A$22),_xlfn.ANCHORARRAY( 'V1 Pricing Model (Step 2)'!$D$22),,0)</f>
        <v>224.77</v>
      </c>
      <c r="G38" s="23" cm="1">
        <f t="array" ref="G38">_xlfn.XLOOKUP($A38,_xlfn.ANCHORARRAY('V1 Pricing Model (Step 2)'!$A$22),_xlfn.ANCHORARRAY( 'V1 Pricing Model (Step 2)'!$E$22),,0)</f>
        <v>78.790000000000006</v>
      </c>
      <c r="H38" s="24" cm="1">
        <f t="array" ref="H38">_xlfn.XLOOKUP($A38, 'Competitive Analysis (Step 1)'!$A$10:$A$209,_xlfn.ANCHORARRAY( 'Competitive Analysis (Step 1)'!$Q$10),,0)</f>
        <v>15</v>
      </c>
      <c r="I38" s="28">
        <f t="shared" si="1"/>
        <v>3371.55</v>
      </c>
      <c r="J38" s="28">
        <f t="shared" si="2"/>
        <v>1181.8500000000001</v>
      </c>
      <c r="K38" s="28">
        <f t="shared" si="3"/>
        <v>2189.6999999999998</v>
      </c>
      <c r="L38" s="9">
        <f t="shared" si="0"/>
        <v>0.64946389642745905</v>
      </c>
      <c r="M38" s="23" cm="1">
        <f t="array" ref="M38:O38">_xlfn.XLOOKUP($A38,_xlfn.ANCHORARRAY('V1 Pricing Model (Step 2)'!$A$22),'V1 Pricing Model (Step 2)'!$U$22:$W$71,,0)</f>
        <v>258.01494479999997</v>
      </c>
      <c r="N38" s="23">
        <v>33.244944799999956</v>
      </c>
      <c r="O38" s="21">
        <v>0.14790650353694867</v>
      </c>
      <c r="P38" s="23" cm="1">
        <f t="array" ref="P38">_xlfn.XLOOKUP($A38,_xlfn.ANCHORARRAY( 'V1 Pricing Model (Step 2)'!$A$22), 'V1 Pricing Model (Step 2)'!$AC$22:$AC$71)</f>
        <v>689.15922719999935</v>
      </c>
      <c r="Q38" s="23" cm="1">
        <f t="array" ref="Q38">_xlfn.XLOOKUP($A38,_xlfn.ANCHORARRAY('V1 Pricing Model (Step 2)'!$A$22),'V1 Pricing Model (Step 2)'!$AI$22:$AI$71,,0)</f>
        <v>767.94922719999954</v>
      </c>
      <c r="R38" s="24" cm="1">
        <f t="array" ref="R38">COUNTA(_xlfn.UNIQUE(_xlfn._xlws.FILTER(Transactions_and_Customer_Information_Joined[Customer ID], (Transactions_and_Customer_Information_Joined[SKU]='Monte Carlo IO (4)'!$A38) * (Transactions_and_Customer_Information_Joined[Order Status] = "Completed"), "")))</f>
        <v>7</v>
      </c>
      <c r="S38" s="42" cm="1">
        <f t="array" ref="S38">AVERAGE(_xlfn._xlws.FILTER('V1-Based Churn Model (Step 3)'!$W$39:$W$590,
    ISNUMBER(MATCH('V1-Based Churn Model (Step 3)'!$A$39:$A$590,
    _xlfn.UNIQUE(_xlfn._xlws.FILTER(Transactions_and_Customer_Information_Joined[Customer ID],
    (Transactions_and_Customer_Information_Joined[SKU]='Monte Carlo IO (4)'!$A38)*
    (Transactions_and_Customer_Information_Joined[Order Status]="Completed"))),0))))</f>
        <v>53.0620689247408</v>
      </c>
      <c r="T38" s="25" cm="1">
        <f t="array" ref="T38">AVERAGE(_xlfn._xlws.FILTER('V1-Based Churn Model (Step 3)'!$Y$39:$Y$590,
    ISNUMBER(MATCH('V1-Based Churn Model (Step 3)'!$A$39:$A$590,
    _xlfn.UNIQUE(_xlfn._xlws.FILTER(Transactions_and_Customer_Information_Joined[Customer ID],
    (Transactions_and_Customer_Information_Joined[SKU]='Monte Carlo IO (4)'!$A38)*
    (Transactions_and_Customer_Information_Joined[Order Status]="Completed"))),0))))</f>
        <v>0.16331151238540076</v>
      </c>
      <c r="U38" s="23" cm="1">
        <f t="array" ref="U38">SUM(_xlfn._xlws.FILTER('V1-Based Churn Model (Step 3)'!$I$39:$I$590,
    ISNUMBER(MATCH('V1-Based Churn Model (Step 3)'!$A$39:$A$590,
    _xlfn.UNIQUE(_xlfn._xlws.FILTER(Transactions_and_Customer_Information_Joined[Customer ID],
    (Transactions_and_Customer_Information_Joined[SKU]='Monte Carlo IO (4)'!$A38)*
    (Transactions_and_Customer_Information_Joined[Order Status]="Completed"))),0))))</f>
        <v>2495.52</v>
      </c>
      <c r="V38" s="23" cm="1">
        <f t="array" ref="V38">SUM(_xlfn._xlws.FILTER('V1-Based Churn Model (Step 3)'!$Z$39:$Z$590,
    ISNUMBER(MATCH('V1-Based Churn Model (Step 3)'!$A$39:$A$590,
    _xlfn.UNIQUE(_xlfn._xlws.FILTER(Transactions_and_Customer_Information_Joined[Customer ID],
    (Transactions_and_Customer_Information_Joined[SKU]='Monte Carlo IO (4)'!$A38)*
    (Transactions_and_Customer_Information_Joined[Order Status]="Completed"))),0))))</f>
        <v>411.31040074586326</v>
      </c>
      <c r="W38" s="21" cm="1">
        <f t="array" ref="W38">IFERROR(SUM(_xlfn._xlws.FILTER(('V1-Based Churn Model (Step 3)'!$X$39:$X$4039="Critical")*1,
    ISNUMBER(MATCH('V1-Based Churn Model (Step 3)'!$A$39:$A$4039,
    _xlfn.UNIQUE(_xlfn._xlws.FILTER(Transactions_and_Customer_Information_Joined[Customer ID],
    (Transactions_and_Customer_Information_Joined[SKU]='Monte Carlo IO (4)'!$A38)*
    (Transactions_and_Customer_Information_Joined[Order Status]="Completed"))),0))))
/ $R38, 0)</f>
        <v>0.2857142857142857</v>
      </c>
      <c r="X38" s="21" cm="1">
        <f t="array" ref="X38">IFERROR(SUM(_xlfn._xlws.FILTER(('V1-Based Churn Model (Step 3)'!$X$39:$X$4039="High")*1,
    ISNUMBER(MATCH('V1-Based Churn Model (Step 3)'!$A$39:$A$4039,
    _xlfn.UNIQUE(_xlfn._xlws.FILTER(Transactions_and_Customer_Information_Joined[Customer ID],
    (Transactions_and_Customer_Information_Joined[SKU]='Monte Carlo IO (4)'!$A38)*
    (Transactions_and_Customer_Information_Joined[Order Status]="Completed"))),0))))
/ $R38, 0)</f>
        <v>0.42857142857142855</v>
      </c>
      <c r="Y38" s="21" cm="1">
        <f t="array" ref="Y38">IFERROR(SUM(_xlfn._xlws.FILTER(('V1-Based Churn Model (Step 3)'!$X$39:$X$4039="Medium")*1,
    ISNUMBER(MATCH('V1-Based Churn Model (Step 3)'!$A$39:$A$4039,
    _xlfn.UNIQUE(_xlfn._xlws.FILTER(Transactions_and_Customer_Information_Joined[Customer ID],
    (Transactions_and_Customer_Information_Joined[SKU]='Monte Carlo IO (4)'!$A38)*
    (Transactions_and_Customer_Information_Joined[Order Status]="Completed"))),0))))
/ $R38, 0)</f>
        <v>0.14285714285714285</v>
      </c>
      <c r="Z38" s="21" cm="1">
        <f t="array" ref="Z38">IFERROR(SUM(_xlfn._xlws.FILTER(('V1-Based Churn Model (Step 3)'!$X$39:$X$4039="Low")*1,
    ISNUMBER(MATCH('V1-Based Churn Model (Step 3)'!$A$39:$A$4039,
    _xlfn.UNIQUE(_xlfn._xlws.FILTER(Transactions_and_Customer_Information_Joined[Customer ID],
    (Transactions_and_Customer_Information_Joined[SKU]='Monte Carlo IO (4)'!$A38)*
    (Transactions_and_Customer_Information_Joined[Order Status]="Completed"))),0))))
/ $R38, 0)</f>
        <v>0.14285714285714285</v>
      </c>
      <c r="AA38" s="3" t="str" cm="1">
        <f t="array" ref="AA38">_xlfn.IFS($W38 = MAX($W38:$Z38), "Critical", $X38 = MAX($W38:$Z38), "High", $Y38 = MAX($W38:$Z38), "Medium", $Z38 = MAX($W38:$Z38), "Low")</f>
        <v>High</v>
      </c>
      <c r="AB38" s="23" cm="1">
        <f t="array" ref="AB38:AD38">_xlfn.XLOOKUP($A38, Best_Outcomes[SKU], Best_Outcomes[[Adjusted Price]:[Adjusted Difference %]],,0)</f>
        <v>244.71696687999997</v>
      </c>
      <c r="AC38" s="23">
        <v>19.946966879999962</v>
      </c>
      <c r="AD38" s="21">
        <v>8.8743902122169163E-2</v>
      </c>
      <c r="AE38" s="21">
        <f t="shared" si="4"/>
        <v>-3.5497560848867668E-2</v>
      </c>
      <c r="AF38" s="38">
        <f t="shared" si="5"/>
        <v>15.035497560848867</v>
      </c>
      <c r="AG38" s="23" cm="1">
        <f t="array" ref="AG38:AI38">_xlfn.XLOOKUP($A38,Best_Outcomes[SKU], Best_Outcomes[[Adjusted Gross Revenue]:[Gross Revenue Lift %]])</f>
        <v>3540.4516718614022</v>
      </c>
      <c r="AH38" s="23">
        <v>168.90167186140206</v>
      </c>
      <c r="AI38" s="21">
        <v>5.0096149207753723E-2</v>
      </c>
      <c r="AJ38" s="28">
        <f t="shared" si="6"/>
        <v>796.27995082255597</v>
      </c>
      <c r="AK38" s="28">
        <f t="shared" si="7"/>
        <v>-385.57004917744416</v>
      </c>
      <c r="AL38" s="9">
        <f t="shared" si="8"/>
        <v>-0.32624279661331312</v>
      </c>
      <c r="AM38" s="23" cm="1">
        <f t="array" ref="AM38:AP38">_xlfn.XLOOKUP($A38,Best_Outcomes[SKU], Best_Outcomes[[Adjusted Gross Profit]:[Gross Profit Margin %]])</f>
        <v>2400.5544641506367</v>
      </c>
      <c r="AN38" s="23">
        <v>210.85446415063689</v>
      </c>
      <c r="AO38" s="21">
        <v>9.6293768164879626E-2</v>
      </c>
      <c r="AP38" s="21">
        <v>0.67803621872023423</v>
      </c>
      <c r="AQ38" s="9">
        <f t="shared" si="9"/>
        <v>2.8572322292775176E-2</v>
      </c>
      <c r="AR38" s="21" cm="1">
        <f t="array" ref="AR38:AU38">_xlfn.XLOOKUP($A38,Best_Outcomes[SKU], Best_Outcomes[[Gross Profit Margin Lift %]:[LTV Protection-Risk Ratio]])</f>
        <v>2.8572322292775176E-2</v>
      </c>
      <c r="AS38" s="23">
        <v>112.81656706172261</v>
      </c>
      <c r="AT38" s="23">
        <v>169.22485059258366</v>
      </c>
      <c r="AU38" s="21">
        <v>0.66666666666666763</v>
      </c>
    </row>
    <row r="39" spans="1:47">
      <c r="A39" s="24" t="str">
        <v>SKU-1034</v>
      </c>
      <c r="B39" s="24" t="str">
        <f>_xlfn.XLOOKUP($A39,_1_product_catalog_pricing[SKU], _1_product_catalog_pricing[Product Name],,0)</f>
        <v>Face Mask Kit</v>
      </c>
      <c r="C39" s="24" t="str">
        <f>_xlfn.XLOOKUP($A39, _1_product_catalog_pricing[SKU], _1_product_catalog_pricing[Category],,0)</f>
        <v>Beauty &amp; Personal Care</v>
      </c>
      <c r="D39" s="24" t="str" cm="1">
        <f t="array" ref="D39">_xlfn.XLOOKUP($A39,_xlfn.ANCHORARRAY('V1 Pricing Model (Step 2)'!$A$22), 'V1 Pricing Model (Step 2)'!$T$22:$T$71,,0)</f>
        <v>Raise</v>
      </c>
      <c r="E39" s="24" t="str" cm="1">
        <f t="array" ref="E39">_xlfn.XLOOKUP($A39,_xlfn.ANCHORARRAY('V1 Pricing Model (Step 2)'!$A$22), 'V1 Pricing Model (Step 2)'!$AL$22:$AL$71,,0)</f>
        <v>Full</v>
      </c>
      <c r="F39" s="23" cm="1">
        <f t="array" ref="F39">_xlfn.XLOOKUP($A39,_xlfn.ANCHORARRAY('V1 Pricing Model (Step 2)'!$A$22),_xlfn.ANCHORARRAY( 'V1 Pricing Model (Step 2)'!$D$22),,0)</f>
        <v>196.28</v>
      </c>
      <c r="G39" s="23" cm="1">
        <f t="array" ref="G39">_xlfn.XLOOKUP($A39,_xlfn.ANCHORARRAY('V1 Pricing Model (Step 2)'!$A$22),_xlfn.ANCHORARRAY( 'V1 Pricing Model (Step 2)'!$E$22),,0)</f>
        <v>71.73</v>
      </c>
      <c r="H39" s="24" cm="1">
        <f t="array" ref="H39">_xlfn.XLOOKUP($A39, 'Competitive Analysis (Step 1)'!$A$10:$A$209,_xlfn.ANCHORARRAY( 'Competitive Analysis (Step 1)'!$Q$10),,0)</f>
        <v>38</v>
      </c>
      <c r="I39" s="28">
        <f t="shared" si="1"/>
        <v>7458.64</v>
      </c>
      <c r="J39" s="28">
        <f t="shared" si="2"/>
        <v>2725.7400000000002</v>
      </c>
      <c r="K39" s="28">
        <f t="shared" si="3"/>
        <v>4732.8999999999996</v>
      </c>
      <c r="L39" s="9">
        <f t="shared" si="0"/>
        <v>0.63455267984511909</v>
      </c>
      <c r="M39" s="23" cm="1">
        <f t="array" ref="M39:O39">_xlfn.XLOOKUP($A39,_xlfn.ANCHORARRAY('V1 Pricing Model (Step 2)'!$A$22),'V1 Pricing Model (Step 2)'!$U$22:$W$71,,0)</f>
        <v>228.89345445731379</v>
      </c>
      <c r="N39" s="23">
        <v>32.613454457313793</v>
      </c>
      <c r="O39" s="21">
        <v>0.16615780750618397</v>
      </c>
      <c r="P39" s="23" cm="1">
        <f t="array" ref="P39">_xlfn.XLOOKUP($A39,_xlfn.ANCHORARRAY( 'V1 Pricing Model (Step 2)'!$A$22), 'V1 Pricing Model (Step 2)'!$AC$22:$AC$71)</f>
        <v>552.63090600598207</v>
      </c>
      <c r="Q39" s="23" cm="1">
        <f t="array" ref="Q39">_xlfn.XLOOKUP($A39,_xlfn.ANCHORARRAY('V1 Pricing Model (Step 2)'!$A$22),'V1 Pricing Model (Step 2)'!$AI$22:$AI$71,,0)</f>
        <v>767.82090600598258</v>
      </c>
      <c r="R39" s="24" cm="1">
        <f t="array" ref="R39">COUNTA(_xlfn.UNIQUE(_xlfn._xlws.FILTER(Transactions_and_Customer_Information_Joined[Customer ID], (Transactions_and_Customer_Information_Joined[SKU]='Monte Carlo IO (4)'!$A39) * (Transactions_and_Customer_Information_Joined[Order Status] = "Completed"), "")))</f>
        <v>12</v>
      </c>
      <c r="S39" s="42" cm="1">
        <f t="array" ref="S39">AVERAGE(_xlfn._xlws.FILTER('V1-Based Churn Model (Step 3)'!$W$39:$W$590,
    ISNUMBER(MATCH('V1-Based Churn Model (Step 3)'!$A$39:$A$590,
    _xlfn.UNIQUE(_xlfn._xlws.FILTER(Transactions_and_Customer_Information_Joined[Customer ID],
    (Transactions_and_Customer_Information_Joined[SKU]='Monte Carlo IO (4)'!$A39)*
    (Transactions_and_Customer_Information_Joined[Order Status]="Completed"))),0))))</f>
        <v>76.59906110590704</v>
      </c>
      <c r="T39" s="25" cm="1">
        <f t="array" ref="T39">AVERAGE(_xlfn._xlws.FILTER('V1-Based Churn Model (Step 3)'!$Y$39:$Y$590,
    ISNUMBER(MATCH('V1-Based Churn Model (Step 3)'!$A$39:$A$590,
    _xlfn.UNIQUE(_xlfn._xlws.FILTER(Transactions_and_Customer_Information_Joined[Customer ID],
    (Transactions_and_Customer_Information_Joined[SKU]='Monte Carlo IO (4)'!$A39)*
    (Transactions_and_Customer_Information_Joined[Order Status]="Completed"))),0))))</f>
        <v>0.24028498434328147</v>
      </c>
      <c r="U39" s="23" cm="1">
        <f t="array" ref="U39">SUM(_xlfn._xlws.FILTER('V1-Based Churn Model (Step 3)'!$I$39:$I$590,
    ISNUMBER(MATCH('V1-Based Churn Model (Step 3)'!$A$39:$A$590,
    _xlfn.UNIQUE(_xlfn._xlws.FILTER(Transactions_and_Customer_Information_Joined[Customer ID],
    (Transactions_and_Customer_Information_Joined[SKU]='Monte Carlo IO (4)'!$A39)*
    (Transactions_and_Customer_Information_Joined[Order Status]="Completed"))),0))))</f>
        <v>6125.9500000000007</v>
      </c>
      <c r="V39" s="23" cm="1">
        <f t="array" ref="V39">SUM(_xlfn._xlws.FILTER('V1-Based Churn Model (Step 3)'!$Z$39:$Z$590,
    ISNUMBER(MATCH('V1-Based Churn Model (Step 3)'!$A$39:$A$590,
    _xlfn.UNIQUE(_xlfn._xlws.FILTER(Transactions_and_Customer_Information_Joined[Customer ID],
    (Transactions_and_Customer_Information_Joined[SKU]='Monte Carlo IO (4)'!$A39)*
    (Transactions_and_Customer_Information_Joined[Order Status]="Completed"))),0))))</f>
        <v>1597.9585464320285</v>
      </c>
      <c r="W39" s="21" cm="1">
        <f t="array" ref="W39">IFERROR(SUM(_xlfn._xlws.FILTER(('V1-Based Churn Model (Step 3)'!$X$39:$X$4039="Critical")*1,
    ISNUMBER(MATCH('V1-Based Churn Model (Step 3)'!$A$39:$A$4039,
    _xlfn.UNIQUE(_xlfn._xlws.FILTER(Transactions_and_Customer_Information_Joined[Customer ID],
    (Transactions_and_Customer_Information_Joined[SKU]='Monte Carlo IO (4)'!$A39)*
    (Transactions_and_Customer_Information_Joined[Order Status]="Completed"))),0))))
/ $R39, 0)</f>
        <v>0.58333333333333337</v>
      </c>
      <c r="X39" s="21" cm="1">
        <f t="array" ref="X39">IFERROR(SUM(_xlfn._xlws.FILTER(('V1-Based Churn Model (Step 3)'!$X$39:$X$4039="High")*1,
    ISNUMBER(MATCH('V1-Based Churn Model (Step 3)'!$A$39:$A$4039,
    _xlfn.UNIQUE(_xlfn._xlws.FILTER(Transactions_and_Customer_Information_Joined[Customer ID],
    (Transactions_and_Customer_Information_Joined[SKU]='Monte Carlo IO (4)'!$A39)*
    (Transactions_and_Customer_Information_Joined[Order Status]="Completed"))),0))))
/ $R39, 0)</f>
        <v>0.25</v>
      </c>
      <c r="Y39" s="21" cm="1">
        <f t="array" ref="Y39">IFERROR(SUM(_xlfn._xlws.FILTER(('V1-Based Churn Model (Step 3)'!$X$39:$X$4039="Medium")*1,
    ISNUMBER(MATCH('V1-Based Churn Model (Step 3)'!$A$39:$A$4039,
    _xlfn.UNIQUE(_xlfn._xlws.FILTER(Transactions_and_Customer_Information_Joined[Customer ID],
    (Transactions_and_Customer_Information_Joined[SKU]='Monte Carlo IO (4)'!$A39)*
    (Transactions_and_Customer_Information_Joined[Order Status]="Completed"))),0))))
/ $R39, 0)</f>
        <v>0.16666666666666666</v>
      </c>
      <c r="Z39" s="21" cm="1">
        <f t="array" ref="Z39">IFERROR(SUM(_xlfn._xlws.FILTER(('V1-Based Churn Model (Step 3)'!$X$39:$X$4039="Low")*1,
    ISNUMBER(MATCH('V1-Based Churn Model (Step 3)'!$A$39:$A$4039,
    _xlfn.UNIQUE(_xlfn._xlws.FILTER(Transactions_and_Customer_Information_Joined[Customer ID],
    (Transactions_and_Customer_Information_Joined[SKU]='Monte Carlo IO (4)'!$A39)*
    (Transactions_and_Customer_Information_Joined[Order Status]="Completed"))),0))))
/ $R39, 0)</f>
        <v>0</v>
      </c>
      <c r="AA39" s="3" t="str" cm="1">
        <f t="array" ref="AA39">_xlfn.IFS($W39 = MAX($W39:$Z39), "Critical", $X39 = MAX($W39:$Z39), "High", $Y39 = MAX($W39:$Z39), "Medium", $Z39 = MAX($W39:$Z39), "Low")</f>
        <v>Critical</v>
      </c>
      <c r="AB39" s="23" cm="1">
        <f t="array" ref="AB39:AD39">_xlfn.XLOOKUP($A39, Best_Outcomes[SKU], Best_Outcomes[[Adjusted Price]:[Adjusted Difference %]],,0)</f>
        <v>215.84807267438828</v>
      </c>
      <c r="AC39" s="23">
        <v>19.568072674388276</v>
      </c>
      <c r="AD39" s="21">
        <v>9.9694684503710398E-2</v>
      </c>
      <c r="AE39" s="21">
        <f t="shared" si="4"/>
        <v>-3.9877873801484165E-2</v>
      </c>
      <c r="AF39" s="38">
        <f t="shared" si="5"/>
        <v>38.039877873801487</v>
      </c>
      <c r="AG39" s="23" cm="1">
        <f t="array" ref="AG39:AI39">_xlfn.XLOOKUP($A39,Best_Outcomes[SKU], Best_Outcomes[[Adjusted Gross Revenue]:[Gross Revenue Lift %]])</f>
        <v>7875.1393979354461</v>
      </c>
      <c r="AH39" s="23">
        <v>416.49939793544581</v>
      </c>
      <c r="AI39" s="21">
        <v>5.5841198654908372E-2</v>
      </c>
      <c r="AJ39" s="28">
        <f t="shared" si="6"/>
        <v>2014.5919321965268</v>
      </c>
      <c r="AK39" s="28">
        <f t="shared" si="7"/>
        <v>-711.1480678034734</v>
      </c>
      <c r="AL39" s="9">
        <f t="shared" si="8"/>
        <v>-0.2609009178437684</v>
      </c>
      <c r="AM39" s="23" cm="1">
        <f t="array" ref="AM39:AP39">_xlfn.XLOOKUP($A39,Best_Outcomes[SKU], Best_Outcomes[[Adjusted Gross Profit]:[Gross Profit Margin %]])</f>
        <v>5258.0961136711039</v>
      </c>
      <c r="AN39" s="23">
        <v>525.19611367110429</v>
      </c>
      <c r="AO39" s="21">
        <v>0.11096708438190207</v>
      </c>
      <c r="AP39" s="21">
        <v>0.66768292572060006</v>
      </c>
      <c r="AQ39" s="9">
        <f t="shared" si="9"/>
        <v>3.3130245875480968E-2</v>
      </c>
      <c r="AR39" s="21" cm="1">
        <f t="array" ref="AR39:AU39">_xlfn.XLOOKUP($A39,Best_Outcomes[SKU], Best_Outcomes[[Gross Profit Margin Lift %]:[LTV Protection-Risk Ratio]])</f>
        <v>3.3130245875480968E-2</v>
      </c>
      <c r="AS39" s="23">
        <v>535.3161130547295</v>
      </c>
      <c r="AT39" s="23">
        <v>802.97416958209431</v>
      </c>
      <c r="AU39" s="21">
        <v>0.66666666666666663</v>
      </c>
    </row>
    <row r="40" spans="1:47">
      <c r="A40" s="24" t="str">
        <v>SKU-1035</v>
      </c>
      <c r="B40" s="24" t="str">
        <f>_xlfn.XLOOKUP($A40,_1_product_catalog_pricing[SKU], _1_product_catalog_pricing[Product Name],,0)</f>
        <v>Lip Balm Set</v>
      </c>
      <c r="C40" s="24" t="str">
        <f>_xlfn.XLOOKUP($A40, _1_product_catalog_pricing[SKU], _1_product_catalog_pricing[Category],,0)</f>
        <v>Beauty &amp; Personal Care</v>
      </c>
      <c r="D40" s="24" t="str" cm="1">
        <f t="array" ref="D40">_xlfn.XLOOKUP($A40,_xlfn.ANCHORARRAY('V1 Pricing Model (Step 2)'!$A$22), 'V1 Pricing Model (Step 2)'!$T$22:$T$71,,0)</f>
        <v>Reduce</v>
      </c>
      <c r="E40" s="24" t="str" cm="1">
        <f t="array" ref="E40">_xlfn.XLOOKUP($A40,_xlfn.ANCHORARRAY('V1 Pricing Model (Step 2)'!$A$22), 'V1 Pricing Model (Step 2)'!$AL$22:$AL$71,,0)</f>
        <v>Constrained</v>
      </c>
      <c r="F40" s="23" cm="1">
        <f t="array" ref="F40">_xlfn.XLOOKUP($A40,_xlfn.ANCHORARRAY('V1 Pricing Model (Step 2)'!$A$22),_xlfn.ANCHORARRAY( 'V1 Pricing Model (Step 2)'!$D$22),,0)</f>
        <v>98.58</v>
      </c>
      <c r="G40" s="23" cm="1">
        <f t="array" ref="G40">_xlfn.XLOOKUP($A40,_xlfn.ANCHORARRAY('V1 Pricing Model (Step 2)'!$A$22),_xlfn.ANCHORARRAY( 'V1 Pricing Model (Step 2)'!$E$22),,0)</f>
        <v>52.57</v>
      </c>
      <c r="H40" s="24" cm="1">
        <f t="array" ref="H40">_xlfn.XLOOKUP($A40, 'Competitive Analysis (Step 1)'!$A$10:$A$209,_xlfn.ANCHORARRAY( 'Competitive Analysis (Step 1)'!$Q$10),,0)</f>
        <v>26</v>
      </c>
      <c r="I40" s="28">
        <f t="shared" si="1"/>
        <v>2563.08</v>
      </c>
      <c r="J40" s="28">
        <f t="shared" si="2"/>
        <v>1366.82</v>
      </c>
      <c r="K40" s="28">
        <f t="shared" si="3"/>
        <v>1196.26</v>
      </c>
      <c r="L40" s="9">
        <f t="shared" si="0"/>
        <v>0.46672753093933861</v>
      </c>
      <c r="M40" s="23" cm="1">
        <f t="array" ref="M40:O40">_xlfn.XLOOKUP($A40,_xlfn.ANCHORARRAY('V1 Pricing Model (Step 2)'!$A$22),'V1 Pricing Model (Step 2)'!$U$22:$W$71,,0)</f>
        <v>98.58</v>
      </c>
      <c r="N40" s="23">
        <v>0</v>
      </c>
      <c r="O40" s="21">
        <v>0</v>
      </c>
      <c r="P40" s="23" cm="1">
        <f t="array" ref="P40">_xlfn.XLOOKUP($A40,_xlfn.ANCHORARRAY( 'V1 Pricing Model (Step 2)'!$A$22), 'V1 Pricing Model (Step 2)'!$AC$22:$AC$71)</f>
        <v>0</v>
      </c>
      <c r="Q40" s="23" cm="1">
        <f t="array" ref="Q40">_xlfn.XLOOKUP($A40,_xlfn.ANCHORARRAY('V1 Pricing Model (Step 2)'!$A$22),'V1 Pricing Model (Step 2)'!$AI$22:$AI$71,,0)</f>
        <v>0</v>
      </c>
      <c r="R40" s="24" cm="1">
        <f t="array" ref="R40">COUNTA(_xlfn.UNIQUE(_xlfn._xlws.FILTER(Transactions_and_Customer_Information_Joined[Customer ID], (Transactions_and_Customer_Information_Joined[SKU]='Monte Carlo IO (4)'!$A40) * (Transactions_and_Customer_Information_Joined[Order Status] = "Completed"), "")))</f>
        <v>12</v>
      </c>
      <c r="S40" s="42" cm="1">
        <f t="array" ref="S40">AVERAGE(_xlfn._xlws.FILTER('V1-Based Churn Model (Step 3)'!$W$39:$W$590,
    ISNUMBER(MATCH('V1-Based Churn Model (Step 3)'!$A$39:$A$590,
    _xlfn.UNIQUE(_xlfn._xlws.FILTER(Transactions_and_Customer_Information_Joined[Customer ID],
    (Transactions_and_Customer_Information_Joined[SKU]='Monte Carlo IO (4)'!$A40)*
    (Transactions_and_Customer_Information_Joined[Order Status]="Completed"))),0))))</f>
        <v>67.518394442825695</v>
      </c>
      <c r="T40" s="25" cm="1">
        <f t="array" ref="T40">AVERAGE(_xlfn._xlws.FILTER('V1-Based Churn Model (Step 3)'!$Y$39:$Y$590,
    ISNUMBER(MATCH('V1-Based Churn Model (Step 3)'!$A$39:$A$590,
    _xlfn.UNIQUE(_xlfn._xlws.FILTER(Transactions_and_Customer_Information_Joined[Customer ID],
    (Transactions_and_Customer_Information_Joined[SKU]='Monte Carlo IO (4)'!$A40)*
    (Transactions_and_Customer_Information_Joined[Order Status]="Completed"))),0))))</f>
        <v>0.30576763149856723</v>
      </c>
      <c r="U40" s="23" cm="1">
        <f t="array" ref="U40">SUM(_xlfn._xlws.FILTER('V1-Based Churn Model (Step 3)'!$I$39:$I$590,
    ISNUMBER(MATCH('V1-Based Churn Model (Step 3)'!$A$39:$A$590,
    _xlfn.UNIQUE(_xlfn._xlws.FILTER(Transactions_and_Customer_Information_Joined[Customer ID],
    (Transactions_and_Customer_Information_Joined[SKU]='Monte Carlo IO (4)'!$A40)*
    (Transactions_and_Customer_Information_Joined[Order Status]="Completed"))),0))))</f>
        <v>3354.9200000000005</v>
      </c>
      <c r="V40" s="23" cm="1">
        <f t="array" ref="V40">SUM(_xlfn._xlws.FILTER('V1-Based Churn Model (Step 3)'!$Z$39:$Z$590,
    ISNUMBER(MATCH('V1-Based Churn Model (Step 3)'!$A$39:$A$590,
    _xlfn.UNIQUE(_xlfn._xlws.FILTER(Transactions_and_Customer_Information_Joined[Customer ID],
    (Transactions_and_Customer_Information_Joined[SKU]='Monte Carlo IO (4)'!$A40)*
    (Transactions_and_Customer_Information_Joined[Order Status]="Completed"))),0))))</f>
        <v>1043.7165376847788</v>
      </c>
      <c r="W40" s="21" cm="1">
        <f t="array" ref="W40">IFERROR(SUM(_xlfn._xlws.FILTER(('V1-Based Churn Model (Step 3)'!$X$39:$X$4039="Critical")*1,
    ISNUMBER(MATCH('V1-Based Churn Model (Step 3)'!$A$39:$A$4039,
    _xlfn.UNIQUE(_xlfn._xlws.FILTER(Transactions_and_Customer_Information_Joined[Customer ID],
    (Transactions_and_Customer_Information_Joined[SKU]='Monte Carlo IO (4)'!$A40)*
    (Transactions_and_Customer_Information_Joined[Order Status]="Completed"))),0))))
/ $R40, 0)</f>
        <v>0.33333333333333331</v>
      </c>
      <c r="X40" s="21" cm="1">
        <f t="array" ref="X40">IFERROR(SUM(_xlfn._xlws.FILTER(('V1-Based Churn Model (Step 3)'!$X$39:$X$4039="High")*1,
    ISNUMBER(MATCH('V1-Based Churn Model (Step 3)'!$A$39:$A$4039,
    _xlfn.UNIQUE(_xlfn._xlws.FILTER(Transactions_and_Customer_Information_Joined[Customer ID],
    (Transactions_and_Customer_Information_Joined[SKU]='Monte Carlo IO (4)'!$A40)*
    (Transactions_and_Customer_Information_Joined[Order Status]="Completed"))),0))))
/ $R40, 0)</f>
        <v>0.41666666666666669</v>
      </c>
      <c r="Y40" s="21" cm="1">
        <f t="array" ref="Y40">IFERROR(SUM(_xlfn._xlws.FILTER(('V1-Based Churn Model (Step 3)'!$X$39:$X$4039="Medium")*1,
    ISNUMBER(MATCH('V1-Based Churn Model (Step 3)'!$A$39:$A$4039,
    _xlfn.UNIQUE(_xlfn._xlws.FILTER(Transactions_and_Customer_Information_Joined[Customer ID],
    (Transactions_and_Customer_Information_Joined[SKU]='Monte Carlo IO (4)'!$A40)*
    (Transactions_and_Customer_Information_Joined[Order Status]="Completed"))),0))))
/ $R40, 0)</f>
        <v>0.25</v>
      </c>
      <c r="Z40" s="21" cm="1">
        <f t="array" ref="Z40">IFERROR(SUM(_xlfn._xlws.FILTER(('V1-Based Churn Model (Step 3)'!$X$39:$X$4039="Low")*1,
    ISNUMBER(MATCH('V1-Based Churn Model (Step 3)'!$A$39:$A$4039,
    _xlfn.UNIQUE(_xlfn._xlws.FILTER(Transactions_and_Customer_Information_Joined[Customer ID],
    (Transactions_and_Customer_Information_Joined[SKU]='Monte Carlo IO (4)'!$A40)*
    (Transactions_and_Customer_Information_Joined[Order Status]="Completed"))),0))))
/ $R40, 0)</f>
        <v>0</v>
      </c>
      <c r="AA40" s="3" t="str" cm="1">
        <f t="array" ref="AA40">_xlfn.IFS($W40 = MAX($W40:$Z40), "Critical", $X40 = MAX($W40:$Z40), "High", $Y40 = MAX($W40:$Z40), "Medium", $Z40 = MAX($W40:$Z40), "Low")</f>
        <v>High</v>
      </c>
      <c r="AB40" s="23" cm="1">
        <f t="array" ref="AB40:AD40">_xlfn.XLOOKUP($A40, Best_Outcomes[SKU], Best_Outcomes[[Adjusted Price]:[Adjusted Difference %]],,0)</f>
        <v>98.58</v>
      </c>
      <c r="AC40" s="23">
        <v>0</v>
      </c>
      <c r="AD40" s="21">
        <v>0</v>
      </c>
      <c r="AE40" s="21">
        <f t="shared" si="4"/>
        <v>0</v>
      </c>
      <c r="AF40" s="38">
        <f t="shared" si="5"/>
        <v>26</v>
      </c>
      <c r="AG40" s="23" cm="1">
        <f t="array" ref="AG40:AI40">_xlfn.XLOOKUP($A40,Best_Outcomes[SKU], Best_Outcomes[[Adjusted Gross Revenue]:[Gross Revenue Lift %]])</f>
        <v>2563.08</v>
      </c>
      <c r="AH40" s="23">
        <v>0</v>
      </c>
      <c r="AI40" s="21">
        <v>0</v>
      </c>
      <c r="AJ40" s="28">
        <f t="shared" si="6"/>
        <v>1376.96</v>
      </c>
      <c r="AK40" s="28">
        <f t="shared" si="7"/>
        <v>10.1400000000001</v>
      </c>
      <c r="AL40" s="9">
        <f t="shared" si="8"/>
        <v>7.4186798554309276E-3</v>
      </c>
      <c r="AM40" s="23" cm="1">
        <f t="array" ref="AM40:AP40">_xlfn.XLOOKUP($A40,Best_Outcomes[SKU], Best_Outcomes[[Adjusted Gross Profit]:[Gross Profit Margin %]])</f>
        <v>1196.26</v>
      </c>
      <c r="AN40" s="23">
        <v>0</v>
      </c>
      <c r="AO40" s="21">
        <v>0</v>
      </c>
      <c r="AP40" s="21">
        <v>0.46672753093933861</v>
      </c>
      <c r="AQ40" s="9">
        <f t="shared" si="9"/>
        <v>0</v>
      </c>
      <c r="AR40" s="21" cm="1">
        <f t="array" ref="AR40:AU40">_xlfn.XLOOKUP($A40,Best_Outcomes[SKU], Best_Outcomes[[Gross Profit Margin Lift %]:[LTV Protection-Risk Ratio]])</f>
        <v>0</v>
      </c>
      <c r="AS40" s="23">
        <v>778.43858435656409</v>
      </c>
      <c r="AT40" s="23">
        <v>0</v>
      </c>
      <c r="AU40" s="21">
        <v>0</v>
      </c>
    </row>
    <row r="41" spans="1:47">
      <c r="A41" s="24" t="str">
        <v>SKU-1036</v>
      </c>
      <c r="B41" s="24" t="str">
        <f>_xlfn.XLOOKUP($A41,_1_product_catalog_pricing[SKU], _1_product_catalog_pricing[Product Name],,0)</f>
        <v>Body Lotion</v>
      </c>
      <c r="C41" s="24" t="str">
        <f>_xlfn.XLOOKUP($A41, _1_product_catalog_pricing[SKU], _1_product_catalog_pricing[Category],,0)</f>
        <v>Beauty &amp; Personal Care</v>
      </c>
      <c r="D41" s="24" t="str" cm="1">
        <f t="array" ref="D41">_xlfn.XLOOKUP($A41,_xlfn.ANCHORARRAY('V1 Pricing Model (Step 2)'!$A$22), 'V1 Pricing Model (Step 2)'!$T$22:$T$71,,0)</f>
        <v>Raise</v>
      </c>
      <c r="E41" s="24" t="str" cm="1">
        <f t="array" ref="E41">_xlfn.XLOOKUP($A41,_xlfn.ANCHORARRAY('V1 Pricing Model (Step 2)'!$A$22), 'V1 Pricing Model (Step 2)'!$AL$22:$AL$71,,0)</f>
        <v>Full</v>
      </c>
      <c r="F41" s="23" cm="1">
        <f t="array" ref="F41">_xlfn.XLOOKUP($A41,_xlfn.ANCHORARRAY('V1 Pricing Model (Step 2)'!$A$22),_xlfn.ANCHORARRAY( 'V1 Pricing Model (Step 2)'!$D$22),,0)</f>
        <v>49.1</v>
      </c>
      <c r="G41" s="23" cm="1">
        <f t="array" ref="G41">_xlfn.XLOOKUP($A41,_xlfn.ANCHORARRAY('V1 Pricing Model (Step 2)'!$A$22),_xlfn.ANCHORARRAY( 'V1 Pricing Model (Step 2)'!$E$22),,0)</f>
        <v>30.02</v>
      </c>
      <c r="H41" s="24" cm="1">
        <f t="array" ref="H41">_xlfn.XLOOKUP($A41, 'Competitive Analysis (Step 1)'!$A$10:$A$209,_xlfn.ANCHORARRAY( 'Competitive Analysis (Step 1)'!$Q$10),,0)</f>
        <v>37</v>
      </c>
      <c r="I41" s="28">
        <f t="shared" si="1"/>
        <v>1816.7</v>
      </c>
      <c r="J41" s="28">
        <f t="shared" si="2"/>
        <v>1110.74</v>
      </c>
      <c r="K41" s="28">
        <f t="shared" si="3"/>
        <v>705.96</v>
      </c>
      <c r="L41" s="9">
        <f t="shared" si="0"/>
        <v>0.38859470468431773</v>
      </c>
      <c r="M41" s="23" cm="1">
        <f t="array" ref="M41:O41">_xlfn.XLOOKUP($A41,_xlfn.ANCHORARRAY('V1 Pricing Model (Step 2)'!$A$22),'V1 Pricing Model (Step 2)'!$U$22:$W$71,,0)</f>
        <v>52.262974962461286</v>
      </c>
      <c r="N41" s="23">
        <v>3.1629749624612842</v>
      </c>
      <c r="O41" s="21">
        <v>6.4419042005321461E-2</v>
      </c>
      <c r="P41" s="23" cm="1">
        <f t="array" ref="P41">_xlfn.XLOOKUP($A41,_xlfn.ANCHORARRAY( 'V1 Pricing Model (Step 2)'!$A$22), 'V1 Pricing Model (Step 2)'!$AC$22:$AC$71)</f>
        <v>536.51709864860595</v>
      </c>
      <c r="Q41" s="23" cm="1">
        <f t="array" ref="Q41">_xlfn.XLOOKUP($A41,_xlfn.ANCHORARRAY('V1 Pricing Model (Step 2)'!$A$22),'V1 Pricing Model (Step 2)'!$AI$22:$AI$71,,0)</f>
        <v>566.53709864860593</v>
      </c>
      <c r="R41" s="24" cm="1">
        <f t="array" ref="R41">COUNTA(_xlfn.UNIQUE(_xlfn._xlws.FILTER(Transactions_and_Customer_Information_Joined[Customer ID], (Transactions_and_Customer_Information_Joined[SKU]='Monte Carlo IO (4)'!$A41) * (Transactions_and_Customer_Information_Joined[Order Status] = "Completed"), "")))</f>
        <v>13</v>
      </c>
      <c r="S41" s="42" cm="1">
        <f t="array" ref="S41">AVERAGE(_xlfn._xlws.FILTER('V1-Based Churn Model (Step 3)'!$W$39:$W$590,
    ISNUMBER(MATCH('V1-Based Churn Model (Step 3)'!$A$39:$A$590,
    _xlfn.UNIQUE(_xlfn._xlws.FILTER(Transactions_and_Customer_Information_Joined[Customer ID],
    (Transactions_and_Customer_Information_Joined[SKU]='Monte Carlo IO (4)'!$A41)*
    (Transactions_and_Customer_Information_Joined[Order Status]="Completed"))),0))))</f>
        <v>72.744974229920359</v>
      </c>
      <c r="T41" s="25" cm="1">
        <f t="array" ref="T41">AVERAGE(_xlfn._xlws.FILTER('V1-Based Churn Model (Step 3)'!$Y$39:$Y$590,
    ISNUMBER(MATCH('V1-Based Churn Model (Step 3)'!$A$39:$A$590,
    _xlfn.UNIQUE(_xlfn._xlws.FILTER(Transactions_and_Customer_Information_Joined[Customer ID],
    (Transactions_and_Customer_Information_Joined[SKU]='Monte Carlo IO (4)'!$A41)*
    (Transactions_and_Customer_Information_Joined[Order Status]="Completed"))),0))))</f>
        <v>0.26410651447061861</v>
      </c>
      <c r="U41" s="23" cm="1">
        <f t="array" ref="U41">SUM(_xlfn._xlws.FILTER('V1-Based Churn Model (Step 3)'!$I$39:$I$590,
    ISNUMBER(MATCH('V1-Based Churn Model (Step 3)'!$A$39:$A$590,
    _xlfn.UNIQUE(_xlfn._xlws.FILTER(Transactions_and_Customer_Information_Joined[Customer ID],
    (Transactions_and_Customer_Information_Joined[SKU]='Monte Carlo IO (4)'!$A41)*
    (Transactions_and_Customer_Information_Joined[Order Status]="Completed"))),0))))</f>
        <v>6514.2100000000009</v>
      </c>
      <c r="V41" s="23" cm="1">
        <f t="array" ref="V41">SUM(_xlfn._xlws.FILTER('V1-Based Churn Model (Step 3)'!$Z$39:$Z$590,
    ISNUMBER(MATCH('V1-Based Churn Model (Step 3)'!$A$39:$A$590,
    _xlfn.UNIQUE(_xlfn._xlws.FILTER(Transactions_and_Customer_Information_Joined[Customer ID],
    (Transactions_and_Customer_Information_Joined[SKU]='Monte Carlo IO (4)'!$A41)*
    (Transactions_and_Customer_Information_Joined[Order Status]="Completed"))),0))))</f>
        <v>1772.0208758689498</v>
      </c>
      <c r="W41" s="21" cm="1">
        <f t="array" ref="W41">IFERROR(SUM(_xlfn._xlws.FILTER(('V1-Based Churn Model (Step 3)'!$X$39:$X$4039="Critical")*1,
    ISNUMBER(MATCH('V1-Based Churn Model (Step 3)'!$A$39:$A$4039,
    _xlfn.UNIQUE(_xlfn._xlws.FILTER(Transactions_and_Customer_Information_Joined[Customer ID],
    (Transactions_and_Customer_Information_Joined[SKU]='Monte Carlo IO (4)'!$A41)*
    (Transactions_and_Customer_Information_Joined[Order Status]="Completed"))),0))))
/ $R41, 0)</f>
        <v>0.53846153846153844</v>
      </c>
      <c r="X41" s="21" cm="1">
        <f t="array" ref="X41">IFERROR(SUM(_xlfn._xlws.FILTER(('V1-Based Churn Model (Step 3)'!$X$39:$X$4039="High")*1,
    ISNUMBER(MATCH('V1-Based Churn Model (Step 3)'!$A$39:$A$4039,
    _xlfn.UNIQUE(_xlfn._xlws.FILTER(Transactions_and_Customer_Information_Joined[Customer ID],
    (Transactions_and_Customer_Information_Joined[SKU]='Monte Carlo IO (4)'!$A41)*
    (Transactions_and_Customer_Information_Joined[Order Status]="Completed"))),0))))
/ $R41, 0)</f>
        <v>0.30769230769230771</v>
      </c>
      <c r="Y41" s="21" cm="1">
        <f t="array" ref="Y41">IFERROR(SUM(_xlfn._xlws.FILTER(('V1-Based Churn Model (Step 3)'!$X$39:$X$4039="Medium")*1,
    ISNUMBER(MATCH('V1-Based Churn Model (Step 3)'!$A$39:$A$4039,
    _xlfn.UNIQUE(_xlfn._xlws.FILTER(Transactions_and_Customer_Information_Joined[Customer ID],
    (Transactions_and_Customer_Information_Joined[SKU]='Monte Carlo IO (4)'!$A41)*
    (Transactions_and_Customer_Information_Joined[Order Status]="Completed"))),0))))
/ $R41, 0)</f>
        <v>0.15384615384615385</v>
      </c>
      <c r="Z41" s="21" cm="1">
        <f t="array" ref="Z41">IFERROR(SUM(_xlfn._xlws.FILTER(('V1-Based Churn Model (Step 3)'!$X$39:$X$4039="Low")*1,
    ISNUMBER(MATCH('V1-Based Churn Model (Step 3)'!$A$39:$A$4039,
    _xlfn.UNIQUE(_xlfn._xlws.FILTER(Transactions_and_Customer_Information_Joined[Customer ID],
    (Transactions_and_Customer_Information_Joined[SKU]='Monte Carlo IO (4)'!$A41)*
    (Transactions_and_Customer_Information_Joined[Order Status]="Completed"))),0))))
/ $R41, 0)</f>
        <v>0</v>
      </c>
      <c r="AA41" s="3" t="str" cm="1">
        <f t="array" ref="AA41">_xlfn.IFS($W41 = MAX($W41:$Z41), "Critical", $X41 = MAX($W41:$Z41), "High", $Y41 = MAX($W41:$Z41), "Medium", $Z41 = MAX($W41:$Z41), "Low")</f>
        <v>Critical</v>
      </c>
      <c r="AB41" s="23" cm="1">
        <f t="array" ref="AB41:AD41">_xlfn.XLOOKUP($A41, Best_Outcomes[SKU], Best_Outcomes[[Adjusted Price]:[Adjusted Difference %]],,0)</f>
        <v>50.997784977476769</v>
      </c>
      <c r="AC41" s="23">
        <v>1.8977849774767677</v>
      </c>
      <c r="AD41" s="21">
        <v>3.865142520319282E-2</v>
      </c>
      <c r="AE41" s="21">
        <f t="shared" si="4"/>
        <v>-1.5460570081277129E-2</v>
      </c>
      <c r="AF41" s="38">
        <f t="shared" si="5"/>
        <v>37.015460570081274</v>
      </c>
      <c r="AG41" s="23" cm="1">
        <f t="array" ref="AG41:AI41">_xlfn.XLOOKUP($A41,Best_Outcomes[SKU], Best_Outcomes[[Adjusted Gross Revenue]:[Gross Revenue Lift %]])</f>
        <v>1857.745215507176</v>
      </c>
      <c r="AH41" s="23">
        <v>41.045215507175953</v>
      </c>
      <c r="AI41" s="21">
        <v>2.2593282053820638E-2</v>
      </c>
      <c r="AJ41" s="28">
        <f t="shared" si="6"/>
        <v>1960.3387917915043</v>
      </c>
      <c r="AK41" s="28">
        <f t="shared" si="7"/>
        <v>849.59879179150425</v>
      </c>
      <c r="AL41" s="9">
        <f t="shared" si="8"/>
        <v>0.76489438733772463</v>
      </c>
      <c r="AM41" s="23" cm="1">
        <f t="array" ref="AM41:AP41">_xlfn.XLOOKUP($A41,Best_Outcomes[SKU], Best_Outcomes[[Adjusted Gross Profit]:[Gross Profit Margin %]])</f>
        <v>764.17788911925368</v>
      </c>
      <c r="AN41" s="23">
        <v>58.217889119253641</v>
      </c>
      <c r="AO41" s="21">
        <v>8.2466271629063462E-2</v>
      </c>
      <c r="AP41" s="21">
        <v>0.41134698275114567</v>
      </c>
      <c r="AQ41" s="9">
        <f t="shared" si="9"/>
        <v>2.2752278066827947E-2</v>
      </c>
      <c r="AR41" s="21" cm="1">
        <f t="array" ref="AR41:AU41">_xlfn.XLOOKUP($A41,Best_Outcomes[SKU], Best_Outcomes[[Gross Profit Margin Lift %]:[LTV Protection-Risk Ratio]])</f>
        <v>2.2752278066827947E-2</v>
      </c>
      <c r="AS41" s="23">
        <v>588.85616798106776</v>
      </c>
      <c r="AT41" s="23">
        <v>883.28425197159822</v>
      </c>
      <c r="AU41" s="21">
        <v>0.66666666666666929</v>
      </c>
    </row>
    <row r="42" spans="1:47">
      <c r="A42" s="24" t="str">
        <v>SKU-1037</v>
      </c>
      <c r="B42" s="24" t="str">
        <f>_xlfn.XLOOKUP($A42,_1_product_catalog_pricing[SKU], _1_product_catalog_pricing[Product Name],,0)</f>
        <v>Perfume Roller</v>
      </c>
      <c r="C42" s="24" t="str">
        <f>_xlfn.XLOOKUP($A42, _1_product_catalog_pricing[SKU], _1_product_catalog_pricing[Category],,0)</f>
        <v>Beauty &amp; Personal Care</v>
      </c>
      <c r="D42" s="24" t="str" cm="1">
        <f t="array" ref="D42">_xlfn.XLOOKUP($A42,_xlfn.ANCHORARRAY('V1 Pricing Model (Step 2)'!$A$22), 'V1 Pricing Model (Step 2)'!$T$22:$T$71,,0)</f>
        <v>Raise</v>
      </c>
      <c r="E42" s="24" t="str" cm="1">
        <f t="array" ref="E42">_xlfn.XLOOKUP($A42,_xlfn.ANCHORARRAY('V1 Pricing Model (Step 2)'!$A$22), 'V1 Pricing Model (Step 2)'!$AL$22:$AL$71,,0)</f>
        <v>Full</v>
      </c>
      <c r="F42" s="23" cm="1">
        <f t="array" ref="F42">_xlfn.XLOOKUP($A42,_xlfn.ANCHORARRAY('V1 Pricing Model (Step 2)'!$A$22),_xlfn.ANCHORARRAY( 'V1 Pricing Model (Step 2)'!$D$22),,0)</f>
        <v>31.81</v>
      </c>
      <c r="G42" s="23" cm="1">
        <f t="array" ref="G42">_xlfn.XLOOKUP($A42,_xlfn.ANCHORARRAY('V1 Pricing Model (Step 2)'!$A$22),_xlfn.ANCHORARRAY( 'V1 Pricing Model (Step 2)'!$E$22),,0)</f>
        <v>10.64</v>
      </c>
      <c r="H42" s="24" cm="1">
        <f t="array" ref="H42">_xlfn.XLOOKUP($A42, 'Competitive Analysis (Step 1)'!$A$10:$A$209,_xlfn.ANCHORARRAY( 'Competitive Analysis (Step 1)'!$Q$10),,0)</f>
        <v>25</v>
      </c>
      <c r="I42" s="28">
        <f t="shared" si="1"/>
        <v>795.25</v>
      </c>
      <c r="J42" s="28">
        <f t="shared" si="2"/>
        <v>266</v>
      </c>
      <c r="K42" s="28">
        <f t="shared" si="3"/>
        <v>529.25</v>
      </c>
      <c r="L42" s="9">
        <f t="shared" si="0"/>
        <v>0.66551398931153727</v>
      </c>
      <c r="M42" s="23" cm="1">
        <f t="array" ref="M42:O42">_xlfn.XLOOKUP($A42,_xlfn.ANCHORARRAY('V1 Pricing Model (Step 2)'!$A$22),'V1 Pricing Model (Step 2)'!$U$22:$W$71,,0)</f>
        <v>35.216736588500552</v>
      </c>
      <c r="N42" s="23">
        <v>3.4067365885005536</v>
      </c>
      <c r="O42" s="21">
        <v>0.10709640328514787</v>
      </c>
      <c r="P42" s="23" cm="1">
        <f t="array" ref="P42">_xlfn.XLOOKUP($A42,_xlfn.ANCHORARRAY( 'V1 Pricing Model (Step 2)'!$A$22), 'V1 Pricing Model (Step 2)'!$AC$22:$AC$71)</f>
        <v>179.95167812401314</v>
      </c>
      <c r="Q42" s="23" cm="1">
        <f t="array" ref="Q42">_xlfn.XLOOKUP($A42,_xlfn.ANCHORARRAY('V1 Pricing Model (Step 2)'!$A$22),'V1 Pricing Model (Step 2)'!$AI$22:$AI$71,,0)</f>
        <v>190.59167812401313</v>
      </c>
      <c r="R42" s="24" cm="1">
        <f t="array" ref="R42">COUNTA(_xlfn.UNIQUE(_xlfn._xlws.FILTER(Transactions_and_Customer_Information_Joined[Customer ID], (Transactions_and_Customer_Information_Joined[SKU]='Monte Carlo IO (4)'!$A42) * (Transactions_and_Customer_Information_Joined[Order Status] = "Completed"), "")))</f>
        <v>11</v>
      </c>
      <c r="S42" s="42" cm="1">
        <f t="array" ref="S42">AVERAGE(_xlfn._xlws.FILTER('V1-Based Churn Model (Step 3)'!$W$39:$W$590,
    ISNUMBER(MATCH('V1-Based Churn Model (Step 3)'!$A$39:$A$590,
    _xlfn.UNIQUE(_xlfn._xlws.FILTER(Transactions_and_Customer_Information_Joined[Customer ID],
    (Transactions_and_Customer_Information_Joined[SKU]='Monte Carlo IO (4)'!$A42)*
    (Transactions_and_Customer_Information_Joined[Order Status]="Completed"))),0))))</f>
        <v>71.003027598546765</v>
      </c>
      <c r="T42" s="25" cm="1">
        <f t="array" ref="T42">AVERAGE(_xlfn._xlws.FILTER('V1-Based Churn Model (Step 3)'!$Y$39:$Y$590,
    ISNUMBER(MATCH('V1-Based Churn Model (Step 3)'!$A$39:$A$590,
    _xlfn.UNIQUE(_xlfn._xlws.FILTER(Transactions_and_Customer_Information_Joined[Customer ID],
    (Transactions_and_Customer_Information_Joined[SKU]='Monte Carlo IO (4)'!$A42)*
    (Transactions_and_Customer_Information_Joined[Order Status]="Completed"))),0))))</f>
        <v>0.28584849532758116</v>
      </c>
      <c r="U42" s="23" cm="1">
        <f t="array" ref="U42">SUM(_xlfn._xlws.FILTER('V1-Based Churn Model (Step 3)'!$I$39:$I$590,
    ISNUMBER(MATCH('V1-Based Churn Model (Step 3)'!$A$39:$A$590,
    _xlfn.UNIQUE(_xlfn._xlws.FILTER(Transactions_and_Customer_Information_Joined[Customer ID],
    (Transactions_and_Customer_Information_Joined[SKU]='Monte Carlo IO (4)'!$A42)*
    (Transactions_and_Customer_Information_Joined[Order Status]="Completed"))),0))))</f>
        <v>5021.24</v>
      </c>
      <c r="V42" s="23" cm="1">
        <f t="array" ref="V42">SUM(_xlfn._xlws.FILTER('V1-Based Churn Model (Step 3)'!$Z$39:$Z$590,
    ISNUMBER(MATCH('V1-Based Churn Model (Step 3)'!$A$39:$A$590,
    _xlfn.UNIQUE(_xlfn._xlws.FILTER(Transactions_and_Customer_Information_Joined[Customer ID],
    (Transactions_and_Customer_Information_Joined[SKU]='Monte Carlo IO (4)'!$A42)*
    (Transactions_and_Customer_Information_Joined[Order Status]="Completed"))),0))))</f>
        <v>1396.9812800741929</v>
      </c>
      <c r="W42" s="21" cm="1">
        <f t="array" ref="W42">IFERROR(SUM(_xlfn._xlws.FILTER(('V1-Based Churn Model (Step 3)'!$X$39:$X$4039="Critical")*1,
    ISNUMBER(MATCH('V1-Based Churn Model (Step 3)'!$A$39:$A$4039,
    _xlfn.UNIQUE(_xlfn._xlws.FILTER(Transactions_and_Customer_Information_Joined[Customer ID],
    (Transactions_and_Customer_Information_Joined[SKU]='Monte Carlo IO (4)'!$A42)*
    (Transactions_and_Customer_Information_Joined[Order Status]="Completed"))),0))))
/ $R42, 0)</f>
        <v>0.54545454545454541</v>
      </c>
      <c r="X42" s="21" cm="1">
        <f t="array" ref="X42">IFERROR(SUM(_xlfn._xlws.FILTER(('V1-Based Churn Model (Step 3)'!$X$39:$X$4039="High")*1,
    ISNUMBER(MATCH('V1-Based Churn Model (Step 3)'!$A$39:$A$4039,
    _xlfn.UNIQUE(_xlfn._xlws.FILTER(Transactions_and_Customer_Information_Joined[Customer ID],
    (Transactions_and_Customer_Information_Joined[SKU]='Monte Carlo IO (4)'!$A42)*
    (Transactions_and_Customer_Information_Joined[Order Status]="Completed"))),0))))
/ $R42, 0)</f>
        <v>0.18181818181818182</v>
      </c>
      <c r="Y42" s="21" cm="1">
        <f t="array" ref="Y42">IFERROR(SUM(_xlfn._xlws.FILTER(('V1-Based Churn Model (Step 3)'!$X$39:$X$4039="Medium")*1,
    ISNUMBER(MATCH('V1-Based Churn Model (Step 3)'!$A$39:$A$4039,
    _xlfn.UNIQUE(_xlfn._xlws.FILTER(Transactions_and_Customer_Information_Joined[Customer ID],
    (Transactions_and_Customer_Information_Joined[SKU]='Monte Carlo IO (4)'!$A42)*
    (Transactions_and_Customer_Information_Joined[Order Status]="Completed"))),0))))
/ $R42, 0)</f>
        <v>0.27272727272727271</v>
      </c>
      <c r="Z42" s="21" cm="1">
        <f t="array" ref="Z42">IFERROR(SUM(_xlfn._xlws.FILTER(('V1-Based Churn Model (Step 3)'!$X$39:$X$4039="Low")*1,
    ISNUMBER(MATCH('V1-Based Churn Model (Step 3)'!$A$39:$A$4039,
    _xlfn.UNIQUE(_xlfn._xlws.FILTER(Transactions_and_Customer_Information_Joined[Customer ID],
    (Transactions_and_Customer_Information_Joined[SKU]='Monte Carlo IO (4)'!$A42)*
    (Transactions_and_Customer_Information_Joined[Order Status]="Completed"))),0))))
/ $R42, 0)</f>
        <v>0</v>
      </c>
      <c r="AA42" s="3" t="str" cm="1">
        <f t="array" ref="AA42">_xlfn.IFS($W42 = MAX($W42:$Z42), "Critical", $X42 = MAX($W42:$Z42), "High", $Y42 = MAX($W42:$Z42), "Medium", $Z42 = MAX($W42:$Z42), "Low")</f>
        <v>Critical</v>
      </c>
      <c r="AB42" s="23" cm="1">
        <f t="array" ref="AB42:AD42">_xlfn.XLOOKUP($A42, Best_Outcomes[SKU], Best_Outcomes[[Adjusted Price]:[Adjusted Difference %]],,0)</f>
        <v>33.854041953100328</v>
      </c>
      <c r="AC42" s="23">
        <v>2.0440419531003293</v>
      </c>
      <c r="AD42" s="21">
        <v>6.4257841971088636E-2</v>
      </c>
      <c r="AE42" s="21">
        <f t="shared" si="4"/>
        <v>-2.5703136788435457E-2</v>
      </c>
      <c r="AF42" s="38">
        <f t="shared" si="5"/>
        <v>25.025703136788437</v>
      </c>
      <c r="AG42" s="23" cm="1">
        <f t="array" ref="AG42:AI42">_xlfn.XLOOKUP($A42,Best_Outcomes[SKU], Best_Outcomes[[Adjusted Gross Revenue]:[Gross Revenue Lift %]])</f>
        <v>824.5971720484589</v>
      </c>
      <c r="AH42" s="23">
        <v>29.347172048458901</v>
      </c>
      <c r="AI42" s="21">
        <v>3.6903077080740525E-2</v>
      </c>
      <c r="AJ42" s="28">
        <f t="shared" si="6"/>
        <v>1325.3612381243156</v>
      </c>
      <c r="AK42" s="28">
        <f t="shared" si="7"/>
        <v>1059.3612381243156</v>
      </c>
      <c r="AL42" s="9">
        <f t="shared" si="8"/>
        <v>3.9825610455801339</v>
      </c>
      <c r="AM42" s="23" cm="1">
        <f t="array" ref="AM42:AP42">_xlfn.XLOOKUP($A42,Best_Outcomes[SKU], Best_Outcomes[[Adjusted Gross Profit]:[Gross Profit Margin %]])</f>
        <v>565.43420643418267</v>
      </c>
      <c r="AN42" s="23">
        <v>36.18420643418267</v>
      </c>
      <c r="AO42" s="21">
        <v>6.836883596444529E-2</v>
      </c>
      <c r="AP42" s="21">
        <v>0.68570961143310094</v>
      </c>
      <c r="AQ42" s="9">
        <f t="shared" si="9"/>
        <v>2.0195622121563672E-2</v>
      </c>
      <c r="AR42" s="21" cm="1">
        <f t="array" ref="AR42:AU42">_xlfn.XLOOKUP($A42,Best_Outcomes[SKU], Best_Outcomes[[Gross Profit Margin Lift %]:[LTV Protection-Risk Ratio]])</f>
        <v>2.0195622121563672E-2</v>
      </c>
      <c r="AS42" s="23">
        <v>441.9540776962001</v>
      </c>
      <c r="AT42" s="23">
        <v>662.93111654429799</v>
      </c>
      <c r="AU42" s="21">
        <v>0.66666666666666885</v>
      </c>
    </row>
    <row r="43" spans="1:47">
      <c r="A43" s="24" t="str">
        <v>SKU-1038</v>
      </c>
      <c r="B43" s="24" t="str">
        <f>_xlfn.XLOOKUP($A43,_1_product_catalog_pricing[SKU], _1_product_catalog_pricing[Product Name],,0)</f>
        <v>Hair Ties Pack</v>
      </c>
      <c r="C43" s="24" t="str">
        <f>_xlfn.XLOOKUP($A43, _1_product_catalog_pricing[SKU], _1_product_catalog_pricing[Category],,0)</f>
        <v>Beauty &amp; Personal Care</v>
      </c>
      <c r="D43" s="24" t="str" cm="1">
        <f t="array" ref="D43">_xlfn.XLOOKUP($A43,_xlfn.ANCHORARRAY('V1 Pricing Model (Step 2)'!$A$22), 'V1 Pricing Model (Step 2)'!$T$22:$T$71,,0)</f>
        <v>Reduce</v>
      </c>
      <c r="E43" s="24" t="str" cm="1">
        <f t="array" ref="E43">_xlfn.XLOOKUP($A43,_xlfn.ANCHORARRAY('V1 Pricing Model (Step 2)'!$A$22), 'V1 Pricing Model (Step 2)'!$AL$22:$AL$71,,0)</f>
        <v>Full</v>
      </c>
      <c r="F43" s="23" cm="1">
        <f t="array" ref="F43">_xlfn.XLOOKUP($A43,_xlfn.ANCHORARRAY('V1 Pricing Model (Step 2)'!$A$22),_xlfn.ANCHORARRAY( 'V1 Pricing Model (Step 2)'!$D$22),,0)</f>
        <v>84.87</v>
      </c>
      <c r="G43" s="23" cm="1">
        <f t="array" ref="G43">_xlfn.XLOOKUP($A43,_xlfn.ANCHORARRAY('V1 Pricing Model (Step 2)'!$A$22),_xlfn.ANCHORARRAY( 'V1 Pricing Model (Step 2)'!$E$22),,0)</f>
        <v>28.12</v>
      </c>
      <c r="H43" s="24" cm="1">
        <f t="array" ref="H43">_xlfn.XLOOKUP($A43, 'Competitive Analysis (Step 1)'!$A$10:$A$209,_xlfn.ANCHORARRAY( 'Competitive Analysis (Step 1)'!$Q$10),,0)</f>
        <v>25</v>
      </c>
      <c r="I43" s="28">
        <f t="shared" si="1"/>
        <v>2121.75</v>
      </c>
      <c r="J43" s="28">
        <f t="shared" si="2"/>
        <v>703</v>
      </c>
      <c r="K43" s="28">
        <f t="shared" si="3"/>
        <v>1418.75</v>
      </c>
      <c r="L43" s="9">
        <f t="shared" si="0"/>
        <v>0.66866973017556264</v>
      </c>
      <c r="M43" s="23" cm="1">
        <f t="array" ref="M43:O43">_xlfn.XLOOKUP($A43,_xlfn.ANCHORARRAY('V1 Pricing Model (Step 2)'!$A$22),'V1 Pricing Model (Step 2)'!$U$22:$W$71,,0)</f>
        <v>74.431157980265382</v>
      </c>
      <c r="N43" s="23">
        <v>-10.438842019734622</v>
      </c>
      <c r="O43" s="21">
        <v>-0.1229980207344718</v>
      </c>
      <c r="P43" s="23" cm="1">
        <f t="array" ref="P43">_xlfn.XLOOKUP($A43,_xlfn.ANCHORARRAY( 'V1 Pricing Model (Step 2)'!$A$22), 'V1 Pricing Model (Step 2)'!$AC$22:$AC$71)</f>
        <v>67.891265467164885</v>
      </c>
      <c r="Q43" s="23" cm="1">
        <f t="array" ref="Q43">_xlfn.XLOOKUP($A43,_xlfn.ANCHORARRAY('V1 Pricing Model (Step 2)'!$A$22),'V1 Pricing Model (Step 2)'!$AI$22:$AI$71,,0)</f>
        <v>11.651265467164876</v>
      </c>
      <c r="R43" s="24" cm="1">
        <f t="array" ref="R43">COUNTA(_xlfn.UNIQUE(_xlfn._xlws.FILTER(Transactions_and_Customer_Information_Joined[Customer ID], (Transactions_and_Customer_Information_Joined[SKU]='Monte Carlo IO (4)'!$A43) * (Transactions_and_Customer_Information_Joined[Order Status] = "Completed"), "")))</f>
        <v>11</v>
      </c>
      <c r="S43" s="42" cm="1">
        <f t="array" ref="S43">AVERAGE(_xlfn._xlws.FILTER('V1-Based Churn Model (Step 3)'!$W$39:$W$590,
    ISNUMBER(MATCH('V1-Based Churn Model (Step 3)'!$A$39:$A$590,
    _xlfn.UNIQUE(_xlfn._xlws.FILTER(Transactions_and_Customer_Information_Joined[Customer ID],
    (Transactions_and_Customer_Information_Joined[SKU]='Monte Carlo IO (4)'!$A43)*
    (Transactions_and_Customer_Information_Joined[Order Status]="Completed"))),0))))</f>
        <v>66.889724088415264</v>
      </c>
      <c r="T43" s="25" cm="1">
        <f t="array" ref="T43">AVERAGE(_xlfn._xlws.FILTER('V1-Based Churn Model (Step 3)'!$Y$39:$Y$590,
    ISNUMBER(MATCH('V1-Based Churn Model (Step 3)'!$A$39:$A$590,
    _xlfn.UNIQUE(_xlfn._xlws.FILTER(Transactions_and_Customer_Information_Joined[Customer ID],
    (Transactions_and_Customer_Information_Joined[SKU]='Monte Carlo IO (4)'!$A43)*
    (Transactions_and_Customer_Information_Joined[Order Status]="Completed"))),0))))</f>
        <v>0.25079734885406674</v>
      </c>
      <c r="U43" s="23" cm="1">
        <f t="array" ref="U43">SUM(_xlfn._xlws.FILTER('V1-Based Churn Model (Step 3)'!$I$39:$I$590,
    ISNUMBER(MATCH('V1-Based Churn Model (Step 3)'!$A$39:$A$590,
    _xlfn.UNIQUE(_xlfn._xlws.FILTER(Transactions_and_Customer_Information_Joined[Customer ID],
    (Transactions_and_Customer_Information_Joined[SKU]='Monte Carlo IO (4)'!$A43)*
    (Transactions_and_Customer_Information_Joined[Order Status]="Completed"))),0))))</f>
        <v>7896.8300000000017</v>
      </c>
      <c r="V43" s="23" cm="1">
        <f t="array" ref="V43">SUM(_xlfn._xlws.FILTER('V1-Based Churn Model (Step 3)'!$Z$39:$Z$590,
    ISNUMBER(MATCH('V1-Based Churn Model (Step 3)'!$A$39:$A$590,
    _xlfn.UNIQUE(_xlfn._xlws.FILTER(Transactions_and_Customer_Information_Joined[Customer ID],
    (Transactions_and_Customer_Information_Joined[SKU]='Monte Carlo IO (4)'!$A43)*
    (Transactions_and_Customer_Information_Joined[Order Status]="Completed"))),0))))</f>
        <v>876.86523448385458</v>
      </c>
      <c r="W43" s="21" cm="1">
        <f t="array" ref="W43">IFERROR(SUM(_xlfn._xlws.FILTER(('V1-Based Churn Model (Step 3)'!$X$39:$X$4039="Critical")*1,
    ISNUMBER(MATCH('V1-Based Churn Model (Step 3)'!$A$39:$A$4039,
    _xlfn.UNIQUE(_xlfn._xlws.FILTER(Transactions_and_Customer_Information_Joined[Customer ID],
    (Transactions_and_Customer_Information_Joined[SKU]='Monte Carlo IO (4)'!$A43)*
    (Transactions_and_Customer_Information_Joined[Order Status]="Completed"))),0))))
/ $R43, 0)</f>
        <v>0.45454545454545453</v>
      </c>
      <c r="X43" s="21" cm="1">
        <f t="array" ref="X43">IFERROR(SUM(_xlfn._xlws.FILTER(('V1-Based Churn Model (Step 3)'!$X$39:$X$4039="High")*1,
    ISNUMBER(MATCH('V1-Based Churn Model (Step 3)'!$A$39:$A$4039,
    _xlfn.UNIQUE(_xlfn._xlws.FILTER(Transactions_and_Customer_Information_Joined[Customer ID],
    (Transactions_and_Customer_Information_Joined[SKU]='Monte Carlo IO (4)'!$A43)*
    (Transactions_and_Customer_Information_Joined[Order Status]="Completed"))),0))))
/ $R43, 0)</f>
        <v>0.27272727272727271</v>
      </c>
      <c r="Y43" s="21" cm="1">
        <f t="array" ref="Y43">IFERROR(SUM(_xlfn._xlws.FILTER(('V1-Based Churn Model (Step 3)'!$X$39:$X$4039="Medium")*1,
    ISNUMBER(MATCH('V1-Based Churn Model (Step 3)'!$A$39:$A$4039,
    _xlfn.UNIQUE(_xlfn._xlws.FILTER(Transactions_and_Customer_Information_Joined[Customer ID],
    (Transactions_and_Customer_Information_Joined[SKU]='Monte Carlo IO (4)'!$A43)*
    (Transactions_and_Customer_Information_Joined[Order Status]="Completed"))),0))))
/ $R43, 0)</f>
        <v>9.0909090909090912E-2</v>
      </c>
      <c r="Z43" s="21" cm="1">
        <f t="array" ref="Z43">IFERROR(SUM(_xlfn._xlws.FILTER(('V1-Based Churn Model (Step 3)'!$X$39:$X$4039="Low")*1,
    ISNUMBER(MATCH('V1-Based Churn Model (Step 3)'!$A$39:$A$4039,
    _xlfn.UNIQUE(_xlfn._xlws.FILTER(Transactions_and_Customer_Information_Joined[Customer ID],
    (Transactions_and_Customer_Information_Joined[SKU]='Monte Carlo IO (4)'!$A43)*
    (Transactions_and_Customer_Information_Joined[Order Status]="Completed"))),0))))
/ $R43, 0)</f>
        <v>0.18181818181818182</v>
      </c>
      <c r="AA43" s="3" t="str" cm="1">
        <f t="array" ref="AA43">_xlfn.IFS($W43 = MAX($W43:$Z43), "Critical", $X43 = MAX($W43:$Z43), "High", $Y43 = MAX($W43:$Z43), "Medium", $Z43 = MAX($W43:$Z43), "Low")</f>
        <v>Critical</v>
      </c>
      <c r="AB43" s="23" cm="1">
        <f t="array" ref="AB43:AD43">_xlfn.XLOOKUP($A43, Best_Outcomes[SKU], Best_Outcomes[[Adjusted Price]:[Adjusted Difference %]],,0)</f>
        <v>84.87</v>
      </c>
      <c r="AC43" s="23">
        <v>0</v>
      </c>
      <c r="AD43" s="21">
        <v>0</v>
      </c>
      <c r="AE43" s="21">
        <f t="shared" si="4"/>
        <v>0</v>
      </c>
      <c r="AF43" s="38">
        <f t="shared" si="5"/>
        <v>25</v>
      </c>
      <c r="AG43" s="23" cm="1">
        <f t="array" ref="AG43:AI43">_xlfn.XLOOKUP($A43,Best_Outcomes[SKU], Best_Outcomes[[Adjusted Gross Revenue]:[Gross Revenue Lift %]])</f>
        <v>2121.75</v>
      </c>
      <c r="AH43" s="23">
        <v>0</v>
      </c>
      <c r="AI43" s="21">
        <v>0</v>
      </c>
      <c r="AJ43" s="28">
        <f t="shared" si="6"/>
        <v>1324</v>
      </c>
      <c r="AK43" s="28">
        <f t="shared" si="7"/>
        <v>621</v>
      </c>
      <c r="AL43" s="9">
        <f t="shared" si="8"/>
        <v>0.88335704125177805</v>
      </c>
      <c r="AM43" s="23" cm="1">
        <f t="array" ref="AM43:AP43">_xlfn.XLOOKUP($A43,Best_Outcomes[SKU], Best_Outcomes[[Adjusted Gross Profit]:[Gross Profit Margin %]])</f>
        <v>1418.75</v>
      </c>
      <c r="AN43" s="23">
        <v>0</v>
      </c>
      <c r="AO43" s="21">
        <v>0</v>
      </c>
      <c r="AP43" s="21">
        <v>0.66866973017556264</v>
      </c>
      <c r="AQ43" s="9">
        <f t="shared" si="9"/>
        <v>0</v>
      </c>
      <c r="AR43" s="21" cm="1">
        <f t="array" ref="AR43:AU43">_xlfn.XLOOKUP($A43,Best_Outcomes[SKU], Best_Outcomes[[Gross Profit Margin Lift %]:[LTV Protection-Risk Ratio]])</f>
        <v>0</v>
      </c>
      <c r="AS43" s="23">
        <v>633.73441946787671</v>
      </c>
      <c r="AT43" s="23">
        <v>0</v>
      </c>
      <c r="AU43" s="21">
        <v>0</v>
      </c>
    </row>
    <row r="44" spans="1:47">
      <c r="A44" s="24" t="str">
        <v>SKU-1039</v>
      </c>
      <c r="B44" s="24" t="str">
        <f>_xlfn.XLOOKUP($A44,_1_product_catalog_pricing[SKU], _1_product_catalog_pricing[Product Name],,0)</f>
        <v>Nail Polish Set</v>
      </c>
      <c r="C44" s="24" t="str">
        <f>_xlfn.XLOOKUP($A44, _1_product_catalog_pricing[SKU], _1_product_catalog_pricing[Category],,0)</f>
        <v>Beauty &amp; Personal Care</v>
      </c>
      <c r="D44" s="24" t="str" cm="1">
        <f t="array" ref="D44">_xlfn.XLOOKUP($A44,_xlfn.ANCHORARRAY('V1 Pricing Model (Step 2)'!$A$22), 'V1 Pricing Model (Step 2)'!$T$22:$T$71,,0)</f>
        <v>Raise</v>
      </c>
      <c r="E44" s="24" t="str" cm="1">
        <f t="array" ref="E44">_xlfn.XLOOKUP($A44,_xlfn.ANCHORARRAY('V1 Pricing Model (Step 2)'!$A$22), 'V1 Pricing Model (Step 2)'!$AL$22:$AL$71,,0)</f>
        <v>Full</v>
      </c>
      <c r="F44" s="23" cm="1">
        <f t="array" ref="F44">_xlfn.XLOOKUP($A44,_xlfn.ANCHORARRAY('V1 Pricing Model (Step 2)'!$A$22),_xlfn.ANCHORARRAY( 'V1 Pricing Model (Step 2)'!$D$22),,0)</f>
        <v>189.99</v>
      </c>
      <c r="G44" s="23" cm="1">
        <f t="array" ref="G44">_xlfn.XLOOKUP($A44,_xlfn.ANCHORARRAY('V1 Pricing Model (Step 2)'!$A$22),_xlfn.ANCHORARRAY( 'V1 Pricing Model (Step 2)'!$E$22),,0)</f>
        <v>63.51</v>
      </c>
      <c r="H44" s="24" cm="1">
        <f t="array" ref="H44">_xlfn.XLOOKUP($A44, 'Competitive Analysis (Step 1)'!$A$10:$A$209,_xlfn.ANCHORARRAY( 'Competitive Analysis (Step 1)'!$Q$10),,0)</f>
        <v>28</v>
      </c>
      <c r="I44" s="28">
        <f t="shared" si="1"/>
        <v>5319.72</v>
      </c>
      <c r="J44" s="28">
        <f t="shared" si="2"/>
        <v>1778.28</v>
      </c>
      <c r="K44" s="28">
        <f t="shared" si="3"/>
        <v>3541.4400000000005</v>
      </c>
      <c r="L44" s="9">
        <f t="shared" si="0"/>
        <v>0.66571924838149388</v>
      </c>
      <c r="M44" s="23" cm="1">
        <f t="array" ref="M44:O44">_xlfn.XLOOKUP($A44,_xlfn.ANCHORARRAY('V1 Pricing Model (Step 2)'!$A$22),'V1 Pricing Model (Step 2)'!$U$22:$W$71,,0)</f>
        <v>232.14077285456503</v>
      </c>
      <c r="N44" s="23">
        <v>42.15077285456502</v>
      </c>
      <c r="O44" s="21">
        <v>0.22185784964769206</v>
      </c>
      <c r="P44" s="23" cm="1">
        <f t="array" ref="P44">_xlfn.XLOOKUP($A44,_xlfn.ANCHORARRAY( 'V1 Pricing Model (Step 2)'!$A$22), 'V1 Pricing Model (Step 2)'!$AC$22:$AC$71)</f>
        <v>715.94009421869032</v>
      </c>
      <c r="Q44" s="23" cm="1">
        <f t="array" ref="Q44">_xlfn.XLOOKUP($A44,_xlfn.ANCHORARRAY('V1 Pricing Model (Step 2)'!$A$22),'V1 Pricing Model (Step 2)'!$AI$22:$AI$71,,0)</f>
        <v>842.96009421868985</v>
      </c>
      <c r="R44" s="24" cm="1">
        <f t="array" ref="R44">COUNTA(_xlfn.UNIQUE(_xlfn._xlws.FILTER(Transactions_and_Customer_Information_Joined[Customer ID], (Transactions_and_Customer_Information_Joined[SKU]='Monte Carlo IO (4)'!$A44) * (Transactions_and_Customer_Information_Joined[Order Status] = "Completed"), "")))</f>
        <v>11</v>
      </c>
      <c r="S44" s="42" cm="1">
        <f t="array" ref="S44">AVERAGE(_xlfn._xlws.FILTER('V1-Based Churn Model (Step 3)'!$W$39:$W$590,
    ISNUMBER(MATCH('V1-Based Churn Model (Step 3)'!$A$39:$A$590,
    _xlfn.UNIQUE(_xlfn._xlws.FILTER(Transactions_and_Customer_Information_Joined[Customer ID],
    (Transactions_and_Customer_Information_Joined[SKU]='Monte Carlo IO (4)'!$A44)*
    (Transactions_and_Customer_Information_Joined[Order Status]="Completed"))),0))))</f>
        <v>65.245249219693505</v>
      </c>
      <c r="T44" s="25" cm="1">
        <f t="array" ref="T44">AVERAGE(_xlfn._xlws.FILTER('V1-Based Churn Model (Step 3)'!$Y$39:$Y$590,
    ISNUMBER(MATCH('V1-Based Churn Model (Step 3)'!$A$39:$A$590,
    _xlfn.UNIQUE(_xlfn._xlws.FILTER(Transactions_and_Customer_Information_Joined[Customer ID],
    (Transactions_and_Customer_Information_Joined[SKU]='Monte Carlo IO (4)'!$A44)*
    (Transactions_and_Customer_Information_Joined[Order Status]="Completed"))),0))))</f>
        <v>0.20704190456883856</v>
      </c>
      <c r="U44" s="23" cm="1">
        <f t="array" ref="U44">SUM(_xlfn._xlws.FILTER('V1-Based Churn Model (Step 3)'!$I$39:$I$590,
    ISNUMBER(MATCH('V1-Based Churn Model (Step 3)'!$A$39:$A$590,
    _xlfn.UNIQUE(_xlfn._xlws.FILTER(Transactions_and_Customer_Information_Joined[Customer ID],
    (Transactions_and_Customer_Information_Joined[SKU]='Monte Carlo IO (4)'!$A44)*
    (Transactions_and_Customer_Information_Joined[Order Status]="Completed"))),0))))</f>
        <v>9090.1999999999989</v>
      </c>
      <c r="V44" s="23" cm="1">
        <f t="array" ref="V44">SUM(_xlfn._xlws.FILTER('V1-Based Churn Model (Step 3)'!$Z$39:$Z$590,
    ISNUMBER(MATCH('V1-Based Churn Model (Step 3)'!$A$39:$A$590,
    _xlfn.UNIQUE(_xlfn._xlws.FILTER(Transactions_and_Customer_Information_Joined[Customer ID],
    (Transactions_and_Customer_Information_Joined[SKU]='Monte Carlo IO (4)'!$A44)*
    (Transactions_and_Customer_Information_Joined[Order Status]="Completed"))),0))))</f>
        <v>1631.9228817867202</v>
      </c>
      <c r="W44" s="21" cm="1">
        <f t="array" ref="W44">IFERROR(SUM(_xlfn._xlws.FILTER(('V1-Based Churn Model (Step 3)'!$X$39:$X$4039="Critical")*1,
    ISNUMBER(MATCH('V1-Based Churn Model (Step 3)'!$A$39:$A$4039,
    _xlfn.UNIQUE(_xlfn._xlws.FILTER(Transactions_and_Customer_Information_Joined[Customer ID],
    (Transactions_and_Customer_Information_Joined[SKU]='Monte Carlo IO (4)'!$A44)*
    (Transactions_and_Customer_Information_Joined[Order Status]="Completed"))),0))))
/ $R44, 0)</f>
        <v>0.36363636363636365</v>
      </c>
      <c r="X44" s="21" cm="1">
        <f t="array" ref="X44">IFERROR(SUM(_xlfn._xlws.FILTER(('V1-Based Churn Model (Step 3)'!$X$39:$X$4039="High")*1,
    ISNUMBER(MATCH('V1-Based Churn Model (Step 3)'!$A$39:$A$4039,
    _xlfn.UNIQUE(_xlfn._xlws.FILTER(Transactions_and_Customer_Information_Joined[Customer ID],
    (Transactions_and_Customer_Information_Joined[SKU]='Monte Carlo IO (4)'!$A44)*
    (Transactions_and_Customer_Information_Joined[Order Status]="Completed"))),0))))
/ $R44, 0)</f>
        <v>0.45454545454545453</v>
      </c>
      <c r="Y44" s="21" cm="1">
        <f t="array" ref="Y44">IFERROR(SUM(_xlfn._xlws.FILTER(('V1-Based Churn Model (Step 3)'!$X$39:$X$4039="Medium")*1,
    ISNUMBER(MATCH('V1-Based Churn Model (Step 3)'!$A$39:$A$4039,
    _xlfn.UNIQUE(_xlfn._xlws.FILTER(Transactions_and_Customer_Information_Joined[Customer ID],
    (Transactions_and_Customer_Information_Joined[SKU]='Monte Carlo IO (4)'!$A44)*
    (Transactions_and_Customer_Information_Joined[Order Status]="Completed"))),0))))
/ $R44, 0)</f>
        <v>9.0909090909090912E-2</v>
      </c>
      <c r="Z44" s="21" cm="1">
        <f t="array" ref="Z44">IFERROR(SUM(_xlfn._xlws.FILTER(('V1-Based Churn Model (Step 3)'!$X$39:$X$4039="Low")*1,
    ISNUMBER(MATCH('V1-Based Churn Model (Step 3)'!$A$39:$A$4039,
    _xlfn.UNIQUE(_xlfn._xlws.FILTER(Transactions_and_Customer_Information_Joined[Customer ID],
    (Transactions_and_Customer_Information_Joined[SKU]='Monte Carlo IO (4)'!$A44)*
    (Transactions_and_Customer_Information_Joined[Order Status]="Completed"))),0))))
/ $R44, 0)</f>
        <v>9.0909090909090912E-2</v>
      </c>
      <c r="AA44" s="3" t="str" cm="1">
        <f t="array" ref="AA44">_xlfn.IFS($W44 = MAX($W44:$Z44), "Critical", $X44 = MAX($W44:$Z44), "High", $Y44 = MAX($W44:$Z44), "Medium", $Z44 = MAX($W44:$Z44), "Low")</f>
        <v>High</v>
      </c>
      <c r="AB44" s="23" cm="1">
        <f t="array" ref="AB44:AD44">_xlfn.XLOOKUP($A44, Best_Outcomes[SKU], Best_Outcomes[[Adjusted Price]:[Adjusted Difference %]],,0)</f>
        <v>215.28046371273902</v>
      </c>
      <c r="AC44" s="23">
        <v>25.290463712739012</v>
      </c>
      <c r="AD44" s="21">
        <v>0.13311470978861525</v>
      </c>
      <c r="AE44" s="21">
        <f t="shared" si="4"/>
        <v>-5.3245883915446102E-2</v>
      </c>
      <c r="AF44" s="38">
        <f t="shared" si="5"/>
        <v>28.053245883915444</v>
      </c>
      <c r="AG44" s="23" cm="1">
        <f t="array" ref="AG44:AI44">_xlfn.XLOOKUP($A44,Best_Outcomes[SKU], Best_Outcomes[[Adjusted Gross Revenue]:[Gross Revenue Lift %]])</f>
        <v>5706.8946237135588</v>
      </c>
      <c r="AH44" s="23">
        <v>387.1746237135585</v>
      </c>
      <c r="AI44" s="21">
        <v>7.2781015488326162E-2</v>
      </c>
      <c r="AJ44" s="28">
        <f t="shared" si="6"/>
        <v>1485.6999020121621</v>
      </c>
      <c r="AK44" s="28">
        <f t="shared" si="7"/>
        <v>-292.58009798783792</v>
      </c>
      <c r="AL44" s="9">
        <f t="shared" si="8"/>
        <v>-0.16452982544247133</v>
      </c>
      <c r="AM44" s="23" cm="1">
        <f t="array" ref="AM44:AP44">_xlfn.XLOOKUP($A44,Best_Outcomes[SKU], Best_Outcomes[[Adjusted Gross Profit]:[Gross Profit Margin %]])</f>
        <v>4023.3007141627186</v>
      </c>
      <c r="AN44" s="23">
        <v>481.86071416271807</v>
      </c>
      <c r="AO44" s="21">
        <v>0.1360634979451065</v>
      </c>
      <c r="AP44" s="21">
        <v>0.70498948718010479</v>
      </c>
      <c r="AQ44" s="9">
        <f t="shared" si="9"/>
        <v>3.9270238798610912E-2</v>
      </c>
      <c r="AR44" s="21" cm="1">
        <f t="array" ref="AR44:AU44">_xlfn.XLOOKUP($A44,Best_Outcomes[SKU], Best_Outcomes[[Gross Profit Margin Lift %]:[LTV Protection-Risk Ratio]])</f>
        <v>3.9270238798610912E-2</v>
      </c>
      <c r="AS44" s="23">
        <v>492.54399704835561</v>
      </c>
      <c r="AT44" s="23">
        <v>738.81599557253344</v>
      </c>
      <c r="AU44" s="21">
        <v>0.66666666666666663</v>
      </c>
    </row>
    <row r="45" spans="1:47">
      <c r="A45" s="24" t="str">
        <v>SKU-1040</v>
      </c>
      <c r="B45" s="24" t="str">
        <f>_xlfn.XLOOKUP($A45,_1_product_catalog_pricing[SKU], _1_product_catalog_pricing[Product Name],,0)</f>
        <v>Resistance Bands</v>
      </c>
      <c r="C45" s="24" t="str">
        <f>_xlfn.XLOOKUP($A45, _1_product_catalog_pricing[SKU], _1_product_catalog_pricing[Category],,0)</f>
        <v>Sports &amp; Outdoors</v>
      </c>
      <c r="D45" s="24" t="str" cm="1">
        <f t="array" ref="D45">_xlfn.XLOOKUP($A45,_xlfn.ANCHORARRAY('V1 Pricing Model (Step 2)'!$A$22), 'V1 Pricing Model (Step 2)'!$T$22:$T$71,,0)</f>
        <v>Hold</v>
      </c>
      <c r="E45" s="24" t="str" cm="1">
        <f t="array" ref="E45">_xlfn.XLOOKUP($A45,_xlfn.ANCHORARRAY('V1 Pricing Model (Step 2)'!$A$22), 'V1 Pricing Model (Step 2)'!$AL$22:$AL$71,,0)</f>
        <v>Constrained</v>
      </c>
      <c r="F45" s="23" cm="1">
        <f t="array" ref="F45">_xlfn.XLOOKUP($A45,_xlfn.ANCHORARRAY('V1 Pricing Model (Step 2)'!$A$22),_xlfn.ANCHORARRAY( 'V1 Pricing Model (Step 2)'!$D$22),,0)</f>
        <v>18.7</v>
      </c>
      <c r="G45" s="23" cm="1">
        <f t="array" ref="G45">_xlfn.XLOOKUP($A45,_xlfn.ANCHORARRAY('V1 Pricing Model (Step 2)'!$A$22),_xlfn.ANCHORARRAY( 'V1 Pricing Model (Step 2)'!$E$22),,0)</f>
        <v>6.86</v>
      </c>
      <c r="H45" s="24" cm="1">
        <f t="array" ref="H45">_xlfn.XLOOKUP($A45, 'Competitive Analysis (Step 1)'!$A$10:$A$209,_xlfn.ANCHORARRAY( 'Competitive Analysis (Step 1)'!$Q$10),,0)</f>
        <v>26</v>
      </c>
      <c r="I45" s="28">
        <f t="shared" si="1"/>
        <v>486.2</v>
      </c>
      <c r="J45" s="28">
        <f t="shared" si="2"/>
        <v>178.36</v>
      </c>
      <c r="K45" s="28">
        <f t="shared" si="3"/>
        <v>307.83999999999997</v>
      </c>
      <c r="L45" s="9">
        <f t="shared" si="0"/>
        <v>0.63315508021390365</v>
      </c>
      <c r="M45" s="23" cm="1">
        <f t="array" ref="M45:O45">_xlfn.XLOOKUP($A45,_xlfn.ANCHORARRAY('V1 Pricing Model (Step 2)'!$A$22),'V1 Pricing Model (Step 2)'!$U$22:$W$71,,0)</f>
        <v>18.7</v>
      </c>
      <c r="N45" s="23">
        <v>0</v>
      </c>
      <c r="O45" s="21">
        <v>0</v>
      </c>
      <c r="P45" s="23" cm="1">
        <f t="array" ref="P45">_xlfn.XLOOKUP($A45,_xlfn.ANCHORARRAY( 'V1 Pricing Model (Step 2)'!$A$22), 'V1 Pricing Model (Step 2)'!$AC$22:$AC$71)</f>
        <v>0</v>
      </c>
      <c r="Q45" s="23" cm="1">
        <f t="array" ref="Q45">_xlfn.XLOOKUP($A45,_xlfn.ANCHORARRAY('V1 Pricing Model (Step 2)'!$A$22),'V1 Pricing Model (Step 2)'!$AI$22:$AI$71,,0)</f>
        <v>0</v>
      </c>
      <c r="R45" s="24" cm="1">
        <f t="array" ref="R45">COUNTA(_xlfn.UNIQUE(_xlfn._xlws.FILTER(Transactions_and_Customer_Information_Joined[Customer ID], (Transactions_and_Customer_Information_Joined[SKU]='Monte Carlo IO (4)'!$A45) * (Transactions_and_Customer_Information_Joined[Order Status] = "Completed"), "")))</f>
        <v>14</v>
      </c>
      <c r="S45" s="42" cm="1">
        <f t="array" ref="S45">AVERAGE(_xlfn._xlws.FILTER('V1-Based Churn Model (Step 3)'!$W$39:$W$590,
    ISNUMBER(MATCH('V1-Based Churn Model (Step 3)'!$A$39:$A$590,
    _xlfn.UNIQUE(_xlfn._xlws.FILTER(Transactions_and_Customer_Information_Joined[Customer ID],
    (Transactions_and_Customer_Information_Joined[SKU]='Monte Carlo IO (4)'!$A45)*
    (Transactions_and_Customer_Information_Joined[Order Status]="Completed"))),0))))</f>
        <v>65.098472622281207</v>
      </c>
      <c r="T45" s="25" cm="1">
        <f t="array" ref="T45">AVERAGE(_xlfn._xlws.FILTER('V1-Based Churn Model (Step 3)'!$Y$39:$Y$590,
    ISNUMBER(MATCH('V1-Based Churn Model (Step 3)'!$A$39:$A$590,
    _xlfn.UNIQUE(_xlfn._xlws.FILTER(Transactions_and_Customer_Information_Joined[Customer ID],
    (Transactions_and_Customer_Information_Joined[SKU]='Monte Carlo IO (4)'!$A45)*
    (Transactions_and_Customer_Information_Joined[Order Status]="Completed"))),0))))</f>
        <v>0.24472986341803349</v>
      </c>
      <c r="U45" s="23" cm="1">
        <f t="array" ref="U45">SUM(_xlfn._xlws.FILTER('V1-Based Churn Model (Step 3)'!$I$39:$I$590,
    ISNUMBER(MATCH('V1-Based Churn Model (Step 3)'!$A$39:$A$590,
    _xlfn.UNIQUE(_xlfn._xlws.FILTER(Transactions_and_Customer_Information_Joined[Customer ID],
    (Transactions_and_Customer_Information_Joined[SKU]='Monte Carlo IO (4)'!$A45)*
    (Transactions_and_Customer_Information_Joined[Order Status]="Completed"))),0))))</f>
        <v>7297.2100000000009</v>
      </c>
      <c r="V45" s="23" cm="1">
        <f t="array" ref="V45">SUM(_xlfn._xlws.FILTER('V1-Based Churn Model (Step 3)'!$Z$39:$Z$590,
    ISNUMBER(MATCH('V1-Based Churn Model (Step 3)'!$A$39:$A$590,
    _xlfn.UNIQUE(_xlfn._xlws.FILTER(Transactions_and_Customer_Information_Joined[Customer ID],
    (Transactions_and_Customer_Information_Joined[SKU]='Monte Carlo IO (4)'!$A45)*
    (Transactions_and_Customer_Information_Joined[Order Status]="Completed"))),0))))</f>
        <v>1288.2581633921243</v>
      </c>
      <c r="W45" s="21" cm="1">
        <f t="array" ref="W45">IFERROR(SUM(_xlfn._xlws.FILTER(('V1-Based Churn Model (Step 3)'!$X$39:$X$4039="Critical")*1,
    ISNUMBER(MATCH('V1-Based Churn Model (Step 3)'!$A$39:$A$4039,
    _xlfn.UNIQUE(_xlfn._xlws.FILTER(Transactions_and_Customer_Information_Joined[Customer ID],
    (Transactions_and_Customer_Information_Joined[SKU]='Monte Carlo IO (4)'!$A45)*
    (Transactions_and_Customer_Information_Joined[Order Status]="Completed"))),0))))
/ $R45, 0)</f>
        <v>0.5714285714285714</v>
      </c>
      <c r="X45" s="21" cm="1">
        <f t="array" ref="X45">IFERROR(SUM(_xlfn._xlws.FILTER(('V1-Based Churn Model (Step 3)'!$X$39:$X$4039="High")*1,
    ISNUMBER(MATCH('V1-Based Churn Model (Step 3)'!$A$39:$A$4039,
    _xlfn.UNIQUE(_xlfn._xlws.FILTER(Transactions_and_Customer_Information_Joined[Customer ID],
    (Transactions_and_Customer_Information_Joined[SKU]='Monte Carlo IO (4)'!$A45)*
    (Transactions_and_Customer_Information_Joined[Order Status]="Completed"))),0))))
/ $R45, 0)</f>
        <v>0.2857142857142857</v>
      </c>
      <c r="Y45" s="21" cm="1">
        <f t="array" ref="Y45">IFERROR(SUM(_xlfn._xlws.FILTER(('V1-Based Churn Model (Step 3)'!$X$39:$X$4039="Medium")*1,
    ISNUMBER(MATCH('V1-Based Churn Model (Step 3)'!$A$39:$A$4039,
    _xlfn.UNIQUE(_xlfn._xlws.FILTER(Transactions_and_Customer_Information_Joined[Customer ID],
    (Transactions_and_Customer_Information_Joined[SKU]='Monte Carlo IO (4)'!$A45)*
    (Transactions_and_Customer_Information_Joined[Order Status]="Completed"))),0))))
/ $R45, 0)</f>
        <v>7.1428571428571425E-2</v>
      </c>
      <c r="Z45" s="21" cm="1">
        <f t="array" ref="Z45">IFERROR(SUM(_xlfn._xlws.FILTER(('V1-Based Churn Model (Step 3)'!$X$39:$X$4039="Low")*1,
    ISNUMBER(MATCH('V1-Based Churn Model (Step 3)'!$A$39:$A$4039,
    _xlfn.UNIQUE(_xlfn._xlws.FILTER(Transactions_and_Customer_Information_Joined[Customer ID],
    (Transactions_and_Customer_Information_Joined[SKU]='Monte Carlo IO (4)'!$A45)*
    (Transactions_and_Customer_Information_Joined[Order Status]="Completed"))),0))))
/ $R45, 0)</f>
        <v>7.1428571428571425E-2</v>
      </c>
      <c r="AA45" s="3" t="str" cm="1">
        <f t="array" ref="AA45">_xlfn.IFS($W45 = MAX($W45:$Z45), "Critical", $X45 = MAX($W45:$Z45), "High", $Y45 = MAX($W45:$Z45), "Medium", $Z45 = MAX($W45:$Z45), "Low")</f>
        <v>Critical</v>
      </c>
      <c r="AB45" s="23" cm="1">
        <f t="array" ref="AB45:AD45">_xlfn.XLOOKUP($A45, Best_Outcomes[SKU], Best_Outcomes[[Adjusted Price]:[Adjusted Difference %]],,0)</f>
        <v>18.7</v>
      </c>
      <c r="AC45" s="23">
        <v>0</v>
      </c>
      <c r="AD45" s="21">
        <v>0</v>
      </c>
      <c r="AE45" s="21">
        <f t="shared" si="4"/>
        <v>0</v>
      </c>
      <c r="AF45" s="38">
        <f t="shared" si="5"/>
        <v>26</v>
      </c>
      <c r="AG45" s="23" cm="1">
        <f t="array" ref="AG45:AI45">_xlfn.XLOOKUP($A45,Best_Outcomes[SKU], Best_Outcomes[[Adjusted Gross Revenue]:[Gross Revenue Lift %]])</f>
        <v>486.2</v>
      </c>
      <c r="AH45" s="23">
        <v>0</v>
      </c>
      <c r="AI45" s="21">
        <v>0</v>
      </c>
      <c r="AJ45" s="28">
        <f t="shared" si="6"/>
        <v>1376.96</v>
      </c>
      <c r="AK45" s="28">
        <f t="shared" si="7"/>
        <v>1198.5999999999999</v>
      </c>
      <c r="AL45" s="9">
        <f t="shared" si="8"/>
        <v>6.7201166180758003</v>
      </c>
      <c r="AM45" s="23" cm="1">
        <f t="array" ref="AM45:AP45">_xlfn.XLOOKUP($A45,Best_Outcomes[SKU], Best_Outcomes[[Adjusted Gross Profit]:[Gross Profit Margin %]])</f>
        <v>307.83999999999997</v>
      </c>
      <c r="AN45" s="23">
        <v>0</v>
      </c>
      <c r="AO45" s="21">
        <v>0</v>
      </c>
      <c r="AP45" s="21">
        <v>0.63315508021390365</v>
      </c>
      <c r="AQ45" s="9">
        <f t="shared" si="9"/>
        <v>0</v>
      </c>
      <c r="AR45" s="21" cm="1">
        <f t="array" ref="AR45:AU45">_xlfn.XLOOKUP($A45,Best_Outcomes[SKU], Best_Outcomes[[Gross Profit Margin Lift %]:[LTV Protection-Risk Ratio]])</f>
        <v>0</v>
      </c>
      <c r="AS45" s="23">
        <v>1062.8129847985024</v>
      </c>
      <c r="AT45" s="23">
        <v>0</v>
      </c>
      <c r="AU45" s="21">
        <v>0</v>
      </c>
    </row>
    <row r="46" spans="1:47">
      <c r="A46" s="24" t="str">
        <v>SKU-1041</v>
      </c>
      <c r="B46" s="24" t="str">
        <f>_xlfn.XLOOKUP($A46,_1_product_catalog_pricing[SKU], _1_product_catalog_pricing[Product Name],,0)</f>
        <v>Yoga Mat</v>
      </c>
      <c r="C46" s="24" t="str">
        <f>_xlfn.XLOOKUP($A46, _1_product_catalog_pricing[SKU], _1_product_catalog_pricing[Category],,0)</f>
        <v>Sports &amp; Outdoors</v>
      </c>
      <c r="D46" s="24" t="str" cm="1">
        <f t="array" ref="D46">_xlfn.XLOOKUP($A46,_xlfn.ANCHORARRAY('V1 Pricing Model (Step 2)'!$A$22), 'V1 Pricing Model (Step 2)'!$T$22:$T$71,,0)</f>
        <v>Reduce</v>
      </c>
      <c r="E46" s="24" t="str" cm="1">
        <f t="array" ref="E46">_xlfn.XLOOKUP($A46,_xlfn.ANCHORARRAY('V1 Pricing Model (Step 2)'!$A$22), 'V1 Pricing Model (Step 2)'!$AL$22:$AL$71,,0)</f>
        <v>Full</v>
      </c>
      <c r="F46" s="23" cm="1">
        <f t="array" ref="F46">_xlfn.XLOOKUP($A46,_xlfn.ANCHORARRAY('V1 Pricing Model (Step 2)'!$A$22),_xlfn.ANCHORARRAY( 'V1 Pricing Model (Step 2)'!$D$22),,0)</f>
        <v>102.13</v>
      </c>
      <c r="G46" s="23" cm="1">
        <f t="array" ref="G46">_xlfn.XLOOKUP($A46,_xlfn.ANCHORARRAY('V1 Pricing Model (Step 2)'!$A$22),_xlfn.ANCHORARRAY( 'V1 Pricing Model (Step 2)'!$E$22),,0)</f>
        <v>64.05</v>
      </c>
      <c r="H46" s="24" cm="1">
        <f t="array" ref="H46">_xlfn.XLOOKUP($A46, 'Competitive Analysis (Step 1)'!$A$10:$A$209,_xlfn.ANCHORARRAY( 'Competitive Analysis (Step 1)'!$Q$10),,0)</f>
        <v>39</v>
      </c>
      <c r="I46" s="28">
        <f t="shared" si="1"/>
        <v>3983.0699999999997</v>
      </c>
      <c r="J46" s="28">
        <f t="shared" si="2"/>
        <v>2497.9499999999998</v>
      </c>
      <c r="K46" s="28">
        <f t="shared" si="3"/>
        <v>1485.12</v>
      </c>
      <c r="L46" s="9">
        <f t="shared" si="0"/>
        <v>0.37285812200137081</v>
      </c>
      <c r="M46" s="23" cm="1">
        <f t="array" ref="M46:O46">_xlfn.XLOOKUP($A46,_xlfn.ANCHORARRAY('V1 Pricing Model (Step 2)'!$A$22),'V1 Pricing Model (Step 2)'!$U$22:$W$71,,0)</f>
        <v>95.805218757813307</v>
      </c>
      <c r="N46" s="23">
        <v>-6.3247812421866882</v>
      </c>
      <c r="O46" s="21">
        <v>-6.1928730463004879E-2</v>
      </c>
      <c r="P46" s="23" cm="1">
        <f t="array" ref="P46">_xlfn.XLOOKUP($A46,_xlfn.ANCHORARRAY( 'V1 Pricing Model (Step 2)'!$A$22), 'V1 Pricing Model (Step 2)'!$AC$22:$AC$71)</f>
        <v>285.02396907034563</v>
      </c>
      <c r="Q46" s="23" cm="1">
        <f t="array" ref="Q46">_xlfn.XLOOKUP($A46,_xlfn.ANCHORARRAY('V1 Pricing Model (Step 2)'!$A$22),'V1 Pricing Model (Step 2)'!$AI$22:$AI$71,,0)</f>
        <v>156.92396907034617</v>
      </c>
      <c r="R46" s="24" cm="1">
        <f t="array" ref="R46">COUNTA(_xlfn.UNIQUE(_xlfn._xlws.FILTER(Transactions_and_Customer_Information_Joined[Customer ID], (Transactions_and_Customer_Information_Joined[SKU]='Monte Carlo IO (4)'!$A46) * (Transactions_and_Customer_Information_Joined[Order Status] = "Completed"), "")))</f>
        <v>15</v>
      </c>
      <c r="S46" s="42" cm="1">
        <f t="array" ref="S46">AVERAGE(_xlfn._xlws.FILTER('V1-Based Churn Model (Step 3)'!$W$39:$W$590,
    ISNUMBER(MATCH('V1-Based Churn Model (Step 3)'!$A$39:$A$590,
    _xlfn.UNIQUE(_xlfn._xlws.FILTER(Transactions_and_Customer_Information_Joined[Customer ID],
    (Transactions_and_Customer_Information_Joined[SKU]='Monte Carlo IO (4)'!$A46)*
    (Transactions_and_Customer_Information_Joined[Order Status]="Completed"))),0))))</f>
        <v>73.717434970601815</v>
      </c>
      <c r="T46" s="25" cm="1">
        <f t="array" ref="T46">AVERAGE(_xlfn._xlws.FILTER('V1-Based Churn Model (Step 3)'!$Y$39:$Y$590,
    ISNUMBER(MATCH('V1-Based Churn Model (Step 3)'!$A$39:$A$590,
    _xlfn.UNIQUE(_xlfn._xlws.FILTER(Transactions_and_Customer_Information_Joined[Customer ID],
    (Transactions_and_Customer_Information_Joined[SKU]='Monte Carlo IO (4)'!$A46)*
    (Transactions_and_Customer_Information_Joined[Order Status]="Completed"))),0))))</f>
        <v>0.36919314189670049</v>
      </c>
      <c r="U46" s="23" cm="1">
        <f t="array" ref="U46">SUM(_xlfn._xlws.FILTER('V1-Based Churn Model (Step 3)'!$I$39:$I$590,
    ISNUMBER(MATCH('V1-Based Churn Model (Step 3)'!$A$39:$A$590,
    _xlfn.UNIQUE(_xlfn._xlws.FILTER(Transactions_and_Customer_Information_Joined[Customer ID],
    (Transactions_and_Customer_Information_Joined[SKU]='Monte Carlo IO (4)'!$A46)*
    (Transactions_and_Customer_Information_Joined[Order Status]="Completed"))),0))))</f>
        <v>4547.55</v>
      </c>
      <c r="V46" s="23" cm="1">
        <f t="array" ref="V46">SUM(_xlfn._xlws.FILTER('V1-Based Churn Model (Step 3)'!$Z$39:$Z$590,
    ISNUMBER(MATCH('V1-Based Churn Model (Step 3)'!$A$39:$A$590,
    _xlfn.UNIQUE(_xlfn._xlws.FILTER(Transactions_and_Customer_Information_Joined[Customer ID],
    (Transactions_and_Customer_Information_Joined[SKU]='Monte Carlo IO (4)'!$A46)*
    (Transactions_and_Customer_Information_Joined[Order Status]="Completed"))),0))))</f>
        <v>1365.1678788168565</v>
      </c>
      <c r="W46" s="21" cm="1">
        <f t="array" ref="W46">IFERROR(SUM(_xlfn._xlws.FILTER(('V1-Based Churn Model (Step 3)'!$X$39:$X$4039="Critical")*1,
    ISNUMBER(MATCH('V1-Based Churn Model (Step 3)'!$A$39:$A$4039,
    _xlfn.UNIQUE(_xlfn._xlws.FILTER(Transactions_and_Customer_Information_Joined[Customer ID],
    (Transactions_and_Customer_Information_Joined[SKU]='Monte Carlo IO (4)'!$A46)*
    (Transactions_and_Customer_Information_Joined[Order Status]="Completed"))),0))))
/ $R46, 0)</f>
        <v>0.66666666666666663</v>
      </c>
      <c r="X46" s="21" cm="1">
        <f t="array" ref="X46">IFERROR(SUM(_xlfn._xlws.FILTER(('V1-Based Churn Model (Step 3)'!$X$39:$X$4039="High")*1,
    ISNUMBER(MATCH('V1-Based Churn Model (Step 3)'!$A$39:$A$4039,
    _xlfn.UNIQUE(_xlfn._xlws.FILTER(Transactions_and_Customer_Information_Joined[Customer ID],
    (Transactions_and_Customer_Information_Joined[SKU]='Monte Carlo IO (4)'!$A46)*
    (Transactions_and_Customer_Information_Joined[Order Status]="Completed"))),0))))
/ $R46, 0)</f>
        <v>0.13333333333333333</v>
      </c>
      <c r="Y46" s="21" cm="1">
        <f t="array" ref="Y46">IFERROR(SUM(_xlfn._xlws.FILTER(('V1-Based Churn Model (Step 3)'!$X$39:$X$4039="Medium")*1,
    ISNUMBER(MATCH('V1-Based Churn Model (Step 3)'!$A$39:$A$4039,
    _xlfn.UNIQUE(_xlfn._xlws.FILTER(Transactions_and_Customer_Information_Joined[Customer ID],
    (Transactions_and_Customer_Information_Joined[SKU]='Monte Carlo IO (4)'!$A46)*
    (Transactions_and_Customer_Information_Joined[Order Status]="Completed"))),0))))
/ $R46, 0)</f>
        <v>0.2</v>
      </c>
      <c r="Z46" s="21" cm="1">
        <f t="array" ref="Z46">IFERROR(SUM(_xlfn._xlws.FILTER(('V1-Based Churn Model (Step 3)'!$X$39:$X$4039="Low")*1,
    ISNUMBER(MATCH('V1-Based Churn Model (Step 3)'!$A$39:$A$4039,
    _xlfn.UNIQUE(_xlfn._xlws.FILTER(Transactions_and_Customer_Information_Joined[Customer ID],
    (Transactions_and_Customer_Information_Joined[SKU]='Monte Carlo IO (4)'!$A46)*
    (Transactions_and_Customer_Information_Joined[Order Status]="Completed"))),0))))
/ $R46, 0)</f>
        <v>0</v>
      </c>
      <c r="AA46" s="3" t="str" cm="1">
        <f t="array" ref="AA46">_xlfn.IFS($W46 = MAX($W46:$Z46), "Critical", $X46 = MAX($W46:$Z46), "High", $Y46 = MAX($W46:$Z46), "Medium", $Z46 = MAX($W46:$Z46), "Low")</f>
        <v>Critical</v>
      </c>
      <c r="AB46" s="23" cm="1">
        <f t="array" ref="AB46:AD46">_xlfn.XLOOKUP($A46, Best_Outcomes[SKU], Best_Outcomes[[Adjusted Price]:[Adjusted Difference %]],,0)</f>
        <v>102.13</v>
      </c>
      <c r="AC46" s="23">
        <v>0</v>
      </c>
      <c r="AD46" s="21">
        <v>0</v>
      </c>
      <c r="AE46" s="21">
        <f t="shared" si="4"/>
        <v>0</v>
      </c>
      <c r="AF46" s="38">
        <f t="shared" si="5"/>
        <v>39</v>
      </c>
      <c r="AG46" s="23" cm="1">
        <f t="array" ref="AG46:AI46">_xlfn.XLOOKUP($A46,Best_Outcomes[SKU], Best_Outcomes[[Adjusted Gross Revenue]:[Gross Revenue Lift %]])</f>
        <v>3983.0699999999997</v>
      </c>
      <c r="AH46" s="23">
        <v>0</v>
      </c>
      <c r="AI46" s="21">
        <v>0</v>
      </c>
      <c r="AJ46" s="28">
        <f t="shared" si="6"/>
        <v>2065.44</v>
      </c>
      <c r="AK46" s="28">
        <f t="shared" si="7"/>
        <v>-432.50999999999976</v>
      </c>
      <c r="AL46" s="9">
        <f t="shared" si="8"/>
        <v>-0.17314597970335668</v>
      </c>
      <c r="AM46" s="23" cm="1">
        <f t="array" ref="AM46:AP46">_xlfn.XLOOKUP($A46,Best_Outcomes[SKU], Best_Outcomes[[Adjusted Gross Profit]:[Gross Profit Margin %]])</f>
        <v>1485.12</v>
      </c>
      <c r="AN46" s="23">
        <v>0</v>
      </c>
      <c r="AO46" s="21">
        <v>0</v>
      </c>
      <c r="AP46" s="21">
        <v>0.37285812200137081</v>
      </c>
      <c r="AQ46" s="9">
        <f t="shared" si="9"/>
        <v>0</v>
      </c>
      <c r="AR46" s="21" cm="1">
        <f t="array" ref="AR46:AU46">_xlfn.XLOOKUP($A46,Best_Outcomes[SKU], Best_Outcomes[[Gross Profit Margin Lift %]:[LTV Protection-Risk Ratio]])</f>
        <v>0</v>
      </c>
      <c r="AS46" s="23">
        <v>1155.8421373982719</v>
      </c>
      <c r="AT46" s="23">
        <v>0</v>
      </c>
      <c r="AU46" s="21">
        <v>0</v>
      </c>
    </row>
    <row r="47" spans="1:47">
      <c r="A47" s="24" t="str">
        <v>SKU-1042</v>
      </c>
      <c r="B47" s="24" t="str">
        <f>_xlfn.XLOOKUP($A47,_1_product_catalog_pricing[SKU], _1_product_catalog_pricing[Product Name],,0)</f>
        <v>Water Bottle</v>
      </c>
      <c r="C47" s="24" t="str">
        <f>_xlfn.XLOOKUP($A47, _1_product_catalog_pricing[SKU], _1_product_catalog_pricing[Category],,0)</f>
        <v>Sports &amp; Outdoors</v>
      </c>
      <c r="D47" s="24" t="str" cm="1">
        <f t="array" ref="D47">_xlfn.XLOOKUP($A47,_xlfn.ANCHORARRAY('V1 Pricing Model (Step 2)'!$A$22), 'V1 Pricing Model (Step 2)'!$T$22:$T$71,,0)</f>
        <v>Raise</v>
      </c>
      <c r="E47" s="24" t="str" cm="1">
        <f t="array" ref="E47">_xlfn.XLOOKUP($A47,_xlfn.ANCHORARRAY('V1 Pricing Model (Step 2)'!$A$22), 'V1 Pricing Model (Step 2)'!$AL$22:$AL$71,,0)</f>
        <v>Full</v>
      </c>
      <c r="F47" s="23" cm="1">
        <f t="array" ref="F47">_xlfn.XLOOKUP($A47,_xlfn.ANCHORARRAY('V1 Pricing Model (Step 2)'!$A$22),_xlfn.ANCHORARRAY( 'V1 Pricing Model (Step 2)'!$D$22),,0)</f>
        <v>197.52</v>
      </c>
      <c r="G47" s="23" cm="1">
        <f t="array" ref="G47">_xlfn.XLOOKUP($A47,_xlfn.ANCHORARRAY('V1 Pricing Model (Step 2)'!$A$22),_xlfn.ANCHORARRAY( 'V1 Pricing Model (Step 2)'!$E$22),,0)</f>
        <v>66.540000000000006</v>
      </c>
      <c r="H47" s="24" cm="1">
        <f t="array" ref="H47">_xlfn.XLOOKUP($A47, 'Competitive Analysis (Step 1)'!$A$10:$A$209,_xlfn.ANCHORARRAY( 'Competitive Analysis (Step 1)'!$Q$10),,0)</f>
        <v>23</v>
      </c>
      <c r="I47" s="28">
        <f t="shared" si="1"/>
        <v>4542.96</v>
      </c>
      <c r="J47" s="28">
        <f t="shared" si="2"/>
        <v>1530.42</v>
      </c>
      <c r="K47" s="28">
        <f t="shared" si="3"/>
        <v>3012.54</v>
      </c>
      <c r="L47" s="9">
        <f t="shared" si="0"/>
        <v>0.66312272174969622</v>
      </c>
      <c r="M47" s="23" cm="1">
        <f t="array" ref="M47:O47">_xlfn.XLOOKUP($A47,_xlfn.ANCHORARRAY('V1 Pricing Model (Step 2)'!$A$22),'V1 Pricing Model (Step 2)'!$U$22:$W$71,,0)</f>
        <v>208.30422246574091</v>
      </c>
      <c r="N47" s="23">
        <v>10.784222465740896</v>
      </c>
      <c r="O47" s="21">
        <v>5.4598129129915428E-2</v>
      </c>
      <c r="P47" s="23" cm="1">
        <f t="array" ref="P47">_xlfn.XLOOKUP($A47,_xlfn.ANCHORARRAY( 'V1 Pricing Model (Step 2)'!$A$22), 'V1 Pricing Model (Step 2)'!$AC$22:$AC$71)</f>
        <v>39.73289424630002</v>
      </c>
      <c r="Q47" s="23" cm="1">
        <f t="array" ref="Q47">_xlfn.XLOOKUP($A47,_xlfn.ANCHORARRAY('V1 Pricing Model (Step 2)'!$A$22),'V1 Pricing Model (Step 2)'!$AI$22:$AI$71,,0)</f>
        <v>106.27289424629998</v>
      </c>
      <c r="R47" s="24" cm="1">
        <f t="array" ref="R47">COUNTA(_xlfn.UNIQUE(_xlfn._xlws.FILTER(Transactions_and_Customer_Information_Joined[Customer ID], (Transactions_and_Customer_Information_Joined[SKU]='Monte Carlo IO (4)'!$A47) * (Transactions_and_Customer_Information_Joined[Order Status] = "Completed"), "")))</f>
        <v>11</v>
      </c>
      <c r="S47" s="42" cm="1">
        <f t="array" ref="S47">AVERAGE(_xlfn._xlws.FILTER('V1-Based Churn Model (Step 3)'!$W$39:$W$590,
    ISNUMBER(MATCH('V1-Based Churn Model (Step 3)'!$A$39:$A$590,
    _xlfn.UNIQUE(_xlfn._xlws.FILTER(Transactions_and_Customer_Information_Joined[Customer ID],
    (Transactions_and_Customer_Information_Joined[SKU]='Monte Carlo IO (4)'!$A47)*
    (Transactions_and_Customer_Information_Joined[Order Status]="Completed"))),0))))</f>
        <v>80.479185936441851</v>
      </c>
      <c r="T47" s="25" cm="1">
        <f t="array" ref="T47">AVERAGE(_xlfn._xlws.FILTER('V1-Based Churn Model (Step 3)'!$Y$39:$Y$590,
    ISNUMBER(MATCH('V1-Based Churn Model (Step 3)'!$A$39:$A$590,
    _xlfn.UNIQUE(_xlfn._xlws.FILTER(Transactions_and_Customer_Information_Joined[Customer ID],
    (Transactions_and_Customer_Information_Joined[SKU]='Monte Carlo IO (4)'!$A47)*
    (Transactions_and_Customer_Information_Joined[Order Status]="Completed"))),0))))</f>
        <v>0.37064371975218846</v>
      </c>
      <c r="U47" s="23" cm="1">
        <f t="array" ref="U47">SUM(_xlfn._xlws.FILTER('V1-Based Churn Model (Step 3)'!$I$39:$I$590,
    ISNUMBER(MATCH('V1-Based Churn Model (Step 3)'!$A$39:$A$590,
    _xlfn.UNIQUE(_xlfn._xlws.FILTER(Transactions_and_Customer_Information_Joined[Customer ID],
    (Transactions_and_Customer_Information_Joined[SKU]='Monte Carlo IO (4)'!$A47)*
    (Transactions_and_Customer_Information_Joined[Order Status]="Completed"))),0))))</f>
        <v>3711.82</v>
      </c>
      <c r="V47" s="23" cm="1">
        <f t="array" ref="V47">SUM(_xlfn._xlws.FILTER('V1-Based Churn Model (Step 3)'!$Z$39:$Z$590,
    ISNUMBER(MATCH('V1-Based Churn Model (Step 3)'!$A$39:$A$590,
    _xlfn.UNIQUE(_xlfn._xlws.FILTER(Transactions_and_Customer_Information_Joined[Customer ID],
    (Transactions_and_Customer_Information_Joined[SKU]='Monte Carlo IO (4)'!$A47)*
    (Transactions_and_Customer_Information_Joined[Order Status]="Completed"))),0))))</f>
        <v>1221.1610827847651</v>
      </c>
      <c r="W47" s="21" cm="1">
        <f t="array" ref="W47">IFERROR(SUM(_xlfn._xlws.FILTER(('V1-Based Churn Model (Step 3)'!$X$39:$X$4039="Critical")*1,
    ISNUMBER(MATCH('V1-Based Churn Model (Step 3)'!$A$39:$A$4039,
    _xlfn.UNIQUE(_xlfn._xlws.FILTER(Transactions_and_Customer_Information_Joined[Customer ID],
    (Transactions_and_Customer_Information_Joined[SKU]='Monte Carlo IO (4)'!$A47)*
    (Transactions_and_Customer_Information_Joined[Order Status]="Completed"))),0))))
/ $R47, 0)</f>
        <v>0.63636363636363635</v>
      </c>
      <c r="X47" s="21" cm="1">
        <f t="array" ref="X47">IFERROR(SUM(_xlfn._xlws.FILTER(('V1-Based Churn Model (Step 3)'!$X$39:$X$4039="High")*1,
    ISNUMBER(MATCH('V1-Based Churn Model (Step 3)'!$A$39:$A$4039,
    _xlfn.UNIQUE(_xlfn._xlws.FILTER(Transactions_and_Customer_Information_Joined[Customer ID],
    (Transactions_and_Customer_Information_Joined[SKU]='Monte Carlo IO (4)'!$A47)*
    (Transactions_and_Customer_Information_Joined[Order Status]="Completed"))),0))))
/ $R47, 0)</f>
        <v>0.36363636363636365</v>
      </c>
      <c r="Y47" s="21" cm="1">
        <f t="array" ref="Y47">IFERROR(SUM(_xlfn._xlws.FILTER(('V1-Based Churn Model (Step 3)'!$X$39:$X$4039="Medium")*1,
    ISNUMBER(MATCH('V1-Based Churn Model (Step 3)'!$A$39:$A$4039,
    _xlfn.UNIQUE(_xlfn._xlws.FILTER(Transactions_and_Customer_Information_Joined[Customer ID],
    (Transactions_and_Customer_Information_Joined[SKU]='Monte Carlo IO (4)'!$A47)*
    (Transactions_and_Customer_Information_Joined[Order Status]="Completed"))),0))))
/ $R47, 0)</f>
        <v>0</v>
      </c>
      <c r="Z47" s="21" cm="1">
        <f t="array" ref="Z47">IFERROR(SUM(_xlfn._xlws.FILTER(('V1-Based Churn Model (Step 3)'!$X$39:$X$4039="Low")*1,
    ISNUMBER(MATCH('V1-Based Churn Model (Step 3)'!$A$39:$A$4039,
    _xlfn.UNIQUE(_xlfn._xlws.FILTER(Transactions_and_Customer_Information_Joined[Customer ID],
    (Transactions_and_Customer_Information_Joined[SKU]='Monte Carlo IO (4)'!$A47)*
    (Transactions_and_Customer_Information_Joined[Order Status]="Completed"))),0))))
/ $R47, 0)</f>
        <v>0</v>
      </c>
      <c r="AA47" s="3" t="str" cm="1">
        <f t="array" ref="AA47">_xlfn.IFS($W47 = MAX($W47:$Z47), "Critical", $X47 = MAX($W47:$Z47), "High", $Y47 = MAX($W47:$Z47), "Medium", $Z47 = MAX($W47:$Z47), "Low")</f>
        <v>Critical</v>
      </c>
      <c r="AB47" s="23" cm="1">
        <f t="array" ref="AB47:AD47">_xlfn.XLOOKUP($A47, Best_Outcomes[SKU], Best_Outcomes[[Adjusted Price]:[Adjusted Difference %]],,0)</f>
        <v>197.52</v>
      </c>
      <c r="AC47" s="23">
        <v>0</v>
      </c>
      <c r="AD47" s="21">
        <v>0</v>
      </c>
      <c r="AE47" s="21">
        <f t="shared" si="4"/>
        <v>0</v>
      </c>
      <c r="AF47" s="38">
        <f t="shared" si="5"/>
        <v>23</v>
      </c>
      <c r="AG47" s="23" cm="1">
        <f t="array" ref="AG47:AI47">_xlfn.XLOOKUP($A47,Best_Outcomes[SKU], Best_Outcomes[[Adjusted Gross Revenue]:[Gross Revenue Lift %]])</f>
        <v>4542.96</v>
      </c>
      <c r="AH47" s="23">
        <v>0</v>
      </c>
      <c r="AI47" s="21">
        <v>0</v>
      </c>
      <c r="AJ47" s="28">
        <f t="shared" si="6"/>
        <v>1218.08</v>
      </c>
      <c r="AK47" s="28">
        <f t="shared" si="7"/>
        <v>-312.34000000000015</v>
      </c>
      <c r="AL47" s="9">
        <f t="shared" si="8"/>
        <v>-0.20408776675683807</v>
      </c>
      <c r="AM47" s="23" cm="1">
        <f t="array" ref="AM47:AP47">_xlfn.XLOOKUP($A47,Best_Outcomes[SKU], Best_Outcomes[[Adjusted Gross Profit]:[Gross Profit Margin %]])</f>
        <v>3012.54</v>
      </c>
      <c r="AN47" s="23">
        <v>0</v>
      </c>
      <c r="AO47" s="21">
        <v>0</v>
      </c>
      <c r="AP47" s="21">
        <v>0.66312272174969622</v>
      </c>
      <c r="AQ47" s="9">
        <f t="shared" si="9"/>
        <v>0</v>
      </c>
      <c r="AR47" s="21" cm="1">
        <f t="array" ref="AR47:AU47">_xlfn.XLOOKUP($A47,Best_Outcomes[SKU], Best_Outcomes[[Gross Profit Margin Lift %]:[LTV Protection-Risk Ratio]])</f>
        <v>0</v>
      </c>
      <c r="AS47" s="23">
        <v>1110.1464388952409</v>
      </c>
      <c r="AT47" s="23">
        <v>0</v>
      </c>
      <c r="AU47" s="21">
        <v>0</v>
      </c>
    </row>
    <row r="48" spans="1:47">
      <c r="A48" s="24" t="str">
        <v>SKU-1043</v>
      </c>
      <c r="B48" s="24" t="str">
        <f>_xlfn.XLOOKUP($A48,_1_product_catalog_pricing[SKU], _1_product_catalog_pricing[Product Name],,0)</f>
        <v>Jump Rope</v>
      </c>
      <c r="C48" s="24" t="str">
        <f>_xlfn.XLOOKUP($A48, _1_product_catalog_pricing[SKU], _1_product_catalog_pricing[Category],,0)</f>
        <v>Sports &amp; Outdoors</v>
      </c>
      <c r="D48" s="24" t="str" cm="1">
        <f t="array" ref="D48">_xlfn.XLOOKUP($A48,_xlfn.ANCHORARRAY('V1 Pricing Model (Step 2)'!$A$22), 'V1 Pricing Model (Step 2)'!$T$22:$T$71,,0)</f>
        <v>Hold</v>
      </c>
      <c r="E48" s="24" t="str" cm="1">
        <f t="array" ref="E48">_xlfn.XLOOKUP($A48,_xlfn.ANCHORARRAY('V1 Pricing Model (Step 2)'!$A$22), 'V1 Pricing Model (Step 2)'!$AL$22:$AL$71,,0)</f>
        <v>Full</v>
      </c>
      <c r="F48" s="23" cm="1">
        <f t="array" ref="F48">_xlfn.XLOOKUP($A48,_xlfn.ANCHORARRAY('V1 Pricing Model (Step 2)'!$A$22),_xlfn.ANCHORARRAY( 'V1 Pricing Model (Step 2)'!$D$22),,0)</f>
        <v>112.56</v>
      </c>
      <c r="G48" s="23" cm="1">
        <f t="array" ref="G48">_xlfn.XLOOKUP($A48,_xlfn.ANCHORARRAY('V1 Pricing Model (Step 2)'!$A$22),_xlfn.ANCHORARRAY( 'V1 Pricing Model (Step 2)'!$E$22),,0)</f>
        <v>53.11</v>
      </c>
      <c r="H48" s="24" cm="1">
        <f t="array" ref="H48">_xlfn.XLOOKUP($A48, 'Competitive Analysis (Step 1)'!$A$10:$A$209,_xlfn.ANCHORARRAY( 'Competitive Analysis (Step 1)'!$Q$10),,0)</f>
        <v>40</v>
      </c>
      <c r="I48" s="28">
        <f t="shared" si="1"/>
        <v>4502.3999999999996</v>
      </c>
      <c r="J48" s="28">
        <f t="shared" si="2"/>
        <v>2124.4</v>
      </c>
      <c r="K48" s="28">
        <f t="shared" si="3"/>
        <v>2377.9999999999995</v>
      </c>
      <c r="L48" s="9">
        <f t="shared" si="0"/>
        <v>0.52816275764036957</v>
      </c>
      <c r="M48" s="23" cm="1">
        <f t="array" ref="M48:O48">_xlfn.XLOOKUP($A48,_xlfn.ANCHORARRAY('V1 Pricing Model (Step 2)'!$A$22),'V1 Pricing Model (Step 2)'!$U$22:$W$71,,0)</f>
        <v>124.60661115062148</v>
      </c>
      <c r="N48" s="23">
        <v>12.046611150621473</v>
      </c>
      <c r="O48" s="24">
        <v>0.10702390858761081</v>
      </c>
      <c r="P48" s="23" cm="1">
        <f t="array" ref="P48">_xlfn.XLOOKUP($A48,_xlfn.ANCHORARRAY( 'V1 Pricing Model (Step 2)'!$A$22), 'V1 Pricing Model (Step 2)'!$AC$22:$AC$71)</f>
        <v>979.85122372361684</v>
      </c>
      <c r="Q48" s="23" cm="1">
        <f t="array" ref="Q48">_xlfn.XLOOKUP($A48,_xlfn.ANCHORARRAY('V1 Pricing Model (Step 2)'!$A$22),'V1 Pricing Model (Step 2)'!$AI$22:$AI$71,,0)</f>
        <v>1086.0712237236162</v>
      </c>
      <c r="R48" s="24" cm="1">
        <f t="array" ref="R48">COUNTA(_xlfn.UNIQUE(_xlfn._xlws.FILTER(Transactions_and_Customer_Information_Joined[Customer ID], (Transactions_and_Customer_Information_Joined[SKU]='Monte Carlo IO (4)'!$A48) * (Transactions_and_Customer_Information_Joined[Order Status] = "Completed"), "")))</f>
        <v>16</v>
      </c>
      <c r="S48" s="42" cm="1">
        <f t="array" ref="S48">AVERAGE(_xlfn._xlws.FILTER('V1-Based Churn Model (Step 3)'!$W$39:$W$590,
    ISNUMBER(MATCH('V1-Based Churn Model (Step 3)'!$A$39:$A$590,
    _xlfn.UNIQUE(_xlfn._xlws.FILTER(Transactions_and_Customer_Information_Joined[Customer ID],
    (Transactions_and_Customer_Information_Joined[SKU]='Monte Carlo IO (4)'!$A48)*
    (Transactions_and_Customer_Information_Joined[Order Status]="Completed"))),0))))</f>
        <v>65.562929794400333</v>
      </c>
      <c r="T48" s="25" cm="1">
        <f t="array" ref="T48">AVERAGE(_xlfn._xlws.FILTER('V1-Based Churn Model (Step 3)'!$Y$39:$Y$590,
    ISNUMBER(MATCH('V1-Based Churn Model (Step 3)'!$A$39:$A$590,
    _xlfn.UNIQUE(_xlfn._xlws.FILTER(Transactions_and_Customer_Information_Joined[Customer ID],
    (Transactions_and_Customer_Information_Joined[SKU]='Monte Carlo IO (4)'!$A48)*
    (Transactions_and_Customer_Information_Joined[Order Status]="Completed"))),0))))</f>
        <v>0.2152790454358077</v>
      </c>
      <c r="U48" s="23" cm="1">
        <f t="array" ref="U48">SUM(_xlfn._xlws.FILTER('V1-Based Churn Model (Step 3)'!$I$39:$I$590,
    ISNUMBER(MATCH('V1-Based Churn Model (Step 3)'!$A$39:$A$590,
    _xlfn.UNIQUE(_xlfn._xlws.FILTER(Transactions_and_Customer_Information_Joined[Customer ID],
    (Transactions_and_Customer_Information_Joined[SKU]='Monte Carlo IO (4)'!$A48)*
    (Transactions_and_Customer_Information_Joined[Order Status]="Completed"))),0))))</f>
        <v>10177.91</v>
      </c>
      <c r="V48" s="23" cm="1">
        <f t="array" ref="V48">SUM(_xlfn._xlws.FILTER('V1-Based Churn Model (Step 3)'!$Z$39:$Z$590,
    ISNUMBER(MATCH('V1-Based Churn Model (Step 3)'!$A$39:$A$590,
    _xlfn.UNIQUE(_xlfn._xlws.FILTER(Transactions_and_Customer_Information_Joined[Customer ID],
    (Transactions_and_Customer_Information_Joined[SKU]='Monte Carlo IO (4)'!$A48)*
    (Transactions_and_Customer_Information_Joined[Order Status]="Completed"))),0))))</f>
        <v>2590.186588054918</v>
      </c>
      <c r="W48" s="21" cm="1">
        <f t="array" ref="W48">IFERROR(SUM(_xlfn._xlws.FILTER(('V1-Based Churn Model (Step 3)'!$X$39:$X$4039="Critical")*1,
    ISNUMBER(MATCH('V1-Based Churn Model (Step 3)'!$A$39:$A$4039,
    _xlfn.UNIQUE(_xlfn._xlws.FILTER(Transactions_and_Customer_Information_Joined[Customer ID],
    (Transactions_and_Customer_Information_Joined[SKU]='Monte Carlo IO (4)'!$A48)*
    (Transactions_and_Customer_Information_Joined[Order Status]="Completed"))),0))))
/ $R48, 0)</f>
        <v>0.4375</v>
      </c>
      <c r="X48" s="21" cm="1">
        <f t="array" ref="X48">IFERROR(SUM(_xlfn._xlws.FILTER(('V1-Based Churn Model (Step 3)'!$X$39:$X$4039="High")*1,
    ISNUMBER(MATCH('V1-Based Churn Model (Step 3)'!$A$39:$A$4039,
    _xlfn.UNIQUE(_xlfn._xlws.FILTER(Transactions_and_Customer_Information_Joined[Customer ID],
    (Transactions_and_Customer_Information_Joined[SKU]='Monte Carlo IO (4)'!$A48)*
    (Transactions_and_Customer_Information_Joined[Order Status]="Completed"))),0))))
/ $R48, 0)</f>
        <v>0.25</v>
      </c>
      <c r="Y48" s="21" cm="1">
        <f t="array" ref="Y48">IFERROR(SUM(_xlfn._xlws.FILTER(('V1-Based Churn Model (Step 3)'!$X$39:$X$4039="Medium")*1,
    ISNUMBER(MATCH('V1-Based Churn Model (Step 3)'!$A$39:$A$4039,
    _xlfn.UNIQUE(_xlfn._xlws.FILTER(Transactions_and_Customer_Information_Joined[Customer ID],
    (Transactions_and_Customer_Information_Joined[SKU]='Monte Carlo IO (4)'!$A48)*
    (Transactions_and_Customer_Information_Joined[Order Status]="Completed"))),0))))
/ $R48, 0)</f>
        <v>0.3125</v>
      </c>
      <c r="Z48" s="21" cm="1">
        <f t="array" ref="Z48">IFERROR(SUM(_xlfn._xlws.FILTER(('V1-Based Churn Model (Step 3)'!$X$39:$X$4039="Low")*1,
    ISNUMBER(MATCH('V1-Based Churn Model (Step 3)'!$A$39:$A$4039,
    _xlfn.UNIQUE(_xlfn._xlws.FILTER(Transactions_and_Customer_Information_Joined[Customer ID],
    (Transactions_and_Customer_Information_Joined[SKU]='Monte Carlo IO (4)'!$A48)*
    (Transactions_and_Customer_Information_Joined[Order Status]="Completed"))),0))))
/ $R48, 0)</f>
        <v>0</v>
      </c>
      <c r="AA48" s="3" t="str" cm="1">
        <f t="array" ref="AA48">_xlfn.IFS($W48 = MAX($W48:$Z48), "Critical", $X48 = MAX($W48:$Z48), "High", $Y48 = MAX($W48:$Z48), "Medium", $Z48 = MAX($W48:$Z48), "Low")</f>
        <v>Critical</v>
      </c>
      <c r="AB48" s="23" cm="1">
        <f t="array" ref="AB48:AD48">_xlfn.XLOOKUP($A48, Best_Outcomes[SKU], Best_Outcomes[[Adjusted Price]:[Adjusted Difference %]],,0)</f>
        <v>119.78796669037288</v>
      </c>
      <c r="AC48" s="23">
        <v>7.227966690372881</v>
      </c>
      <c r="AD48" s="21">
        <v>6.4214345152566465E-2</v>
      </c>
      <c r="AE48" s="21">
        <f t="shared" si="4"/>
        <v>-2.5685738061026586E-2</v>
      </c>
      <c r="AF48" s="38">
        <f t="shared" si="5"/>
        <v>40.025685738061028</v>
      </c>
      <c r="AG48" s="23" cm="1">
        <f t="array" ref="AG48:AI48">_xlfn.XLOOKUP($A48,Best_Outcomes[SKU], Best_Outcomes[[Adjusted Gross Revenue]:[Gross Revenue Lift %]])</f>
        <v>4668.4449742040397</v>
      </c>
      <c r="AH48" s="23">
        <v>166.04497420404005</v>
      </c>
      <c r="AI48" s="21">
        <v>3.6879214242190844E-2</v>
      </c>
      <c r="AJ48" s="28">
        <f t="shared" si="6"/>
        <v>2119.760316687712</v>
      </c>
      <c r="AK48" s="28">
        <f t="shared" si="7"/>
        <v>-4.6396833122880707</v>
      </c>
      <c r="AL48" s="9">
        <f t="shared" si="8"/>
        <v>-2.1839970402410423E-3</v>
      </c>
      <c r="AM48" s="23" cm="1">
        <f t="array" ref="AM48:AP48">_xlfn.XLOOKUP($A48,Best_Outcomes[SKU], Best_Outcomes[[Adjusted Gross Profit]:[Gross Profit Margin %]])</f>
        <v>2598.6117561408846</v>
      </c>
      <c r="AN48" s="23">
        <v>220.61175614088506</v>
      </c>
      <c r="AO48" s="21">
        <v>9.2771974827958417E-2</v>
      </c>
      <c r="AP48" s="21">
        <v>0.55663326236033073</v>
      </c>
      <c r="AQ48" s="9">
        <f t="shared" si="9"/>
        <v>2.8470504719961154E-2</v>
      </c>
      <c r="AR48" s="21" cm="1">
        <f t="array" ref="AR48:AU48">_xlfn.XLOOKUP($A48,Best_Outcomes[SKU], Best_Outcomes[[Gross Profit Margin Lift %]:[LTV Protection-Risk Ratio]])</f>
        <v>2.8470504719961154E-2</v>
      </c>
      <c r="AS48" s="23">
        <v>777.05597641647591</v>
      </c>
      <c r="AT48" s="23">
        <v>1165.5839646247127</v>
      </c>
      <c r="AU48" s="21">
        <v>0.6666666666666673</v>
      </c>
    </row>
    <row r="49" spans="1:47">
      <c r="A49" s="24" t="str">
        <v>SKU-1044</v>
      </c>
      <c r="B49" s="24" t="str">
        <f>_xlfn.XLOOKUP($A49,_1_product_catalog_pricing[SKU], _1_product_catalog_pricing[Product Name],,0)</f>
        <v>Foam Roller</v>
      </c>
      <c r="C49" s="24" t="str">
        <f>_xlfn.XLOOKUP($A49, _1_product_catalog_pricing[SKU], _1_product_catalog_pricing[Category],,0)</f>
        <v>Sports &amp; Outdoors</v>
      </c>
      <c r="D49" s="24" t="str" cm="1">
        <f t="array" ref="D49">_xlfn.XLOOKUP($A49,_xlfn.ANCHORARRAY('V1 Pricing Model (Step 2)'!$A$22), 'V1 Pricing Model (Step 2)'!$T$22:$T$71,,0)</f>
        <v>Raise</v>
      </c>
      <c r="E49" s="24" t="str" cm="1">
        <f t="array" ref="E49">_xlfn.XLOOKUP($A49,_xlfn.ANCHORARRAY('V1 Pricing Model (Step 2)'!$A$22), 'V1 Pricing Model (Step 2)'!$AL$22:$AL$71,,0)</f>
        <v>Full</v>
      </c>
      <c r="F49" s="23" cm="1">
        <f t="array" ref="F49">_xlfn.XLOOKUP($A49,_xlfn.ANCHORARRAY('V1 Pricing Model (Step 2)'!$A$22),_xlfn.ANCHORARRAY( 'V1 Pricing Model (Step 2)'!$D$22),,0)</f>
        <v>144.94999999999999</v>
      </c>
      <c r="G49" s="23" cm="1">
        <f t="array" ref="G49">_xlfn.XLOOKUP($A49,_xlfn.ANCHORARRAY('V1 Pricing Model (Step 2)'!$A$22),_xlfn.ANCHORARRAY( 'V1 Pricing Model (Step 2)'!$E$22),,0)</f>
        <v>77.19</v>
      </c>
      <c r="H49" s="24" cm="1">
        <f t="array" ref="H49">_xlfn.XLOOKUP($A49, 'Competitive Analysis (Step 1)'!$A$10:$A$209,_xlfn.ANCHORARRAY( 'Competitive Analysis (Step 1)'!$Q$10),,0)</f>
        <v>19</v>
      </c>
      <c r="I49" s="28">
        <f t="shared" si="1"/>
        <v>2754.0499999999997</v>
      </c>
      <c r="J49" s="28">
        <f t="shared" si="2"/>
        <v>1466.61</v>
      </c>
      <c r="K49" s="28">
        <f t="shared" si="3"/>
        <v>1287.4399999999998</v>
      </c>
      <c r="L49" s="9">
        <f t="shared" si="0"/>
        <v>0.46747154191100376</v>
      </c>
      <c r="M49" s="23" cm="1">
        <f t="array" ref="M49:O49">_xlfn.XLOOKUP($A49,_xlfn.ANCHORARRAY('V1 Pricing Model (Step 2)'!$A$22),'V1 Pricing Model (Step 2)'!$U$22:$W$71,,0)</f>
        <v>181.88519051376983</v>
      </c>
      <c r="N49" s="23">
        <v>36.93519051376984</v>
      </c>
      <c r="O49" s="24">
        <v>0.25481331848064742</v>
      </c>
      <c r="P49" s="23" cm="1">
        <f t="array" ref="P49">_xlfn.XLOOKUP($A49,_xlfn.ANCHORARRAY( 'V1 Pricing Model (Step 2)'!$A$22), 'V1 Pricing Model (Step 2)'!$AC$22:$AC$71)</f>
        <v>337.99823873408741</v>
      </c>
      <c r="Q49" s="23" cm="1">
        <f t="array" ref="Q49">_xlfn.XLOOKUP($A49,_xlfn.ANCHORARRAY('V1 Pricing Model (Step 2)'!$A$22),'V1 Pricing Model (Step 2)'!$AI$22:$AI$71,,0)</f>
        <v>492.37823873408729</v>
      </c>
      <c r="R49" s="24" cm="1">
        <f t="array" ref="R49">COUNTA(_xlfn.UNIQUE(_xlfn._xlws.FILTER(Transactions_and_Customer_Information_Joined[Customer ID], (Transactions_and_Customer_Information_Joined[SKU]='Monte Carlo IO (4)'!$A49) * (Transactions_and_Customer_Information_Joined[Order Status] = "Completed"), "")))</f>
        <v>10</v>
      </c>
      <c r="S49" s="42" cm="1">
        <f t="array" ref="S49">AVERAGE(_xlfn._xlws.FILTER('V1-Based Churn Model (Step 3)'!$W$39:$W$590,
    ISNUMBER(MATCH('V1-Based Churn Model (Step 3)'!$A$39:$A$590,
    _xlfn.UNIQUE(_xlfn._xlws.FILTER(Transactions_and_Customer_Information_Joined[Customer ID],
    (Transactions_and_Customer_Information_Joined[SKU]='Monte Carlo IO (4)'!$A49)*
    (Transactions_and_Customer_Information_Joined[Order Status]="Completed"))),0))))</f>
        <v>81.451112944606564</v>
      </c>
      <c r="T49" s="25" cm="1">
        <f t="array" ref="T49">AVERAGE(_xlfn._xlws.FILTER('V1-Based Churn Model (Step 3)'!$Y$39:$Y$590,
    ISNUMBER(MATCH('V1-Based Churn Model (Step 3)'!$A$39:$A$590,
    _xlfn.UNIQUE(_xlfn._xlws.FILTER(Transactions_and_Customer_Information_Joined[Customer ID],
    (Transactions_and_Customer_Information_Joined[SKU]='Monte Carlo IO (4)'!$A49)*
    (Transactions_and_Customer_Information_Joined[Order Status]="Completed"))),0))))</f>
        <v>0.32460947572594412</v>
      </c>
      <c r="U49" s="23" cm="1">
        <f t="array" ref="U49">SUM(_xlfn._xlws.FILTER('V1-Based Churn Model (Step 3)'!$I$39:$I$590,
    ISNUMBER(MATCH('V1-Based Churn Model (Step 3)'!$A$39:$A$590,
    _xlfn.UNIQUE(_xlfn._xlws.FILTER(Transactions_and_Customer_Information_Joined[Customer ID],
    (Transactions_and_Customer_Information_Joined[SKU]='Monte Carlo IO (4)'!$A49)*
    (Transactions_and_Customer_Information_Joined[Order Status]="Completed"))),0))))</f>
        <v>5163.41</v>
      </c>
      <c r="V49" s="23" cm="1">
        <f t="array" ref="V49">SUM(_xlfn._xlws.FILTER('V1-Based Churn Model (Step 3)'!$Z$39:$Z$590,
    ISNUMBER(MATCH('V1-Based Churn Model (Step 3)'!$A$39:$A$590,
    _xlfn.UNIQUE(_xlfn._xlws.FILTER(Transactions_and_Customer_Information_Joined[Customer ID],
    (Transactions_and_Customer_Information_Joined[SKU]='Monte Carlo IO (4)'!$A49)*
    (Transactions_and_Customer_Information_Joined[Order Status]="Completed"))),0))))</f>
        <v>1457.9708511723543</v>
      </c>
      <c r="W49" s="21" cm="1">
        <f t="array" ref="W49">IFERROR(SUM(_xlfn._xlws.FILTER(('V1-Based Churn Model (Step 3)'!$X$39:$X$4039="Critical")*1,
    ISNUMBER(MATCH('V1-Based Churn Model (Step 3)'!$A$39:$A$4039,
    _xlfn.UNIQUE(_xlfn._xlws.FILTER(Transactions_and_Customer_Information_Joined[Customer ID],
    (Transactions_and_Customer_Information_Joined[SKU]='Monte Carlo IO (4)'!$A49)*
    (Transactions_and_Customer_Information_Joined[Order Status]="Completed"))),0))))
/ $R49, 0)</f>
        <v>0.7</v>
      </c>
      <c r="X49" s="21" cm="1">
        <f t="array" ref="X49">IFERROR(SUM(_xlfn._xlws.FILTER(('V1-Based Churn Model (Step 3)'!$X$39:$X$4039="High")*1,
    ISNUMBER(MATCH('V1-Based Churn Model (Step 3)'!$A$39:$A$4039,
    _xlfn.UNIQUE(_xlfn._xlws.FILTER(Transactions_and_Customer_Information_Joined[Customer ID],
    (Transactions_and_Customer_Information_Joined[SKU]='Monte Carlo IO (4)'!$A49)*
    (Transactions_and_Customer_Information_Joined[Order Status]="Completed"))),0))))
/ $R49, 0)</f>
        <v>0.2</v>
      </c>
      <c r="Y49" s="21" cm="1">
        <f t="array" ref="Y49">IFERROR(SUM(_xlfn._xlws.FILTER(('V1-Based Churn Model (Step 3)'!$X$39:$X$4039="Medium")*1,
    ISNUMBER(MATCH('V1-Based Churn Model (Step 3)'!$A$39:$A$4039,
    _xlfn.UNIQUE(_xlfn._xlws.FILTER(Transactions_and_Customer_Information_Joined[Customer ID],
    (Transactions_and_Customer_Information_Joined[SKU]='Monte Carlo IO (4)'!$A49)*
    (Transactions_and_Customer_Information_Joined[Order Status]="Completed"))),0))))
/ $R49, 0)</f>
        <v>0.1</v>
      </c>
      <c r="Z49" s="21" cm="1">
        <f t="array" ref="Z49">IFERROR(SUM(_xlfn._xlws.FILTER(('V1-Based Churn Model (Step 3)'!$X$39:$X$4039="Low")*1,
    ISNUMBER(MATCH('V1-Based Churn Model (Step 3)'!$A$39:$A$4039,
    _xlfn.UNIQUE(_xlfn._xlws.FILTER(Transactions_and_Customer_Information_Joined[Customer ID],
    (Transactions_and_Customer_Information_Joined[SKU]='Monte Carlo IO (4)'!$A49)*
    (Transactions_and_Customer_Information_Joined[Order Status]="Completed"))),0))))
/ $R49, 0)</f>
        <v>0</v>
      </c>
      <c r="AA49" s="3" t="str" cm="1">
        <f t="array" ref="AA49">_xlfn.IFS($W49 = MAX($W49:$Z49), "Critical", $X49 = MAX($W49:$Z49), "High", $Y49 = MAX($W49:$Z49), "Medium", $Z49 = MAX($W49:$Z49), "Low")</f>
        <v>Critical</v>
      </c>
      <c r="AB49" s="23" cm="1">
        <f t="array" ref="AB49:AD49">_xlfn.XLOOKUP($A49, Best_Outcomes[SKU], Best_Outcomes[[Adjusted Price]:[Adjusted Difference %]],,0)</f>
        <v>167.1111143082619</v>
      </c>
      <c r="AC49" s="23">
        <v>22.161114308261915</v>
      </c>
      <c r="AD49" s="21">
        <v>0.15288799108838852</v>
      </c>
      <c r="AE49" s="21">
        <f t="shared" si="4"/>
        <v>-6.1155196435355413E-2</v>
      </c>
      <c r="AF49" s="38">
        <f t="shared" si="5"/>
        <v>19.061155196435354</v>
      </c>
      <c r="AG49" s="23" cm="1">
        <f t="array" ref="AG49:AI49">_xlfn.XLOOKUP($A49,Best_Outcomes[SKU], Best_Outcomes[[Adjusted Gross Revenue]:[Gross Revenue Lift %]])</f>
        <v>2980.9366244379712</v>
      </c>
      <c r="AH49" s="23">
        <v>226.88662443797148</v>
      </c>
      <c r="AI49" s="21">
        <v>8.2382899525415845E-2</v>
      </c>
      <c r="AJ49" s="28">
        <f t="shared" si="6"/>
        <v>1009.4787792032164</v>
      </c>
      <c r="AK49" s="28">
        <f t="shared" si="7"/>
        <v>-457.13122079678351</v>
      </c>
      <c r="AL49" s="9">
        <f t="shared" si="8"/>
        <v>-0.31169242047768903</v>
      </c>
      <c r="AM49" s="23" cm="1">
        <f t="array" ref="AM49:AP49">_xlfn.XLOOKUP($A49,Best_Outcomes[SKU], Best_Outcomes[[Adjusted Gross Profit]:[Gross Profit Margin %]])</f>
        <v>1604.017447082028</v>
      </c>
      <c r="AN49" s="23">
        <v>316.57744708202813</v>
      </c>
      <c r="AO49" s="21">
        <v>0.24589685506278208</v>
      </c>
      <c r="AP49" s="21">
        <v>0.53809176415632487</v>
      </c>
      <c r="AQ49" s="9">
        <f t="shared" si="9"/>
        <v>7.0620222245321107E-2</v>
      </c>
      <c r="AR49" s="21" cm="1">
        <f t="array" ref="AR49:AU49">_xlfn.XLOOKUP($A49,Best_Outcomes[SKU], Best_Outcomes[[Gross Profit Margin Lift %]:[LTV Protection-Risk Ratio]])</f>
        <v>7.0620222245321107E-2</v>
      </c>
      <c r="AS49" s="23">
        <v>519.03762301735776</v>
      </c>
      <c r="AT49" s="23">
        <v>778.55643452603761</v>
      </c>
      <c r="AU49" s="21">
        <v>0.66666666666666585</v>
      </c>
    </row>
    <row r="50" spans="1:47">
      <c r="A50" s="24" t="str">
        <v>SKU-1045</v>
      </c>
      <c r="B50" s="24" t="str">
        <f>_xlfn.XLOOKUP($A50,_1_product_catalog_pricing[SKU], _1_product_catalog_pricing[Product Name],,0)</f>
        <v>Dumbbell Set</v>
      </c>
      <c r="C50" s="24" t="str">
        <f>_xlfn.XLOOKUP($A50, _1_product_catalog_pricing[SKU], _1_product_catalog_pricing[Category],,0)</f>
        <v>Sports &amp; Outdoors</v>
      </c>
      <c r="D50" s="24" t="str" cm="1">
        <f t="array" ref="D50">_xlfn.XLOOKUP($A50,_xlfn.ANCHORARRAY('V1 Pricing Model (Step 2)'!$A$22), 'V1 Pricing Model (Step 2)'!$T$22:$T$71,,0)</f>
        <v>Reduce</v>
      </c>
      <c r="E50" s="24" t="str" cm="1">
        <f t="array" ref="E50">_xlfn.XLOOKUP($A50,_xlfn.ANCHORARRAY('V1 Pricing Model (Step 2)'!$A$22), 'V1 Pricing Model (Step 2)'!$AL$22:$AL$71,,0)</f>
        <v>Full</v>
      </c>
      <c r="F50" s="23" cm="1">
        <f t="array" ref="F50">_xlfn.XLOOKUP($A50,_xlfn.ANCHORARRAY('V1 Pricing Model (Step 2)'!$A$22),_xlfn.ANCHORARRAY( 'V1 Pricing Model (Step 2)'!$D$22),,0)</f>
        <v>126.76</v>
      </c>
      <c r="G50" s="23" cm="1">
        <f t="array" ref="G50">_xlfn.XLOOKUP($A50,_xlfn.ANCHORARRAY('V1 Pricing Model (Step 2)'!$A$22),_xlfn.ANCHORARRAY( 'V1 Pricing Model (Step 2)'!$E$22),,0)</f>
        <v>78.819999999999993</v>
      </c>
      <c r="H50" s="24" cm="1">
        <f t="array" ref="H50">_xlfn.XLOOKUP($A50, 'Competitive Analysis (Step 1)'!$A$10:$A$209,_xlfn.ANCHORARRAY( 'Competitive Analysis (Step 1)'!$Q$10),,0)</f>
        <v>23</v>
      </c>
      <c r="I50" s="28">
        <f t="shared" si="1"/>
        <v>2915.48</v>
      </c>
      <c r="J50" s="28">
        <f t="shared" si="2"/>
        <v>1812.86</v>
      </c>
      <c r="K50" s="28">
        <f t="shared" si="3"/>
        <v>1102.6200000000001</v>
      </c>
      <c r="L50" s="9">
        <f t="shared" si="0"/>
        <v>0.37819501420006313</v>
      </c>
      <c r="M50" s="23" cm="1">
        <f t="array" ref="M50:O50">_xlfn.XLOOKUP($A50,_xlfn.ANCHORARRAY('V1 Pricing Model (Step 2)'!$A$22),'V1 Pricing Model (Step 2)'!$U$22:$W$71,,0)</f>
        <v>128.30972710860155</v>
      </c>
      <c r="N50" s="23">
        <v>1.5497271086015445</v>
      </c>
      <c r="O50" s="24">
        <v>1.2225679304209092E-2</v>
      </c>
      <c r="P50" s="23" cm="1">
        <f t="array" ref="P50">_xlfn.XLOOKUP($A50,_xlfn.ANCHORARRAY( 'V1 Pricing Model (Step 2)'!$A$22), 'V1 Pricing Model (Step 2)'!$AC$22:$AC$71)</f>
        <v>771.64372349783571</v>
      </c>
      <c r="Q50" s="23" cm="1">
        <f t="array" ref="Q50">_xlfn.XLOOKUP($A50,_xlfn.ANCHORARRAY('V1 Pricing Model (Step 2)'!$A$22),'V1 Pricing Model (Step 2)'!$AI$22:$AI$71,,0)</f>
        <v>771.64372349783571</v>
      </c>
      <c r="R50" s="24" cm="1">
        <f t="array" ref="R50">COUNTA(_xlfn.UNIQUE(_xlfn._xlws.FILTER(Transactions_and_Customer_Information_Joined[Customer ID], (Transactions_and_Customer_Information_Joined[SKU]='Monte Carlo IO (4)'!$A50) * (Transactions_and_Customer_Information_Joined[Order Status] = "Completed"), "")))</f>
        <v>7</v>
      </c>
      <c r="S50" s="42" cm="1">
        <f t="array" ref="S50">AVERAGE(_xlfn._xlws.FILTER('V1-Based Churn Model (Step 3)'!$W$39:$W$590,
    ISNUMBER(MATCH('V1-Based Churn Model (Step 3)'!$A$39:$A$590,
    _xlfn.UNIQUE(_xlfn._xlws.FILTER(Transactions_and_Customer_Information_Joined[Customer ID],
    (Transactions_and_Customer_Information_Joined[SKU]='Monte Carlo IO (4)'!$A50)*
    (Transactions_and_Customer_Information_Joined[Order Status]="Completed"))),0))))</f>
        <v>60.80367002931122</v>
      </c>
      <c r="T50" s="25" cm="1">
        <f t="array" ref="T50">AVERAGE(_xlfn._xlws.FILTER('V1-Based Churn Model (Step 3)'!$Y$39:$Y$590,
    ISNUMBER(MATCH('V1-Based Churn Model (Step 3)'!$A$39:$A$590,
    _xlfn.UNIQUE(_xlfn._xlws.FILTER(Transactions_and_Customer_Information_Joined[Customer ID],
    (Transactions_and_Customer_Information_Joined[SKU]='Monte Carlo IO (4)'!$A50)*
    (Transactions_and_Customer_Information_Joined[Order Status]="Completed"))),0))))</f>
        <v>0.18697416577172582</v>
      </c>
      <c r="U50" s="23" cm="1">
        <f t="array" ref="U50">SUM(_xlfn._xlws.FILTER('V1-Based Churn Model (Step 3)'!$I$39:$I$590,
    ISNUMBER(MATCH('V1-Based Churn Model (Step 3)'!$A$39:$A$590,
    _xlfn.UNIQUE(_xlfn._xlws.FILTER(Transactions_and_Customer_Information_Joined[Customer ID],
    (Transactions_and_Customer_Information_Joined[SKU]='Monte Carlo IO (4)'!$A50)*
    (Transactions_and_Customer_Information_Joined[Order Status]="Completed"))),0))))</f>
        <v>6251</v>
      </c>
      <c r="V50" s="23" cm="1">
        <f t="array" ref="V50">SUM(_xlfn._xlws.FILTER('V1-Based Churn Model (Step 3)'!$Z$39:$Z$590,
    ISNUMBER(MATCH('V1-Based Churn Model (Step 3)'!$A$39:$A$590,
    _xlfn.UNIQUE(_xlfn._xlws.FILTER(Transactions_and_Customer_Information_Joined[Customer ID],
    (Transactions_and_Customer_Information_Joined[SKU]='Monte Carlo IO (4)'!$A50)*
    (Transactions_and_Customer_Information_Joined[Order Status]="Completed"))),0))))</f>
        <v>1411.6500442557856</v>
      </c>
      <c r="W50" s="21" cm="1">
        <f t="array" ref="W50">IFERROR(SUM(_xlfn._xlws.FILTER(('V1-Based Churn Model (Step 3)'!$X$39:$X$4039="Critical")*1,
    ISNUMBER(MATCH('V1-Based Churn Model (Step 3)'!$A$39:$A$4039,
    _xlfn.UNIQUE(_xlfn._xlws.FILTER(Transactions_and_Customer_Information_Joined[Customer ID],
    (Transactions_and_Customer_Information_Joined[SKU]='Monte Carlo IO (4)'!$A50)*
    (Transactions_and_Customer_Information_Joined[Order Status]="Completed"))),0))))
/ $R50, 0)</f>
        <v>0.42857142857142855</v>
      </c>
      <c r="X50" s="21" cm="1">
        <f t="array" ref="X50">IFERROR(SUM(_xlfn._xlws.FILTER(('V1-Based Churn Model (Step 3)'!$X$39:$X$4039="High")*1,
    ISNUMBER(MATCH('V1-Based Churn Model (Step 3)'!$A$39:$A$4039,
    _xlfn.UNIQUE(_xlfn._xlws.FILTER(Transactions_and_Customer_Information_Joined[Customer ID],
    (Transactions_and_Customer_Information_Joined[SKU]='Monte Carlo IO (4)'!$A50)*
    (Transactions_and_Customer_Information_Joined[Order Status]="Completed"))),0))))
/ $R50, 0)</f>
        <v>0</v>
      </c>
      <c r="Y50" s="21" cm="1">
        <f t="array" ref="Y50">IFERROR(SUM(_xlfn._xlws.FILTER(('V1-Based Churn Model (Step 3)'!$X$39:$X$4039="Medium")*1,
    ISNUMBER(MATCH('V1-Based Churn Model (Step 3)'!$A$39:$A$4039,
    _xlfn.UNIQUE(_xlfn._xlws.FILTER(Transactions_and_Customer_Information_Joined[Customer ID],
    (Transactions_and_Customer_Information_Joined[SKU]='Monte Carlo IO (4)'!$A50)*
    (Transactions_and_Customer_Information_Joined[Order Status]="Completed"))),0))))
/ $R50, 0)</f>
        <v>0.5714285714285714</v>
      </c>
      <c r="Z50" s="21" cm="1">
        <f t="array" ref="Z50">IFERROR(SUM(_xlfn._xlws.FILTER(('V1-Based Churn Model (Step 3)'!$X$39:$X$4039="Low")*1,
    ISNUMBER(MATCH('V1-Based Churn Model (Step 3)'!$A$39:$A$4039,
    _xlfn.UNIQUE(_xlfn._xlws.FILTER(Transactions_and_Customer_Information_Joined[Customer ID],
    (Transactions_and_Customer_Information_Joined[SKU]='Monte Carlo IO (4)'!$A50)*
    (Transactions_and_Customer_Information_Joined[Order Status]="Completed"))),0))))
/ $R50, 0)</f>
        <v>0</v>
      </c>
      <c r="AA50" s="3" t="str" cm="1">
        <f t="array" ref="AA50">_xlfn.IFS($W50 = MAX($W50:$Z50), "Critical", $X50 = MAX($W50:$Z50), "High", $Y50 = MAX($W50:$Z50), "Medium", $Z50 = MAX($W50:$Z50), "Low")</f>
        <v>Medium</v>
      </c>
      <c r="AB50" s="23" cm="1">
        <f t="array" ref="AB50:AD50">_xlfn.XLOOKUP($A50, Best_Outcomes[SKU], Best_Outcomes[[Adjusted Price]:[Adjusted Difference %]],,0)</f>
        <v>126.76</v>
      </c>
      <c r="AC50" s="23">
        <v>0</v>
      </c>
      <c r="AD50" s="21">
        <v>0</v>
      </c>
      <c r="AE50" s="21">
        <f t="shared" si="4"/>
        <v>0</v>
      </c>
      <c r="AF50" s="38">
        <f t="shared" si="5"/>
        <v>23</v>
      </c>
      <c r="AG50" s="23" cm="1">
        <f t="array" ref="AG50:AI50">_xlfn.XLOOKUP($A50,Best_Outcomes[SKU], Best_Outcomes[[Adjusted Gross Revenue]:[Gross Revenue Lift %]])</f>
        <v>2915.48</v>
      </c>
      <c r="AH50" s="23">
        <v>0</v>
      </c>
      <c r="AI50" s="39">
        <v>0</v>
      </c>
      <c r="AJ50" s="28">
        <f t="shared" si="6"/>
        <v>1218.08</v>
      </c>
      <c r="AK50" s="28">
        <f t="shared" si="7"/>
        <v>-594.78</v>
      </c>
      <c r="AL50" s="9">
        <f t="shared" si="8"/>
        <v>-0.32808931743212383</v>
      </c>
      <c r="AM50" s="23" cm="1">
        <f t="array" ref="AM50:AP50">_xlfn.XLOOKUP($A50,Best_Outcomes[SKU], Best_Outcomes[[Adjusted Gross Profit]:[Gross Profit Margin %]])</f>
        <v>1102.6200000000001</v>
      </c>
      <c r="AN50" s="23">
        <v>0</v>
      </c>
      <c r="AO50" s="21">
        <v>0</v>
      </c>
      <c r="AP50" s="21">
        <v>0.37819501420006313</v>
      </c>
      <c r="AQ50" s="9">
        <f t="shared" si="9"/>
        <v>0</v>
      </c>
      <c r="AR50" s="21" cm="1">
        <f t="array" ref="AR50:AU50">_xlfn.XLOOKUP($A50,Best_Outcomes[SKU], Best_Outcomes[[Gross Profit Margin Lift %]:[LTV Protection-Risk Ratio]])</f>
        <v>0</v>
      </c>
      <c r="AS50" s="23">
        <v>927.65574336808766</v>
      </c>
      <c r="AT50" s="23">
        <v>0</v>
      </c>
      <c r="AU50" s="21">
        <v>0</v>
      </c>
    </row>
    <row r="51" spans="1:47">
      <c r="A51" s="24" t="str">
        <v>SKU-1046</v>
      </c>
      <c r="B51" s="24" t="str">
        <f>_xlfn.XLOOKUP($A51,_1_product_catalog_pricing[SKU], _1_product_catalog_pricing[Product Name],,0)</f>
        <v>Cycling Gloves</v>
      </c>
      <c r="C51" s="24" t="str">
        <f>_xlfn.XLOOKUP($A51, _1_product_catalog_pricing[SKU], _1_product_catalog_pricing[Category],,0)</f>
        <v>Sports &amp; Outdoors</v>
      </c>
      <c r="D51" s="24" t="str" cm="1">
        <f t="array" ref="D51">_xlfn.XLOOKUP($A51,_xlfn.ANCHORARRAY('V1 Pricing Model (Step 2)'!$A$22), 'V1 Pricing Model (Step 2)'!$T$22:$T$71,,0)</f>
        <v>Hold</v>
      </c>
      <c r="E51" s="24" t="str" cm="1">
        <f t="array" ref="E51">_xlfn.XLOOKUP($A51,_xlfn.ANCHORARRAY('V1 Pricing Model (Step 2)'!$A$22), 'V1 Pricing Model (Step 2)'!$AL$22:$AL$71,,0)</f>
        <v>Full</v>
      </c>
      <c r="F51" s="23" cm="1">
        <f t="array" ref="F51">_xlfn.XLOOKUP($A51,_xlfn.ANCHORARRAY('V1 Pricing Model (Step 2)'!$A$22),_xlfn.ANCHORARRAY( 'V1 Pricing Model (Step 2)'!$D$22),,0)</f>
        <v>116.08</v>
      </c>
      <c r="G51" s="23" cm="1">
        <f t="array" ref="G51">_xlfn.XLOOKUP($A51,_xlfn.ANCHORARRAY('V1 Pricing Model (Step 2)'!$A$22),_xlfn.ANCHORARRAY( 'V1 Pricing Model (Step 2)'!$E$22),,0)</f>
        <v>37.35</v>
      </c>
      <c r="H51" s="24" cm="1">
        <f t="array" ref="H51">_xlfn.XLOOKUP($A51, 'Competitive Analysis (Step 1)'!$A$10:$A$209,_xlfn.ANCHORARRAY( 'Competitive Analysis (Step 1)'!$Q$10),,0)</f>
        <v>19</v>
      </c>
      <c r="I51" s="28">
        <f t="shared" si="1"/>
        <v>2205.52</v>
      </c>
      <c r="J51" s="28">
        <f t="shared" si="2"/>
        <v>709.65</v>
      </c>
      <c r="K51" s="28">
        <f t="shared" si="3"/>
        <v>1495.87</v>
      </c>
      <c r="L51" s="9">
        <f t="shared" si="0"/>
        <v>0.67823914541695374</v>
      </c>
      <c r="M51" s="23" cm="1">
        <f t="array" ref="M51:O51">_xlfn.XLOOKUP($A51,_xlfn.ANCHORARRAY('V1 Pricing Model (Step 2)'!$A$22),'V1 Pricing Model (Step 2)'!$U$22:$W$71,,0)</f>
        <v>117.71087137870938</v>
      </c>
      <c r="N51" s="23">
        <v>1.6308713787093865</v>
      </c>
      <c r="O51" s="24">
        <v>1.4049546680818285E-2</v>
      </c>
      <c r="P51" s="23" cm="1">
        <f t="array" ref="P51">_xlfn.XLOOKUP($A51,_xlfn.ANCHORARRAY( 'V1 Pricing Model (Step 2)'!$A$22), 'V1 Pricing Model (Step 2)'!$AC$22:$AC$71)</f>
        <v>349.04655619547839</v>
      </c>
      <c r="Q51" s="23" cm="1">
        <f t="array" ref="Q51">_xlfn.XLOOKUP($A51,_xlfn.ANCHORARRAY('V1 Pricing Model (Step 2)'!$A$22),'V1 Pricing Model (Step 2)'!$AI$22:$AI$71,,0)</f>
        <v>349.04655619547839</v>
      </c>
      <c r="R51" s="24" cm="1">
        <f t="array" ref="R51">COUNTA(_xlfn.UNIQUE(_xlfn._xlws.FILTER(Transactions_and_Customer_Information_Joined[Customer ID], (Transactions_and_Customer_Information_Joined[SKU]='Monte Carlo IO (4)'!$A51) * (Transactions_and_Customer_Information_Joined[Order Status] = "Completed"), "")))</f>
        <v>10</v>
      </c>
      <c r="S51" s="42" cm="1">
        <f t="array" ref="S51">AVERAGE(_xlfn._xlws.FILTER('V1-Based Churn Model (Step 3)'!$W$39:$W$590,
    ISNUMBER(MATCH('V1-Based Churn Model (Step 3)'!$A$39:$A$590,
    _xlfn.UNIQUE(_xlfn._xlws.FILTER(Transactions_and_Customer_Information_Joined[Customer ID],
    (Transactions_and_Customer_Information_Joined[SKU]='Monte Carlo IO (4)'!$A51)*
    (Transactions_and_Customer_Information_Joined[Order Status]="Completed"))),0))))</f>
        <v>71.42638131516533</v>
      </c>
      <c r="T51" s="25" cm="1">
        <f t="array" ref="T51">AVERAGE(_xlfn._xlws.FILTER('V1-Based Churn Model (Step 3)'!$Y$39:$Y$590,
    ISNUMBER(MATCH('V1-Based Churn Model (Step 3)'!$A$39:$A$590,
    _xlfn.UNIQUE(_xlfn._xlws.FILTER(Transactions_and_Customer_Information_Joined[Customer ID],
    (Transactions_and_Customer_Information_Joined[SKU]='Monte Carlo IO (4)'!$A51)*
    (Transactions_and_Customer_Information_Joined[Order Status]="Completed"))),0))))</f>
        <v>0.2807860902022945</v>
      </c>
      <c r="U51" s="23" cm="1">
        <f t="array" ref="U51">SUM(_xlfn._xlws.FILTER('V1-Based Churn Model (Step 3)'!$I$39:$I$590,
    ISNUMBER(MATCH('V1-Based Churn Model (Step 3)'!$A$39:$A$590,
    _xlfn.UNIQUE(_xlfn._xlws.FILTER(Transactions_and_Customer_Information_Joined[Customer ID],
    (Transactions_and_Customer_Information_Joined[SKU]='Monte Carlo IO (4)'!$A51)*
    (Transactions_and_Customer_Information_Joined[Order Status]="Completed"))),0))))</f>
        <v>5907.4299999999994</v>
      </c>
      <c r="V51" s="23" cm="1">
        <f t="array" ref="V51">SUM(_xlfn._xlws.FILTER('V1-Based Churn Model (Step 3)'!$Z$39:$Z$590,
    ISNUMBER(MATCH('V1-Based Churn Model (Step 3)'!$A$39:$A$590,
    _xlfn.UNIQUE(_xlfn._xlws.FILTER(Transactions_and_Customer_Information_Joined[Customer ID],
    (Transactions_and_Customer_Information_Joined[SKU]='Monte Carlo IO (4)'!$A51)*
    (Transactions_and_Customer_Information_Joined[Order Status]="Completed"))),0))))</f>
        <v>1526.2773825274726</v>
      </c>
      <c r="W51" s="21" cm="1">
        <f t="array" ref="W51">IFERROR(SUM(_xlfn._xlws.FILTER(('V1-Based Churn Model (Step 3)'!$X$39:$X$4039="Critical")*1,
    ISNUMBER(MATCH('V1-Based Churn Model (Step 3)'!$A$39:$A$4039,
    _xlfn.UNIQUE(_xlfn._xlws.FILTER(Transactions_and_Customer_Information_Joined[Customer ID],
    (Transactions_and_Customer_Information_Joined[SKU]='Monte Carlo IO (4)'!$A51)*
    (Transactions_and_Customer_Information_Joined[Order Status]="Completed"))),0))))
/ $R51, 0)</f>
        <v>0.5</v>
      </c>
      <c r="X51" s="21" cm="1">
        <f t="array" ref="X51">IFERROR(SUM(_xlfn._xlws.FILTER(('V1-Based Churn Model (Step 3)'!$X$39:$X$4039="High")*1,
    ISNUMBER(MATCH('V1-Based Churn Model (Step 3)'!$A$39:$A$4039,
    _xlfn.UNIQUE(_xlfn._xlws.FILTER(Transactions_and_Customer_Information_Joined[Customer ID],
    (Transactions_and_Customer_Information_Joined[SKU]='Monte Carlo IO (4)'!$A51)*
    (Transactions_and_Customer_Information_Joined[Order Status]="Completed"))),0))))
/ $R51, 0)</f>
        <v>0.2</v>
      </c>
      <c r="Y51" s="21" cm="1">
        <f t="array" ref="Y51">IFERROR(SUM(_xlfn._xlws.FILTER(('V1-Based Churn Model (Step 3)'!$X$39:$X$4039="Medium")*1,
    ISNUMBER(MATCH('V1-Based Churn Model (Step 3)'!$A$39:$A$4039,
    _xlfn.UNIQUE(_xlfn._xlws.FILTER(Transactions_and_Customer_Information_Joined[Customer ID],
    (Transactions_and_Customer_Information_Joined[SKU]='Monte Carlo IO (4)'!$A51)*
    (Transactions_and_Customer_Information_Joined[Order Status]="Completed"))),0))))
/ $R51, 0)</f>
        <v>0.3</v>
      </c>
      <c r="Z51" s="21" cm="1">
        <f t="array" ref="Z51">IFERROR(SUM(_xlfn._xlws.FILTER(('V1-Based Churn Model (Step 3)'!$X$39:$X$4039="Low")*1,
    ISNUMBER(MATCH('V1-Based Churn Model (Step 3)'!$A$39:$A$4039,
    _xlfn.UNIQUE(_xlfn._xlws.FILTER(Transactions_and_Customer_Information_Joined[Customer ID],
    (Transactions_and_Customer_Information_Joined[SKU]='Monte Carlo IO (4)'!$A51)*
    (Transactions_and_Customer_Information_Joined[Order Status]="Completed"))),0))))
/ $R51, 0)</f>
        <v>0</v>
      </c>
      <c r="AA51" s="3" t="str" cm="1">
        <f t="array" ref="AA51">_xlfn.IFS($W51 = MAX($W51:$Z51), "Critical", $X51 = MAX($W51:$Z51), "High", $Y51 = MAX($W51:$Z51), "Medium", $Z51 = MAX($W51:$Z51), "Low")</f>
        <v>Critical</v>
      </c>
      <c r="AB51" s="23" cm="1">
        <f t="array" ref="AB51:AD51">_xlfn.XLOOKUP($A51, Best_Outcomes[SKU], Best_Outcomes[[Adjusted Price]:[Adjusted Difference %]],,0)</f>
        <v>116.08</v>
      </c>
      <c r="AC51" s="23">
        <v>0</v>
      </c>
      <c r="AD51" s="21">
        <v>0</v>
      </c>
      <c r="AE51" s="21">
        <f t="shared" si="4"/>
        <v>0</v>
      </c>
      <c r="AF51" s="38">
        <f t="shared" si="5"/>
        <v>19</v>
      </c>
      <c r="AG51" s="23" cm="1">
        <f t="array" ref="AG51:AI51">_xlfn.XLOOKUP($A51,Best_Outcomes[SKU], Best_Outcomes[[Adjusted Gross Revenue]:[Gross Revenue Lift %]])</f>
        <v>2205.52</v>
      </c>
      <c r="AH51" s="23">
        <v>0</v>
      </c>
      <c r="AI51" s="39">
        <v>0</v>
      </c>
      <c r="AJ51" s="28">
        <f t="shared" si="6"/>
        <v>1006.24</v>
      </c>
      <c r="AK51" s="28">
        <f t="shared" si="7"/>
        <v>296.59000000000003</v>
      </c>
      <c r="AL51" s="9">
        <f t="shared" si="8"/>
        <v>0.41793842034805895</v>
      </c>
      <c r="AM51" s="23" cm="1">
        <f t="array" ref="AM51:AP51">_xlfn.XLOOKUP($A51,Best_Outcomes[SKU], Best_Outcomes[[Adjusted Gross Profit]:[Gross Profit Margin %]])</f>
        <v>1495.87</v>
      </c>
      <c r="AN51" s="23">
        <v>0</v>
      </c>
      <c r="AO51" s="21">
        <v>0</v>
      </c>
      <c r="AP51" s="21">
        <v>0.67823914541695374</v>
      </c>
      <c r="AQ51" s="9">
        <f t="shared" si="9"/>
        <v>0</v>
      </c>
      <c r="AR51" s="21" cm="1">
        <f t="array" ref="AR51:AU51">_xlfn.XLOOKUP($A51,Best_Outcomes[SKU], Best_Outcomes[[Gross Profit Margin Lift %]:[LTV Protection-Risk Ratio]])</f>
        <v>0</v>
      </c>
      <c r="AS51" s="23">
        <v>1175.2335845461539</v>
      </c>
      <c r="AT51" s="23">
        <v>0</v>
      </c>
      <c r="AU51" s="21">
        <v>0</v>
      </c>
    </row>
    <row r="52" spans="1:47">
      <c r="A52" s="24" t="str">
        <v>SKU-1048</v>
      </c>
      <c r="B52" s="24" t="str">
        <f>_xlfn.XLOOKUP($A52,_1_product_catalog_pricing[SKU], _1_product_catalog_pricing[Product Name],,0)</f>
        <v>Gym Bag</v>
      </c>
      <c r="C52" s="24" t="str">
        <f>_xlfn.XLOOKUP($A52, _1_product_catalog_pricing[SKU], _1_product_catalog_pricing[Category],,0)</f>
        <v>Sports &amp; Outdoors</v>
      </c>
      <c r="D52" s="24" t="str" cm="1">
        <f t="array" ref="D52">_xlfn.XLOOKUP($A52,_xlfn.ANCHORARRAY('V1 Pricing Model (Step 2)'!$A$22), 'V1 Pricing Model (Step 2)'!$T$22:$T$71,,0)</f>
        <v>Hold</v>
      </c>
      <c r="E52" s="24" t="str" cm="1">
        <f t="array" ref="E52">_xlfn.XLOOKUP($A52,_xlfn.ANCHORARRAY('V1 Pricing Model (Step 2)'!$A$22), 'V1 Pricing Model (Step 2)'!$AL$22:$AL$71,,0)</f>
        <v>Full</v>
      </c>
      <c r="F52" s="23" cm="1">
        <f t="array" ref="F52">_xlfn.XLOOKUP($A52,_xlfn.ANCHORARRAY('V1 Pricing Model (Step 2)'!$A$22),_xlfn.ANCHORARRAY( 'V1 Pricing Model (Step 2)'!$D$22),,0)</f>
        <v>101.6</v>
      </c>
      <c r="G52" s="23" cm="1">
        <f t="array" ref="G52">_xlfn.XLOOKUP($A52,_xlfn.ANCHORARRAY('V1 Pricing Model (Step 2)'!$A$22),_xlfn.ANCHORARRAY( 'V1 Pricing Model (Step 2)'!$E$22),,0)</f>
        <v>47.68</v>
      </c>
      <c r="H52" s="24" cm="1">
        <f t="array" ref="H52">_xlfn.XLOOKUP($A52, 'Competitive Analysis (Step 1)'!$A$10:$A$209,_xlfn.ANCHORARRAY( 'Competitive Analysis (Step 1)'!$Q$10),,0)</f>
        <v>37</v>
      </c>
      <c r="I52" s="28">
        <f t="shared" si="1"/>
        <v>3759.2</v>
      </c>
      <c r="J52" s="28">
        <f t="shared" si="2"/>
        <v>1764.16</v>
      </c>
      <c r="K52" s="28">
        <f t="shared" si="3"/>
        <v>1995.0399999999997</v>
      </c>
      <c r="L52" s="9">
        <f t="shared" si="0"/>
        <v>0.53070866141732276</v>
      </c>
      <c r="M52" s="23" cm="1">
        <f t="array" ref="M52:O52">_xlfn.XLOOKUP($A52,_xlfn.ANCHORARRAY('V1 Pricing Model (Step 2)'!$A$22),'V1 Pricing Model (Step 2)'!$U$22:$W$71,,0)</f>
        <v>110.85658594324225</v>
      </c>
      <c r="N52" s="23">
        <v>9.256585943242257</v>
      </c>
      <c r="O52" s="24">
        <v>9.1108129362620652E-2</v>
      </c>
      <c r="P52" s="23" cm="1">
        <f t="array" ref="P52">_xlfn.XLOOKUP($A52,_xlfn.ANCHORARRAY( 'V1 Pricing Model (Step 2)'!$A$22), 'V1 Pricing Model (Step 2)'!$AC$22:$AC$71)</f>
        <v>1073.7570939567217</v>
      </c>
      <c r="Q52" s="23" cm="1">
        <f t="array" ref="Q52">_xlfn.XLOOKUP($A52,_xlfn.ANCHORARRAY('V1 Pricing Model (Step 2)'!$A$22),'V1 Pricing Model (Step 2)'!$AI$22:$AI$71,,0)</f>
        <v>1121.4370939567214</v>
      </c>
      <c r="R52" s="24" cm="1">
        <f t="array" ref="R52">COUNTA(_xlfn.UNIQUE(_xlfn._xlws.FILTER(Transactions_and_Customer_Information_Joined[Customer ID], (Transactions_and_Customer_Information_Joined[SKU]='Monte Carlo IO (4)'!$A52) * (Transactions_and_Customer_Information_Joined[Order Status] = "Completed"), "")))</f>
        <v>14</v>
      </c>
      <c r="S52" s="42" cm="1">
        <f t="array" ref="S52">AVERAGE(_xlfn._xlws.FILTER('V1-Based Churn Model (Step 3)'!$W$39:$W$590,
    ISNUMBER(MATCH('V1-Based Churn Model (Step 3)'!$A$39:$A$590,
    _xlfn.UNIQUE(_xlfn._xlws.FILTER(Transactions_and_Customer_Information_Joined[Customer ID],
    (Transactions_and_Customer_Information_Joined[SKU]='Monte Carlo IO (4)'!$A52)*
    (Transactions_and_Customer_Information_Joined[Order Status]="Completed"))),0))))</f>
        <v>68.052230319607702</v>
      </c>
      <c r="T52" s="25" cm="1">
        <f t="array" ref="T52">AVERAGE(_xlfn._xlws.FILTER('V1-Based Churn Model (Step 3)'!$Y$39:$Y$590,
    ISNUMBER(MATCH('V1-Based Churn Model (Step 3)'!$A$39:$A$590,
    _xlfn.UNIQUE(_xlfn._xlws.FILTER(Transactions_and_Customer_Information_Joined[Customer ID],
    (Transactions_and_Customer_Information_Joined[SKU]='Monte Carlo IO (4)'!$A52)*
    (Transactions_and_Customer_Information_Joined[Order Status]="Completed"))),0))))</f>
        <v>0.253274531094973</v>
      </c>
      <c r="U52" s="23" cm="1">
        <f t="array" ref="U52">SUM(_xlfn._xlws.FILTER('V1-Based Churn Model (Step 3)'!$I$39:$I$590,
    ISNUMBER(MATCH('V1-Based Churn Model (Step 3)'!$A$39:$A$590,
    _xlfn.UNIQUE(_xlfn._xlws.FILTER(Transactions_and_Customer_Information_Joined[Customer ID],
    (Transactions_and_Customer_Information_Joined[SKU]='Monte Carlo IO (4)'!$A52)*
    (Transactions_and_Customer_Information_Joined[Order Status]="Completed"))),0))))</f>
        <v>8998.91</v>
      </c>
      <c r="V52" s="23" cm="1">
        <f t="array" ref="V52">SUM(_xlfn._xlws.FILTER('V1-Based Churn Model (Step 3)'!$Z$39:$Z$590,
    ISNUMBER(MATCH('V1-Based Churn Model (Step 3)'!$A$39:$A$590,
    _xlfn.UNIQUE(_xlfn._xlws.FILTER(Transactions_and_Customer_Information_Joined[Customer ID],
    (Transactions_and_Customer_Information_Joined[SKU]='Monte Carlo IO (4)'!$A52)*
    (Transactions_and_Customer_Information_Joined[Order Status]="Completed"))),0))))</f>
        <v>1862.6932397664843</v>
      </c>
      <c r="W52" s="21" cm="1">
        <f t="array" ref="W52">IFERROR(SUM(_xlfn._xlws.FILTER(('V1-Based Churn Model (Step 3)'!$X$39:$X$4039="Critical")*1,
    ISNUMBER(MATCH('V1-Based Churn Model (Step 3)'!$A$39:$A$4039,
    _xlfn.UNIQUE(_xlfn._xlws.FILTER(Transactions_and_Customer_Information_Joined[Customer ID],
    (Transactions_and_Customer_Information_Joined[SKU]='Monte Carlo IO (4)'!$A52)*
    (Transactions_and_Customer_Information_Joined[Order Status]="Completed"))),0))))
/ $R52, 0)</f>
        <v>0.5</v>
      </c>
      <c r="X52" s="21" cm="1">
        <f t="array" ref="X52">IFERROR(SUM(_xlfn._xlws.FILTER(('V1-Based Churn Model (Step 3)'!$X$39:$X$4039="High")*1,
    ISNUMBER(MATCH('V1-Based Churn Model (Step 3)'!$A$39:$A$4039,
    _xlfn.UNIQUE(_xlfn._xlws.FILTER(Transactions_and_Customer_Information_Joined[Customer ID],
    (Transactions_and_Customer_Information_Joined[SKU]='Monte Carlo IO (4)'!$A52)*
    (Transactions_and_Customer_Information_Joined[Order Status]="Completed"))),0))))
/ $R52, 0)</f>
        <v>0.21428571428571427</v>
      </c>
      <c r="Y52" s="21" cm="1">
        <f t="array" ref="Y52">IFERROR(SUM(_xlfn._xlws.FILTER(('V1-Based Churn Model (Step 3)'!$X$39:$X$4039="Medium")*1,
    ISNUMBER(MATCH('V1-Based Churn Model (Step 3)'!$A$39:$A$4039,
    _xlfn.UNIQUE(_xlfn._xlws.FILTER(Transactions_and_Customer_Information_Joined[Customer ID],
    (Transactions_and_Customer_Information_Joined[SKU]='Monte Carlo IO (4)'!$A52)*
    (Transactions_and_Customer_Information_Joined[Order Status]="Completed"))),0))))
/ $R52, 0)</f>
        <v>0.14285714285714285</v>
      </c>
      <c r="Z52" s="21" cm="1">
        <f t="array" ref="Z52">IFERROR(SUM(_xlfn._xlws.FILTER(('V1-Based Churn Model (Step 3)'!$X$39:$X$4039="Low")*1,
    ISNUMBER(MATCH('V1-Based Churn Model (Step 3)'!$A$39:$A$4039,
    _xlfn.UNIQUE(_xlfn._xlws.FILTER(Transactions_and_Customer_Information_Joined[Customer ID],
    (Transactions_and_Customer_Information_Joined[SKU]='Monte Carlo IO (4)'!$A52)*
    (Transactions_and_Customer_Information_Joined[Order Status]="Completed"))),0))))
/ $R52, 0)</f>
        <v>0.14285714285714285</v>
      </c>
      <c r="AA52" s="3" t="str" cm="1">
        <f t="array" ref="AA52">_xlfn.IFS($W52 = MAX($W52:$Z52), "Critical", $X52 = MAX($W52:$Z52), "High", $Y52 = MAX($W52:$Z52), "Medium", $Z52 = MAX($W52:$Z52), "Low")</f>
        <v>Critical</v>
      </c>
      <c r="AB52" s="23" cm="1">
        <f t="array" ref="AB52:AD52">_xlfn.XLOOKUP($A52, Best_Outcomes[SKU], Best_Outcomes[[Adjusted Price]:[Adjusted Difference %]],,0)</f>
        <v>107.15395156594535</v>
      </c>
      <c r="AC52" s="23">
        <v>5.5539515659453542</v>
      </c>
      <c r="AD52" s="21">
        <v>5.466487761757239E-2</v>
      </c>
      <c r="AE52" s="21">
        <f t="shared" si="4"/>
        <v>-2.1865951047028959E-2</v>
      </c>
      <c r="AF52" s="38">
        <f t="shared" si="5"/>
        <v>37.021865951047026</v>
      </c>
      <c r="AG52" s="23" cm="1">
        <f t="array" ref="AG52:AI52">_xlfn.XLOOKUP($A52,Best_Outcomes[SKU], Best_Outcomes[[Adjusted Gross Revenue]:[Gross Revenue Lift %]])</f>
        <v>3878.0043547408213</v>
      </c>
      <c r="AH52" s="23">
        <v>118.80435474082151</v>
      </c>
      <c r="AI52" s="21">
        <v>3.1603627032565841E-2</v>
      </c>
      <c r="AJ52" s="28">
        <f t="shared" si="6"/>
        <v>1960.6780207674506</v>
      </c>
      <c r="AK52" s="28">
        <f t="shared" si="7"/>
        <v>196.51802076745048</v>
      </c>
      <c r="AL52" s="9">
        <f t="shared" si="8"/>
        <v>0.11139466985276306</v>
      </c>
      <c r="AM52" s="23" cm="1">
        <f t="array" ref="AM52:AP52">_xlfn.XLOOKUP($A52,Best_Outcomes[SKU], Best_Outcomes[[Adjusted Gross Profit]:[Gross Profit Margin %]])</f>
        <v>2152.4193909399478</v>
      </c>
      <c r="AN52" s="23">
        <v>157.37939093994805</v>
      </c>
      <c r="AO52" s="21">
        <v>7.888533109107991E-2</v>
      </c>
      <c r="AP52" s="21">
        <v>0.55503274211351428</v>
      </c>
      <c r="AQ52" s="9">
        <f t="shared" si="9"/>
        <v>2.4324080696191519E-2</v>
      </c>
      <c r="AR52" s="21" cm="1">
        <f t="array" ref="AR52:AU52">_xlfn.XLOOKUP($A52,Best_Outcomes[SKU], Best_Outcomes[[Gross Profit Margin Lift %]:[LTV Protection-Risk Ratio]])</f>
        <v>2.4324080696191519E-2</v>
      </c>
      <c r="AS52" s="23">
        <v>550.82500090237477</v>
      </c>
      <c r="AT52" s="23">
        <v>826.23750135356204</v>
      </c>
      <c r="AU52" s="21">
        <v>0.66666666666666674</v>
      </c>
    </row>
    <row r="53" spans="1:47">
      <c r="A53" s="24" t="str">
        <v>SKU-1049</v>
      </c>
      <c r="B53" s="24" t="str">
        <f>_xlfn.XLOOKUP($A53,_1_product_catalog_pricing[SKU], _1_product_catalog_pricing[Product Name],,0)</f>
        <v>Protein Shaker</v>
      </c>
      <c r="C53" s="24" t="str">
        <f>_xlfn.XLOOKUP($A53, _1_product_catalog_pricing[SKU], _1_product_catalog_pricing[Category],,0)</f>
        <v>Sports &amp; Outdoors</v>
      </c>
      <c r="D53" s="24" t="str" cm="1">
        <f t="array" ref="D53">_xlfn.XLOOKUP($A53,_xlfn.ANCHORARRAY('V1 Pricing Model (Step 2)'!$A$22), 'V1 Pricing Model (Step 2)'!$T$22:$T$71,,0)</f>
        <v>Raise</v>
      </c>
      <c r="E53" s="24" t="str" cm="1">
        <f t="array" ref="E53">_xlfn.XLOOKUP($A53,_xlfn.ANCHORARRAY('V1 Pricing Model (Step 2)'!$A$22), 'V1 Pricing Model (Step 2)'!$AL$22:$AL$71,,0)</f>
        <v>Full</v>
      </c>
      <c r="F53" s="23" cm="1">
        <f t="array" ref="F53">_xlfn.XLOOKUP($A53,_xlfn.ANCHORARRAY('V1 Pricing Model (Step 2)'!$A$22),_xlfn.ANCHORARRAY( 'V1 Pricing Model (Step 2)'!$D$22),,0)</f>
        <v>99.75</v>
      </c>
      <c r="G53" s="23" cm="1">
        <f t="array" ref="G53">_xlfn.XLOOKUP($A53,_xlfn.ANCHORARRAY('V1 Pricing Model (Step 2)'!$A$22),_xlfn.ANCHORARRAY( 'V1 Pricing Model (Step 2)'!$E$22),,0)</f>
        <v>38.130000000000003</v>
      </c>
      <c r="H53" s="24" cm="1">
        <f t="array" ref="H53">_xlfn.XLOOKUP($A53, 'Competitive Analysis (Step 1)'!$A$10:$A$209,_xlfn.ANCHORARRAY( 'Competitive Analysis (Step 1)'!$Q$10),,0)</f>
        <v>34</v>
      </c>
      <c r="I53" s="28">
        <f t="shared" si="1"/>
        <v>3391.5</v>
      </c>
      <c r="J53" s="28">
        <f t="shared" si="2"/>
        <v>1296.42</v>
      </c>
      <c r="K53" s="28">
        <f t="shared" si="3"/>
        <v>2095.08</v>
      </c>
      <c r="L53" s="9">
        <f t="shared" si="0"/>
        <v>0.6177443609022556</v>
      </c>
      <c r="M53" s="23" cm="1">
        <f t="array" ref="M53:O53">_xlfn.XLOOKUP($A53,_xlfn.ANCHORARRAY('V1 Pricing Model (Step 2)'!$A$22),'V1 Pricing Model (Step 2)'!$U$22:$W$71,,0)</f>
        <v>110.43409123252499</v>
      </c>
      <c r="N53" s="23">
        <v>10.684091232524992</v>
      </c>
      <c r="O53" s="24">
        <v>0.10710868403533827</v>
      </c>
      <c r="P53" s="23" cm="1">
        <f t="array" ref="P53">_xlfn.XLOOKUP($A53,_xlfn.ANCHORARRAY( 'V1 Pricing Model (Step 2)'!$A$22), 'V1 Pricing Model (Step 2)'!$AC$22:$AC$71)</f>
        <v>597.24501067332449</v>
      </c>
      <c r="Q53" s="23" cm="1">
        <f t="array" ref="Q53">_xlfn.XLOOKUP($A53,_xlfn.ANCHORARRAY('V1 Pricing Model (Step 2)'!$A$22),'V1 Pricing Model (Step 2)'!$AI$22:$AI$71,,0)</f>
        <v>635.3750106733246</v>
      </c>
      <c r="R53" s="24" cm="1">
        <f t="array" ref="R53">COUNTA(_xlfn.UNIQUE(_xlfn._xlws.FILTER(Transactions_and_Customer_Information_Joined[Customer ID], (Transactions_and_Customer_Information_Joined[SKU]='Monte Carlo IO (4)'!$A53) * (Transactions_and_Customer_Information_Joined[Order Status] = "Completed"), "")))</f>
        <v>13</v>
      </c>
      <c r="S53" s="42" cm="1">
        <f t="array" ref="S53">AVERAGE(_xlfn._xlws.FILTER('V1-Based Churn Model (Step 3)'!$W$39:$W$590,
    ISNUMBER(MATCH('V1-Based Churn Model (Step 3)'!$A$39:$A$590,
    _xlfn.UNIQUE(_xlfn._xlws.FILTER(Transactions_and_Customer_Information_Joined[Customer ID],
    (Transactions_and_Customer_Information_Joined[SKU]='Monte Carlo IO (4)'!$A53)*
    (Transactions_and_Customer_Information_Joined[Order Status]="Completed"))),0))))</f>
        <v>62.632749766373735</v>
      </c>
      <c r="T53" s="25" cm="1">
        <f t="array" ref="T53">AVERAGE(_xlfn._xlws.FILTER('V1-Based Churn Model (Step 3)'!$Y$39:$Y$590,
    ISNUMBER(MATCH('V1-Based Churn Model (Step 3)'!$A$39:$A$590,
    _xlfn.UNIQUE(_xlfn._xlws.FILTER(Transactions_and_Customer_Information_Joined[Customer ID],
    (Transactions_and_Customer_Information_Joined[SKU]='Monte Carlo IO (4)'!$A53)*
    (Transactions_and_Customer_Information_Joined[Order Status]="Completed"))),0))))</f>
        <v>0.23171703319019915</v>
      </c>
      <c r="U53" s="23" cm="1">
        <f t="array" ref="U53">SUM(_xlfn._xlws.FILTER('V1-Based Churn Model (Step 3)'!$I$39:$I$590,
    ISNUMBER(MATCH('V1-Based Churn Model (Step 3)'!$A$39:$A$590,
    _xlfn.UNIQUE(_xlfn._xlws.FILTER(Transactions_and_Customer_Information_Joined[Customer ID],
    (Transactions_and_Customer_Information_Joined[SKU]='Monte Carlo IO (4)'!$A53)*
    (Transactions_and_Customer_Information_Joined[Order Status]="Completed"))),0))))</f>
        <v>6043.7700000000013</v>
      </c>
      <c r="V53" s="23" cm="1">
        <f t="array" ref="V53">SUM(_xlfn._xlws.FILTER('V1-Based Churn Model (Step 3)'!$Z$39:$Z$590,
    ISNUMBER(MATCH('V1-Based Churn Model (Step 3)'!$A$39:$A$590,
    _xlfn.UNIQUE(_xlfn._xlws.FILTER(Transactions_and_Customer_Information_Joined[Customer ID],
    (Transactions_and_Customer_Information_Joined[SKU]='Monte Carlo IO (4)'!$A53)*
    (Transactions_and_Customer_Information_Joined[Order Status]="Completed"))),0))))</f>
        <v>1533.9834111929088</v>
      </c>
      <c r="W53" s="21" cm="1">
        <f t="array" ref="W53">IFERROR(SUM(_xlfn._xlws.FILTER(('V1-Based Churn Model (Step 3)'!$X$39:$X$4039="Critical")*1,
    ISNUMBER(MATCH('V1-Based Churn Model (Step 3)'!$A$39:$A$4039,
    _xlfn.UNIQUE(_xlfn._xlws.FILTER(Transactions_and_Customer_Information_Joined[Customer ID],
    (Transactions_and_Customer_Information_Joined[SKU]='Monte Carlo IO (4)'!$A53)*
    (Transactions_and_Customer_Information_Joined[Order Status]="Completed"))),0))))
/ $R53, 0)</f>
        <v>0.30769230769230771</v>
      </c>
      <c r="X53" s="21" cm="1">
        <f t="array" ref="X53">IFERROR(SUM(_xlfn._xlws.FILTER(('V1-Based Churn Model (Step 3)'!$X$39:$X$4039="High")*1,
    ISNUMBER(MATCH('V1-Based Churn Model (Step 3)'!$A$39:$A$4039,
    _xlfn.UNIQUE(_xlfn._xlws.FILTER(Transactions_and_Customer_Information_Joined[Customer ID],
    (Transactions_and_Customer_Information_Joined[SKU]='Monte Carlo IO (4)'!$A53)*
    (Transactions_and_Customer_Information_Joined[Order Status]="Completed"))),0))))
/ $R53, 0)</f>
        <v>0.53846153846153844</v>
      </c>
      <c r="Y53" s="21" cm="1">
        <f t="array" ref="Y53">IFERROR(SUM(_xlfn._xlws.FILTER(('V1-Based Churn Model (Step 3)'!$X$39:$X$4039="Medium")*1,
    ISNUMBER(MATCH('V1-Based Churn Model (Step 3)'!$A$39:$A$4039,
    _xlfn.UNIQUE(_xlfn._xlws.FILTER(Transactions_and_Customer_Information_Joined[Customer ID],
    (Transactions_and_Customer_Information_Joined[SKU]='Monte Carlo IO (4)'!$A53)*
    (Transactions_and_Customer_Information_Joined[Order Status]="Completed"))),0))))
/ $R53, 0)</f>
        <v>0.15384615384615385</v>
      </c>
      <c r="Z53" s="21" cm="1">
        <f t="array" ref="Z53">IFERROR(SUM(_xlfn._xlws.FILTER(('V1-Based Churn Model (Step 3)'!$X$39:$X$4039="Low")*1,
    ISNUMBER(MATCH('V1-Based Churn Model (Step 3)'!$A$39:$A$4039,
    _xlfn.UNIQUE(_xlfn._xlws.FILTER(Transactions_and_Customer_Information_Joined[Customer ID],
    (Transactions_and_Customer_Information_Joined[SKU]='Monte Carlo IO (4)'!$A53)*
    (Transactions_and_Customer_Information_Joined[Order Status]="Completed"))),0))))
/ $R53, 0)</f>
        <v>0</v>
      </c>
      <c r="AA53" s="3" t="str" cm="1">
        <f t="array" ref="AA53">_xlfn.IFS($W53 = MAX($W53:$Z53), "Critical", $X53 = MAX($W53:$Z53), "High", $Y53 = MAX($W53:$Z53), "Medium", $Z53 = MAX($W53:$Z53), "Low")</f>
        <v>High</v>
      </c>
      <c r="AB53" s="23" cm="1">
        <f t="array" ref="AB53:AD53">_xlfn.XLOOKUP($A53, Best_Outcomes[SKU], Best_Outcomes[[Adjusted Price]:[Adjusted Difference %]],,0)</f>
        <v>106.16045473951499</v>
      </c>
      <c r="AC53" s="23">
        <v>6.4104547395149893</v>
      </c>
      <c r="AD53" s="21">
        <v>6.4265210421202895E-2</v>
      </c>
      <c r="AE53" s="21">
        <f t="shared" si="4"/>
        <v>-2.570608416848116E-2</v>
      </c>
      <c r="AF53" s="38">
        <f t="shared" si="5"/>
        <v>34.025706084168483</v>
      </c>
      <c r="AG53" s="23" cm="1">
        <f t="array" ref="AG53:AI53">_xlfn.XLOOKUP($A53,Best_Outcomes[SKU], Best_Outcomes[[Adjusted Gross Revenue]:[Gross Revenue Lift %]])</f>
        <v>3516.6704952569703</v>
      </c>
      <c r="AH53" s="23">
        <v>125.1704952569703</v>
      </c>
      <c r="AI53" s="21">
        <v>3.690711934452906E-2</v>
      </c>
      <c r="AJ53" s="28">
        <f t="shared" si="6"/>
        <v>1802.0013942175628</v>
      </c>
      <c r="AK53" s="28">
        <f t="shared" si="7"/>
        <v>505.58139421756277</v>
      </c>
      <c r="AL53" s="9">
        <f t="shared" si="8"/>
        <v>0.38998271718853672</v>
      </c>
      <c r="AM53" s="23" cm="1">
        <f t="array" ref="AM53:AP53">_xlfn.XLOOKUP($A53,Best_Outcomes[SKU], Best_Outcomes[[Adjusted Gross Profit]:[Gross Profit Margin %]])</f>
        <v>2253.5763768946726</v>
      </c>
      <c r="AN53" s="23">
        <v>158.49637689467272</v>
      </c>
      <c r="AO53" s="21">
        <v>7.5651706328480409E-2</v>
      </c>
      <c r="AP53" s="21">
        <v>0.64082670808485831</v>
      </c>
      <c r="AQ53" s="9">
        <f t="shared" si="9"/>
        <v>2.3082347182602714E-2</v>
      </c>
      <c r="AR53" s="21" cm="1">
        <f t="array" ref="AR53:AU53">_xlfn.XLOOKUP($A53,Best_Outcomes[SKU], Best_Outcomes[[Gross Profit Margin Lift %]:[LTV Protection-Risk Ratio]])</f>
        <v>2.3082347182602714E-2</v>
      </c>
      <c r="AS53" s="23">
        <v>474.35487023042327</v>
      </c>
      <c r="AT53" s="23">
        <v>711.53230534563318</v>
      </c>
      <c r="AU53" s="21">
        <v>0.66666666666666829</v>
      </c>
    </row>
    <row r="54" spans="1:47">
      <c r="B54" s="24"/>
      <c r="C54" s="24"/>
      <c r="D54" s="24"/>
      <c r="E54" s="24"/>
      <c r="F54" s="24"/>
      <c r="G54" s="24"/>
      <c r="H54" s="24"/>
      <c r="I54" s="5"/>
      <c r="J54" s="5"/>
      <c r="K54" s="5"/>
      <c r="L54" s="9"/>
      <c r="M54" s="24"/>
      <c r="P54" s="24"/>
      <c r="Q54" s="24"/>
      <c r="R54" s="24"/>
      <c r="S54" s="24"/>
      <c r="T54" s="25"/>
      <c r="U54" s="24"/>
      <c r="V54" s="24"/>
      <c r="W54" s="21"/>
      <c r="X54" s="21"/>
      <c r="Y54" s="21"/>
      <c r="Z54" s="21"/>
      <c r="AA54" s="3"/>
    </row>
    <row r="55" spans="1:47">
      <c r="B55" s="24"/>
      <c r="C55" s="24"/>
      <c r="D55" s="24"/>
      <c r="E55" s="24"/>
      <c r="F55" s="24"/>
      <c r="G55" s="24"/>
      <c r="H55" s="24"/>
      <c r="I55" s="5"/>
      <c r="J55" s="5"/>
      <c r="K55" s="5"/>
      <c r="L55" s="9"/>
      <c r="M55" s="24"/>
      <c r="P55" s="24"/>
      <c r="Q55" s="24"/>
      <c r="R55" s="24"/>
      <c r="S55" s="24"/>
      <c r="T55" s="25"/>
      <c r="U55" s="24"/>
      <c r="V55" s="24"/>
      <c r="W55" s="21"/>
      <c r="X55" s="21"/>
      <c r="Y55" s="21"/>
      <c r="Z55" s="21"/>
      <c r="AA55" s="3"/>
    </row>
    <row r="60" spans="1:47">
      <c r="AD60" s="3"/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E811-B839-45E1-A073-82205FCFF564}">
  <sheetPr codeName="Sheet8">
    <tabColor theme="0" tint="-0.499984740745262"/>
  </sheetPr>
  <dimension ref="A1:C1001"/>
  <sheetViews>
    <sheetView workbookViewId="0"/>
  </sheetViews>
  <sheetFormatPr defaultRowHeight="15"/>
  <cols>
    <col min="1" max="1" width="54.28515625" bestFit="1" customWidth="1"/>
    <col min="2" max="2" width="10" bestFit="1" customWidth="1"/>
    <col min="3" max="3" width="11.5703125" bestFit="1" customWidth="1"/>
    <col min="4" max="4" width="19.5703125" bestFit="1" customWidth="1"/>
    <col min="5" max="5" width="14.42578125" bestFit="1" customWidth="1"/>
  </cols>
  <sheetData>
    <row r="1" spans="1:3">
      <c r="A1" s="4" t="s">
        <v>5343</v>
      </c>
      <c r="C1" t="s">
        <v>5403</v>
      </c>
    </row>
    <row r="2" spans="1:3">
      <c r="A2" s="6" cm="1">
        <f t="array" ref="A2:A1001">IFERROR(IF(_xlfn.XLOOKUP(Transactions_and_Customer_Information_Joined[SKU], 'V1 Pricing Model (Step 2)'!$A$22:$A$71, 'V1 Pricing Model (Step 2)'!$AL$22:$AL$71)&lt;&gt;"Exclude", _xlfn.XLOOKUP(Transactions_and_Customer_Information_Joined[SKU], 'V1 Pricing Model (Step 2)'!$A$22:$A$71, 'V1 Pricing Model (Step 2)'!$W$22:$W$71), 0), 0)</f>
        <v>1.5146952408836394E-2</v>
      </c>
      <c r="C2" t="str" cm="1">
        <f t="array" aca="1" ref="C2" ca="1">LEFT(CELL("filename",$A$1),FIND("[",CELL("filename",$A$1),1)-1) &amp; "data\1_product_catalog_pricing.csv"</f>
        <v>C:\Users\Shamel\Documents\Projects\pricing_analysis\data\1_product_catalog_pricing.csv</v>
      </c>
    </row>
    <row r="3" spans="1:3">
      <c r="A3" s="6">
        <v>0</v>
      </c>
      <c r="C3" t="str" cm="1">
        <f t="array" aca="1" ref="C3" ca="1">LEFT(CELL("filename",$A$1),FIND("[",CELL("filename",$A$1),1)-1) &amp; "data\2_sales_transactions.csv"</f>
        <v>C:\Users\Shamel\Documents\Projects\pricing_analysis\data\2_sales_transactions.csv</v>
      </c>
    </row>
    <row r="4" spans="1:3">
      <c r="A4" s="6">
        <v>5.4598129129915428E-2</v>
      </c>
      <c r="C4" t="str" cm="1">
        <f t="array" aca="1" ref="C4" ca="1">LEFT(CELL("filename",$A$1),FIND("[",CELL("filename",$A$1),1)-1) &amp; "data\3_customer_segments.csv"</f>
        <v>C:\Users\Shamel\Documents\Projects\pricing_analysis\data\3_customer_segments.csv</v>
      </c>
    </row>
    <row r="5" spans="1:3">
      <c r="A5" s="6">
        <v>0.14790650353694867</v>
      </c>
      <c r="C5" t="str" cm="1">
        <f t="array" aca="1" ref="C5" ca="1">LEFT(CELL("filename",$A$1),FIND("[",CELL("filename",$A$1),1)-1) &amp; "data\4_competitor_pricing.csv"</f>
        <v>C:\Users\Shamel\Documents\Projects\pricing_analysis\data\4_competitor_pricing.csv</v>
      </c>
    </row>
    <row r="6" spans="1:3">
      <c r="A6" s="6">
        <v>5.8348079685156623E-2</v>
      </c>
    </row>
    <row r="7" spans="1:3">
      <c r="A7" s="6">
        <v>0.13680891237597953</v>
      </c>
    </row>
    <row r="8" spans="1:3">
      <c r="A8" s="6">
        <v>0</v>
      </c>
    </row>
    <row r="9" spans="1:3">
      <c r="A9" s="6">
        <v>7.5818801139291682E-3</v>
      </c>
    </row>
    <row r="10" spans="1:3">
      <c r="A10" s="6">
        <v>1.0827913756041518E-3</v>
      </c>
    </row>
    <row r="11" spans="1:3">
      <c r="A11" s="6">
        <v>0</v>
      </c>
    </row>
    <row r="12" spans="1:3">
      <c r="A12" s="6">
        <v>8.081096121299744E-2</v>
      </c>
    </row>
    <row r="13" spans="1:3">
      <c r="A13" s="6">
        <v>-4.5975852073346618E-2</v>
      </c>
    </row>
    <row r="14" spans="1:3">
      <c r="A14" s="6">
        <v>0.25581555939754186</v>
      </c>
    </row>
    <row r="15" spans="1:3">
      <c r="A15" s="6">
        <v>-6.1928730463004879E-2</v>
      </c>
    </row>
    <row r="16" spans="1:3">
      <c r="A16" s="6">
        <v>0</v>
      </c>
    </row>
    <row r="17" spans="1:1">
      <c r="A17" s="6">
        <v>-6.3633334648082567E-3</v>
      </c>
    </row>
    <row r="18" spans="1:1">
      <c r="A18" s="6">
        <v>0.16615780750618397</v>
      </c>
    </row>
    <row r="19" spans="1:1">
      <c r="A19" s="6">
        <v>1.2225679304209092E-2</v>
      </c>
    </row>
    <row r="20" spans="1:1">
      <c r="A20" s="6">
        <v>7.0422329455997176E-2</v>
      </c>
    </row>
    <row r="21" spans="1:1">
      <c r="A21" s="6">
        <v>0</v>
      </c>
    </row>
    <row r="22" spans="1:1">
      <c r="A22" s="6">
        <v>0.18762795201583557</v>
      </c>
    </row>
    <row r="23" spans="1:1">
      <c r="A23" s="6">
        <v>-6.3633334648082567E-3</v>
      </c>
    </row>
    <row r="24" spans="1:1">
      <c r="A24" s="6">
        <v>-6.1928730463004879E-2</v>
      </c>
    </row>
    <row r="25" spans="1:1">
      <c r="A25" s="6">
        <v>9.4555309750757724E-2</v>
      </c>
    </row>
    <row r="26" spans="1:1">
      <c r="A26" s="6">
        <v>0</v>
      </c>
    </row>
    <row r="27" spans="1:1">
      <c r="A27" s="6">
        <v>0.13680891237597953</v>
      </c>
    </row>
    <row r="28" spans="1:1">
      <c r="A28" s="6">
        <v>1.0827913756041518E-3</v>
      </c>
    </row>
    <row r="29" spans="1:1">
      <c r="A29" s="6">
        <v>-0.13274948234794526</v>
      </c>
    </row>
    <row r="30" spans="1:1">
      <c r="A30" s="6">
        <v>0.25581555939754186</v>
      </c>
    </row>
    <row r="31" spans="1:1">
      <c r="A31" s="6">
        <v>0</v>
      </c>
    </row>
    <row r="32" spans="1:1">
      <c r="A32" s="6">
        <v>0.25581555939754186</v>
      </c>
    </row>
    <row r="33" spans="1:1">
      <c r="A33" s="6">
        <v>0.25581555939754186</v>
      </c>
    </row>
    <row r="34" spans="1:1">
      <c r="A34" s="6">
        <v>0.17380489413507264</v>
      </c>
    </row>
    <row r="35" spans="1:1">
      <c r="A35" s="6">
        <v>1.0827913756041518E-3</v>
      </c>
    </row>
    <row r="36" spans="1:1">
      <c r="A36" s="6">
        <v>1.4049546680818285E-2</v>
      </c>
    </row>
    <row r="37" spans="1:1">
      <c r="A37" s="6">
        <v>0.25581555939754186</v>
      </c>
    </row>
    <row r="38" spans="1:1">
      <c r="A38" s="6">
        <v>-6.1928730463004879E-2</v>
      </c>
    </row>
    <row r="39" spans="1:1">
      <c r="A39" s="6">
        <v>0</v>
      </c>
    </row>
    <row r="40" spans="1:1">
      <c r="A40" s="6">
        <v>0</v>
      </c>
    </row>
    <row r="41" spans="1:1">
      <c r="A41" s="6">
        <v>-4.5975852073346618E-2</v>
      </c>
    </row>
    <row r="42" spans="1:1">
      <c r="A42" s="6">
        <v>0.13680891237597953</v>
      </c>
    </row>
    <row r="43" spans="1:1">
      <c r="A43" s="6">
        <v>0.22457947495613381</v>
      </c>
    </row>
    <row r="44" spans="1:1">
      <c r="A44" s="6">
        <v>0.24833629343146826</v>
      </c>
    </row>
    <row r="45" spans="1:1">
      <c r="A45" s="6">
        <v>6.4419042005321461E-2</v>
      </c>
    </row>
    <row r="46" spans="1:1">
      <c r="A46" s="6">
        <v>0.1130897018443069</v>
      </c>
    </row>
    <row r="47" spans="1:1">
      <c r="A47" s="6">
        <v>0</v>
      </c>
    </row>
    <row r="48" spans="1:1">
      <c r="A48" s="6">
        <v>0.16615780750618397</v>
      </c>
    </row>
    <row r="49" spans="1:1">
      <c r="A49" s="6">
        <v>0</v>
      </c>
    </row>
    <row r="50" spans="1:1">
      <c r="A50" s="6">
        <v>0.10710868403533827</v>
      </c>
    </row>
    <row r="51" spans="1:1">
      <c r="A51" s="6">
        <v>0</v>
      </c>
    </row>
    <row r="52" spans="1:1">
      <c r="A52" s="6">
        <v>9.4555309750757724E-2</v>
      </c>
    </row>
    <row r="53" spans="1:1">
      <c r="A53" s="6">
        <v>0</v>
      </c>
    </row>
    <row r="54" spans="1:1">
      <c r="A54" s="6">
        <v>0.10702390858761081</v>
      </c>
    </row>
    <row r="55" spans="1:1">
      <c r="A55" s="6">
        <v>0.22185784964769206</v>
      </c>
    </row>
    <row r="56" spans="1:1">
      <c r="A56" s="6">
        <v>3.7264027854690532E-2</v>
      </c>
    </row>
    <row r="57" spans="1:1">
      <c r="A57" s="6">
        <v>0</v>
      </c>
    </row>
    <row r="58" spans="1:1">
      <c r="A58" s="6">
        <v>0</v>
      </c>
    </row>
    <row r="59" spans="1:1">
      <c r="A59" s="6">
        <v>6.4419042005321461E-2</v>
      </c>
    </row>
    <row r="60" spans="1:1">
      <c r="A60" s="6">
        <v>8.081096121299744E-2</v>
      </c>
    </row>
    <row r="61" spans="1:1">
      <c r="A61" s="6">
        <v>1.4049546680818285E-2</v>
      </c>
    </row>
    <row r="62" spans="1:1">
      <c r="A62" s="6">
        <v>0</v>
      </c>
    </row>
    <row r="63" spans="1:1">
      <c r="A63" s="6">
        <v>-0.13274948234794526</v>
      </c>
    </row>
    <row r="64" spans="1:1">
      <c r="A64" s="6">
        <v>0.10710868403533827</v>
      </c>
    </row>
    <row r="65" spans="1:1">
      <c r="A65" s="6">
        <v>0</v>
      </c>
    </row>
    <row r="66" spans="1:1">
      <c r="A66" s="6">
        <v>0.1130897018443069</v>
      </c>
    </row>
    <row r="67" spans="1:1">
      <c r="A67" s="6">
        <v>0.1130897018443069</v>
      </c>
    </row>
    <row r="68" spans="1:1">
      <c r="A68" s="6">
        <v>-6.1928730463004879E-2</v>
      </c>
    </row>
    <row r="69" spans="1:1">
      <c r="A69" s="6">
        <v>0</v>
      </c>
    </row>
    <row r="70" spans="1:1">
      <c r="A70" s="6">
        <v>0</v>
      </c>
    </row>
    <row r="71" spans="1:1">
      <c r="A71" s="6">
        <v>0</v>
      </c>
    </row>
    <row r="72" spans="1:1">
      <c r="A72" s="6">
        <v>0</v>
      </c>
    </row>
    <row r="73" spans="1:1">
      <c r="A73" s="6">
        <v>0.18762795201583557</v>
      </c>
    </row>
    <row r="74" spans="1:1">
      <c r="A74" s="6">
        <v>0.18240919880904002</v>
      </c>
    </row>
    <row r="75" spans="1:1">
      <c r="A75" s="6">
        <v>0.24833629343146826</v>
      </c>
    </row>
    <row r="76" spans="1:1">
      <c r="A76" s="6">
        <v>0</v>
      </c>
    </row>
    <row r="77" spans="1:1">
      <c r="A77" s="6">
        <v>0</v>
      </c>
    </row>
    <row r="78" spans="1:1">
      <c r="A78" s="6">
        <v>0.10710868403533827</v>
      </c>
    </row>
    <row r="79" spans="1:1">
      <c r="A79" s="6">
        <v>0</v>
      </c>
    </row>
    <row r="80" spans="1:1">
      <c r="A80" s="6">
        <v>0</v>
      </c>
    </row>
    <row r="81" spans="1:1">
      <c r="A81" s="6">
        <v>0.10788177153562864</v>
      </c>
    </row>
    <row r="82" spans="1:1">
      <c r="A82" s="6">
        <v>1.2225679304209092E-2</v>
      </c>
    </row>
    <row r="83" spans="1:1">
      <c r="A83" s="6">
        <v>0</v>
      </c>
    </row>
    <row r="84" spans="1:1">
      <c r="A84" s="6">
        <v>0.25581555939754186</v>
      </c>
    </row>
    <row r="85" spans="1:1">
      <c r="A85" s="6">
        <v>6.4419042005321461E-2</v>
      </c>
    </row>
    <row r="86" spans="1:1">
      <c r="A86" s="6">
        <v>7.8578478868305213E-2</v>
      </c>
    </row>
    <row r="87" spans="1:1">
      <c r="A87" s="6">
        <v>0</v>
      </c>
    </row>
    <row r="88" spans="1:1">
      <c r="A88" s="6">
        <v>0</v>
      </c>
    </row>
    <row r="89" spans="1:1">
      <c r="A89" s="6">
        <v>-7.0269238925823692E-3</v>
      </c>
    </row>
    <row r="90" spans="1:1">
      <c r="A90" s="6">
        <v>0.13680891237597953</v>
      </c>
    </row>
    <row r="91" spans="1:1">
      <c r="A91" s="6">
        <v>0.17380489413507264</v>
      </c>
    </row>
    <row r="92" spans="1:1">
      <c r="A92" s="6">
        <v>0.10709640328514787</v>
      </c>
    </row>
    <row r="93" spans="1:1">
      <c r="A93" s="6">
        <v>1.4049546680818285E-2</v>
      </c>
    </row>
    <row r="94" spans="1:1">
      <c r="A94" s="6">
        <v>5.3264377873214752E-2</v>
      </c>
    </row>
    <row r="95" spans="1:1">
      <c r="A95" s="6">
        <v>0.16615780750618397</v>
      </c>
    </row>
    <row r="96" spans="1:1">
      <c r="A96" s="6">
        <v>-0.13274948234794526</v>
      </c>
    </row>
    <row r="97" spans="1:1">
      <c r="A97" s="6">
        <v>0.26791845407776477</v>
      </c>
    </row>
    <row r="98" spans="1:1">
      <c r="A98" s="6">
        <v>0.10702390858761081</v>
      </c>
    </row>
    <row r="99" spans="1:1">
      <c r="A99" s="6">
        <v>0.18762795201583557</v>
      </c>
    </row>
    <row r="100" spans="1:1">
      <c r="A100" s="6">
        <v>0.10788177153562864</v>
      </c>
    </row>
    <row r="101" spans="1:1">
      <c r="A101" s="6">
        <v>9.4555309750757724E-2</v>
      </c>
    </row>
    <row r="102" spans="1:1">
      <c r="A102" s="6">
        <v>0.25581555939754186</v>
      </c>
    </row>
    <row r="103" spans="1:1">
      <c r="A103" s="6">
        <v>0</v>
      </c>
    </row>
    <row r="104" spans="1:1">
      <c r="A104" s="6">
        <v>7.8578478868305213E-2</v>
      </c>
    </row>
    <row r="105" spans="1:1">
      <c r="A105" s="6">
        <v>1.4049546680818285E-2</v>
      </c>
    </row>
    <row r="106" spans="1:1">
      <c r="A106" s="6">
        <v>0.24833629343146826</v>
      </c>
    </row>
    <row r="107" spans="1:1">
      <c r="A107" s="6">
        <v>0</v>
      </c>
    </row>
    <row r="108" spans="1:1">
      <c r="A108" s="6">
        <v>-6.3633334648082567E-3</v>
      </c>
    </row>
    <row r="109" spans="1:1">
      <c r="A109" s="6">
        <v>5.4598129129915428E-2</v>
      </c>
    </row>
    <row r="110" spans="1:1">
      <c r="A110" s="6">
        <v>0.10702390858761081</v>
      </c>
    </row>
    <row r="111" spans="1:1">
      <c r="A111" s="6">
        <v>0</v>
      </c>
    </row>
    <row r="112" spans="1:1">
      <c r="A112" s="6">
        <v>0</v>
      </c>
    </row>
    <row r="113" spans="1:1">
      <c r="A113" s="6">
        <v>0</v>
      </c>
    </row>
    <row r="114" spans="1:1">
      <c r="A114" s="6">
        <v>1.2225679304209092E-2</v>
      </c>
    </row>
    <row r="115" spans="1:1">
      <c r="A115" s="6">
        <v>0.10788177153562864</v>
      </c>
    </row>
    <row r="116" spans="1:1">
      <c r="A116" s="6">
        <v>5.8348079685156623E-2</v>
      </c>
    </row>
    <row r="117" spans="1:1">
      <c r="A117" s="6">
        <v>0</v>
      </c>
    </row>
    <row r="118" spans="1:1">
      <c r="A118" s="6">
        <v>6.4419042005321461E-2</v>
      </c>
    </row>
    <row r="119" spans="1:1">
      <c r="A119" s="6">
        <v>0.16615780750618397</v>
      </c>
    </row>
    <row r="120" spans="1:1">
      <c r="A120" s="6">
        <v>9.1108129362620652E-2</v>
      </c>
    </row>
    <row r="121" spans="1:1">
      <c r="A121" s="6">
        <v>0.26791845407776477</v>
      </c>
    </row>
    <row r="122" spans="1:1">
      <c r="A122" s="6">
        <v>0</v>
      </c>
    </row>
    <row r="123" spans="1:1">
      <c r="A123" s="6">
        <v>0</v>
      </c>
    </row>
    <row r="124" spans="1:1">
      <c r="A124" s="6">
        <v>0</v>
      </c>
    </row>
    <row r="125" spans="1:1">
      <c r="A125" s="6">
        <v>7.5818801139291682E-3</v>
      </c>
    </row>
    <row r="126" spans="1:1">
      <c r="A126" s="6">
        <v>0.26791845407776477</v>
      </c>
    </row>
    <row r="127" spans="1:1">
      <c r="A127" s="6">
        <v>0</v>
      </c>
    </row>
    <row r="128" spans="1:1">
      <c r="A128" s="6">
        <v>0</v>
      </c>
    </row>
    <row r="129" spans="1:1">
      <c r="A129" s="6">
        <v>0.10709640328514787</v>
      </c>
    </row>
    <row r="130" spans="1:1">
      <c r="A130" s="6">
        <v>-6.3633334648082567E-3</v>
      </c>
    </row>
    <row r="131" spans="1:1">
      <c r="A131" s="6">
        <v>0</v>
      </c>
    </row>
    <row r="132" spans="1:1">
      <c r="A132" s="6">
        <v>1.5146952408836394E-2</v>
      </c>
    </row>
    <row r="133" spans="1:1">
      <c r="A133" s="6">
        <v>-4.5975852073346618E-2</v>
      </c>
    </row>
    <row r="134" spans="1:1">
      <c r="A134" s="6">
        <v>0</v>
      </c>
    </row>
    <row r="135" spans="1:1">
      <c r="A135" s="6">
        <v>5.3264377873214752E-2</v>
      </c>
    </row>
    <row r="136" spans="1:1">
      <c r="A136" s="6">
        <v>0.10702390858761081</v>
      </c>
    </row>
    <row r="137" spans="1:1">
      <c r="A137" s="6">
        <v>0</v>
      </c>
    </row>
    <row r="138" spans="1:1">
      <c r="A138" s="6">
        <v>0</v>
      </c>
    </row>
    <row r="139" spans="1:1">
      <c r="A139" s="6">
        <v>0.24833629343146826</v>
      </c>
    </row>
    <row r="140" spans="1:1">
      <c r="A140" s="6">
        <v>0.22185784964769206</v>
      </c>
    </row>
    <row r="141" spans="1:1">
      <c r="A141" s="6">
        <v>0.10709640328514787</v>
      </c>
    </row>
    <row r="142" spans="1:1">
      <c r="A142" s="6">
        <v>0.26791845407776477</v>
      </c>
    </row>
    <row r="143" spans="1:1">
      <c r="A143" s="6">
        <v>5.3264377873214752E-2</v>
      </c>
    </row>
    <row r="144" spans="1:1">
      <c r="A144" s="6">
        <v>5.4598129129915428E-2</v>
      </c>
    </row>
    <row r="145" spans="1:1">
      <c r="A145" s="6">
        <v>-0.1229980207344718</v>
      </c>
    </row>
    <row r="146" spans="1:1">
      <c r="A146" s="6">
        <v>0.16615780750618397</v>
      </c>
    </row>
    <row r="147" spans="1:1">
      <c r="A147" s="6">
        <v>-6.1928730463004879E-2</v>
      </c>
    </row>
    <row r="148" spans="1:1">
      <c r="A148" s="6">
        <v>0.10710868403533827</v>
      </c>
    </row>
    <row r="149" spans="1:1">
      <c r="A149" s="6">
        <v>0.10702390858761081</v>
      </c>
    </row>
    <row r="150" spans="1:1">
      <c r="A150" s="6">
        <v>-6.1928730463004879E-2</v>
      </c>
    </row>
    <row r="151" spans="1:1">
      <c r="A151" s="6">
        <v>9.1108129362620652E-2</v>
      </c>
    </row>
    <row r="152" spans="1:1">
      <c r="A152" s="6">
        <v>5.4598129129915428E-2</v>
      </c>
    </row>
    <row r="153" spans="1:1">
      <c r="A153" s="6">
        <v>1.5146952408836394E-2</v>
      </c>
    </row>
    <row r="154" spans="1:1">
      <c r="A154" s="6">
        <v>0</v>
      </c>
    </row>
    <row r="155" spans="1:1">
      <c r="A155" s="6">
        <v>0.17380489413507264</v>
      </c>
    </row>
    <row r="156" spans="1:1">
      <c r="A156" s="6">
        <v>-7.0269238925823692E-3</v>
      </c>
    </row>
    <row r="157" spans="1:1">
      <c r="A157" s="6">
        <v>0.22185784964769206</v>
      </c>
    </row>
    <row r="158" spans="1:1">
      <c r="A158" s="6">
        <v>0.24833629343146826</v>
      </c>
    </row>
    <row r="159" spans="1:1">
      <c r="A159" s="6">
        <v>0.18240919880904002</v>
      </c>
    </row>
    <row r="160" spans="1:1">
      <c r="A160" s="6">
        <v>-6.1928730463004879E-2</v>
      </c>
    </row>
    <row r="161" spans="1:1">
      <c r="A161" s="6">
        <v>7.5818801139291682E-3</v>
      </c>
    </row>
    <row r="162" spans="1:1">
      <c r="A162" s="6">
        <v>5.8348079685156623E-2</v>
      </c>
    </row>
    <row r="163" spans="1:1">
      <c r="A163" s="6">
        <v>9.1108129362620652E-2</v>
      </c>
    </row>
    <row r="164" spans="1:1">
      <c r="A164" s="6">
        <v>0</v>
      </c>
    </row>
    <row r="165" spans="1:1">
      <c r="A165" s="6">
        <v>0</v>
      </c>
    </row>
    <row r="166" spans="1:1">
      <c r="A166" s="6">
        <v>0.26791845407776477</v>
      </c>
    </row>
    <row r="167" spans="1:1">
      <c r="A167" s="6">
        <v>5.4598129129915428E-2</v>
      </c>
    </row>
    <row r="168" spans="1:1">
      <c r="A168" s="6">
        <v>0.18240919880904002</v>
      </c>
    </row>
    <row r="169" spans="1:1">
      <c r="A169" s="6">
        <v>7.8578478868305213E-2</v>
      </c>
    </row>
    <row r="170" spans="1:1">
      <c r="A170" s="6">
        <v>0</v>
      </c>
    </row>
    <row r="171" spans="1:1">
      <c r="A171" s="6">
        <v>0.10788177153562864</v>
      </c>
    </row>
    <row r="172" spans="1:1">
      <c r="A172" s="6">
        <v>0</v>
      </c>
    </row>
    <row r="173" spans="1:1">
      <c r="A173" s="6">
        <v>5.3264377873214752E-2</v>
      </c>
    </row>
    <row r="174" spans="1:1">
      <c r="A174" s="6">
        <v>0.1130897018443069</v>
      </c>
    </row>
    <row r="175" spans="1:1">
      <c r="A175" s="6">
        <v>8.081096121299744E-2</v>
      </c>
    </row>
    <row r="176" spans="1:1">
      <c r="A176" s="6">
        <v>0</v>
      </c>
    </row>
    <row r="177" spans="1:1">
      <c r="A177" s="6">
        <v>5.8348079685156623E-2</v>
      </c>
    </row>
    <row r="178" spans="1:1">
      <c r="A178" s="6">
        <v>0.10788177153562864</v>
      </c>
    </row>
    <row r="179" spans="1:1">
      <c r="A179" s="6">
        <v>0.18240919880904002</v>
      </c>
    </row>
    <row r="180" spans="1:1">
      <c r="A180" s="6">
        <v>-4.5975852073346618E-2</v>
      </c>
    </row>
    <row r="181" spans="1:1">
      <c r="A181" s="6">
        <v>0.18762795201583557</v>
      </c>
    </row>
    <row r="182" spans="1:1">
      <c r="A182" s="6">
        <v>0.24833629343146826</v>
      </c>
    </row>
    <row r="183" spans="1:1">
      <c r="A183" s="6">
        <v>9.1108129362620652E-2</v>
      </c>
    </row>
    <row r="184" spans="1:1">
      <c r="A184" s="6">
        <v>-7.0269238925823692E-3</v>
      </c>
    </row>
    <row r="185" spans="1:1">
      <c r="A185" s="6">
        <v>0.22457947495613381</v>
      </c>
    </row>
    <row r="186" spans="1:1">
      <c r="A186" s="6">
        <v>0.10710868403533827</v>
      </c>
    </row>
    <row r="187" spans="1:1">
      <c r="A187" s="6">
        <v>0</v>
      </c>
    </row>
    <row r="188" spans="1:1">
      <c r="A188" s="6">
        <v>0.25581555939754186</v>
      </c>
    </row>
    <row r="189" spans="1:1">
      <c r="A189" s="6">
        <v>-0.13274948234794526</v>
      </c>
    </row>
    <row r="190" spans="1:1">
      <c r="A190" s="6">
        <v>0.25481331848064742</v>
      </c>
    </row>
    <row r="191" spans="1:1">
      <c r="A191" s="6">
        <v>0.25581555939754186</v>
      </c>
    </row>
    <row r="192" spans="1:1">
      <c r="A192" s="6">
        <v>0.10525403225213746</v>
      </c>
    </row>
    <row r="193" spans="1:1">
      <c r="A193" s="6">
        <v>7.8578478868305213E-2</v>
      </c>
    </row>
    <row r="194" spans="1:1">
      <c r="A194" s="6">
        <v>6.4419042005321461E-2</v>
      </c>
    </row>
    <row r="195" spans="1:1">
      <c r="A195" s="6">
        <v>0.1130897018443069</v>
      </c>
    </row>
    <row r="196" spans="1:1">
      <c r="A196" s="6">
        <v>0</v>
      </c>
    </row>
    <row r="197" spans="1:1">
      <c r="A197" s="6">
        <v>0</v>
      </c>
    </row>
    <row r="198" spans="1:1">
      <c r="A198" s="6">
        <v>-6.1928730463004879E-2</v>
      </c>
    </row>
    <row r="199" spans="1:1">
      <c r="A199" s="6">
        <v>0</v>
      </c>
    </row>
    <row r="200" spans="1:1">
      <c r="A200" s="6">
        <v>0.10709640328514787</v>
      </c>
    </row>
    <row r="201" spans="1:1">
      <c r="A201" s="6">
        <v>0.24833629343146826</v>
      </c>
    </row>
    <row r="202" spans="1:1">
      <c r="A202" s="6">
        <v>0.10788177153562864</v>
      </c>
    </row>
    <row r="203" spans="1:1">
      <c r="A203" s="6">
        <v>-6.3633334648082567E-3</v>
      </c>
    </row>
    <row r="204" spans="1:1">
      <c r="A204" s="6">
        <v>0</v>
      </c>
    </row>
    <row r="205" spans="1:1">
      <c r="A205" s="6">
        <v>1.4049546680818285E-2</v>
      </c>
    </row>
    <row r="206" spans="1:1">
      <c r="A206" s="6">
        <v>7.5818801139291682E-3</v>
      </c>
    </row>
    <row r="207" spans="1:1">
      <c r="A207" s="6">
        <v>1.2225679304209092E-2</v>
      </c>
    </row>
    <row r="208" spans="1:1">
      <c r="A208" s="6">
        <v>0.16615780750618397</v>
      </c>
    </row>
    <row r="209" spans="1:1">
      <c r="A209" s="6">
        <v>0.10710868403533827</v>
      </c>
    </row>
    <row r="210" spans="1:1">
      <c r="A210" s="6">
        <v>1.4049546680818285E-2</v>
      </c>
    </row>
    <row r="211" spans="1:1">
      <c r="A211" s="6">
        <v>0</v>
      </c>
    </row>
    <row r="212" spans="1:1">
      <c r="A212" s="6">
        <v>0.1130897018443069</v>
      </c>
    </row>
    <row r="213" spans="1:1">
      <c r="A213" s="6">
        <v>0.24833629343146826</v>
      </c>
    </row>
    <row r="214" spans="1:1">
      <c r="A214" s="6">
        <v>0.10702390858761081</v>
      </c>
    </row>
    <row r="215" spans="1:1">
      <c r="A215" s="6">
        <v>0.24833629343146826</v>
      </c>
    </row>
    <row r="216" spans="1:1">
      <c r="A216" s="6">
        <v>0</v>
      </c>
    </row>
    <row r="217" spans="1:1">
      <c r="A217" s="6">
        <v>0.18240919880904002</v>
      </c>
    </row>
    <row r="218" spans="1:1">
      <c r="A218" s="6">
        <v>0.18240919880904002</v>
      </c>
    </row>
    <row r="219" spans="1:1">
      <c r="A219" s="6">
        <v>1.0827913756041518E-3</v>
      </c>
    </row>
    <row r="220" spans="1:1">
      <c r="A220" s="6">
        <v>3.7264027854690532E-2</v>
      </c>
    </row>
    <row r="221" spans="1:1">
      <c r="A221" s="6">
        <v>0.10710868403533827</v>
      </c>
    </row>
    <row r="222" spans="1:1">
      <c r="A222" s="6">
        <v>3.7264027854690532E-2</v>
      </c>
    </row>
    <row r="223" spans="1:1">
      <c r="A223" s="6">
        <v>0.1130897018443069</v>
      </c>
    </row>
    <row r="224" spans="1:1">
      <c r="A224" s="6">
        <v>-6.1928730463004879E-2</v>
      </c>
    </row>
    <row r="225" spans="1:1">
      <c r="A225" s="6">
        <v>0.25581555939754186</v>
      </c>
    </row>
    <row r="226" spans="1:1">
      <c r="A226" s="6">
        <v>0.26791845407776477</v>
      </c>
    </row>
    <row r="227" spans="1:1">
      <c r="A227" s="6">
        <v>0</v>
      </c>
    </row>
    <row r="228" spans="1:1">
      <c r="A228" s="6">
        <v>0.17380489413507264</v>
      </c>
    </row>
    <row r="229" spans="1:1">
      <c r="A229" s="6">
        <v>-0.13274948234794526</v>
      </c>
    </row>
    <row r="230" spans="1:1">
      <c r="A230" s="6">
        <v>0.18762795201583557</v>
      </c>
    </row>
    <row r="231" spans="1:1">
      <c r="A231" s="6">
        <v>1.0827913756041518E-3</v>
      </c>
    </row>
    <row r="232" spans="1:1">
      <c r="A232" s="6">
        <v>-6.3633334648082567E-3</v>
      </c>
    </row>
    <row r="233" spans="1:1">
      <c r="A233" s="6">
        <v>-4.5975852073346618E-2</v>
      </c>
    </row>
    <row r="234" spans="1:1">
      <c r="A234" s="6">
        <v>1.0827913756041518E-3</v>
      </c>
    </row>
    <row r="235" spans="1:1">
      <c r="A235" s="6">
        <v>0.16615780750618397</v>
      </c>
    </row>
    <row r="236" spans="1:1">
      <c r="A236" s="6">
        <v>5.8348079685156623E-2</v>
      </c>
    </row>
    <row r="237" spans="1:1">
      <c r="A237" s="6">
        <v>0</v>
      </c>
    </row>
    <row r="238" spans="1:1">
      <c r="A238" s="6">
        <v>0.10710868403533827</v>
      </c>
    </row>
    <row r="239" spans="1:1">
      <c r="A239" s="6">
        <v>9.1108129362620652E-2</v>
      </c>
    </row>
    <row r="240" spans="1:1">
      <c r="A240" s="6">
        <v>0.10702390858761081</v>
      </c>
    </row>
    <row r="241" spans="1:1">
      <c r="A241" s="6">
        <v>0.10702390858761081</v>
      </c>
    </row>
    <row r="242" spans="1:1">
      <c r="A242" s="6">
        <v>0.22185784964769206</v>
      </c>
    </row>
    <row r="243" spans="1:1">
      <c r="A243" s="6">
        <v>7.8578478868305213E-2</v>
      </c>
    </row>
    <row r="244" spans="1:1">
      <c r="A244" s="6">
        <v>0.22457947495613381</v>
      </c>
    </row>
    <row r="245" spans="1:1">
      <c r="A245" s="6">
        <v>-6.3633334648082567E-3</v>
      </c>
    </row>
    <row r="246" spans="1:1">
      <c r="A246" s="6">
        <v>0.13680891237597953</v>
      </c>
    </row>
    <row r="247" spans="1:1">
      <c r="A247" s="6">
        <v>0</v>
      </c>
    </row>
    <row r="248" spans="1:1">
      <c r="A248" s="6">
        <v>0</v>
      </c>
    </row>
    <row r="249" spans="1:1">
      <c r="A249" s="6">
        <v>0.10710868403533827</v>
      </c>
    </row>
    <row r="250" spans="1:1">
      <c r="A250" s="6">
        <v>0.22457947495613381</v>
      </c>
    </row>
    <row r="251" spans="1:1">
      <c r="A251" s="6">
        <v>7.5818801139291682E-3</v>
      </c>
    </row>
    <row r="252" spans="1:1">
      <c r="A252" s="6">
        <v>0.13680891237597953</v>
      </c>
    </row>
    <row r="253" spans="1:1">
      <c r="A253" s="6">
        <v>7.5818801139291682E-3</v>
      </c>
    </row>
    <row r="254" spans="1:1">
      <c r="A254" s="6">
        <v>0</v>
      </c>
    </row>
    <row r="255" spans="1:1">
      <c r="A255" s="6">
        <v>7.8578478868305213E-2</v>
      </c>
    </row>
    <row r="256" spans="1:1">
      <c r="A256" s="6">
        <v>0.10702390858761081</v>
      </c>
    </row>
    <row r="257" spans="1:1">
      <c r="A257" s="6">
        <v>3.7264027854690532E-2</v>
      </c>
    </row>
    <row r="258" spans="1:1">
      <c r="A258" s="6">
        <v>0.25581555939754186</v>
      </c>
    </row>
    <row r="259" spans="1:1">
      <c r="A259" s="6">
        <v>0</v>
      </c>
    </row>
    <row r="260" spans="1:1">
      <c r="A260" s="6">
        <v>0</v>
      </c>
    </row>
    <row r="261" spans="1:1">
      <c r="A261" s="6">
        <v>0.25481331848064742</v>
      </c>
    </row>
    <row r="262" spans="1:1">
      <c r="A262" s="6">
        <v>0</v>
      </c>
    </row>
    <row r="263" spans="1:1">
      <c r="A263" s="6">
        <v>6.4419042005321461E-2</v>
      </c>
    </row>
    <row r="264" spans="1:1">
      <c r="A264" s="6">
        <v>0.10788177153562864</v>
      </c>
    </row>
    <row r="265" spans="1:1">
      <c r="A265" s="6">
        <v>0</v>
      </c>
    </row>
    <row r="266" spans="1:1">
      <c r="A266" s="6">
        <v>0</v>
      </c>
    </row>
    <row r="267" spans="1:1">
      <c r="A267" s="6">
        <v>0.24833629343146826</v>
      </c>
    </row>
    <row r="268" spans="1:1">
      <c r="A268" s="6">
        <v>0.16615780750618397</v>
      </c>
    </row>
    <row r="269" spans="1:1">
      <c r="A269" s="6">
        <v>1.4049546680818285E-2</v>
      </c>
    </row>
    <row r="270" spans="1:1">
      <c r="A270" s="6">
        <v>0</v>
      </c>
    </row>
    <row r="271" spans="1:1">
      <c r="A271" s="6">
        <v>6.4419042005321461E-2</v>
      </c>
    </row>
    <row r="272" spans="1:1">
      <c r="A272" s="6">
        <v>0.25581555939754186</v>
      </c>
    </row>
    <row r="273" spans="1:1">
      <c r="A273" s="6">
        <v>0</v>
      </c>
    </row>
    <row r="274" spans="1:1">
      <c r="A274" s="6">
        <v>-0.13274948234794526</v>
      </c>
    </row>
    <row r="275" spans="1:1">
      <c r="A275" s="6">
        <v>1.2225679304209092E-2</v>
      </c>
    </row>
    <row r="276" spans="1:1">
      <c r="A276" s="6">
        <v>-6.1928730463004879E-2</v>
      </c>
    </row>
    <row r="277" spans="1:1">
      <c r="A277" s="6">
        <v>9.4555309750757724E-2</v>
      </c>
    </row>
    <row r="278" spans="1:1">
      <c r="A278" s="6">
        <v>6.4419042005321461E-2</v>
      </c>
    </row>
    <row r="279" spans="1:1">
      <c r="A279" s="6">
        <v>0.18762795201583557</v>
      </c>
    </row>
    <row r="280" spans="1:1">
      <c r="A280" s="6">
        <v>-6.1928730463004879E-2</v>
      </c>
    </row>
    <row r="281" spans="1:1">
      <c r="A281" s="6">
        <v>-0.13274948234794526</v>
      </c>
    </row>
    <row r="282" spans="1:1">
      <c r="A282" s="6">
        <v>8.081096121299744E-2</v>
      </c>
    </row>
    <row r="283" spans="1:1">
      <c r="A283" s="6">
        <v>-7.0269238925823692E-3</v>
      </c>
    </row>
    <row r="284" spans="1:1">
      <c r="A284" s="6">
        <v>0</v>
      </c>
    </row>
    <row r="285" spans="1:1">
      <c r="A285" s="6">
        <v>-0.13274948234794526</v>
      </c>
    </row>
    <row r="286" spans="1:1">
      <c r="A286" s="6">
        <v>0.22185784964769206</v>
      </c>
    </row>
    <row r="287" spans="1:1">
      <c r="A287" s="6">
        <v>0.18762795201583557</v>
      </c>
    </row>
    <row r="288" spans="1:1">
      <c r="A288" s="6">
        <v>8.081096121299744E-2</v>
      </c>
    </row>
    <row r="289" spans="1:1">
      <c r="A289" s="6">
        <v>0</v>
      </c>
    </row>
    <row r="290" spans="1:1">
      <c r="A290" s="6">
        <v>-0.1229980207344718</v>
      </c>
    </row>
    <row r="291" spans="1:1">
      <c r="A291" s="6">
        <v>0.18762795201583557</v>
      </c>
    </row>
    <row r="292" spans="1:1">
      <c r="A292" s="6">
        <v>6.4419042005321461E-2</v>
      </c>
    </row>
    <row r="293" spans="1:1">
      <c r="A293" s="6">
        <v>0</v>
      </c>
    </row>
    <row r="294" spans="1:1">
      <c r="A294" s="6">
        <v>0</v>
      </c>
    </row>
    <row r="295" spans="1:1">
      <c r="A295" s="6">
        <v>0.10702390858761081</v>
      </c>
    </row>
    <row r="296" spans="1:1">
      <c r="A296" s="6">
        <v>-6.1928730463004879E-2</v>
      </c>
    </row>
    <row r="297" spans="1:1">
      <c r="A297" s="6">
        <v>0.10702390858761081</v>
      </c>
    </row>
    <row r="298" spans="1:1">
      <c r="A298" s="6">
        <v>3.7264027854690532E-2</v>
      </c>
    </row>
    <row r="299" spans="1:1">
      <c r="A299" s="6">
        <v>6.4419042005321461E-2</v>
      </c>
    </row>
    <row r="300" spans="1:1">
      <c r="A300" s="6">
        <v>0</v>
      </c>
    </row>
    <row r="301" spans="1:1">
      <c r="A301" s="6">
        <v>-6.1928730463004879E-2</v>
      </c>
    </row>
    <row r="302" spans="1:1">
      <c r="A302" s="6">
        <v>-0.1229980207344718</v>
      </c>
    </row>
    <row r="303" spans="1:1">
      <c r="A303" s="6">
        <v>0</v>
      </c>
    </row>
    <row r="304" spans="1:1">
      <c r="A304" s="6">
        <v>0.10788177153562864</v>
      </c>
    </row>
    <row r="305" spans="1:1">
      <c r="A305" s="6">
        <v>7.0422329455997176E-2</v>
      </c>
    </row>
    <row r="306" spans="1:1">
      <c r="A306" s="6">
        <v>-7.0269238925823692E-3</v>
      </c>
    </row>
    <row r="307" spans="1:1">
      <c r="A307" s="6">
        <v>1.2225679304209092E-2</v>
      </c>
    </row>
    <row r="308" spans="1:1">
      <c r="A308" s="6">
        <v>0.18762795201583557</v>
      </c>
    </row>
    <row r="309" spans="1:1">
      <c r="A309" s="6">
        <v>1.4049546680818285E-2</v>
      </c>
    </row>
    <row r="310" spans="1:1">
      <c r="A310" s="6">
        <v>0.13680891237597953</v>
      </c>
    </row>
    <row r="311" spans="1:1">
      <c r="A311" s="6">
        <v>0</v>
      </c>
    </row>
    <row r="312" spans="1:1">
      <c r="A312" s="6">
        <v>0</v>
      </c>
    </row>
    <row r="313" spans="1:1">
      <c r="A313" s="6">
        <v>0</v>
      </c>
    </row>
    <row r="314" spans="1:1">
      <c r="A314" s="6">
        <v>0.26791845407776477</v>
      </c>
    </row>
    <row r="315" spans="1:1">
      <c r="A315" s="6">
        <v>0</v>
      </c>
    </row>
    <row r="316" spans="1:1">
      <c r="A316" s="6">
        <v>1.4049546680818285E-2</v>
      </c>
    </row>
    <row r="317" spans="1:1">
      <c r="A317" s="6">
        <v>0.25581555939754186</v>
      </c>
    </row>
    <row r="318" spans="1:1">
      <c r="A318" s="6">
        <v>1.0827913756041518E-3</v>
      </c>
    </row>
    <row r="319" spans="1:1">
      <c r="A319" s="6">
        <v>0.1130897018443069</v>
      </c>
    </row>
    <row r="320" spans="1:1">
      <c r="A320" s="6">
        <v>0.25481331848064742</v>
      </c>
    </row>
    <row r="321" spans="1:1">
      <c r="A321" s="6">
        <v>0</v>
      </c>
    </row>
    <row r="322" spans="1:1">
      <c r="A322" s="6">
        <v>0</v>
      </c>
    </row>
    <row r="323" spans="1:1">
      <c r="A323" s="6">
        <v>0.18240919880904002</v>
      </c>
    </row>
    <row r="324" spans="1:1">
      <c r="A324" s="6">
        <v>-4.5975852073346618E-2</v>
      </c>
    </row>
    <row r="325" spans="1:1">
      <c r="A325" s="6">
        <v>0</v>
      </c>
    </row>
    <row r="326" spans="1:1">
      <c r="A326" s="6">
        <v>0.26791845407776477</v>
      </c>
    </row>
    <row r="327" spans="1:1">
      <c r="A327" s="6">
        <v>0.10525403225213746</v>
      </c>
    </row>
    <row r="328" spans="1:1">
      <c r="A328" s="6">
        <v>6.4419042005321461E-2</v>
      </c>
    </row>
    <row r="329" spans="1:1">
      <c r="A329" s="6">
        <v>0.24833629343146826</v>
      </c>
    </row>
    <row r="330" spans="1:1">
      <c r="A330" s="6">
        <v>0.10709640328514787</v>
      </c>
    </row>
    <row r="331" spans="1:1">
      <c r="A331" s="6">
        <v>5.3264377873214752E-2</v>
      </c>
    </row>
    <row r="332" spans="1:1">
      <c r="A332" s="6">
        <v>0.25481331848064742</v>
      </c>
    </row>
    <row r="333" spans="1:1">
      <c r="A333" s="6">
        <v>-0.13274948234794526</v>
      </c>
    </row>
    <row r="334" spans="1:1">
      <c r="A334" s="6">
        <v>0.10525403225213746</v>
      </c>
    </row>
    <row r="335" spans="1:1">
      <c r="A335" s="6">
        <v>0.10702390858761081</v>
      </c>
    </row>
    <row r="336" spans="1:1">
      <c r="A336" s="6">
        <v>0</v>
      </c>
    </row>
    <row r="337" spans="1:1">
      <c r="A337" s="6">
        <v>0.25481331848064742</v>
      </c>
    </row>
    <row r="338" spans="1:1">
      <c r="A338" s="6">
        <v>-0.13274948234794526</v>
      </c>
    </row>
    <row r="339" spans="1:1">
      <c r="A339" s="6">
        <v>3.7264027854690532E-2</v>
      </c>
    </row>
    <row r="340" spans="1:1">
      <c r="A340" s="6">
        <v>5.3264377873214752E-2</v>
      </c>
    </row>
    <row r="341" spans="1:1">
      <c r="A341" s="6">
        <v>0.25581555939754186</v>
      </c>
    </row>
    <row r="342" spans="1:1">
      <c r="A342" s="6">
        <v>1.5146952408836394E-2</v>
      </c>
    </row>
    <row r="343" spans="1:1">
      <c r="A343" s="6">
        <v>0.24833629343146826</v>
      </c>
    </row>
    <row r="344" spans="1:1">
      <c r="A344" s="6">
        <v>0</v>
      </c>
    </row>
    <row r="345" spans="1:1">
      <c r="A345" s="6">
        <v>0</v>
      </c>
    </row>
    <row r="346" spans="1:1">
      <c r="A346" s="6">
        <v>1.5146952408836394E-2</v>
      </c>
    </row>
    <row r="347" spans="1:1">
      <c r="A347" s="6">
        <v>0.10710868403533827</v>
      </c>
    </row>
    <row r="348" spans="1:1">
      <c r="A348" s="6">
        <v>6.4419042005321461E-2</v>
      </c>
    </row>
    <row r="349" spans="1:1">
      <c r="A349" s="6">
        <v>0.26791845407776477</v>
      </c>
    </row>
    <row r="350" spans="1:1">
      <c r="A350" s="6">
        <v>0.10788177153562864</v>
      </c>
    </row>
    <row r="351" spans="1:1">
      <c r="A351" s="6">
        <v>0.13680891237597953</v>
      </c>
    </row>
    <row r="352" spans="1:1">
      <c r="A352" s="6">
        <v>0</v>
      </c>
    </row>
    <row r="353" spans="1:1">
      <c r="A353" s="6">
        <v>5.3264377873214752E-2</v>
      </c>
    </row>
    <row r="354" spans="1:1">
      <c r="A354" s="6">
        <v>-0.1229980207344718</v>
      </c>
    </row>
    <row r="355" spans="1:1">
      <c r="A355" s="6">
        <v>0</v>
      </c>
    </row>
    <row r="356" spans="1:1">
      <c r="A356" s="6">
        <v>0</v>
      </c>
    </row>
    <row r="357" spans="1:1">
      <c r="A357" s="6">
        <v>0</v>
      </c>
    </row>
    <row r="358" spans="1:1">
      <c r="A358" s="6">
        <v>0</v>
      </c>
    </row>
    <row r="359" spans="1:1">
      <c r="A359" s="6">
        <v>0</v>
      </c>
    </row>
    <row r="360" spans="1:1">
      <c r="A360" s="6">
        <v>0</v>
      </c>
    </row>
    <row r="361" spans="1:1">
      <c r="A361" s="6">
        <v>-6.1928730463004879E-2</v>
      </c>
    </row>
    <row r="362" spans="1:1">
      <c r="A362" s="6">
        <v>0.10525403225213746</v>
      </c>
    </row>
    <row r="363" spans="1:1">
      <c r="A363" s="6">
        <v>5.8348079685156623E-2</v>
      </c>
    </row>
    <row r="364" spans="1:1">
      <c r="A364" s="6">
        <v>5.3264377873214752E-2</v>
      </c>
    </row>
    <row r="365" spans="1:1">
      <c r="A365" s="6">
        <v>0.25581555939754186</v>
      </c>
    </row>
    <row r="366" spans="1:1">
      <c r="A366" s="6">
        <v>9.1108129362620652E-2</v>
      </c>
    </row>
    <row r="367" spans="1:1">
      <c r="A367" s="6">
        <v>0</v>
      </c>
    </row>
    <row r="368" spans="1:1">
      <c r="A368" s="6">
        <v>0.10525403225213746</v>
      </c>
    </row>
    <row r="369" spans="1:1">
      <c r="A369" s="6">
        <v>0</v>
      </c>
    </row>
    <row r="370" spans="1:1">
      <c r="A370" s="6">
        <v>0.25481331848064742</v>
      </c>
    </row>
    <row r="371" spans="1:1">
      <c r="A371" s="6">
        <v>0.26791845407776477</v>
      </c>
    </row>
    <row r="372" spans="1:1">
      <c r="A372" s="6">
        <v>0.26791845407776477</v>
      </c>
    </row>
    <row r="373" spans="1:1">
      <c r="A373" s="6">
        <v>0</v>
      </c>
    </row>
    <row r="374" spans="1:1">
      <c r="A374" s="6">
        <v>1.5146952408836394E-2</v>
      </c>
    </row>
    <row r="375" spans="1:1">
      <c r="A375" s="6">
        <v>0.26791845407776477</v>
      </c>
    </row>
    <row r="376" spans="1:1">
      <c r="A376" s="6">
        <v>1.4049546680818285E-2</v>
      </c>
    </row>
    <row r="377" spans="1:1">
      <c r="A377" s="6">
        <v>7.8578478868305213E-2</v>
      </c>
    </row>
    <row r="378" spans="1:1">
      <c r="A378" s="6">
        <v>0.22457947495613381</v>
      </c>
    </row>
    <row r="379" spans="1:1">
      <c r="A379" s="6">
        <v>0.14790650353694867</v>
      </c>
    </row>
    <row r="380" spans="1:1">
      <c r="A380" s="6">
        <v>7.0422329455997176E-2</v>
      </c>
    </row>
    <row r="381" spans="1:1">
      <c r="A381" s="6">
        <v>0.10702390858761081</v>
      </c>
    </row>
    <row r="382" spans="1:1">
      <c r="A382" s="6">
        <v>0</v>
      </c>
    </row>
    <row r="383" spans="1:1">
      <c r="A383" s="6">
        <v>0.10710868403533827</v>
      </c>
    </row>
    <row r="384" spans="1:1">
      <c r="A384" s="6">
        <v>0</v>
      </c>
    </row>
    <row r="385" spans="1:1">
      <c r="A385" s="6">
        <v>0</v>
      </c>
    </row>
    <row r="386" spans="1:1">
      <c r="A386" s="6">
        <v>5.3264377873214752E-2</v>
      </c>
    </row>
    <row r="387" spans="1:1">
      <c r="A387" s="6">
        <v>1.5146952408836394E-2</v>
      </c>
    </row>
    <row r="388" spans="1:1">
      <c r="A388" s="6">
        <v>0.13680891237597953</v>
      </c>
    </row>
    <row r="389" spans="1:1">
      <c r="A389" s="6">
        <v>0.10702390858761081</v>
      </c>
    </row>
    <row r="390" spans="1:1">
      <c r="A390" s="6">
        <v>0.16615780750618397</v>
      </c>
    </row>
    <row r="391" spans="1:1">
      <c r="A391" s="6">
        <v>-0.13274948234794526</v>
      </c>
    </row>
    <row r="392" spans="1:1">
      <c r="A392" s="6">
        <v>0.22457947495613381</v>
      </c>
    </row>
    <row r="393" spans="1:1">
      <c r="A393" s="6">
        <v>0.10710868403533827</v>
      </c>
    </row>
    <row r="394" spans="1:1">
      <c r="A394" s="6">
        <v>3.7264027854690532E-2</v>
      </c>
    </row>
    <row r="395" spans="1:1">
      <c r="A395" s="6">
        <v>9.1108129362620652E-2</v>
      </c>
    </row>
    <row r="396" spans="1:1">
      <c r="A396" s="6">
        <v>0</v>
      </c>
    </row>
    <row r="397" spans="1:1">
      <c r="A397" s="6">
        <v>0</v>
      </c>
    </row>
    <row r="398" spans="1:1">
      <c r="A398" s="6">
        <v>0.18240919880904002</v>
      </c>
    </row>
    <row r="399" spans="1:1">
      <c r="A399" s="6">
        <v>5.8348079685156623E-2</v>
      </c>
    </row>
    <row r="400" spans="1:1">
      <c r="A400" s="6">
        <v>0.18762795201583557</v>
      </c>
    </row>
    <row r="401" spans="1:1">
      <c r="A401" s="6">
        <v>0</v>
      </c>
    </row>
    <row r="402" spans="1:1">
      <c r="A402" s="6">
        <v>0.10788177153562864</v>
      </c>
    </row>
    <row r="403" spans="1:1">
      <c r="A403" s="6">
        <v>-0.13274948234794526</v>
      </c>
    </row>
    <row r="404" spans="1:1">
      <c r="A404" s="6">
        <v>3.7264027854690532E-2</v>
      </c>
    </row>
    <row r="405" spans="1:1">
      <c r="A405" s="6">
        <v>0.24833629343146826</v>
      </c>
    </row>
    <row r="406" spans="1:1">
      <c r="A406" s="6">
        <v>-4.5975852073346618E-2</v>
      </c>
    </row>
    <row r="407" spans="1:1">
      <c r="A407" s="6">
        <v>0.18240919880904002</v>
      </c>
    </row>
    <row r="408" spans="1:1">
      <c r="A408" s="6">
        <v>9.4555309750757724E-2</v>
      </c>
    </row>
    <row r="409" spans="1:1">
      <c r="A409" s="6">
        <v>0</v>
      </c>
    </row>
    <row r="410" spans="1:1">
      <c r="A410" s="6">
        <v>0.14790650353694867</v>
      </c>
    </row>
    <row r="411" spans="1:1">
      <c r="A411" s="6">
        <v>0.25581555939754186</v>
      </c>
    </row>
    <row r="412" spans="1:1">
      <c r="A412" s="6">
        <v>0</v>
      </c>
    </row>
    <row r="413" spans="1:1">
      <c r="A413" s="6">
        <v>-4.5975852073346618E-2</v>
      </c>
    </row>
    <row r="414" spans="1:1">
      <c r="A414" s="6">
        <v>-6.1928730463004879E-2</v>
      </c>
    </row>
    <row r="415" spans="1:1">
      <c r="A415" s="6">
        <v>0</v>
      </c>
    </row>
    <row r="416" spans="1:1">
      <c r="A416" s="6">
        <v>0.14790650353694867</v>
      </c>
    </row>
    <row r="417" spans="1:1">
      <c r="A417" s="6">
        <v>0</v>
      </c>
    </row>
    <row r="418" spans="1:1">
      <c r="A418" s="6">
        <v>0</v>
      </c>
    </row>
    <row r="419" spans="1:1">
      <c r="A419" s="6">
        <v>0.22457947495613381</v>
      </c>
    </row>
    <row r="420" spans="1:1">
      <c r="A420" s="6">
        <v>0</v>
      </c>
    </row>
    <row r="421" spans="1:1">
      <c r="A421" s="6">
        <v>0.10702390858761081</v>
      </c>
    </row>
    <row r="422" spans="1:1">
      <c r="A422" s="6">
        <v>0.18762795201583557</v>
      </c>
    </row>
    <row r="423" spans="1:1">
      <c r="A423" s="6">
        <v>-0.13274948234794526</v>
      </c>
    </row>
    <row r="424" spans="1:1">
      <c r="A424" s="6">
        <v>0.10788177153562864</v>
      </c>
    </row>
    <row r="425" spans="1:1">
      <c r="A425" s="6">
        <v>0.16615780750618397</v>
      </c>
    </row>
    <row r="426" spans="1:1">
      <c r="A426" s="6">
        <v>0.25481331848064742</v>
      </c>
    </row>
    <row r="427" spans="1:1">
      <c r="A427" s="6">
        <v>-4.5975852073346618E-2</v>
      </c>
    </row>
    <row r="428" spans="1:1">
      <c r="A428" s="6">
        <v>0.24833629343146826</v>
      </c>
    </row>
    <row r="429" spans="1:1">
      <c r="A429" s="6">
        <v>0.18240919880904002</v>
      </c>
    </row>
    <row r="430" spans="1:1">
      <c r="A430" s="6">
        <v>-4.5975852073346618E-2</v>
      </c>
    </row>
    <row r="431" spans="1:1">
      <c r="A431" s="6">
        <v>0.1130897018443069</v>
      </c>
    </row>
    <row r="432" spans="1:1">
      <c r="A432" s="6">
        <v>0</v>
      </c>
    </row>
    <row r="433" spans="1:1">
      <c r="A433" s="6">
        <v>0</v>
      </c>
    </row>
    <row r="434" spans="1:1">
      <c r="A434" s="6">
        <v>0</v>
      </c>
    </row>
    <row r="435" spans="1:1">
      <c r="A435" s="6">
        <v>-4.5975852073346618E-2</v>
      </c>
    </row>
    <row r="436" spans="1:1">
      <c r="A436" s="6">
        <v>-4.5975852073346618E-2</v>
      </c>
    </row>
    <row r="437" spans="1:1">
      <c r="A437" s="6">
        <v>0.13680891237597953</v>
      </c>
    </row>
    <row r="438" spans="1:1">
      <c r="A438" s="6">
        <v>5.8348079685156623E-2</v>
      </c>
    </row>
    <row r="439" spans="1:1">
      <c r="A439" s="6">
        <v>0</v>
      </c>
    </row>
    <row r="440" spans="1:1">
      <c r="A440" s="6">
        <v>-4.5975852073346618E-2</v>
      </c>
    </row>
    <row r="441" spans="1:1">
      <c r="A441" s="6">
        <v>0</v>
      </c>
    </row>
    <row r="442" spans="1:1">
      <c r="A442" s="6">
        <v>-7.0269238925823692E-3</v>
      </c>
    </row>
    <row r="443" spans="1:1">
      <c r="A443" s="6">
        <v>0.22185784964769206</v>
      </c>
    </row>
    <row r="444" spans="1:1">
      <c r="A444" s="6">
        <v>7.5818801139291682E-3</v>
      </c>
    </row>
    <row r="445" spans="1:1">
      <c r="A445" s="6">
        <v>0</v>
      </c>
    </row>
    <row r="446" spans="1:1">
      <c r="A446" s="6">
        <v>0</v>
      </c>
    </row>
    <row r="447" spans="1:1">
      <c r="A447" s="6">
        <v>0.17380489413507264</v>
      </c>
    </row>
    <row r="448" spans="1:1">
      <c r="A448" s="6">
        <v>0.10710868403533827</v>
      </c>
    </row>
    <row r="449" spans="1:1">
      <c r="A449" s="6">
        <v>9.1108129362620652E-2</v>
      </c>
    </row>
    <row r="450" spans="1:1">
      <c r="A450" s="6">
        <v>0.1130897018443069</v>
      </c>
    </row>
    <row r="451" spans="1:1">
      <c r="A451" s="6">
        <v>1.2225679304209092E-2</v>
      </c>
    </row>
    <row r="452" spans="1:1">
      <c r="A452" s="6">
        <v>0.10525403225213746</v>
      </c>
    </row>
    <row r="453" spans="1:1">
      <c r="A453" s="6">
        <v>1.0827913756041518E-3</v>
      </c>
    </row>
    <row r="454" spans="1:1">
      <c r="A454" s="6">
        <v>0.18240919880904002</v>
      </c>
    </row>
    <row r="455" spans="1:1">
      <c r="A455" s="6">
        <v>0.14790650353694867</v>
      </c>
    </row>
    <row r="456" spans="1:1">
      <c r="A456" s="6">
        <v>0.25581555939754186</v>
      </c>
    </row>
    <row r="457" spans="1:1">
      <c r="A457" s="6">
        <v>0.22457947495613381</v>
      </c>
    </row>
    <row r="458" spans="1:1">
      <c r="A458" s="6">
        <v>0.17380489413507264</v>
      </c>
    </row>
    <row r="459" spans="1:1">
      <c r="A459" s="6">
        <v>0</v>
      </c>
    </row>
    <row r="460" spans="1:1">
      <c r="A460" s="6">
        <v>1.2225679304209092E-2</v>
      </c>
    </row>
    <row r="461" spans="1:1">
      <c r="A461" s="6">
        <v>0.10702390858761081</v>
      </c>
    </row>
    <row r="462" spans="1:1">
      <c r="A462" s="6">
        <v>0</v>
      </c>
    </row>
    <row r="463" spans="1:1">
      <c r="A463" s="6">
        <v>1.0827913756041518E-3</v>
      </c>
    </row>
    <row r="464" spans="1:1">
      <c r="A464" s="6">
        <v>0.24833629343146826</v>
      </c>
    </row>
    <row r="465" spans="1:1">
      <c r="A465" s="6">
        <v>5.8348079685156623E-2</v>
      </c>
    </row>
    <row r="466" spans="1:1">
      <c r="A466" s="6">
        <v>0</v>
      </c>
    </row>
    <row r="467" spans="1:1">
      <c r="A467" s="6">
        <v>1.4049546680818285E-2</v>
      </c>
    </row>
    <row r="468" spans="1:1">
      <c r="A468" s="6">
        <v>0</v>
      </c>
    </row>
    <row r="469" spans="1:1">
      <c r="A469" s="6">
        <v>-0.1229980207344718</v>
      </c>
    </row>
    <row r="470" spans="1:1">
      <c r="A470" s="6">
        <v>0</v>
      </c>
    </row>
    <row r="471" spans="1:1">
      <c r="A471" s="6">
        <v>-4.5975852073346618E-2</v>
      </c>
    </row>
    <row r="472" spans="1:1">
      <c r="A472" s="6">
        <v>1.2225679304209092E-2</v>
      </c>
    </row>
    <row r="473" spans="1:1">
      <c r="A473" s="6">
        <v>0</v>
      </c>
    </row>
    <row r="474" spans="1:1">
      <c r="A474" s="6">
        <v>0</v>
      </c>
    </row>
    <row r="475" spans="1:1">
      <c r="A475" s="6">
        <v>0</v>
      </c>
    </row>
    <row r="476" spans="1:1">
      <c r="A476" s="6">
        <v>0.24833629343146826</v>
      </c>
    </row>
    <row r="477" spans="1:1">
      <c r="A477" s="6">
        <v>-4.5975852073346618E-2</v>
      </c>
    </row>
    <row r="478" spans="1:1">
      <c r="A478" s="6">
        <v>0.10702390858761081</v>
      </c>
    </row>
    <row r="479" spans="1:1">
      <c r="A479" s="6">
        <v>7.8578478868305213E-2</v>
      </c>
    </row>
    <row r="480" spans="1:1">
      <c r="A480" s="6">
        <v>3.7264027854690532E-2</v>
      </c>
    </row>
    <row r="481" spans="1:1">
      <c r="A481" s="6">
        <v>9.4555309750757724E-2</v>
      </c>
    </row>
    <row r="482" spans="1:1">
      <c r="A482" s="6">
        <v>0.25581555939754186</v>
      </c>
    </row>
    <row r="483" spans="1:1">
      <c r="A483" s="6">
        <v>0.22185784964769206</v>
      </c>
    </row>
    <row r="484" spans="1:1">
      <c r="A484" s="6">
        <v>0.18240919880904002</v>
      </c>
    </row>
    <row r="485" spans="1:1">
      <c r="A485" s="6">
        <v>7.0422329455997176E-2</v>
      </c>
    </row>
    <row r="486" spans="1:1">
      <c r="A486" s="6">
        <v>0.14790650353694867</v>
      </c>
    </row>
    <row r="487" spans="1:1">
      <c r="A487" s="6">
        <v>3.7264027854690532E-2</v>
      </c>
    </row>
    <row r="488" spans="1:1">
      <c r="A488" s="6">
        <v>7.0422329455997176E-2</v>
      </c>
    </row>
    <row r="489" spans="1:1">
      <c r="A489" s="6">
        <v>6.4419042005321461E-2</v>
      </c>
    </row>
    <row r="490" spans="1:1">
      <c r="A490" s="6">
        <v>9.1108129362620652E-2</v>
      </c>
    </row>
    <row r="491" spans="1:1">
      <c r="A491" s="6">
        <v>0</v>
      </c>
    </row>
    <row r="492" spans="1:1">
      <c r="A492" s="6">
        <v>1.5146952408836394E-2</v>
      </c>
    </row>
    <row r="493" spans="1:1">
      <c r="A493" s="6">
        <v>0.22457947495613381</v>
      </c>
    </row>
    <row r="494" spans="1:1">
      <c r="A494" s="6">
        <v>8.081096121299744E-2</v>
      </c>
    </row>
    <row r="495" spans="1:1">
      <c r="A495" s="6">
        <v>0</v>
      </c>
    </row>
    <row r="496" spans="1:1">
      <c r="A496" s="6">
        <v>-0.1229980207344718</v>
      </c>
    </row>
    <row r="497" spans="1:1">
      <c r="A497" s="6">
        <v>1.4049546680818285E-2</v>
      </c>
    </row>
    <row r="498" spans="1:1">
      <c r="A498" s="6">
        <v>0</v>
      </c>
    </row>
    <row r="499" spans="1:1">
      <c r="A499" s="6">
        <v>7.5818801139291682E-3</v>
      </c>
    </row>
    <row r="500" spans="1:1">
      <c r="A500" s="6">
        <v>9.1108129362620652E-2</v>
      </c>
    </row>
    <row r="501" spans="1:1">
      <c r="A501" s="6">
        <v>0.10702390858761081</v>
      </c>
    </row>
    <row r="502" spans="1:1">
      <c r="A502" s="6">
        <v>0.24833629343146826</v>
      </c>
    </row>
    <row r="503" spans="1:1">
      <c r="A503" s="6">
        <v>0.25481331848064742</v>
      </c>
    </row>
    <row r="504" spans="1:1">
      <c r="A504" s="6">
        <v>0</v>
      </c>
    </row>
    <row r="505" spans="1:1">
      <c r="A505" s="6">
        <v>-0.1229980207344718</v>
      </c>
    </row>
    <row r="506" spans="1:1">
      <c r="A506" s="6">
        <v>-0.1229980207344718</v>
      </c>
    </row>
    <row r="507" spans="1:1">
      <c r="A507" s="6">
        <v>0</v>
      </c>
    </row>
    <row r="508" spans="1:1">
      <c r="A508" s="6">
        <v>0.1130897018443069</v>
      </c>
    </row>
    <row r="509" spans="1:1">
      <c r="A509" s="6">
        <v>0.22457947495613381</v>
      </c>
    </row>
    <row r="510" spans="1:1">
      <c r="A510" s="6">
        <v>0.10710868403533827</v>
      </c>
    </row>
    <row r="511" spans="1:1">
      <c r="A511" s="6">
        <v>0</v>
      </c>
    </row>
    <row r="512" spans="1:1">
      <c r="A512" s="6">
        <v>0</v>
      </c>
    </row>
    <row r="513" spans="1:1">
      <c r="A513" s="6">
        <v>-7.0269238925823692E-3</v>
      </c>
    </row>
    <row r="514" spans="1:1">
      <c r="A514" s="6">
        <v>0.10710868403533827</v>
      </c>
    </row>
    <row r="515" spans="1:1">
      <c r="A515" s="6">
        <v>3.7264027854690532E-2</v>
      </c>
    </row>
    <row r="516" spans="1:1">
      <c r="A516" s="6">
        <v>0</v>
      </c>
    </row>
    <row r="517" spans="1:1">
      <c r="A517" s="6">
        <v>0.22457947495613381</v>
      </c>
    </row>
    <row r="518" spans="1:1">
      <c r="A518" s="6">
        <v>0.10525403225213746</v>
      </c>
    </row>
    <row r="519" spans="1:1">
      <c r="A519" s="6">
        <v>3.7264027854690532E-2</v>
      </c>
    </row>
    <row r="520" spans="1:1">
      <c r="A520" s="6">
        <v>0.13680891237597953</v>
      </c>
    </row>
    <row r="521" spans="1:1">
      <c r="A521" s="6">
        <v>0.25581555939754186</v>
      </c>
    </row>
    <row r="522" spans="1:1">
      <c r="A522" s="6">
        <v>0</v>
      </c>
    </row>
    <row r="523" spans="1:1">
      <c r="A523" s="6">
        <v>0.14790650353694867</v>
      </c>
    </row>
    <row r="524" spans="1:1">
      <c r="A524" s="6">
        <v>0</v>
      </c>
    </row>
    <row r="525" spans="1:1">
      <c r="A525" s="6">
        <v>0</v>
      </c>
    </row>
    <row r="526" spans="1:1">
      <c r="A526" s="6">
        <v>-6.1928730463004879E-2</v>
      </c>
    </row>
    <row r="527" spans="1:1">
      <c r="A527" s="6">
        <v>9.1108129362620652E-2</v>
      </c>
    </row>
    <row r="528" spans="1:1">
      <c r="A528" s="6">
        <v>1.2225679304209092E-2</v>
      </c>
    </row>
    <row r="529" spans="1:1">
      <c r="A529" s="6">
        <v>7.5818801139291682E-3</v>
      </c>
    </row>
    <row r="530" spans="1:1">
      <c r="A530" s="6">
        <v>-4.5975852073346618E-2</v>
      </c>
    </row>
    <row r="531" spans="1:1">
      <c r="A531" s="6">
        <v>1.5146952408836394E-2</v>
      </c>
    </row>
    <row r="532" spans="1:1">
      <c r="A532" s="6">
        <v>9.4555309750757724E-2</v>
      </c>
    </row>
    <row r="533" spans="1:1">
      <c r="A533" s="6">
        <v>0.18240919880904002</v>
      </c>
    </row>
    <row r="534" spans="1:1">
      <c r="A534" s="6">
        <v>-6.3633334648082567E-3</v>
      </c>
    </row>
    <row r="535" spans="1:1">
      <c r="A535" s="6">
        <v>-6.1928730463004879E-2</v>
      </c>
    </row>
    <row r="536" spans="1:1">
      <c r="A536" s="6">
        <v>0</v>
      </c>
    </row>
    <row r="537" spans="1:1">
      <c r="A537" s="6">
        <v>0.10709640328514787</v>
      </c>
    </row>
    <row r="538" spans="1:1">
      <c r="A538" s="6">
        <v>-6.1928730463004879E-2</v>
      </c>
    </row>
    <row r="539" spans="1:1">
      <c r="A539" s="6">
        <v>0</v>
      </c>
    </row>
    <row r="540" spans="1:1">
      <c r="A540" s="6">
        <v>9.4555309750757724E-2</v>
      </c>
    </row>
    <row r="541" spans="1:1">
      <c r="A541" s="6">
        <v>0</v>
      </c>
    </row>
    <row r="542" spans="1:1">
      <c r="A542" s="6">
        <v>0.26791845407776477</v>
      </c>
    </row>
    <row r="543" spans="1:1">
      <c r="A543" s="6">
        <v>5.3264377873214752E-2</v>
      </c>
    </row>
    <row r="544" spans="1:1">
      <c r="A544" s="6">
        <v>0</v>
      </c>
    </row>
    <row r="545" spans="1:1">
      <c r="A545" s="6">
        <v>0.17380489413507264</v>
      </c>
    </row>
    <row r="546" spans="1:1">
      <c r="A546" s="6">
        <v>1.2225679304209092E-2</v>
      </c>
    </row>
    <row r="547" spans="1:1">
      <c r="A547" s="6">
        <v>0.10702390858761081</v>
      </c>
    </row>
    <row r="548" spans="1:1">
      <c r="A548" s="6">
        <v>5.8348079685156623E-2</v>
      </c>
    </row>
    <row r="549" spans="1:1">
      <c r="A549" s="6">
        <v>9.1108129362620652E-2</v>
      </c>
    </row>
    <row r="550" spans="1:1">
      <c r="A550" s="6">
        <v>0.10710868403533827</v>
      </c>
    </row>
    <row r="551" spans="1:1">
      <c r="A551" s="6">
        <v>7.0422329455997176E-2</v>
      </c>
    </row>
    <row r="552" spans="1:1">
      <c r="A552" s="6">
        <v>1.4049546680818285E-2</v>
      </c>
    </row>
    <row r="553" spans="1:1">
      <c r="A553" s="6">
        <v>-4.5975852073346618E-2</v>
      </c>
    </row>
    <row r="554" spans="1:1">
      <c r="A554" s="6">
        <v>0</v>
      </c>
    </row>
    <row r="555" spans="1:1">
      <c r="A555" s="6">
        <v>0.18762795201583557</v>
      </c>
    </row>
    <row r="556" spans="1:1">
      <c r="A556" s="6">
        <v>0</v>
      </c>
    </row>
    <row r="557" spans="1:1">
      <c r="A557" s="6">
        <v>0.10525403225213746</v>
      </c>
    </row>
    <row r="558" spans="1:1">
      <c r="A558" s="6">
        <v>0.13680891237597953</v>
      </c>
    </row>
    <row r="559" spans="1:1">
      <c r="A559" s="6">
        <v>0</v>
      </c>
    </row>
    <row r="560" spans="1:1">
      <c r="A560" s="6">
        <v>1.2225679304209092E-2</v>
      </c>
    </row>
    <row r="561" spans="1:1">
      <c r="A561" s="6">
        <v>0.10788177153562864</v>
      </c>
    </row>
    <row r="562" spans="1:1">
      <c r="A562" s="6">
        <v>0</v>
      </c>
    </row>
    <row r="563" spans="1:1">
      <c r="A563" s="6">
        <v>9.4555309750757724E-2</v>
      </c>
    </row>
    <row r="564" spans="1:1">
      <c r="A564" s="6">
        <v>1.5146952408836394E-2</v>
      </c>
    </row>
    <row r="565" spans="1:1">
      <c r="A565" s="6">
        <v>3.7264027854690532E-2</v>
      </c>
    </row>
    <row r="566" spans="1:1">
      <c r="A566" s="6">
        <v>0.10525403225213746</v>
      </c>
    </row>
    <row r="567" spans="1:1">
      <c r="A567" s="6">
        <v>1.4049546680818285E-2</v>
      </c>
    </row>
    <row r="568" spans="1:1">
      <c r="A568" s="6">
        <v>0</v>
      </c>
    </row>
    <row r="569" spans="1:1">
      <c r="A569" s="6">
        <v>1.2225679304209092E-2</v>
      </c>
    </row>
    <row r="570" spans="1:1">
      <c r="A570" s="6">
        <v>9.4555309750757724E-2</v>
      </c>
    </row>
    <row r="571" spans="1:1">
      <c r="A571" s="6">
        <v>-4.5975852073346618E-2</v>
      </c>
    </row>
    <row r="572" spans="1:1">
      <c r="A572" s="6">
        <v>0.24833629343146826</v>
      </c>
    </row>
    <row r="573" spans="1:1">
      <c r="A573" s="6">
        <v>0.16615780750618397</v>
      </c>
    </row>
    <row r="574" spans="1:1">
      <c r="A574" s="6">
        <v>0.24833629343146826</v>
      </c>
    </row>
    <row r="575" spans="1:1">
      <c r="A575" s="6">
        <v>0.1130897018443069</v>
      </c>
    </row>
    <row r="576" spans="1:1">
      <c r="A576" s="6">
        <v>5.4598129129915428E-2</v>
      </c>
    </row>
    <row r="577" spans="1:1">
      <c r="A577" s="6">
        <v>6.4419042005321461E-2</v>
      </c>
    </row>
    <row r="578" spans="1:1">
      <c r="A578" s="6">
        <v>0.24833629343146826</v>
      </c>
    </row>
    <row r="579" spans="1:1">
      <c r="A579" s="6">
        <v>0.25581555939754186</v>
      </c>
    </row>
    <row r="580" spans="1:1">
      <c r="A580" s="6">
        <v>0.22185784964769206</v>
      </c>
    </row>
    <row r="581" spans="1:1">
      <c r="A581" s="6">
        <v>0.13680891237597953</v>
      </c>
    </row>
    <row r="582" spans="1:1">
      <c r="A582" s="6">
        <v>9.1108129362620652E-2</v>
      </c>
    </row>
    <row r="583" spans="1:1">
      <c r="A583" s="6">
        <v>0</v>
      </c>
    </row>
    <row r="584" spans="1:1">
      <c r="A584" s="6">
        <v>0</v>
      </c>
    </row>
    <row r="585" spans="1:1">
      <c r="A585" s="6">
        <v>1.4049546680818285E-2</v>
      </c>
    </row>
    <row r="586" spans="1:1">
      <c r="A586" s="6">
        <v>-0.1229980207344718</v>
      </c>
    </row>
    <row r="587" spans="1:1">
      <c r="A587" s="6">
        <v>0.14790650353694867</v>
      </c>
    </row>
    <row r="588" spans="1:1">
      <c r="A588" s="6">
        <v>0.22185784964769206</v>
      </c>
    </row>
    <row r="589" spans="1:1">
      <c r="A589" s="6">
        <v>9.1108129362620652E-2</v>
      </c>
    </row>
    <row r="590" spans="1:1">
      <c r="A590" s="6">
        <v>0.10788177153562864</v>
      </c>
    </row>
    <row r="591" spans="1:1">
      <c r="A591" s="6">
        <v>9.1108129362620652E-2</v>
      </c>
    </row>
    <row r="592" spans="1:1">
      <c r="A592" s="6">
        <v>0.13680891237597953</v>
      </c>
    </row>
    <row r="593" spans="1:1">
      <c r="A593" s="6">
        <v>1.2225679304209092E-2</v>
      </c>
    </row>
    <row r="594" spans="1:1">
      <c r="A594" s="6">
        <v>-6.3633334648082567E-3</v>
      </c>
    </row>
    <row r="595" spans="1:1">
      <c r="A595" s="6">
        <v>0</v>
      </c>
    </row>
    <row r="596" spans="1:1">
      <c r="A596" s="6">
        <v>0</v>
      </c>
    </row>
    <row r="597" spans="1:1">
      <c r="A597" s="6">
        <v>0.10709640328514787</v>
      </c>
    </row>
    <row r="598" spans="1:1">
      <c r="A598" s="6">
        <v>-0.1229980207344718</v>
      </c>
    </row>
    <row r="599" spans="1:1">
      <c r="A599" s="6">
        <v>0.16615780750618397</v>
      </c>
    </row>
    <row r="600" spans="1:1">
      <c r="A600" s="6">
        <v>0.1130897018443069</v>
      </c>
    </row>
    <row r="601" spans="1:1">
      <c r="A601" s="6">
        <v>0</v>
      </c>
    </row>
    <row r="602" spans="1:1">
      <c r="A602" s="6">
        <v>0</v>
      </c>
    </row>
    <row r="603" spans="1:1">
      <c r="A603" s="6">
        <v>0</v>
      </c>
    </row>
    <row r="604" spans="1:1">
      <c r="A604" s="6">
        <v>0.16615780750618397</v>
      </c>
    </row>
    <row r="605" spans="1:1">
      <c r="A605" s="6">
        <v>1.0827913756041518E-3</v>
      </c>
    </row>
    <row r="606" spans="1:1">
      <c r="A606" s="6">
        <v>0.18240919880904002</v>
      </c>
    </row>
    <row r="607" spans="1:1">
      <c r="A607" s="6">
        <v>0</v>
      </c>
    </row>
    <row r="608" spans="1:1">
      <c r="A608" s="6">
        <v>0</v>
      </c>
    </row>
    <row r="609" spans="1:1">
      <c r="A609" s="6">
        <v>1.4049546680818285E-2</v>
      </c>
    </row>
    <row r="610" spans="1:1">
      <c r="A610" s="6">
        <v>0.25581555939754186</v>
      </c>
    </row>
    <row r="611" spans="1:1">
      <c r="A611" s="6">
        <v>0.18762795201583557</v>
      </c>
    </row>
    <row r="612" spans="1:1">
      <c r="A612" s="6">
        <v>0</v>
      </c>
    </row>
    <row r="613" spans="1:1">
      <c r="A613" s="6">
        <v>0</v>
      </c>
    </row>
    <row r="614" spans="1:1">
      <c r="A614" s="6">
        <v>0</v>
      </c>
    </row>
    <row r="615" spans="1:1">
      <c r="A615" s="6">
        <v>0</v>
      </c>
    </row>
    <row r="616" spans="1:1">
      <c r="A616" s="6">
        <v>9.1108129362620652E-2</v>
      </c>
    </row>
    <row r="617" spans="1:1">
      <c r="A617" s="6">
        <v>5.4598129129915428E-2</v>
      </c>
    </row>
    <row r="618" spans="1:1">
      <c r="A618" s="6">
        <v>0.10788177153562864</v>
      </c>
    </row>
    <row r="619" spans="1:1">
      <c r="A619" s="6">
        <v>0.22457947495613381</v>
      </c>
    </row>
    <row r="620" spans="1:1">
      <c r="A620" s="6">
        <v>7.5818801139291682E-3</v>
      </c>
    </row>
    <row r="621" spans="1:1">
      <c r="A621" s="6">
        <v>9.4555309750757724E-2</v>
      </c>
    </row>
    <row r="622" spans="1:1">
      <c r="A622" s="6">
        <v>0.10710868403533827</v>
      </c>
    </row>
    <row r="623" spans="1:1">
      <c r="A623" s="6">
        <v>0.18762795201583557</v>
      </c>
    </row>
    <row r="624" spans="1:1">
      <c r="A624" s="6">
        <v>3.7264027854690532E-2</v>
      </c>
    </row>
    <row r="625" spans="1:1">
      <c r="A625" s="6">
        <v>1.0827913756041518E-3</v>
      </c>
    </row>
    <row r="626" spans="1:1">
      <c r="A626" s="6">
        <v>0</v>
      </c>
    </row>
    <row r="627" spans="1:1">
      <c r="A627" s="6">
        <v>-6.3633334648082567E-3</v>
      </c>
    </row>
    <row r="628" spans="1:1">
      <c r="A628" s="6">
        <v>5.3264377873214752E-2</v>
      </c>
    </row>
    <row r="629" spans="1:1">
      <c r="A629" s="6">
        <v>0.25481331848064742</v>
      </c>
    </row>
    <row r="630" spans="1:1">
      <c r="A630" s="6">
        <v>0.10525403225213746</v>
      </c>
    </row>
    <row r="631" spans="1:1">
      <c r="A631" s="6">
        <v>5.4598129129915428E-2</v>
      </c>
    </row>
    <row r="632" spans="1:1">
      <c r="A632" s="6">
        <v>0</v>
      </c>
    </row>
    <row r="633" spans="1:1">
      <c r="A633" s="6">
        <v>1.2225679304209092E-2</v>
      </c>
    </row>
    <row r="634" spans="1:1">
      <c r="A634" s="6">
        <v>0</v>
      </c>
    </row>
    <row r="635" spans="1:1">
      <c r="A635" s="6">
        <v>0</v>
      </c>
    </row>
    <row r="636" spans="1:1">
      <c r="A636" s="6">
        <v>-6.3633334648082567E-3</v>
      </c>
    </row>
    <row r="637" spans="1:1">
      <c r="A637" s="6">
        <v>5.3264377873214752E-2</v>
      </c>
    </row>
    <row r="638" spans="1:1">
      <c r="A638" s="6">
        <v>0.18240919880904002</v>
      </c>
    </row>
    <row r="639" spans="1:1">
      <c r="A639" s="6">
        <v>0.10788177153562864</v>
      </c>
    </row>
    <row r="640" spans="1:1">
      <c r="A640" s="6">
        <v>0.26791845407776477</v>
      </c>
    </row>
    <row r="641" spans="1:1">
      <c r="A641" s="6">
        <v>-4.5975852073346618E-2</v>
      </c>
    </row>
    <row r="642" spans="1:1">
      <c r="A642" s="6">
        <v>0</v>
      </c>
    </row>
    <row r="643" spans="1:1">
      <c r="A643" s="6">
        <v>0.18240919880904002</v>
      </c>
    </row>
    <row r="644" spans="1:1">
      <c r="A644" s="6">
        <v>0</v>
      </c>
    </row>
    <row r="645" spans="1:1">
      <c r="A645" s="6">
        <v>5.8348079685156623E-2</v>
      </c>
    </row>
    <row r="646" spans="1:1">
      <c r="A646" s="6">
        <v>0</v>
      </c>
    </row>
    <row r="647" spans="1:1">
      <c r="A647" s="6">
        <v>3.7264027854690532E-2</v>
      </c>
    </row>
    <row r="648" spans="1:1">
      <c r="A648" s="6">
        <v>6.4419042005321461E-2</v>
      </c>
    </row>
    <row r="649" spans="1:1">
      <c r="A649" s="6">
        <v>6.4419042005321461E-2</v>
      </c>
    </row>
    <row r="650" spans="1:1">
      <c r="A650" s="6">
        <v>0.14790650353694867</v>
      </c>
    </row>
    <row r="651" spans="1:1">
      <c r="A651" s="6">
        <v>0.24833629343146826</v>
      </c>
    </row>
    <row r="652" spans="1:1">
      <c r="A652" s="6">
        <v>6.4419042005321461E-2</v>
      </c>
    </row>
    <row r="653" spans="1:1">
      <c r="A653" s="6">
        <v>5.3264377873214752E-2</v>
      </c>
    </row>
    <row r="654" spans="1:1">
      <c r="A654" s="6">
        <v>0.13680891237597953</v>
      </c>
    </row>
    <row r="655" spans="1:1">
      <c r="A655" s="6">
        <v>0</v>
      </c>
    </row>
    <row r="656" spans="1:1">
      <c r="A656" s="6">
        <v>7.0422329455997176E-2</v>
      </c>
    </row>
    <row r="657" spans="1:1">
      <c r="A657" s="6">
        <v>0</v>
      </c>
    </row>
    <row r="658" spans="1:1">
      <c r="A658" s="6">
        <v>9.1108129362620652E-2</v>
      </c>
    </row>
    <row r="659" spans="1:1">
      <c r="A659" s="6">
        <v>0</v>
      </c>
    </row>
    <row r="660" spans="1:1">
      <c r="A660" s="6">
        <v>-4.5975852073346618E-2</v>
      </c>
    </row>
    <row r="661" spans="1:1">
      <c r="A661" s="6">
        <v>1.0827913756041518E-3</v>
      </c>
    </row>
    <row r="662" spans="1:1">
      <c r="A662" s="6">
        <v>0</v>
      </c>
    </row>
    <row r="663" spans="1:1">
      <c r="A663" s="6">
        <v>0.1130897018443069</v>
      </c>
    </row>
    <row r="664" spans="1:1">
      <c r="A664" s="6">
        <v>0</v>
      </c>
    </row>
    <row r="665" spans="1:1">
      <c r="A665" s="6">
        <v>0</v>
      </c>
    </row>
    <row r="666" spans="1:1">
      <c r="A666" s="6">
        <v>0.1130897018443069</v>
      </c>
    </row>
    <row r="667" spans="1:1">
      <c r="A667" s="6">
        <v>-6.1928730463004879E-2</v>
      </c>
    </row>
    <row r="668" spans="1:1">
      <c r="A668" s="6">
        <v>-6.3633334648082567E-3</v>
      </c>
    </row>
    <row r="669" spans="1:1">
      <c r="A669" s="6">
        <v>0</v>
      </c>
    </row>
    <row r="670" spans="1:1">
      <c r="A670" s="6">
        <v>0</v>
      </c>
    </row>
    <row r="671" spans="1:1">
      <c r="A671" s="6">
        <v>1.4049546680818285E-2</v>
      </c>
    </row>
    <row r="672" spans="1:1">
      <c r="A672" s="6">
        <v>7.0422329455997176E-2</v>
      </c>
    </row>
    <row r="673" spans="1:1">
      <c r="A673" s="6">
        <v>0.1130897018443069</v>
      </c>
    </row>
    <row r="674" spans="1:1">
      <c r="A674" s="6">
        <v>5.4598129129915428E-2</v>
      </c>
    </row>
    <row r="675" spans="1:1">
      <c r="A675" s="6">
        <v>-0.1229980207344718</v>
      </c>
    </row>
    <row r="676" spans="1:1">
      <c r="A676" s="6">
        <v>0</v>
      </c>
    </row>
    <row r="677" spans="1:1">
      <c r="A677" s="6">
        <v>0.17380489413507264</v>
      </c>
    </row>
    <row r="678" spans="1:1">
      <c r="A678" s="6">
        <v>0</v>
      </c>
    </row>
    <row r="679" spans="1:1">
      <c r="A679" s="6">
        <v>0.25481331848064742</v>
      </c>
    </row>
    <row r="680" spans="1:1">
      <c r="A680" s="6">
        <v>0.10702390858761081</v>
      </c>
    </row>
    <row r="681" spans="1:1">
      <c r="A681" s="6">
        <v>-4.5975852073346618E-2</v>
      </c>
    </row>
    <row r="682" spans="1:1">
      <c r="A682" s="6">
        <v>0.1130897018443069</v>
      </c>
    </row>
    <row r="683" spans="1:1">
      <c r="A683" s="6">
        <v>-6.1928730463004879E-2</v>
      </c>
    </row>
    <row r="684" spans="1:1">
      <c r="A684" s="6">
        <v>1.5146952408836394E-2</v>
      </c>
    </row>
    <row r="685" spans="1:1">
      <c r="A685" s="6">
        <v>0.18762795201583557</v>
      </c>
    </row>
    <row r="686" spans="1:1">
      <c r="A686" s="6">
        <v>7.5818801139291682E-3</v>
      </c>
    </row>
    <row r="687" spans="1:1">
      <c r="A687" s="6">
        <v>9.4555309750757724E-2</v>
      </c>
    </row>
    <row r="688" spans="1:1">
      <c r="A688" s="6">
        <v>0</v>
      </c>
    </row>
    <row r="689" spans="1:1">
      <c r="A689" s="6">
        <v>0.25481331848064742</v>
      </c>
    </row>
    <row r="690" spans="1:1">
      <c r="A690" s="6">
        <v>0.18762795201583557</v>
      </c>
    </row>
    <row r="691" spans="1:1">
      <c r="A691" s="6">
        <v>0</v>
      </c>
    </row>
    <row r="692" spans="1:1">
      <c r="A692" s="6">
        <v>0</v>
      </c>
    </row>
    <row r="693" spans="1:1">
      <c r="A693" s="6">
        <v>0</v>
      </c>
    </row>
    <row r="694" spans="1:1">
      <c r="A694" s="6">
        <v>0.10709640328514787</v>
      </c>
    </row>
    <row r="695" spans="1:1">
      <c r="A695" s="6">
        <v>5.4598129129915428E-2</v>
      </c>
    </row>
    <row r="696" spans="1:1">
      <c r="A696" s="6">
        <v>8.081096121299744E-2</v>
      </c>
    </row>
    <row r="697" spans="1:1">
      <c r="A697" s="6">
        <v>0.16615780750618397</v>
      </c>
    </row>
    <row r="698" spans="1:1">
      <c r="A698" s="6">
        <v>0.10702390858761081</v>
      </c>
    </row>
    <row r="699" spans="1:1">
      <c r="A699" s="6">
        <v>-4.5975852073346618E-2</v>
      </c>
    </row>
    <row r="700" spans="1:1">
      <c r="A700" s="6">
        <v>0.24833629343146826</v>
      </c>
    </row>
    <row r="701" spans="1:1">
      <c r="A701" s="6">
        <v>0</v>
      </c>
    </row>
    <row r="702" spans="1:1">
      <c r="A702" s="6">
        <v>0.24833629343146826</v>
      </c>
    </row>
    <row r="703" spans="1:1">
      <c r="A703" s="6">
        <v>-7.0269238925823692E-3</v>
      </c>
    </row>
    <row r="704" spans="1:1">
      <c r="A704" s="6">
        <v>0</v>
      </c>
    </row>
    <row r="705" spans="1:1">
      <c r="A705" s="6">
        <v>7.5818801139291682E-3</v>
      </c>
    </row>
    <row r="706" spans="1:1">
      <c r="A706" s="6">
        <v>9.1108129362620652E-2</v>
      </c>
    </row>
    <row r="707" spans="1:1">
      <c r="A707" s="6">
        <v>0</v>
      </c>
    </row>
    <row r="708" spans="1:1">
      <c r="A708" s="6">
        <v>1.4049546680818285E-2</v>
      </c>
    </row>
    <row r="709" spans="1:1">
      <c r="A709" s="6">
        <v>0.17380489413507264</v>
      </c>
    </row>
    <row r="710" spans="1:1">
      <c r="A710" s="6">
        <v>6.4419042005321461E-2</v>
      </c>
    </row>
    <row r="711" spans="1:1">
      <c r="A711" s="6">
        <v>0.1130897018443069</v>
      </c>
    </row>
    <row r="712" spans="1:1">
      <c r="A712" s="6">
        <v>0.10525403225213746</v>
      </c>
    </row>
    <row r="713" spans="1:1">
      <c r="A713" s="6">
        <v>1.5146952408836394E-2</v>
      </c>
    </row>
    <row r="714" spans="1:1">
      <c r="A714" s="6">
        <v>0.10709640328514787</v>
      </c>
    </row>
    <row r="715" spans="1:1">
      <c r="A715" s="6">
        <v>8.081096121299744E-2</v>
      </c>
    </row>
    <row r="716" spans="1:1">
      <c r="A716" s="6">
        <v>8.081096121299744E-2</v>
      </c>
    </row>
    <row r="717" spans="1:1">
      <c r="A717" s="6">
        <v>5.8348079685156623E-2</v>
      </c>
    </row>
    <row r="718" spans="1:1">
      <c r="A718" s="6">
        <v>7.8578478868305213E-2</v>
      </c>
    </row>
    <row r="719" spans="1:1">
      <c r="A719" s="6">
        <v>0.10525403225213746</v>
      </c>
    </row>
    <row r="720" spans="1:1">
      <c r="A720" s="6">
        <v>9.1108129362620652E-2</v>
      </c>
    </row>
    <row r="721" spans="1:1">
      <c r="A721" s="6">
        <v>1.4049546680818285E-2</v>
      </c>
    </row>
    <row r="722" spans="1:1">
      <c r="A722" s="6">
        <v>0.25481331848064742</v>
      </c>
    </row>
    <row r="723" spans="1:1">
      <c r="A723" s="6">
        <v>-0.13274948234794526</v>
      </c>
    </row>
    <row r="724" spans="1:1">
      <c r="A724" s="6">
        <v>0</v>
      </c>
    </row>
    <row r="725" spans="1:1">
      <c r="A725" s="6">
        <v>8.081096121299744E-2</v>
      </c>
    </row>
    <row r="726" spans="1:1">
      <c r="A726" s="6">
        <v>5.8348079685156623E-2</v>
      </c>
    </row>
    <row r="727" spans="1:1">
      <c r="A727" s="6">
        <v>0.14790650353694867</v>
      </c>
    </row>
    <row r="728" spans="1:1">
      <c r="A728" s="6">
        <v>-0.1229980207344718</v>
      </c>
    </row>
    <row r="729" spans="1:1">
      <c r="A729" s="6">
        <v>0</v>
      </c>
    </row>
    <row r="730" spans="1:1">
      <c r="A730" s="6">
        <v>0</v>
      </c>
    </row>
    <row r="731" spans="1:1">
      <c r="A731" s="6">
        <v>0</v>
      </c>
    </row>
    <row r="732" spans="1:1">
      <c r="A732" s="6">
        <v>-0.13274948234794526</v>
      </c>
    </row>
    <row r="733" spans="1:1">
      <c r="A733" s="6">
        <v>0</v>
      </c>
    </row>
    <row r="734" spans="1:1">
      <c r="A734" s="6">
        <v>8.081096121299744E-2</v>
      </c>
    </row>
    <row r="735" spans="1:1">
      <c r="A735" s="6">
        <v>5.8348079685156623E-2</v>
      </c>
    </row>
    <row r="736" spans="1:1">
      <c r="A736" s="6">
        <v>7.8578478868305213E-2</v>
      </c>
    </row>
    <row r="737" spans="1:1">
      <c r="A737" s="6">
        <v>0.10709640328514787</v>
      </c>
    </row>
    <row r="738" spans="1:1">
      <c r="A738" s="6">
        <v>0</v>
      </c>
    </row>
    <row r="739" spans="1:1">
      <c r="A739" s="6">
        <v>0.13680891237597953</v>
      </c>
    </row>
    <row r="740" spans="1:1">
      <c r="A740" s="6">
        <v>0.14790650353694867</v>
      </c>
    </row>
    <row r="741" spans="1:1">
      <c r="A741" s="6">
        <v>-0.1229980207344718</v>
      </c>
    </row>
    <row r="742" spans="1:1">
      <c r="A742" s="6">
        <v>0.22185784964769206</v>
      </c>
    </row>
    <row r="743" spans="1:1">
      <c r="A743" s="6">
        <v>9.1108129362620652E-2</v>
      </c>
    </row>
    <row r="744" spans="1:1">
      <c r="A744" s="6">
        <v>0.24833629343146826</v>
      </c>
    </row>
    <row r="745" spans="1:1">
      <c r="A745" s="6">
        <v>0.16615780750618397</v>
      </c>
    </row>
    <row r="746" spans="1:1">
      <c r="A746" s="6">
        <v>0.13680891237597953</v>
      </c>
    </row>
    <row r="747" spans="1:1">
      <c r="A747" s="6">
        <v>-6.3633334648082567E-3</v>
      </c>
    </row>
    <row r="748" spans="1:1">
      <c r="A748" s="6">
        <v>1.0827913756041518E-3</v>
      </c>
    </row>
    <row r="749" spans="1:1">
      <c r="A749" s="6">
        <v>0</v>
      </c>
    </row>
    <row r="750" spans="1:1">
      <c r="A750" s="6">
        <v>0.26791845407776477</v>
      </c>
    </row>
    <row r="751" spans="1:1">
      <c r="A751" s="6">
        <v>0.18240919880904002</v>
      </c>
    </row>
    <row r="752" spans="1:1">
      <c r="A752" s="6">
        <v>0</v>
      </c>
    </row>
    <row r="753" spans="1:1">
      <c r="A753" s="6">
        <v>5.8348079685156623E-2</v>
      </c>
    </row>
    <row r="754" spans="1:1">
      <c r="A754" s="6">
        <v>0.22185784964769206</v>
      </c>
    </row>
    <row r="755" spans="1:1">
      <c r="A755" s="6">
        <v>0</v>
      </c>
    </row>
    <row r="756" spans="1:1">
      <c r="A756" s="6">
        <v>0.1130897018443069</v>
      </c>
    </row>
    <row r="757" spans="1:1">
      <c r="A757" s="6">
        <v>0.22185784964769206</v>
      </c>
    </row>
    <row r="758" spans="1:1">
      <c r="A758" s="6">
        <v>0</v>
      </c>
    </row>
    <row r="759" spans="1:1">
      <c r="A759" s="6">
        <v>7.8578478868305213E-2</v>
      </c>
    </row>
    <row r="760" spans="1:1">
      <c r="A760" s="6">
        <v>0.1130897018443069</v>
      </c>
    </row>
    <row r="761" spans="1:1">
      <c r="A761" s="6">
        <v>0</v>
      </c>
    </row>
    <row r="762" spans="1:1">
      <c r="A762" s="6">
        <v>-6.1928730463004879E-2</v>
      </c>
    </row>
    <row r="763" spans="1:1">
      <c r="A763" s="6">
        <v>0.10710868403533827</v>
      </c>
    </row>
    <row r="764" spans="1:1">
      <c r="A764" s="6">
        <v>0</v>
      </c>
    </row>
    <row r="765" spans="1:1">
      <c r="A765" s="6">
        <v>0.22185784964769206</v>
      </c>
    </row>
    <row r="766" spans="1:1">
      <c r="A766" s="6">
        <v>0.16615780750618397</v>
      </c>
    </row>
    <row r="767" spans="1:1">
      <c r="A767" s="6">
        <v>0</v>
      </c>
    </row>
    <row r="768" spans="1:1">
      <c r="A768" s="6">
        <v>0.1130897018443069</v>
      </c>
    </row>
    <row r="769" spans="1:1">
      <c r="A769" s="6">
        <v>0</v>
      </c>
    </row>
    <row r="770" spans="1:1">
      <c r="A770" s="6">
        <v>0.13680891237597953</v>
      </c>
    </row>
    <row r="771" spans="1:1">
      <c r="A771" s="6">
        <v>0</v>
      </c>
    </row>
    <row r="772" spans="1:1">
      <c r="A772" s="6">
        <v>0.25481331848064742</v>
      </c>
    </row>
    <row r="773" spans="1:1">
      <c r="A773" s="6">
        <v>0.25481331848064742</v>
      </c>
    </row>
    <row r="774" spans="1:1">
      <c r="A774" s="6">
        <v>0.24833629343146826</v>
      </c>
    </row>
    <row r="775" spans="1:1">
      <c r="A775" s="6">
        <v>0</v>
      </c>
    </row>
    <row r="776" spans="1:1">
      <c r="A776" s="6">
        <v>0</v>
      </c>
    </row>
    <row r="777" spans="1:1">
      <c r="A777" s="6">
        <v>0.18240919880904002</v>
      </c>
    </row>
    <row r="778" spans="1:1">
      <c r="A778" s="6">
        <v>7.8578478868305213E-2</v>
      </c>
    </row>
    <row r="779" spans="1:1">
      <c r="A779" s="6">
        <v>0.10709640328514787</v>
      </c>
    </row>
    <row r="780" spans="1:1">
      <c r="A780" s="6">
        <v>0.14790650353694867</v>
      </c>
    </row>
    <row r="781" spans="1:1">
      <c r="A781" s="6">
        <v>0</v>
      </c>
    </row>
    <row r="782" spans="1:1">
      <c r="A782" s="6">
        <v>7.8578478868305213E-2</v>
      </c>
    </row>
    <row r="783" spans="1:1">
      <c r="A783" s="6">
        <v>0.13680891237597953</v>
      </c>
    </row>
    <row r="784" spans="1:1">
      <c r="A784" s="6">
        <v>0</v>
      </c>
    </row>
    <row r="785" spans="1:1">
      <c r="A785" s="6">
        <v>-0.1229980207344718</v>
      </c>
    </row>
    <row r="786" spans="1:1">
      <c r="A786" s="6">
        <v>0.18762795201583557</v>
      </c>
    </row>
    <row r="787" spans="1:1">
      <c r="A787" s="6">
        <v>-7.0269238925823692E-3</v>
      </c>
    </row>
    <row r="788" spans="1:1">
      <c r="A788" s="6">
        <v>0.13680891237597953</v>
      </c>
    </row>
    <row r="789" spans="1:1">
      <c r="A789" s="6">
        <v>-0.13274948234794526</v>
      </c>
    </row>
    <row r="790" spans="1:1">
      <c r="A790" s="6">
        <v>0</v>
      </c>
    </row>
    <row r="791" spans="1:1">
      <c r="A791" s="6">
        <v>7.5818801139291682E-3</v>
      </c>
    </row>
    <row r="792" spans="1:1">
      <c r="A792" s="6">
        <v>0</v>
      </c>
    </row>
    <row r="793" spans="1:1">
      <c r="A793" s="6">
        <v>-0.13274948234794526</v>
      </c>
    </row>
    <row r="794" spans="1:1">
      <c r="A794" s="6">
        <v>-6.1928730463004879E-2</v>
      </c>
    </row>
    <row r="795" spans="1:1">
      <c r="A795" s="6">
        <v>0</v>
      </c>
    </row>
    <row r="796" spans="1:1">
      <c r="A796" s="6">
        <v>0.16615780750618397</v>
      </c>
    </row>
    <row r="797" spans="1:1">
      <c r="A797" s="6">
        <v>-4.5975852073346618E-2</v>
      </c>
    </row>
    <row r="798" spans="1:1">
      <c r="A798" s="6">
        <v>7.5818801139291682E-3</v>
      </c>
    </row>
    <row r="799" spans="1:1">
      <c r="A799" s="6">
        <v>7.8578478868305213E-2</v>
      </c>
    </row>
    <row r="800" spans="1:1">
      <c r="A800" s="6">
        <v>0.25481331848064742</v>
      </c>
    </row>
    <row r="801" spans="1:1">
      <c r="A801" s="6">
        <v>7.8578478868305213E-2</v>
      </c>
    </row>
    <row r="802" spans="1:1">
      <c r="A802" s="6">
        <v>0</v>
      </c>
    </row>
    <row r="803" spans="1:1">
      <c r="A803" s="6">
        <v>0.13680891237597953</v>
      </c>
    </row>
    <row r="804" spans="1:1">
      <c r="A804" s="6">
        <v>0.17380489413507264</v>
      </c>
    </row>
    <row r="805" spans="1:1">
      <c r="A805" s="6">
        <v>0.22457947495613381</v>
      </c>
    </row>
    <row r="806" spans="1:1">
      <c r="A806" s="6">
        <v>0</v>
      </c>
    </row>
    <row r="807" spans="1:1">
      <c r="A807" s="6">
        <v>5.4598129129915428E-2</v>
      </c>
    </row>
    <row r="808" spans="1:1">
      <c r="A808" s="6">
        <v>0</v>
      </c>
    </row>
    <row r="809" spans="1:1">
      <c r="A809" s="6">
        <v>0</v>
      </c>
    </row>
    <row r="810" spans="1:1">
      <c r="A810" s="6">
        <v>0.22457947495613381</v>
      </c>
    </row>
    <row r="811" spans="1:1">
      <c r="A811" s="6">
        <v>0.18240919880904002</v>
      </c>
    </row>
    <row r="812" spans="1:1">
      <c r="A812" s="6">
        <v>5.4598129129915428E-2</v>
      </c>
    </row>
    <row r="813" spans="1:1">
      <c r="A813" s="6">
        <v>-4.5975852073346618E-2</v>
      </c>
    </row>
    <row r="814" spans="1:1">
      <c r="A814" s="6">
        <v>-6.1928730463004879E-2</v>
      </c>
    </row>
    <row r="815" spans="1:1">
      <c r="A815" s="6">
        <v>0.24833629343146826</v>
      </c>
    </row>
    <row r="816" spans="1:1">
      <c r="A816" s="6">
        <v>0.22457947495613381</v>
      </c>
    </row>
    <row r="817" spans="1:1">
      <c r="A817" s="6">
        <v>7.5818801139291682E-3</v>
      </c>
    </row>
    <row r="818" spans="1:1">
      <c r="A818" s="6">
        <v>-0.1229980207344718</v>
      </c>
    </row>
    <row r="819" spans="1:1">
      <c r="A819" s="6">
        <v>7.8578478868305213E-2</v>
      </c>
    </row>
    <row r="820" spans="1:1">
      <c r="A820" s="6">
        <v>0</v>
      </c>
    </row>
    <row r="821" spans="1:1">
      <c r="A821" s="6">
        <v>0.24833629343146826</v>
      </c>
    </row>
    <row r="822" spans="1:1">
      <c r="A822" s="6">
        <v>-6.3633334648082567E-3</v>
      </c>
    </row>
    <row r="823" spans="1:1">
      <c r="A823" s="6">
        <v>-0.13274948234794526</v>
      </c>
    </row>
    <row r="824" spans="1:1">
      <c r="A824" s="6">
        <v>8.081096121299744E-2</v>
      </c>
    </row>
    <row r="825" spans="1:1">
      <c r="A825" s="6">
        <v>1.0827913756041518E-3</v>
      </c>
    </row>
    <row r="826" spans="1:1">
      <c r="A826" s="6">
        <v>-4.5975852073346618E-2</v>
      </c>
    </row>
    <row r="827" spans="1:1">
      <c r="A827" s="6">
        <v>0.10709640328514787</v>
      </c>
    </row>
    <row r="828" spans="1:1">
      <c r="A828" s="6">
        <v>0</v>
      </c>
    </row>
    <row r="829" spans="1:1">
      <c r="A829" s="6">
        <v>-6.1928730463004879E-2</v>
      </c>
    </row>
    <row r="830" spans="1:1">
      <c r="A830" s="6">
        <v>7.0422329455997176E-2</v>
      </c>
    </row>
    <row r="831" spans="1:1">
      <c r="A831" s="6">
        <v>0</v>
      </c>
    </row>
    <row r="832" spans="1:1">
      <c r="A832" s="6">
        <v>0.17380489413507264</v>
      </c>
    </row>
    <row r="833" spans="1:1">
      <c r="A833" s="6">
        <v>0.26791845407776477</v>
      </c>
    </row>
    <row r="834" spans="1:1">
      <c r="A834" s="6">
        <v>-6.1928730463004879E-2</v>
      </c>
    </row>
    <row r="835" spans="1:1">
      <c r="A835" s="6">
        <v>0</v>
      </c>
    </row>
    <row r="836" spans="1:1">
      <c r="A836" s="6">
        <v>-0.13274948234794526</v>
      </c>
    </row>
    <row r="837" spans="1:1">
      <c r="A837" s="6">
        <v>0</v>
      </c>
    </row>
    <row r="838" spans="1:1">
      <c r="A838" s="6">
        <v>7.8578478868305213E-2</v>
      </c>
    </row>
    <row r="839" spans="1:1">
      <c r="A839" s="6">
        <v>-4.5975852073346618E-2</v>
      </c>
    </row>
    <row r="840" spans="1:1">
      <c r="A840" s="6">
        <v>1.0827913756041518E-3</v>
      </c>
    </row>
    <row r="841" spans="1:1">
      <c r="A841" s="6">
        <v>0.18240919880904002</v>
      </c>
    </row>
    <row r="842" spans="1:1">
      <c r="A842" s="6">
        <v>0</v>
      </c>
    </row>
    <row r="843" spans="1:1">
      <c r="A843" s="6">
        <v>0.25481331848064742</v>
      </c>
    </row>
    <row r="844" spans="1:1">
      <c r="A844" s="6">
        <v>1.4049546680818285E-2</v>
      </c>
    </row>
    <row r="845" spans="1:1">
      <c r="A845" s="6">
        <v>0</v>
      </c>
    </row>
    <row r="846" spans="1:1">
      <c r="A846" s="6">
        <v>0.13680891237597953</v>
      </c>
    </row>
    <row r="847" spans="1:1">
      <c r="A847" s="6">
        <v>0</v>
      </c>
    </row>
    <row r="848" spans="1:1">
      <c r="A848" s="6">
        <v>0.17380489413507264</v>
      </c>
    </row>
    <row r="849" spans="1:1">
      <c r="A849" s="6">
        <v>1.0827913756041518E-3</v>
      </c>
    </row>
    <row r="850" spans="1:1">
      <c r="A850" s="6">
        <v>0</v>
      </c>
    </row>
    <row r="851" spans="1:1">
      <c r="A851" s="6">
        <v>0.13680891237597953</v>
      </c>
    </row>
    <row r="852" spans="1:1">
      <c r="A852" s="6">
        <v>-6.3633334648082567E-3</v>
      </c>
    </row>
    <row r="853" spans="1:1">
      <c r="A853" s="6">
        <v>8.081096121299744E-2</v>
      </c>
    </row>
    <row r="854" spans="1:1">
      <c r="A854" s="6">
        <v>0.16615780750618397</v>
      </c>
    </row>
    <row r="855" spans="1:1">
      <c r="A855" s="6">
        <v>0</v>
      </c>
    </row>
    <row r="856" spans="1:1">
      <c r="A856" s="6">
        <v>-0.13274948234794526</v>
      </c>
    </row>
    <row r="857" spans="1:1">
      <c r="A857" s="6">
        <v>3.7264027854690532E-2</v>
      </c>
    </row>
    <row r="858" spans="1:1">
      <c r="A858" s="6">
        <v>1.4049546680818285E-2</v>
      </c>
    </row>
    <row r="859" spans="1:1">
      <c r="A859" s="6">
        <v>0.17380489413507264</v>
      </c>
    </row>
    <row r="860" spans="1:1">
      <c r="A860" s="6">
        <v>1.5146952408836394E-2</v>
      </c>
    </row>
    <row r="861" spans="1:1">
      <c r="A861" s="6">
        <v>1.4049546680818285E-2</v>
      </c>
    </row>
    <row r="862" spans="1:1">
      <c r="A862" s="6">
        <v>0.26791845407776477</v>
      </c>
    </row>
    <row r="863" spans="1:1">
      <c r="A863" s="6">
        <v>0</v>
      </c>
    </row>
    <row r="864" spans="1:1">
      <c r="A864" s="6">
        <v>0</v>
      </c>
    </row>
    <row r="865" spans="1:1">
      <c r="A865" s="6">
        <v>0.18762795201583557</v>
      </c>
    </row>
    <row r="866" spans="1:1">
      <c r="A866" s="6">
        <v>0.10702390858761081</v>
      </c>
    </row>
    <row r="867" spans="1:1">
      <c r="A867" s="6">
        <v>1.0827913756041518E-3</v>
      </c>
    </row>
    <row r="868" spans="1:1">
      <c r="A868" s="6">
        <v>-0.1229980207344718</v>
      </c>
    </row>
    <row r="869" spans="1:1">
      <c r="A869" s="6">
        <v>0.22185784964769206</v>
      </c>
    </row>
    <row r="870" spans="1:1">
      <c r="A870" s="6">
        <v>7.5818801139291682E-3</v>
      </c>
    </row>
    <row r="871" spans="1:1">
      <c r="A871" s="6">
        <v>0.17380489413507264</v>
      </c>
    </row>
    <row r="872" spans="1:1">
      <c r="A872" s="6">
        <v>1.0827913756041518E-3</v>
      </c>
    </row>
    <row r="873" spans="1:1">
      <c r="A873" s="6">
        <v>1.5146952408836394E-2</v>
      </c>
    </row>
    <row r="874" spans="1:1">
      <c r="A874" s="6">
        <v>0.16615780750618397</v>
      </c>
    </row>
    <row r="875" spans="1:1">
      <c r="A875" s="6">
        <v>0.10702390858761081</v>
      </c>
    </row>
    <row r="876" spans="1:1">
      <c r="A876" s="6">
        <v>9.4555309750757724E-2</v>
      </c>
    </row>
    <row r="877" spans="1:1">
      <c r="A877" s="6">
        <v>7.5818801139291682E-3</v>
      </c>
    </row>
    <row r="878" spans="1:1">
      <c r="A878" s="6">
        <v>0</v>
      </c>
    </row>
    <row r="879" spans="1:1">
      <c r="A879" s="6">
        <v>0</v>
      </c>
    </row>
    <row r="880" spans="1:1">
      <c r="A880" s="6">
        <v>9.4555309750757724E-2</v>
      </c>
    </row>
    <row r="881" spans="1:1">
      <c r="A881" s="6">
        <v>0.18762795201583557</v>
      </c>
    </row>
    <row r="882" spans="1:1">
      <c r="A882" s="6">
        <v>0.24833629343146826</v>
      </c>
    </row>
    <row r="883" spans="1:1">
      <c r="A883" s="6">
        <v>0.1130897018443069</v>
      </c>
    </row>
    <row r="884" spans="1:1">
      <c r="A884" s="6">
        <v>9.1108129362620652E-2</v>
      </c>
    </row>
    <row r="885" spans="1:1">
      <c r="A885" s="6">
        <v>0.10788177153562864</v>
      </c>
    </row>
    <row r="886" spans="1:1">
      <c r="A886" s="6">
        <v>0.22457947495613381</v>
      </c>
    </row>
    <row r="887" spans="1:1">
      <c r="A887" s="6">
        <v>0.16615780750618397</v>
      </c>
    </row>
    <row r="888" spans="1:1">
      <c r="A888" s="6">
        <v>0</v>
      </c>
    </row>
    <row r="889" spans="1:1">
      <c r="A889" s="6">
        <v>0.18240919880904002</v>
      </c>
    </row>
    <row r="890" spans="1:1">
      <c r="A890" s="6">
        <v>9.1108129362620652E-2</v>
      </c>
    </row>
    <row r="891" spans="1:1">
      <c r="A891" s="6">
        <v>0</v>
      </c>
    </row>
    <row r="892" spans="1:1">
      <c r="A892" s="6">
        <v>0.18762795201583557</v>
      </c>
    </row>
    <row r="893" spans="1:1">
      <c r="A893" s="6">
        <v>0.10702390858761081</v>
      </c>
    </row>
    <row r="894" spans="1:1">
      <c r="A894" s="6">
        <v>0.10788177153562864</v>
      </c>
    </row>
    <row r="895" spans="1:1">
      <c r="A895" s="6">
        <v>0.10710868403533827</v>
      </c>
    </row>
    <row r="896" spans="1:1">
      <c r="A896" s="6">
        <v>0</v>
      </c>
    </row>
    <row r="897" spans="1:1">
      <c r="A897" s="6">
        <v>0.24833629343146826</v>
      </c>
    </row>
    <row r="898" spans="1:1">
      <c r="A898" s="6">
        <v>8.081096121299744E-2</v>
      </c>
    </row>
    <row r="899" spans="1:1">
      <c r="A899" s="6">
        <v>-6.1928730463004879E-2</v>
      </c>
    </row>
    <row r="900" spans="1:1">
      <c r="A900" s="6">
        <v>0</v>
      </c>
    </row>
    <row r="901" spans="1:1">
      <c r="A901" s="6">
        <v>-0.13274948234794526</v>
      </c>
    </row>
    <row r="902" spans="1:1">
      <c r="A902" s="6">
        <v>0.17380489413507264</v>
      </c>
    </row>
    <row r="903" spans="1:1">
      <c r="A903" s="6">
        <v>9.4555309750757724E-2</v>
      </c>
    </row>
    <row r="904" spans="1:1">
      <c r="A904" s="6">
        <v>1.0827913756041518E-3</v>
      </c>
    </row>
    <row r="905" spans="1:1">
      <c r="A905" s="6">
        <v>3.7264027854690532E-2</v>
      </c>
    </row>
    <row r="906" spans="1:1">
      <c r="A906" s="6">
        <v>7.0422329455997176E-2</v>
      </c>
    </row>
    <row r="907" spans="1:1">
      <c r="A907" s="6">
        <v>0.13680891237597953</v>
      </c>
    </row>
    <row r="908" spans="1:1">
      <c r="A908" s="6">
        <v>6.4419042005321461E-2</v>
      </c>
    </row>
    <row r="909" spans="1:1">
      <c r="A909" s="6">
        <v>0.10710868403533827</v>
      </c>
    </row>
    <row r="910" spans="1:1">
      <c r="A910" s="6">
        <v>-6.3633334648082567E-3</v>
      </c>
    </row>
    <row r="911" spans="1:1">
      <c r="A911" s="6">
        <v>0</v>
      </c>
    </row>
    <row r="912" spans="1:1">
      <c r="A912" s="6">
        <v>5.8348079685156623E-2</v>
      </c>
    </row>
    <row r="913" spans="1:1">
      <c r="A913" s="6">
        <v>9.4555309750757724E-2</v>
      </c>
    </row>
    <row r="914" spans="1:1">
      <c r="A914" s="6">
        <v>0</v>
      </c>
    </row>
    <row r="915" spans="1:1">
      <c r="A915" s="6">
        <v>0</v>
      </c>
    </row>
    <row r="916" spans="1:1">
      <c r="A916" s="6">
        <v>0</v>
      </c>
    </row>
    <row r="917" spans="1:1">
      <c r="A917" s="6">
        <v>0.10709640328514787</v>
      </c>
    </row>
    <row r="918" spans="1:1">
      <c r="A918" s="6">
        <v>-6.3633334648082567E-3</v>
      </c>
    </row>
    <row r="919" spans="1:1">
      <c r="A919" s="6">
        <v>0</v>
      </c>
    </row>
    <row r="920" spans="1:1">
      <c r="A920" s="6">
        <v>0.25481331848064742</v>
      </c>
    </row>
    <row r="921" spans="1:1">
      <c r="A921" s="6">
        <v>0.25581555939754186</v>
      </c>
    </row>
    <row r="922" spans="1:1">
      <c r="A922" s="6">
        <v>0.10709640328514787</v>
      </c>
    </row>
    <row r="923" spans="1:1">
      <c r="A923" s="6">
        <v>-0.1229980207344718</v>
      </c>
    </row>
    <row r="924" spans="1:1">
      <c r="A924" s="6">
        <v>0.24833629343146826</v>
      </c>
    </row>
    <row r="925" spans="1:1">
      <c r="A925" s="6">
        <v>0.18762795201583557</v>
      </c>
    </row>
    <row r="926" spans="1:1">
      <c r="A926" s="6">
        <v>0.18762795201583557</v>
      </c>
    </row>
    <row r="927" spans="1:1">
      <c r="A927" s="6">
        <v>0.10702390858761081</v>
      </c>
    </row>
    <row r="928" spans="1:1">
      <c r="A928" s="6">
        <v>9.4555309750757724E-2</v>
      </c>
    </row>
    <row r="929" spans="1:1">
      <c r="A929" s="6">
        <v>1.0827913756041518E-3</v>
      </c>
    </row>
    <row r="930" spans="1:1">
      <c r="A930" s="6">
        <v>0</v>
      </c>
    </row>
    <row r="931" spans="1:1">
      <c r="A931" s="6">
        <v>0</v>
      </c>
    </row>
    <row r="932" spans="1:1">
      <c r="A932" s="6">
        <v>0</v>
      </c>
    </row>
    <row r="933" spans="1:1">
      <c r="A933" s="6">
        <v>0.10525403225213746</v>
      </c>
    </row>
    <row r="934" spans="1:1">
      <c r="A934" s="6">
        <v>9.4555309750757724E-2</v>
      </c>
    </row>
    <row r="935" spans="1:1">
      <c r="A935" s="6">
        <v>0.22457947495613381</v>
      </c>
    </row>
    <row r="936" spans="1:1">
      <c r="A936" s="6">
        <v>8.081096121299744E-2</v>
      </c>
    </row>
    <row r="937" spans="1:1">
      <c r="A937" s="6">
        <v>5.3264377873214752E-2</v>
      </c>
    </row>
    <row r="938" spans="1:1">
      <c r="A938" s="6">
        <v>0</v>
      </c>
    </row>
    <row r="939" spans="1:1">
      <c r="A939" s="6">
        <v>0.10709640328514787</v>
      </c>
    </row>
    <row r="940" spans="1:1">
      <c r="A940" s="6">
        <v>8.081096121299744E-2</v>
      </c>
    </row>
    <row r="941" spans="1:1">
      <c r="A941" s="6">
        <v>0.1130897018443069</v>
      </c>
    </row>
    <row r="942" spans="1:1">
      <c r="A942" s="6">
        <v>-4.5975852073346618E-2</v>
      </c>
    </row>
    <row r="943" spans="1:1">
      <c r="A943" s="6">
        <v>1.0827913756041518E-3</v>
      </c>
    </row>
    <row r="944" spans="1:1">
      <c r="A944" s="6">
        <v>5.4598129129915428E-2</v>
      </c>
    </row>
    <row r="945" spans="1:1">
      <c r="A945" s="6">
        <v>1.0827913756041518E-3</v>
      </c>
    </row>
    <row r="946" spans="1:1">
      <c r="A946" s="6">
        <v>0</v>
      </c>
    </row>
    <row r="947" spans="1:1">
      <c r="A947" s="6">
        <v>5.3264377873214752E-2</v>
      </c>
    </row>
    <row r="948" spans="1:1">
      <c r="A948" s="6">
        <v>0</v>
      </c>
    </row>
    <row r="949" spans="1:1">
      <c r="A949" s="6">
        <v>5.8348079685156623E-2</v>
      </c>
    </row>
    <row r="950" spans="1:1">
      <c r="A950" s="6">
        <v>5.4598129129915428E-2</v>
      </c>
    </row>
    <row r="951" spans="1:1">
      <c r="A951" s="6">
        <v>0</v>
      </c>
    </row>
    <row r="952" spans="1:1">
      <c r="A952" s="6">
        <v>0.22185784964769206</v>
      </c>
    </row>
    <row r="953" spans="1:1">
      <c r="A953" s="6">
        <v>5.3264377873214752E-2</v>
      </c>
    </row>
    <row r="954" spans="1:1">
      <c r="A954" s="6">
        <v>0.14790650353694867</v>
      </c>
    </row>
    <row r="955" spans="1:1">
      <c r="A955" s="6">
        <v>0.10788177153562864</v>
      </c>
    </row>
    <row r="956" spans="1:1">
      <c r="A956" s="6">
        <v>6.4419042005321461E-2</v>
      </c>
    </row>
    <row r="957" spans="1:1">
      <c r="A957" s="6">
        <v>0</v>
      </c>
    </row>
    <row r="958" spans="1:1">
      <c r="A958" s="6">
        <v>0</v>
      </c>
    </row>
    <row r="959" spans="1:1">
      <c r="A959" s="6">
        <v>0.25581555939754186</v>
      </c>
    </row>
    <row r="960" spans="1:1">
      <c r="A960" s="6">
        <v>3.7264027854690532E-2</v>
      </c>
    </row>
    <row r="961" spans="1:1">
      <c r="A961" s="6">
        <v>-7.0269238925823692E-3</v>
      </c>
    </row>
    <row r="962" spans="1:1">
      <c r="A962" s="6">
        <v>0</v>
      </c>
    </row>
    <row r="963" spans="1:1">
      <c r="A963" s="6">
        <v>0.10525403225213746</v>
      </c>
    </row>
    <row r="964" spans="1:1">
      <c r="A964" s="6">
        <v>0</v>
      </c>
    </row>
    <row r="965" spans="1:1">
      <c r="A965" s="6">
        <v>-0.1229980207344718</v>
      </c>
    </row>
    <row r="966" spans="1:1">
      <c r="A966" s="6">
        <v>0.25581555939754186</v>
      </c>
    </row>
    <row r="967" spans="1:1">
      <c r="A967" s="6">
        <v>-0.13274948234794526</v>
      </c>
    </row>
    <row r="968" spans="1:1">
      <c r="A968" s="6">
        <v>0.25581555939754186</v>
      </c>
    </row>
    <row r="969" spans="1:1">
      <c r="A969" s="6">
        <v>0.10710868403533827</v>
      </c>
    </row>
    <row r="970" spans="1:1">
      <c r="A970" s="6">
        <v>0.17380489413507264</v>
      </c>
    </row>
    <row r="971" spans="1:1">
      <c r="A971" s="6">
        <v>5.8348079685156623E-2</v>
      </c>
    </row>
    <row r="972" spans="1:1">
      <c r="A972" s="6">
        <v>0.24833629343146826</v>
      </c>
    </row>
    <row r="973" spans="1:1">
      <c r="A973" s="6">
        <v>0.1130897018443069</v>
      </c>
    </row>
    <row r="974" spans="1:1">
      <c r="A974" s="6">
        <v>0.25581555939754186</v>
      </c>
    </row>
    <row r="975" spans="1:1">
      <c r="A975" s="6">
        <v>0.18240919880904002</v>
      </c>
    </row>
    <row r="976" spans="1:1">
      <c r="A976" s="6">
        <v>1.4049546680818285E-2</v>
      </c>
    </row>
    <row r="977" spans="1:1">
      <c r="A977" s="6">
        <v>0.18240919880904002</v>
      </c>
    </row>
    <row r="978" spans="1:1">
      <c r="A978" s="6">
        <v>6.4419042005321461E-2</v>
      </c>
    </row>
    <row r="979" spans="1:1">
      <c r="A979" s="6">
        <v>7.0422329455997176E-2</v>
      </c>
    </row>
    <row r="980" spans="1:1">
      <c r="A980" s="6">
        <v>6.4419042005321461E-2</v>
      </c>
    </row>
    <row r="981" spans="1:1">
      <c r="A981" s="6">
        <v>5.4598129129915428E-2</v>
      </c>
    </row>
    <row r="982" spans="1:1">
      <c r="A982" s="6">
        <v>0.13680891237597953</v>
      </c>
    </row>
    <row r="983" spans="1:1">
      <c r="A983" s="6">
        <v>0</v>
      </c>
    </row>
    <row r="984" spans="1:1">
      <c r="A984" s="6">
        <v>0.10702390858761081</v>
      </c>
    </row>
    <row r="985" spans="1:1">
      <c r="A985" s="6">
        <v>0.25481331848064742</v>
      </c>
    </row>
    <row r="986" spans="1:1">
      <c r="A986" s="6">
        <v>5.4598129129915428E-2</v>
      </c>
    </row>
    <row r="987" spans="1:1">
      <c r="A987" s="6">
        <v>1.0827913756041518E-3</v>
      </c>
    </row>
    <row r="988" spans="1:1">
      <c r="A988" s="6">
        <v>-0.13274948234794526</v>
      </c>
    </row>
    <row r="989" spans="1:1">
      <c r="A989" s="6">
        <v>1.2225679304209092E-2</v>
      </c>
    </row>
    <row r="990" spans="1:1">
      <c r="A990" s="6">
        <v>0</v>
      </c>
    </row>
    <row r="991" spans="1:1">
      <c r="A991" s="6">
        <v>0</v>
      </c>
    </row>
    <row r="992" spans="1:1">
      <c r="A992" s="6">
        <v>0</v>
      </c>
    </row>
    <row r="993" spans="1:1">
      <c r="A993" s="6">
        <v>0.13680891237597953</v>
      </c>
    </row>
    <row r="994" spans="1:1">
      <c r="A994" s="6">
        <v>9.1108129362620652E-2</v>
      </c>
    </row>
    <row r="995" spans="1:1">
      <c r="A995" s="6">
        <v>3.7264027854690532E-2</v>
      </c>
    </row>
    <row r="996" spans="1:1">
      <c r="A996" s="6">
        <v>-7.0269238925823692E-3</v>
      </c>
    </row>
    <row r="997" spans="1:1">
      <c r="A997" s="6">
        <v>5.4598129129915428E-2</v>
      </c>
    </row>
    <row r="998" spans="1:1">
      <c r="A998" s="6">
        <v>7.0422329455997176E-2</v>
      </c>
    </row>
    <row r="999" spans="1:1">
      <c r="A999" s="6">
        <v>7.5818801139291682E-3</v>
      </c>
    </row>
    <row r="1000" spans="1:1">
      <c r="A1000" s="6">
        <v>0</v>
      </c>
    </row>
    <row r="1001" spans="1:1">
      <c r="A1001" s="6">
        <v>-6.3633334648082567E-3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2F96E-07A0-46C2-A3EC-716F4BC353EA}">
  <sheetPr codeName="Sheet9">
    <tabColor rgb="FFC00000"/>
  </sheetPr>
  <dimension ref="A1:T43"/>
  <sheetViews>
    <sheetView workbookViewId="0"/>
  </sheetViews>
  <sheetFormatPr defaultRowHeight="15"/>
  <cols>
    <col min="2" max="2" width="19.5703125" bestFit="1" customWidth="1"/>
    <col min="3" max="3" width="17.42578125" bestFit="1" customWidth="1"/>
    <col min="4" max="4" width="15.42578125" bestFit="1" customWidth="1"/>
    <col min="5" max="5" width="19.140625" bestFit="1" customWidth="1"/>
    <col min="6" max="6" width="18.42578125" bestFit="1" customWidth="1"/>
    <col min="7" max="7" width="16.42578125" bestFit="1" customWidth="1"/>
    <col min="8" max="8" width="23.140625" bestFit="1" customWidth="1"/>
    <col min="9" max="9" width="23.85546875" bestFit="1" customWidth="1"/>
    <col min="10" max="10" width="25.85546875" bestFit="1" customWidth="1"/>
    <col min="11" max="11" width="25.42578125" bestFit="1" customWidth="1"/>
    <col min="12" max="13" width="22.7109375" bestFit="1" customWidth="1"/>
    <col min="14" max="14" width="22.28515625" bestFit="1" customWidth="1"/>
    <col min="15" max="15" width="19.7109375" bestFit="1" customWidth="1"/>
    <col min="16" max="16" width="22.7109375" bestFit="1" customWidth="1"/>
    <col min="17" max="17" width="26.28515625" bestFit="1" customWidth="1"/>
    <col min="18" max="18" width="15.85546875" bestFit="1" customWidth="1"/>
    <col min="19" max="19" width="16" bestFit="1" customWidth="1"/>
    <col min="20" max="20" width="26.42578125" bestFit="1" customWidth="1"/>
  </cols>
  <sheetData>
    <row r="1" spans="1:20">
      <c r="A1" t="s">
        <v>0</v>
      </c>
      <c r="B1" t="s">
        <v>5258</v>
      </c>
      <c r="C1" t="s">
        <v>5448</v>
      </c>
      <c r="D1" t="s">
        <v>5361</v>
      </c>
      <c r="E1" t="s">
        <v>5449</v>
      </c>
      <c r="F1" t="s">
        <v>5450</v>
      </c>
      <c r="G1" t="s">
        <v>5375</v>
      </c>
      <c r="H1" t="s">
        <v>5376</v>
      </c>
      <c r="I1" t="s">
        <v>5377</v>
      </c>
      <c r="J1" t="s">
        <v>5451</v>
      </c>
      <c r="K1" t="s">
        <v>5452</v>
      </c>
      <c r="L1" t="s">
        <v>5453</v>
      </c>
      <c r="M1" t="s">
        <v>5386</v>
      </c>
      <c r="N1" t="s">
        <v>5454</v>
      </c>
      <c r="O1" t="s">
        <v>5455</v>
      </c>
      <c r="P1" t="s">
        <v>5456</v>
      </c>
      <c r="Q1" t="s">
        <v>5457</v>
      </c>
      <c r="R1" t="s">
        <v>5378</v>
      </c>
      <c r="S1" t="s">
        <v>5396</v>
      </c>
      <c r="T1" t="s">
        <v>5402</v>
      </c>
    </row>
    <row r="2" spans="1:20">
      <c r="A2" t="s">
        <v>12</v>
      </c>
      <c r="B2" t="s">
        <v>5293</v>
      </c>
      <c r="C2" t="s">
        <v>5458</v>
      </c>
      <c r="D2">
        <v>76.53</v>
      </c>
      <c r="E2" t="s">
        <v>5459</v>
      </c>
      <c r="F2">
        <v>0.12635537038474046</v>
      </c>
      <c r="G2">
        <v>78.975793703182276</v>
      </c>
      <c r="H2">
        <v>2.4457937031822752</v>
      </c>
      <c r="I2">
        <v>3.1958626723928851E-2</v>
      </c>
      <c r="J2">
        <v>1871.189052928989</v>
      </c>
      <c r="K2">
        <v>34.469052928988958</v>
      </c>
      <c r="L2">
        <v>1.8766634505525587E-2</v>
      </c>
      <c r="M2">
        <v>616.39733009346196</v>
      </c>
      <c r="N2">
        <v>50.717330093461896</v>
      </c>
      <c r="O2">
        <v>8.9657279899345729E-2</v>
      </c>
      <c r="P2">
        <v>0.32941477993824819</v>
      </c>
      <c r="Q2">
        <v>2.1430982734537196E-2</v>
      </c>
      <c r="R2">
        <v>358.09400859765856</v>
      </c>
      <c r="S2">
        <v>537.14101289648772</v>
      </c>
      <c r="T2">
        <v>0.66666666666666685</v>
      </c>
    </row>
    <row r="3" spans="1:20">
      <c r="A3" t="s">
        <v>17</v>
      </c>
      <c r="B3" t="s">
        <v>5293</v>
      </c>
      <c r="C3" t="s">
        <v>5458</v>
      </c>
      <c r="D3">
        <v>53.26</v>
      </c>
      <c r="E3" t="s">
        <v>5459</v>
      </c>
      <c r="F3">
        <v>0.18771631159828311</v>
      </c>
      <c r="G3">
        <v>55.842395076522543</v>
      </c>
      <c r="H3">
        <v>2.5823950765225447</v>
      </c>
      <c r="I3">
        <v>4.8486576727798436E-2</v>
      </c>
      <c r="J3">
        <v>1149.946401389222</v>
      </c>
      <c r="K3">
        <v>31.48640138922201</v>
      </c>
      <c r="L3">
        <v>2.8151566787566841E-2</v>
      </c>
      <c r="M3">
        <v>395.42940602819681</v>
      </c>
      <c r="N3">
        <v>46.409406028196827</v>
      </c>
      <c r="O3">
        <v>0.1329706206755969</v>
      </c>
      <c r="P3">
        <v>0.34386768422466318</v>
      </c>
      <c r="Q3">
        <v>3.1813609872428872E-2</v>
      </c>
      <c r="R3">
        <v>449.41351190667075</v>
      </c>
      <c r="S3">
        <v>674.12026786000524</v>
      </c>
      <c r="T3">
        <v>0.66666666666666752</v>
      </c>
    </row>
    <row r="4" spans="1:20">
      <c r="A4" t="s">
        <v>25</v>
      </c>
      <c r="B4" t="s">
        <v>5460</v>
      </c>
      <c r="C4" t="s">
        <v>5458</v>
      </c>
      <c r="D4">
        <v>18.39</v>
      </c>
      <c r="E4" t="s">
        <v>5459</v>
      </c>
      <c r="F4">
        <v>0.14008395698414677</v>
      </c>
      <c r="G4">
        <v>19.551372991870085</v>
      </c>
      <c r="H4">
        <v>1.1613729918700848</v>
      </c>
      <c r="I4">
        <v>6.3152419351282477E-2</v>
      </c>
      <c r="J4">
        <v>323.97726862047523</v>
      </c>
      <c r="K4">
        <v>11.347268620475234</v>
      </c>
      <c r="L4">
        <v>3.62961603828015E-2</v>
      </c>
      <c r="M4">
        <v>187.10441371059807</v>
      </c>
      <c r="N4">
        <v>14.894413710598059</v>
      </c>
      <c r="O4">
        <v>8.6489830501121065E-2</v>
      </c>
      <c r="P4">
        <v>0.57752327657834057</v>
      </c>
      <c r="Q4">
        <v>2.6680427203680357E-2</v>
      </c>
      <c r="R4">
        <v>375.63071897990716</v>
      </c>
      <c r="S4">
        <v>563.44607846986059</v>
      </c>
      <c r="T4">
        <v>0.66666666666666685</v>
      </c>
    </row>
    <row r="5" spans="1:20">
      <c r="A5" t="s">
        <v>28</v>
      </c>
      <c r="B5" t="s">
        <v>5293</v>
      </c>
      <c r="C5" t="s">
        <v>5458</v>
      </c>
      <c r="D5">
        <v>29.62</v>
      </c>
      <c r="E5" t="s">
        <v>5460</v>
      </c>
      <c r="F5">
        <v>0</v>
      </c>
      <c r="G5">
        <v>29.62</v>
      </c>
      <c r="H5">
        <v>0</v>
      </c>
      <c r="I5">
        <v>0</v>
      </c>
      <c r="J5">
        <v>1362.52</v>
      </c>
      <c r="K5">
        <v>0</v>
      </c>
      <c r="L5">
        <v>0</v>
      </c>
      <c r="M5">
        <v>469.19999999999993</v>
      </c>
      <c r="N5">
        <v>0</v>
      </c>
      <c r="O5">
        <v>0</v>
      </c>
      <c r="P5">
        <v>0.34436191762322749</v>
      </c>
      <c r="Q5">
        <v>0</v>
      </c>
      <c r="R5">
        <v>927.11950485017326</v>
      </c>
      <c r="S5">
        <v>0</v>
      </c>
      <c r="T5">
        <v>0</v>
      </c>
    </row>
    <row r="6" spans="1:20">
      <c r="A6" t="s">
        <v>30</v>
      </c>
      <c r="B6" t="s">
        <v>5460</v>
      </c>
      <c r="C6" t="s">
        <v>5458</v>
      </c>
      <c r="D6">
        <v>113.18</v>
      </c>
      <c r="E6" t="s">
        <v>5459</v>
      </c>
      <c r="F6">
        <v>8.9473506494898949E-2</v>
      </c>
      <c r="G6">
        <v>118.51610734298887</v>
      </c>
      <c r="H6">
        <v>5.3361073429888677</v>
      </c>
      <c r="I6">
        <v>4.7147087320983098E-2</v>
      </c>
      <c r="J6">
        <v>2790.7447593180414</v>
      </c>
      <c r="K6">
        <v>74.424759318041197</v>
      </c>
      <c r="L6">
        <v>2.7399113255448988E-2</v>
      </c>
      <c r="M6">
        <v>1872.1611549314002</v>
      </c>
      <c r="N6">
        <v>92.081154931400079</v>
      </c>
      <c r="O6">
        <v>5.1728661032874969E-2</v>
      </c>
      <c r="P6">
        <v>0.6708464286031266</v>
      </c>
      <c r="Q6">
        <v>1.5518632172661806E-2</v>
      </c>
      <c r="R6">
        <v>396.9034023511847</v>
      </c>
      <c r="S6">
        <v>595.35510352677613</v>
      </c>
      <c r="T6">
        <v>0.66666666666666774</v>
      </c>
    </row>
    <row r="7" spans="1:20">
      <c r="A7" t="s">
        <v>37</v>
      </c>
      <c r="B7" t="s">
        <v>5293</v>
      </c>
      <c r="C7" t="s">
        <v>5458</v>
      </c>
      <c r="D7">
        <v>177.91</v>
      </c>
      <c r="E7" t="s">
        <v>5459</v>
      </c>
      <c r="F7">
        <v>0.22231294824633871</v>
      </c>
      <c r="G7">
        <v>197.38145233606977</v>
      </c>
      <c r="H7">
        <v>19.471452336069774</v>
      </c>
      <c r="I7">
        <v>0.10944551928542395</v>
      </c>
      <c r="J7">
        <v>6794.6560602039663</v>
      </c>
      <c r="K7">
        <v>389.89606020396604</v>
      </c>
      <c r="L7">
        <v>6.087598289459184E-2</v>
      </c>
      <c r="M7">
        <v>4264.8374376608826</v>
      </c>
      <c r="N7">
        <v>505.7174376608823</v>
      </c>
      <c r="O7">
        <v>0.13453080445978907</v>
      </c>
      <c r="P7">
        <v>0.62767524947139974</v>
      </c>
      <c r="Q7">
        <v>4.074927566441866E-2</v>
      </c>
      <c r="R7">
        <v>688.88690242917028</v>
      </c>
      <c r="S7">
        <v>1033.3303536437538</v>
      </c>
      <c r="T7">
        <v>0.66666666666666774</v>
      </c>
    </row>
    <row r="8" spans="1:20">
      <c r="A8" t="s">
        <v>39</v>
      </c>
      <c r="B8" t="s">
        <v>5293</v>
      </c>
      <c r="C8" t="s">
        <v>5458</v>
      </c>
      <c r="D8">
        <v>45.86</v>
      </c>
      <c r="E8" t="s">
        <v>5459</v>
      </c>
      <c r="F8">
        <v>0.38670956947931834</v>
      </c>
      <c r="G8">
        <v>52.899020932382761</v>
      </c>
      <c r="H8">
        <v>7.0390209323827619</v>
      </c>
      <c r="I8">
        <v>0.15348933563852513</v>
      </c>
      <c r="J8">
        <v>2085.3523614355663</v>
      </c>
      <c r="K8">
        <v>159.23236143556642</v>
      </c>
      <c r="L8">
        <v>8.2670010921212816E-2</v>
      </c>
      <c r="M8">
        <v>1104.9426616947121</v>
      </c>
      <c r="N8">
        <v>223.36266169471219</v>
      </c>
      <c r="O8">
        <v>0.25336629879842126</v>
      </c>
      <c r="P8">
        <v>0.52985897353772116</v>
      </c>
      <c r="Q8">
        <v>7.2161633808109304E-2</v>
      </c>
      <c r="R8">
        <v>666.16546553531475</v>
      </c>
      <c r="S8">
        <v>999.24819830297201</v>
      </c>
      <c r="T8">
        <v>0.66666666666666674</v>
      </c>
    </row>
    <row r="9" spans="1:20">
      <c r="A9" t="s">
        <v>43</v>
      </c>
      <c r="B9" t="s">
        <v>5293</v>
      </c>
      <c r="C9" t="s">
        <v>5458</v>
      </c>
      <c r="D9">
        <v>67.56</v>
      </c>
      <c r="E9" t="s">
        <v>5459</v>
      </c>
      <c r="F9">
        <v>0.21602348654742407</v>
      </c>
      <c r="G9">
        <v>71.933095490968242</v>
      </c>
      <c r="H9">
        <v>4.3730954909682396</v>
      </c>
      <c r="I9">
        <v>6.4729062921377131E-2</v>
      </c>
      <c r="J9">
        <v>1541.5538763966556</v>
      </c>
      <c r="K9">
        <v>55.233876396655432</v>
      </c>
      <c r="L9">
        <v>3.7161497118154523E-2</v>
      </c>
      <c r="M9">
        <v>615.54697311438326</v>
      </c>
      <c r="N9">
        <v>79.846973114383104</v>
      </c>
      <c r="O9">
        <v>0.14905165785772462</v>
      </c>
      <c r="P9">
        <v>0.39930292579407556</v>
      </c>
      <c r="Q9">
        <v>3.8882558712962423E-2</v>
      </c>
      <c r="R9">
        <v>429.27827272428533</v>
      </c>
      <c r="S9">
        <v>643.91740908642703</v>
      </c>
      <c r="T9">
        <v>0.66666666666666763</v>
      </c>
    </row>
    <row r="10" spans="1:20">
      <c r="A10" t="s">
        <v>46</v>
      </c>
      <c r="B10" t="s">
        <v>5293</v>
      </c>
      <c r="C10" t="s">
        <v>5458</v>
      </c>
      <c r="D10">
        <v>20.37</v>
      </c>
      <c r="E10" t="s">
        <v>5460</v>
      </c>
      <c r="F10">
        <v>0</v>
      </c>
      <c r="G10">
        <v>20.37</v>
      </c>
      <c r="H10">
        <v>0</v>
      </c>
      <c r="I10">
        <v>0</v>
      </c>
      <c r="J10">
        <v>305.55</v>
      </c>
      <c r="K10">
        <v>0</v>
      </c>
      <c r="L10">
        <v>0</v>
      </c>
      <c r="M10">
        <v>159.15</v>
      </c>
      <c r="N10">
        <v>0</v>
      </c>
      <c r="O10">
        <v>0</v>
      </c>
      <c r="P10">
        <v>0.52086401570937657</v>
      </c>
      <c r="Q10">
        <v>0</v>
      </c>
      <c r="R10">
        <v>311.63258687148209</v>
      </c>
      <c r="S10">
        <v>0</v>
      </c>
      <c r="T10">
        <v>0</v>
      </c>
    </row>
    <row r="11" spans="1:20">
      <c r="A11" t="s">
        <v>48</v>
      </c>
      <c r="B11" t="s">
        <v>5293</v>
      </c>
      <c r="C11" t="s">
        <v>5461</v>
      </c>
      <c r="D11">
        <v>84.95</v>
      </c>
      <c r="E11" t="s">
        <v>5460</v>
      </c>
      <c r="F11">
        <v>0</v>
      </c>
      <c r="G11">
        <v>84.95</v>
      </c>
      <c r="H11">
        <v>0</v>
      </c>
      <c r="I11">
        <v>0</v>
      </c>
      <c r="J11">
        <v>3058.2000000000003</v>
      </c>
      <c r="K11">
        <v>0</v>
      </c>
      <c r="L11">
        <v>0</v>
      </c>
      <c r="M11">
        <v>1147.6800000000003</v>
      </c>
      <c r="N11">
        <v>0</v>
      </c>
      <c r="O11">
        <v>0</v>
      </c>
      <c r="P11">
        <v>0.3752795762213067</v>
      </c>
      <c r="Q11">
        <v>0</v>
      </c>
      <c r="R11">
        <v>894.15433014572795</v>
      </c>
      <c r="S11">
        <v>0</v>
      </c>
      <c r="T11">
        <v>0</v>
      </c>
    </row>
    <row r="12" spans="1:20">
      <c r="A12" t="s">
        <v>50</v>
      </c>
      <c r="B12" t="s">
        <v>5293</v>
      </c>
      <c r="C12" t="s">
        <v>5458</v>
      </c>
      <c r="D12">
        <v>143.80000000000001</v>
      </c>
      <c r="E12" t="s">
        <v>5459</v>
      </c>
      <c r="F12">
        <v>0.27833494416707416</v>
      </c>
      <c r="G12">
        <v>163.17671709921524</v>
      </c>
      <c r="H12">
        <v>19.376717099215227</v>
      </c>
      <c r="I12">
        <v>0.13474768497368028</v>
      </c>
      <c r="J12">
        <v>4477.0676513768385</v>
      </c>
      <c r="K12">
        <v>306.86765137683778</v>
      </c>
      <c r="L12">
        <v>7.3585835541901526E-2</v>
      </c>
      <c r="M12">
        <v>2771.8626473817635</v>
      </c>
      <c r="N12">
        <v>404.01264738176269</v>
      </c>
      <c r="O12">
        <v>0.17062425718764387</v>
      </c>
      <c r="P12">
        <v>0.61912458404092441</v>
      </c>
      <c r="Q12">
        <v>5.1322080563872885E-2</v>
      </c>
      <c r="R12">
        <v>422.51293670182497</v>
      </c>
      <c r="S12">
        <v>633.7694050527374</v>
      </c>
      <c r="T12">
        <v>0.66666666666666674</v>
      </c>
    </row>
    <row r="13" spans="1:20">
      <c r="A13" t="s">
        <v>57</v>
      </c>
      <c r="B13" t="s">
        <v>5293</v>
      </c>
      <c r="C13" t="s">
        <v>5458</v>
      </c>
      <c r="D13">
        <v>63.19</v>
      </c>
      <c r="E13" t="s">
        <v>5460</v>
      </c>
      <c r="F13">
        <v>3.2641381779766276E-2</v>
      </c>
      <c r="G13">
        <v>63.19</v>
      </c>
      <c r="H13">
        <v>0</v>
      </c>
      <c r="I13">
        <v>0</v>
      </c>
      <c r="J13">
        <v>1200.6099999999999</v>
      </c>
      <c r="K13">
        <v>0</v>
      </c>
      <c r="L13">
        <v>0</v>
      </c>
      <c r="M13">
        <v>413.05999999999983</v>
      </c>
      <c r="N13">
        <v>0</v>
      </c>
      <c r="O13">
        <v>0</v>
      </c>
      <c r="P13">
        <v>0.34404177876246228</v>
      </c>
      <c r="Q13">
        <v>0</v>
      </c>
      <c r="R13">
        <v>858.15235622308262</v>
      </c>
      <c r="S13">
        <v>0</v>
      </c>
      <c r="T13">
        <v>0</v>
      </c>
    </row>
    <row r="14" spans="1:20">
      <c r="A14" t="s">
        <v>60</v>
      </c>
      <c r="B14" t="s">
        <v>5460</v>
      </c>
      <c r="C14" t="s">
        <v>5458</v>
      </c>
      <c r="D14">
        <v>111.09</v>
      </c>
      <c r="E14" t="s">
        <v>5460</v>
      </c>
      <c r="F14">
        <v>1.379616612126664E-3</v>
      </c>
      <c r="G14">
        <v>111.09</v>
      </c>
      <c r="H14">
        <v>0</v>
      </c>
      <c r="I14">
        <v>0</v>
      </c>
      <c r="J14">
        <v>4776.87</v>
      </c>
      <c r="K14">
        <v>0</v>
      </c>
      <c r="L14">
        <v>0</v>
      </c>
      <c r="M14">
        <v>2859.9300000000003</v>
      </c>
      <c r="N14">
        <v>0</v>
      </c>
      <c r="O14">
        <v>0</v>
      </c>
      <c r="P14">
        <v>0.59870375371320561</v>
      </c>
      <c r="Q14">
        <v>0</v>
      </c>
      <c r="R14">
        <v>1540.57663870035</v>
      </c>
      <c r="S14">
        <v>0</v>
      </c>
      <c r="T14">
        <v>0</v>
      </c>
    </row>
    <row r="15" spans="1:20">
      <c r="A15" t="s">
        <v>62</v>
      </c>
      <c r="B15" t="s">
        <v>5293</v>
      </c>
      <c r="C15" t="s">
        <v>5458</v>
      </c>
      <c r="D15">
        <v>160.35</v>
      </c>
      <c r="E15" t="s">
        <v>5459</v>
      </c>
      <c r="F15">
        <v>0.18098585290839481</v>
      </c>
      <c r="G15">
        <v>173.51238545969298</v>
      </c>
      <c r="H15">
        <v>13.162385459692985</v>
      </c>
      <c r="I15">
        <v>8.2085347425587679E-2</v>
      </c>
      <c r="J15">
        <v>6041.349204568287</v>
      </c>
      <c r="K15">
        <v>268.7492045682875</v>
      </c>
      <c r="L15">
        <v>4.655600675056084E-2</v>
      </c>
      <c r="M15">
        <v>3518.0908464105128</v>
      </c>
      <c r="N15">
        <v>354.41084641051339</v>
      </c>
      <c r="O15">
        <v>0.11202487179819497</v>
      </c>
      <c r="P15">
        <v>0.582335290890028</v>
      </c>
      <c r="Q15">
        <v>3.4284152754699093E-2</v>
      </c>
      <c r="R15">
        <v>457.57901206549826</v>
      </c>
      <c r="S15">
        <v>686.36851809824657</v>
      </c>
      <c r="T15">
        <v>0.66666666666666752</v>
      </c>
    </row>
    <row r="16" spans="1:20">
      <c r="A16" t="s">
        <v>64</v>
      </c>
      <c r="B16" t="s">
        <v>5462</v>
      </c>
      <c r="C16" t="s">
        <v>5458</v>
      </c>
      <c r="D16">
        <v>32.880000000000003</v>
      </c>
      <c r="E16" t="s">
        <v>5460</v>
      </c>
      <c r="F16">
        <v>0</v>
      </c>
      <c r="G16">
        <v>32.880000000000003</v>
      </c>
      <c r="H16">
        <v>0</v>
      </c>
      <c r="I16">
        <v>0</v>
      </c>
      <c r="J16">
        <v>1052.1600000000001</v>
      </c>
      <c r="K16">
        <v>0</v>
      </c>
      <c r="L16">
        <v>0</v>
      </c>
      <c r="M16">
        <v>363.5200000000001</v>
      </c>
      <c r="N16">
        <v>0</v>
      </c>
      <c r="O16">
        <v>0</v>
      </c>
      <c r="P16">
        <v>0.34549878345498791</v>
      </c>
      <c r="Q16">
        <v>0</v>
      </c>
      <c r="R16">
        <v>1567.3093009733004</v>
      </c>
      <c r="S16">
        <v>0</v>
      </c>
      <c r="T16">
        <v>0</v>
      </c>
    </row>
    <row r="17" spans="1:20">
      <c r="A17" t="s">
        <v>68</v>
      </c>
      <c r="B17" t="s">
        <v>5293</v>
      </c>
      <c r="C17" t="s">
        <v>5458</v>
      </c>
      <c r="D17">
        <v>98.51</v>
      </c>
      <c r="E17" t="s">
        <v>5459</v>
      </c>
      <c r="F17">
        <v>0.28073609719544462</v>
      </c>
      <c r="G17">
        <v>108.78291207274761</v>
      </c>
      <c r="H17">
        <v>10.272912072747602</v>
      </c>
      <c r="I17">
        <v>0.10428293648104356</v>
      </c>
      <c r="J17">
        <v>3544.3378699387067</v>
      </c>
      <c r="K17">
        <v>194.99786993870657</v>
      </c>
      <c r="L17">
        <v>5.8219789552182391E-2</v>
      </c>
      <c r="M17">
        <v>1746.8026085756715</v>
      </c>
      <c r="N17">
        <v>273.24260857567128</v>
      </c>
      <c r="O17">
        <v>0.1854302563693852</v>
      </c>
      <c r="P17">
        <v>0.49284314099713056</v>
      </c>
      <c r="Q17">
        <v>5.2887806513321756E-2</v>
      </c>
      <c r="R17">
        <v>591.15070926667283</v>
      </c>
      <c r="S17">
        <v>886.72606390000863</v>
      </c>
      <c r="T17">
        <v>0.66666666666666718</v>
      </c>
    </row>
    <row r="18" spans="1:20">
      <c r="A18" t="s">
        <v>71</v>
      </c>
      <c r="B18" t="s">
        <v>5293</v>
      </c>
      <c r="C18" t="s">
        <v>5458</v>
      </c>
      <c r="D18">
        <v>26.7</v>
      </c>
      <c r="E18" t="s">
        <v>5460</v>
      </c>
      <c r="F18">
        <v>1.062000435739102E-2</v>
      </c>
      <c r="G18">
        <v>26.7</v>
      </c>
      <c r="H18">
        <v>0</v>
      </c>
      <c r="I18">
        <v>0</v>
      </c>
      <c r="J18">
        <v>774.3</v>
      </c>
      <c r="K18">
        <v>0</v>
      </c>
      <c r="L18">
        <v>0</v>
      </c>
      <c r="M18">
        <v>418.46999999999997</v>
      </c>
      <c r="N18">
        <v>0</v>
      </c>
      <c r="O18">
        <v>0</v>
      </c>
      <c r="P18">
        <v>0.54044943820224722</v>
      </c>
      <c r="Q18">
        <v>0</v>
      </c>
      <c r="R18">
        <v>1228.9630441423965</v>
      </c>
      <c r="S18">
        <v>0</v>
      </c>
      <c r="T18">
        <v>0</v>
      </c>
    </row>
    <row r="19" spans="1:20">
      <c r="A19" t="s">
        <v>73</v>
      </c>
      <c r="B19" t="s">
        <v>5293</v>
      </c>
      <c r="C19" t="s">
        <v>5458</v>
      </c>
      <c r="D19">
        <v>70.78</v>
      </c>
      <c r="E19" t="s">
        <v>5460</v>
      </c>
      <c r="F19">
        <v>0</v>
      </c>
      <c r="G19">
        <v>70.78</v>
      </c>
      <c r="H19">
        <v>0</v>
      </c>
      <c r="I19">
        <v>0</v>
      </c>
      <c r="J19">
        <v>1840.28</v>
      </c>
      <c r="K19">
        <v>0</v>
      </c>
      <c r="L19">
        <v>0</v>
      </c>
      <c r="M19">
        <v>925.07999999999993</v>
      </c>
      <c r="N19">
        <v>0</v>
      </c>
      <c r="O19">
        <v>0</v>
      </c>
      <c r="P19">
        <v>0.50268437411698219</v>
      </c>
      <c r="Q19">
        <v>0</v>
      </c>
      <c r="R19">
        <v>464.33447940923082</v>
      </c>
      <c r="S19">
        <v>0</v>
      </c>
      <c r="T19">
        <v>0</v>
      </c>
    </row>
    <row r="20" spans="1:20">
      <c r="A20" t="s">
        <v>76</v>
      </c>
      <c r="B20" t="s">
        <v>5460</v>
      </c>
      <c r="C20" t="s">
        <v>5458</v>
      </c>
      <c r="D20">
        <v>118.07</v>
      </c>
      <c r="E20" t="s">
        <v>5460</v>
      </c>
      <c r="F20">
        <v>4.254300772799291E-2</v>
      </c>
      <c r="G20">
        <v>118.07</v>
      </c>
      <c r="H20">
        <v>0</v>
      </c>
      <c r="I20">
        <v>0</v>
      </c>
      <c r="J20">
        <v>3896.31</v>
      </c>
      <c r="K20">
        <v>0</v>
      </c>
      <c r="L20">
        <v>0</v>
      </c>
      <c r="M20">
        <v>2586.21</v>
      </c>
      <c r="N20">
        <v>0</v>
      </c>
      <c r="O20">
        <v>0</v>
      </c>
      <c r="P20">
        <v>0.66375878716015924</v>
      </c>
      <c r="Q20">
        <v>0</v>
      </c>
      <c r="R20">
        <v>1530.8710932310987</v>
      </c>
      <c r="S20">
        <v>0</v>
      </c>
      <c r="T20">
        <v>0</v>
      </c>
    </row>
    <row r="21" spans="1:20">
      <c r="A21" t="s">
        <v>80</v>
      </c>
      <c r="B21" t="s">
        <v>5293</v>
      </c>
      <c r="C21" t="s">
        <v>5458</v>
      </c>
      <c r="D21">
        <v>106.06</v>
      </c>
      <c r="E21" t="s">
        <v>5459</v>
      </c>
      <c r="F21">
        <v>0.19680264013785179</v>
      </c>
      <c r="G21">
        <v>117.99989235447971</v>
      </c>
      <c r="H21">
        <v>11.93989235447971</v>
      </c>
      <c r="I21">
        <v>0.11257677120950131</v>
      </c>
      <c r="J21">
        <v>4394.7646704290664</v>
      </c>
      <c r="K21">
        <v>258.42467042906628</v>
      </c>
      <c r="L21">
        <v>6.247665095931821E-2</v>
      </c>
      <c r="M21">
        <v>3150.0767952526821</v>
      </c>
      <c r="N21">
        <v>317.1167952526821</v>
      </c>
      <c r="O21">
        <v>0.11193832431544466</v>
      </c>
      <c r="P21">
        <v>0.71677940264891049</v>
      </c>
      <c r="Q21">
        <v>3.1884060389811841E-2</v>
      </c>
      <c r="R21">
        <v>385.63297161716218</v>
      </c>
      <c r="S21">
        <v>578.44945742574293</v>
      </c>
      <c r="T21">
        <v>0.66666666666666707</v>
      </c>
    </row>
    <row r="22" spans="1:20">
      <c r="A22" t="s">
        <v>82</v>
      </c>
      <c r="B22" t="s">
        <v>5293</v>
      </c>
      <c r="C22" t="s">
        <v>5458</v>
      </c>
      <c r="D22">
        <v>34.479999999999997</v>
      </c>
      <c r="E22" t="s">
        <v>5459</v>
      </c>
      <c r="F22">
        <v>0.11713371747296435</v>
      </c>
      <c r="G22">
        <v>35.936897151785665</v>
      </c>
      <c r="H22">
        <v>1.4568971517856681</v>
      </c>
      <c r="I22">
        <v>4.2253397673598266E-2</v>
      </c>
      <c r="J22">
        <v>671.26078023445461</v>
      </c>
      <c r="K22">
        <v>16.140780234454724</v>
      </c>
      <c r="L22">
        <v>2.4637898758173658E-2</v>
      </c>
      <c r="M22">
        <v>311.87924105587894</v>
      </c>
      <c r="N22">
        <v>22.31924105587899</v>
      </c>
      <c r="O22">
        <v>7.7079848928992251E-2</v>
      </c>
      <c r="P22">
        <v>0.46461710595835393</v>
      </c>
      <c r="Q22">
        <v>2.2621746329583636E-2</v>
      </c>
      <c r="R22">
        <v>255.15004981505146</v>
      </c>
      <c r="S22">
        <v>382.72507472257621</v>
      </c>
      <c r="T22">
        <v>0.66666666666666841</v>
      </c>
    </row>
    <row r="23" spans="1:20">
      <c r="A23" t="s">
        <v>84</v>
      </c>
      <c r="B23" t="s">
        <v>5293</v>
      </c>
      <c r="C23" t="s">
        <v>5458</v>
      </c>
      <c r="D23">
        <v>174.23</v>
      </c>
      <c r="E23" t="s">
        <v>5460</v>
      </c>
      <c r="F23">
        <v>7.5679410119946583E-2</v>
      </c>
      <c r="G23">
        <v>174.23</v>
      </c>
      <c r="H23">
        <v>0</v>
      </c>
      <c r="I23">
        <v>0</v>
      </c>
      <c r="J23">
        <v>4529.9799999999996</v>
      </c>
      <c r="K23">
        <v>0</v>
      </c>
      <c r="L23">
        <v>0</v>
      </c>
      <c r="M23">
        <v>2607.2799999999997</v>
      </c>
      <c r="N23">
        <v>0</v>
      </c>
      <c r="O23">
        <v>0</v>
      </c>
      <c r="P23">
        <v>0.57556104000459163</v>
      </c>
      <c r="Q23">
        <v>0</v>
      </c>
      <c r="R23">
        <v>1678.9946147237208</v>
      </c>
      <c r="S23">
        <v>0</v>
      </c>
      <c r="T23">
        <v>0</v>
      </c>
    </row>
    <row r="24" spans="1:20">
      <c r="A24" t="s">
        <v>86</v>
      </c>
      <c r="B24" t="s">
        <v>5293</v>
      </c>
      <c r="C24" t="s">
        <v>5458</v>
      </c>
      <c r="D24">
        <v>148.11000000000001</v>
      </c>
      <c r="E24" t="s">
        <v>5459</v>
      </c>
      <c r="F24">
        <v>0.15081608687053369</v>
      </c>
      <c r="G24">
        <v>157.82483512929298</v>
      </c>
      <c r="H24">
        <v>9.7148351292929647</v>
      </c>
      <c r="I24">
        <v>6.5592027069697953E-2</v>
      </c>
      <c r="J24">
        <v>4149.4683992237415</v>
      </c>
      <c r="K24">
        <v>150.49839922374122</v>
      </c>
      <c r="L24">
        <v>3.7634290635774011E-2</v>
      </c>
      <c r="M24">
        <v>2318.5209498871864</v>
      </c>
      <c r="N24">
        <v>199.83094988718585</v>
      </c>
      <c r="O24">
        <v>9.4318163528966395E-2</v>
      </c>
      <c r="P24">
        <v>0.55875132108993086</v>
      </c>
      <c r="Q24">
        <v>2.8942395291537637E-2</v>
      </c>
      <c r="R24">
        <v>543.57058421685042</v>
      </c>
      <c r="S24">
        <v>750.64509248993477</v>
      </c>
      <c r="T24">
        <v>0.72413793103448421</v>
      </c>
    </row>
    <row r="25" spans="1:20">
      <c r="A25" t="s">
        <v>88</v>
      </c>
      <c r="B25" t="s">
        <v>5293</v>
      </c>
      <c r="C25" t="s">
        <v>5458</v>
      </c>
      <c r="D25">
        <v>54.64</v>
      </c>
      <c r="E25" t="s">
        <v>5459</v>
      </c>
      <c r="F25">
        <v>0.27669961611051302</v>
      </c>
      <c r="G25">
        <v>62.781457043857259</v>
      </c>
      <c r="H25">
        <v>8.1414570438572582</v>
      </c>
      <c r="I25">
        <v>0.14900177605888101</v>
      </c>
      <c r="J25">
        <v>3247.1800681439695</v>
      </c>
      <c r="K25">
        <v>241.98006814396967</v>
      </c>
      <c r="L25">
        <v>8.052045392784829E-2</v>
      </c>
      <c r="M25">
        <v>2196.1898221133315</v>
      </c>
      <c r="N25">
        <v>308.58982211333159</v>
      </c>
      <c r="O25">
        <v>0.16348263515222061</v>
      </c>
      <c r="P25">
        <v>0.67633755320770816</v>
      </c>
      <c r="Q25">
        <v>4.8226279415614415E-2</v>
      </c>
      <c r="R25">
        <v>758.48927543660807</v>
      </c>
      <c r="S25">
        <v>1137.7339131549131</v>
      </c>
      <c r="T25">
        <v>0.66666666666666607</v>
      </c>
    </row>
    <row r="26" spans="1:20">
      <c r="A26" t="s">
        <v>92</v>
      </c>
      <c r="B26" t="s">
        <v>5293</v>
      </c>
      <c r="C26" t="s">
        <v>5458</v>
      </c>
      <c r="D26">
        <v>230.34</v>
      </c>
      <c r="E26" t="s">
        <v>5459</v>
      </c>
      <c r="F26">
        <v>0.2760476179648978</v>
      </c>
      <c r="G26">
        <v>267.36740202736343</v>
      </c>
      <c r="H26">
        <v>37.027402027363422</v>
      </c>
      <c r="I26">
        <v>0.16075107244665895</v>
      </c>
      <c r="J26">
        <v>5253.6868310239561</v>
      </c>
      <c r="K26">
        <v>416.54683102395575</v>
      </c>
      <c r="L26">
        <v>8.6114280550894887E-2</v>
      </c>
      <c r="M26">
        <v>3786.2479077826147</v>
      </c>
      <c r="N26">
        <v>517.38790778261455</v>
      </c>
      <c r="O26">
        <v>0.15827778117833574</v>
      </c>
      <c r="P26">
        <v>0.72068397480872792</v>
      </c>
      <c r="Q26">
        <v>4.4900350601034922E-2</v>
      </c>
      <c r="R26">
        <v>400.08816716748254</v>
      </c>
      <c r="S26">
        <v>600.13225075122489</v>
      </c>
      <c r="T26">
        <v>0.66666666666666552</v>
      </c>
    </row>
    <row r="27" spans="1:20">
      <c r="A27" t="s">
        <v>95</v>
      </c>
      <c r="B27" t="s">
        <v>5462</v>
      </c>
      <c r="C27" t="s">
        <v>5458</v>
      </c>
      <c r="D27">
        <v>223.89</v>
      </c>
      <c r="E27" t="s">
        <v>5460</v>
      </c>
      <c r="F27">
        <v>2.5260569896059234E-2</v>
      </c>
      <c r="G27">
        <v>223.89</v>
      </c>
      <c r="H27">
        <v>0</v>
      </c>
      <c r="I27">
        <v>0</v>
      </c>
      <c r="J27">
        <v>4030.0199999999995</v>
      </c>
      <c r="K27">
        <v>0</v>
      </c>
      <c r="L27">
        <v>0</v>
      </c>
      <c r="M27">
        <v>2680.2</v>
      </c>
      <c r="N27">
        <v>0</v>
      </c>
      <c r="O27">
        <v>0</v>
      </c>
      <c r="P27">
        <v>0.6650587341998303</v>
      </c>
      <c r="Q27">
        <v>0</v>
      </c>
      <c r="R27">
        <v>600.58541168518138</v>
      </c>
      <c r="S27">
        <v>0</v>
      </c>
      <c r="T27">
        <v>0</v>
      </c>
    </row>
    <row r="28" spans="1:20">
      <c r="A28" t="s">
        <v>98</v>
      </c>
      <c r="B28" t="s">
        <v>5293</v>
      </c>
      <c r="C28" t="s">
        <v>5458</v>
      </c>
      <c r="D28">
        <v>224.77</v>
      </c>
      <c r="E28" t="s">
        <v>5459</v>
      </c>
      <c r="F28">
        <v>0.16564867100560926</v>
      </c>
      <c r="G28">
        <v>244.71696687999997</v>
      </c>
      <c r="H28">
        <v>19.946966879999962</v>
      </c>
      <c r="I28">
        <v>8.8743902122169163E-2</v>
      </c>
      <c r="J28">
        <v>3540.4516718614022</v>
      </c>
      <c r="K28">
        <v>168.90167186140206</v>
      </c>
      <c r="L28">
        <v>5.0096149207753723E-2</v>
      </c>
      <c r="M28">
        <v>2400.5544641506367</v>
      </c>
      <c r="N28">
        <v>210.85446415063689</v>
      </c>
      <c r="O28">
        <v>9.6293768164879626E-2</v>
      </c>
      <c r="P28">
        <v>0.67803621872023423</v>
      </c>
      <c r="Q28">
        <v>2.8572322292775176E-2</v>
      </c>
      <c r="R28">
        <v>112.81656706172261</v>
      </c>
      <c r="S28">
        <v>169.22485059258366</v>
      </c>
      <c r="T28">
        <v>0.66666666666666763</v>
      </c>
    </row>
    <row r="29" spans="1:20">
      <c r="A29" t="s">
        <v>101</v>
      </c>
      <c r="B29" t="s">
        <v>5293</v>
      </c>
      <c r="C29" t="s">
        <v>5458</v>
      </c>
      <c r="D29">
        <v>196.28</v>
      </c>
      <c r="E29" t="s">
        <v>5459</v>
      </c>
      <c r="F29">
        <v>0.18900169991319088</v>
      </c>
      <c r="G29">
        <v>215.84807267438828</v>
      </c>
      <c r="H29">
        <v>19.568072674388276</v>
      </c>
      <c r="I29">
        <v>9.9694684503710398E-2</v>
      </c>
      <c r="J29">
        <v>7875.1393979354461</v>
      </c>
      <c r="K29">
        <v>416.49939793544581</v>
      </c>
      <c r="L29">
        <v>5.5841198654908372E-2</v>
      </c>
      <c r="M29">
        <v>5258.0961136711039</v>
      </c>
      <c r="N29">
        <v>525.19611367110429</v>
      </c>
      <c r="O29">
        <v>0.11096708438190207</v>
      </c>
      <c r="P29">
        <v>0.66768292572060006</v>
      </c>
      <c r="Q29">
        <v>3.3130245875480968E-2</v>
      </c>
      <c r="R29">
        <v>535.3161130547295</v>
      </c>
      <c r="S29">
        <v>802.97416958209431</v>
      </c>
      <c r="T29">
        <v>0.66666666666666663</v>
      </c>
    </row>
    <row r="30" spans="1:20">
      <c r="A30" t="s">
        <v>103</v>
      </c>
      <c r="B30" t="s">
        <v>5462</v>
      </c>
      <c r="C30" t="s">
        <v>5461</v>
      </c>
      <c r="D30">
        <v>98.58</v>
      </c>
      <c r="E30" t="s">
        <v>5460</v>
      </c>
      <c r="F30">
        <v>0</v>
      </c>
      <c r="G30">
        <v>98.58</v>
      </c>
      <c r="H30">
        <v>0</v>
      </c>
      <c r="I30">
        <v>0</v>
      </c>
      <c r="J30">
        <v>2563.08</v>
      </c>
      <c r="K30">
        <v>0</v>
      </c>
      <c r="L30">
        <v>0</v>
      </c>
      <c r="M30">
        <v>1196.26</v>
      </c>
      <c r="N30">
        <v>0</v>
      </c>
      <c r="O30">
        <v>0</v>
      </c>
      <c r="P30">
        <v>0.46672753093933861</v>
      </c>
      <c r="Q30">
        <v>0</v>
      </c>
      <c r="R30">
        <v>778.43858435656409</v>
      </c>
      <c r="S30">
        <v>0</v>
      </c>
      <c r="T30">
        <v>0</v>
      </c>
    </row>
    <row r="31" spans="1:20">
      <c r="A31" t="s">
        <v>105</v>
      </c>
      <c r="B31" t="s">
        <v>5293</v>
      </c>
      <c r="C31" t="s">
        <v>5458</v>
      </c>
      <c r="D31">
        <v>49.1</v>
      </c>
      <c r="E31" t="s">
        <v>5459</v>
      </c>
      <c r="F31">
        <v>0.12155280800869679</v>
      </c>
      <c r="G31">
        <v>50.997784977476769</v>
      </c>
      <c r="H31">
        <v>1.8977849774767677</v>
      </c>
      <c r="I31">
        <v>3.865142520319282E-2</v>
      </c>
      <c r="J31">
        <v>1857.745215507176</v>
      </c>
      <c r="K31">
        <v>41.045215507175953</v>
      </c>
      <c r="L31">
        <v>2.2593282053820638E-2</v>
      </c>
      <c r="M31">
        <v>764.17788911925368</v>
      </c>
      <c r="N31">
        <v>58.217889119253641</v>
      </c>
      <c r="O31">
        <v>8.2466271629063462E-2</v>
      </c>
      <c r="P31">
        <v>0.41134698275114567</v>
      </c>
      <c r="Q31">
        <v>2.2752278066827947E-2</v>
      </c>
      <c r="R31">
        <v>588.85616798106776</v>
      </c>
      <c r="S31">
        <v>883.28425197159822</v>
      </c>
      <c r="T31">
        <v>0.66666666666666929</v>
      </c>
    </row>
    <row r="32" spans="1:20">
      <c r="A32" t="s">
        <v>107</v>
      </c>
      <c r="B32" t="s">
        <v>5293</v>
      </c>
      <c r="C32" t="s">
        <v>5458</v>
      </c>
      <c r="D32">
        <v>31.81</v>
      </c>
      <c r="E32" t="s">
        <v>5459</v>
      </c>
      <c r="F32">
        <v>0.11894568023807486</v>
      </c>
      <c r="G32">
        <v>33.854041953100328</v>
      </c>
      <c r="H32">
        <v>2.0440419531003293</v>
      </c>
      <c r="I32">
        <v>6.4257841971088636E-2</v>
      </c>
      <c r="J32">
        <v>824.5971720484589</v>
      </c>
      <c r="K32">
        <v>29.347172048458901</v>
      </c>
      <c r="L32">
        <v>3.6903077080740525E-2</v>
      </c>
      <c r="M32">
        <v>565.43420643418267</v>
      </c>
      <c r="N32">
        <v>36.18420643418267</v>
      </c>
      <c r="O32">
        <v>6.836883596444529E-2</v>
      </c>
      <c r="P32">
        <v>0.68570961143310094</v>
      </c>
      <c r="Q32">
        <v>2.0195622121563672E-2</v>
      </c>
      <c r="R32">
        <v>441.9540776962001</v>
      </c>
      <c r="S32">
        <v>662.93111654429799</v>
      </c>
      <c r="T32">
        <v>0.66666666666666885</v>
      </c>
    </row>
    <row r="33" spans="1:20">
      <c r="A33" t="s">
        <v>109</v>
      </c>
      <c r="B33" t="s">
        <v>5462</v>
      </c>
      <c r="C33" t="s">
        <v>5458</v>
      </c>
      <c r="D33">
        <v>84.87</v>
      </c>
      <c r="E33" t="s">
        <v>5460</v>
      </c>
      <c r="F33">
        <v>0</v>
      </c>
      <c r="G33">
        <v>84.87</v>
      </c>
      <c r="H33">
        <v>0</v>
      </c>
      <c r="I33">
        <v>0</v>
      </c>
      <c r="J33">
        <v>2121.75</v>
      </c>
      <c r="K33">
        <v>0</v>
      </c>
      <c r="L33">
        <v>0</v>
      </c>
      <c r="M33">
        <v>1418.75</v>
      </c>
      <c r="N33">
        <v>0</v>
      </c>
      <c r="O33">
        <v>0</v>
      </c>
      <c r="P33">
        <v>0.66866973017556264</v>
      </c>
      <c r="Q33">
        <v>0</v>
      </c>
      <c r="R33">
        <v>633.73441946787671</v>
      </c>
      <c r="S33">
        <v>0</v>
      </c>
      <c r="T33">
        <v>0</v>
      </c>
    </row>
    <row r="34" spans="1:20">
      <c r="A34" t="s">
        <v>111</v>
      </c>
      <c r="B34" t="s">
        <v>5293</v>
      </c>
      <c r="C34" t="s">
        <v>5458</v>
      </c>
      <c r="D34">
        <v>189.99</v>
      </c>
      <c r="E34" t="s">
        <v>5459</v>
      </c>
      <c r="F34">
        <v>0.23605721302245394</v>
      </c>
      <c r="G34">
        <v>215.28046371273902</v>
      </c>
      <c r="H34">
        <v>25.290463712739012</v>
      </c>
      <c r="I34">
        <v>0.13311470978861525</v>
      </c>
      <c r="J34">
        <v>5706.8946237135588</v>
      </c>
      <c r="K34">
        <v>387.1746237135585</v>
      </c>
      <c r="L34">
        <v>7.2781015488326162E-2</v>
      </c>
      <c r="M34">
        <v>4023.3007141627186</v>
      </c>
      <c r="N34">
        <v>481.86071416271807</v>
      </c>
      <c r="O34">
        <v>0.1360634979451065</v>
      </c>
      <c r="P34">
        <v>0.70498948718010479</v>
      </c>
      <c r="Q34">
        <v>3.9270238798610912E-2</v>
      </c>
      <c r="R34">
        <v>492.54399704835561</v>
      </c>
      <c r="S34">
        <v>738.81599557253344</v>
      </c>
      <c r="T34">
        <v>0.66666666666666663</v>
      </c>
    </row>
    <row r="35" spans="1:20">
      <c r="A35" t="s">
        <v>113</v>
      </c>
      <c r="B35" t="s">
        <v>5460</v>
      </c>
      <c r="C35" t="s">
        <v>5461</v>
      </c>
      <c r="D35">
        <v>18.7</v>
      </c>
      <c r="E35" t="s">
        <v>5460</v>
      </c>
      <c r="F35">
        <v>0</v>
      </c>
      <c r="G35">
        <v>18.7</v>
      </c>
      <c r="H35">
        <v>0</v>
      </c>
      <c r="I35">
        <v>0</v>
      </c>
      <c r="J35">
        <v>486.2</v>
      </c>
      <c r="K35">
        <v>0</v>
      </c>
      <c r="L35">
        <v>0</v>
      </c>
      <c r="M35">
        <v>307.83999999999997</v>
      </c>
      <c r="N35">
        <v>0</v>
      </c>
      <c r="O35">
        <v>0</v>
      </c>
      <c r="P35">
        <v>0.63315508021390365</v>
      </c>
      <c r="Q35">
        <v>0</v>
      </c>
      <c r="R35">
        <v>1062.8129847985024</v>
      </c>
      <c r="S35">
        <v>0</v>
      </c>
      <c r="T35">
        <v>0</v>
      </c>
    </row>
    <row r="36" spans="1:20">
      <c r="A36" t="s">
        <v>117</v>
      </c>
      <c r="B36" t="s">
        <v>5462</v>
      </c>
      <c r="C36" t="s">
        <v>5458</v>
      </c>
      <c r="D36">
        <v>102.13</v>
      </c>
      <c r="E36" t="s">
        <v>5460</v>
      </c>
      <c r="F36">
        <v>0</v>
      </c>
      <c r="G36">
        <v>102.13</v>
      </c>
      <c r="H36">
        <v>0</v>
      </c>
      <c r="I36">
        <v>0</v>
      </c>
      <c r="J36">
        <v>3983.0699999999997</v>
      </c>
      <c r="K36">
        <v>0</v>
      </c>
      <c r="L36">
        <v>0</v>
      </c>
      <c r="M36">
        <v>1485.12</v>
      </c>
      <c r="N36">
        <v>0</v>
      </c>
      <c r="O36">
        <v>0</v>
      </c>
      <c r="P36">
        <v>0.37285812200137081</v>
      </c>
      <c r="Q36">
        <v>0</v>
      </c>
      <c r="R36">
        <v>1155.8421373982719</v>
      </c>
      <c r="S36">
        <v>0</v>
      </c>
      <c r="T36">
        <v>0</v>
      </c>
    </row>
    <row r="37" spans="1:20">
      <c r="A37" t="s">
        <v>120</v>
      </c>
      <c r="B37" t="s">
        <v>5293</v>
      </c>
      <c r="C37" t="s">
        <v>5458</v>
      </c>
      <c r="D37">
        <v>197.52</v>
      </c>
      <c r="E37" t="s">
        <v>5460</v>
      </c>
      <c r="F37">
        <v>6.2006127548161559E-2</v>
      </c>
      <c r="G37">
        <v>197.52</v>
      </c>
      <c r="H37">
        <v>0</v>
      </c>
      <c r="I37">
        <v>0</v>
      </c>
      <c r="J37">
        <v>4542.96</v>
      </c>
      <c r="K37">
        <v>0</v>
      </c>
      <c r="L37">
        <v>0</v>
      </c>
      <c r="M37">
        <v>3012.54</v>
      </c>
      <c r="N37">
        <v>0</v>
      </c>
      <c r="O37">
        <v>0</v>
      </c>
      <c r="P37">
        <v>0.66312272174969622</v>
      </c>
      <c r="Q37">
        <v>0</v>
      </c>
      <c r="R37">
        <v>1110.1464388952409</v>
      </c>
      <c r="S37">
        <v>0</v>
      </c>
      <c r="T37">
        <v>0</v>
      </c>
    </row>
    <row r="38" spans="1:20">
      <c r="A38" t="s">
        <v>122</v>
      </c>
      <c r="B38" t="s">
        <v>5460</v>
      </c>
      <c r="C38" t="s">
        <v>5458</v>
      </c>
      <c r="D38">
        <v>112.56</v>
      </c>
      <c r="E38" t="s">
        <v>5459</v>
      </c>
      <c r="F38">
        <v>0.14820558403574094</v>
      </c>
      <c r="G38">
        <v>119.78796669037288</v>
      </c>
      <c r="H38">
        <v>7.227966690372881</v>
      </c>
      <c r="I38">
        <v>6.4214345152566465E-2</v>
      </c>
      <c r="J38">
        <v>4668.4449742040397</v>
      </c>
      <c r="K38">
        <v>166.04497420404005</v>
      </c>
      <c r="L38">
        <v>3.6879214242190844E-2</v>
      </c>
      <c r="M38">
        <v>2598.6117561408846</v>
      </c>
      <c r="N38">
        <v>220.61175614088506</v>
      </c>
      <c r="O38">
        <v>9.2771974827958417E-2</v>
      </c>
      <c r="P38">
        <v>0.55663326236033073</v>
      </c>
      <c r="Q38">
        <v>2.8470504719961154E-2</v>
      </c>
      <c r="R38">
        <v>777.05597641647591</v>
      </c>
      <c r="S38">
        <v>1165.5839646247127</v>
      </c>
      <c r="T38">
        <v>0.6666666666666673</v>
      </c>
    </row>
    <row r="39" spans="1:20">
      <c r="A39" t="s">
        <v>125</v>
      </c>
      <c r="B39" t="s">
        <v>5293</v>
      </c>
      <c r="C39" t="s">
        <v>5458</v>
      </c>
      <c r="D39">
        <v>144.94999999999999</v>
      </c>
      <c r="E39" t="s">
        <v>5459</v>
      </c>
      <c r="F39">
        <v>0.37745912560075434</v>
      </c>
      <c r="G39">
        <v>167.1111143082619</v>
      </c>
      <c r="H39">
        <v>22.161114308261915</v>
      </c>
      <c r="I39">
        <v>0.15288799108838852</v>
      </c>
      <c r="J39">
        <v>2980.9366244379712</v>
      </c>
      <c r="K39">
        <v>226.88662443797148</v>
      </c>
      <c r="L39">
        <v>8.2382899525415845E-2</v>
      </c>
      <c r="M39">
        <v>1604.017447082028</v>
      </c>
      <c r="N39">
        <v>316.57744708202813</v>
      </c>
      <c r="O39">
        <v>0.24589685506278208</v>
      </c>
      <c r="P39">
        <v>0.53809176415632487</v>
      </c>
      <c r="Q39">
        <v>7.0620222245321107E-2</v>
      </c>
      <c r="R39">
        <v>519.03762301735776</v>
      </c>
      <c r="S39">
        <v>778.55643452603761</v>
      </c>
      <c r="T39">
        <v>0.66666666666666585</v>
      </c>
    </row>
    <row r="40" spans="1:20">
      <c r="A40" t="s">
        <v>127</v>
      </c>
      <c r="B40" t="s">
        <v>5462</v>
      </c>
      <c r="C40" t="s">
        <v>5458</v>
      </c>
      <c r="D40">
        <v>126.76</v>
      </c>
      <c r="E40" t="s">
        <v>5460</v>
      </c>
      <c r="F40">
        <v>1.3780274251673349E-2</v>
      </c>
      <c r="G40">
        <v>126.76</v>
      </c>
      <c r="H40">
        <v>0</v>
      </c>
      <c r="I40">
        <v>0</v>
      </c>
      <c r="J40">
        <v>2915.48</v>
      </c>
      <c r="K40">
        <v>0</v>
      </c>
      <c r="L40">
        <v>0</v>
      </c>
      <c r="M40">
        <v>1102.6200000000001</v>
      </c>
      <c r="N40">
        <v>0</v>
      </c>
      <c r="O40">
        <v>0</v>
      </c>
      <c r="P40">
        <v>0.37819501420006313</v>
      </c>
      <c r="Q40">
        <v>0</v>
      </c>
      <c r="R40">
        <v>927.65574336808766</v>
      </c>
      <c r="S40">
        <v>0</v>
      </c>
      <c r="T40">
        <v>0</v>
      </c>
    </row>
    <row r="41" spans="1:20">
      <c r="A41" t="s">
        <v>129</v>
      </c>
      <c r="B41" t="s">
        <v>5460</v>
      </c>
      <c r="C41" t="s">
        <v>5458</v>
      </c>
      <c r="D41">
        <v>116.08</v>
      </c>
      <c r="E41" t="s">
        <v>5460</v>
      </c>
      <c r="F41">
        <v>1.5847464658577001E-2</v>
      </c>
      <c r="G41">
        <v>116.08</v>
      </c>
      <c r="H41">
        <v>0</v>
      </c>
      <c r="I41">
        <v>0</v>
      </c>
      <c r="J41">
        <v>2205.52</v>
      </c>
      <c r="K41">
        <v>0</v>
      </c>
      <c r="L41">
        <v>0</v>
      </c>
      <c r="M41">
        <v>1495.87</v>
      </c>
      <c r="N41">
        <v>0</v>
      </c>
      <c r="O41">
        <v>0</v>
      </c>
      <c r="P41">
        <v>0.67823914541695374</v>
      </c>
      <c r="Q41">
        <v>0</v>
      </c>
      <c r="R41">
        <v>1175.2335845461539</v>
      </c>
      <c r="S41">
        <v>0</v>
      </c>
      <c r="T41">
        <v>0</v>
      </c>
    </row>
    <row r="42" spans="1:20">
      <c r="A42" t="s">
        <v>133</v>
      </c>
      <c r="B42" t="s">
        <v>5460</v>
      </c>
      <c r="C42" t="s">
        <v>5458</v>
      </c>
      <c r="D42">
        <v>101.6</v>
      </c>
      <c r="E42" t="s">
        <v>5459</v>
      </c>
      <c r="F42">
        <v>0.12626602434186174</v>
      </c>
      <c r="G42">
        <v>107.15395156594535</v>
      </c>
      <c r="H42">
        <v>5.5539515659453542</v>
      </c>
      <c r="I42">
        <v>5.466487761757239E-2</v>
      </c>
      <c r="J42">
        <v>3878.0043547408213</v>
      </c>
      <c r="K42">
        <v>118.80435474082151</v>
      </c>
      <c r="L42">
        <v>3.1603627032565841E-2</v>
      </c>
      <c r="M42">
        <v>2152.4193909399478</v>
      </c>
      <c r="N42">
        <v>157.37939093994805</v>
      </c>
      <c r="O42">
        <v>7.888533109107991E-2</v>
      </c>
      <c r="P42">
        <v>0.55503274211351428</v>
      </c>
      <c r="Q42">
        <v>2.4324080696191519E-2</v>
      </c>
      <c r="R42">
        <v>550.82500090237477</v>
      </c>
      <c r="S42">
        <v>826.23750135356204</v>
      </c>
      <c r="T42">
        <v>0.66666666666666674</v>
      </c>
    </row>
    <row r="43" spans="1:20">
      <c r="A43" t="s">
        <v>135</v>
      </c>
      <c r="B43" t="s">
        <v>5293</v>
      </c>
      <c r="C43" t="s">
        <v>5458</v>
      </c>
      <c r="D43">
        <v>99.75</v>
      </c>
      <c r="E43" t="s">
        <v>5459</v>
      </c>
      <c r="F43">
        <v>0.12768916693870555</v>
      </c>
      <c r="G43">
        <v>106.16045473951499</v>
      </c>
      <c r="H43">
        <v>6.4104547395149893</v>
      </c>
      <c r="I43">
        <v>6.4265210421202895E-2</v>
      </c>
      <c r="J43">
        <v>3516.6704952569703</v>
      </c>
      <c r="K43">
        <v>125.1704952569703</v>
      </c>
      <c r="L43">
        <v>3.690711934452906E-2</v>
      </c>
      <c r="M43">
        <v>2253.5763768946726</v>
      </c>
      <c r="N43">
        <v>158.49637689467272</v>
      </c>
      <c r="O43">
        <v>7.5651706328480409E-2</v>
      </c>
      <c r="P43">
        <v>0.64082670808485831</v>
      </c>
      <c r="Q43">
        <v>2.3082347182602714E-2</v>
      </c>
      <c r="R43">
        <v>474.35487023042327</v>
      </c>
      <c r="S43">
        <v>711.53230534563318</v>
      </c>
      <c r="T43">
        <v>0.66666666666666829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85048-1729-4568-971C-81303ECDD952}">
  <sheetPr codeName="Sheet10">
    <tabColor rgb="FFC00000"/>
  </sheetPr>
  <dimension ref="A1:R51"/>
  <sheetViews>
    <sheetView workbookViewId="0"/>
  </sheetViews>
  <sheetFormatPr defaultRowHeight="15"/>
  <cols>
    <col min="2" max="2" width="20.28515625" bestFit="1" customWidth="1"/>
    <col min="3" max="3" width="21.7109375" bestFit="1" customWidth="1"/>
    <col min="4" max="4" width="12.5703125" bestFit="1" customWidth="1"/>
    <col min="5" max="5" width="15.5703125" bestFit="1" customWidth="1"/>
    <col min="6" max="6" width="16.5703125" bestFit="1" customWidth="1"/>
    <col min="7" max="7" width="15" bestFit="1" customWidth="1"/>
    <col min="8" max="8" width="25.7109375" bestFit="1" customWidth="1"/>
    <col min="9" max="9" width="24.28515625" bestFit="1" customWidth="1"/>
    <col min="10" max="10" width="13.42578125" bestFit="1" customWidth="1"/>
    <col min="11" max="11" width="13.5703125" bestFit="1" customWidth="1"/>
    <col min="12" max="12" width="16" bestFit="1" customWidth="1"/>
    <col min="13" max="13" width="10.85546875" bestFit="1" customWidth="1"/>
    <col min="14" max="14" width="14.42578125" bestFit="1" customWidth="1"/>
    <col min="15" max="15" width="24" bestFit="1" customWidth="1"/>
    <col min="16" max="16" width="17.7109375" bestFit="1" customWidth="1"/>
    <col min="17" max="17" width="16" bestFit="1" customWidth="1"/>
    <col min="18" max="18" width="22.42578125" bestFit="1" customWidth="1"/>
    <col min="19" max="19" width="17.7109375" customWidth="1"/>
    <col min="20" max="21" width="16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5240</v>
      </c>
      <c r="I1" t="s">
        <v>5235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5241</v>
      </c>
      <c r="P1" t="s">
        <v>5231</v>
      </c>
      <c r="Q1" t="s">
        <v>5232</v>
      </c>
      <c r="R1" t="s">
        <v>5242</v>
      </c>
    </row>
    <row r="2" spans="1:18">
      <c r="A2" t="s">
        <v>12</v>
      </c>
      <c r="B2" t="s">
        <v>13</v>
      </c>
      <c r="C2" t="s">
        <v>14</v>
      </c>
      <c r="D2" t="s">
        <v>15</v>
      </c>
      <c r="E2">
        <v>52.96</v>
      </c>
      <c r="F2">
        <v>76.53</v>
      </c>
      <c r="G2">
        <v>0</v>
      </c>
      <c r="H2">
        <v>30.8</v>
      </c>
      <c r="J2">
        <v>71</v>
      </c>
      <c r="K2">
        <v>4.5</v>
      </c>
      <c r="L2">
        <v>2781</v>
      </c>
      <c r="M2" t="s">
        <v>16</v>
      </c>
      <c r="N2" s="1">
        <v>44801</v>
      </c>
      <c r="O2" t="s">
        <v>5229</v>
      </c>
      <c r="P2">
        <v>0</v>
      </c>
      <c r="Q2" t="s">
        <v>5233</v>
      </c>
    </row>
    <row r="3" spans="1:18">
      <c r="A3" t="s">
        <v>17</v>
      </c>
      <c r="B3" t="s">
        <v>18</v>
      </c>
      <c r="C3" t="s">
        <v>14</v>
      </c>
      <c r="D3" t="s">
        <v>19</v>
      </c>
      <c r="E3">
        <v>36.64</v>
      </c>
      <c r="F3">
        <v>53.26</v>
      </c>
      <c r="G3">
        <v>0</v>
      </c>
      <c r="H3">
        <v>31.2</v>
      </c>
      <c r="J3">
        <v>287</v>
      </c>
      <c r="K3">
        <v>3.4</v>
      </c>
      <c r="L3">
        <v>2671</v>
      </c>
      <c r="M3" t="s">
        <v>20</v>
      </c>
      <c r="N3" s="1">
        <v>44422</v>
      </c>
      <c r="O3" t="s">
        <v>5229</v>
      </c>
      <c r="P3">
        <v>0</v>
      </c>
      <c r="Q3" t="s">
        <v>5233</v>
      </c>
    </row>
    <row r="4" spans="1:18">
      <c r="A4" t="s">
        <v>21</v>
      </c>
      <c r="B4" t="s">
        <v>22</v>
      </c>
      <c r="C4" t="s">
        <v>14</v>
      </c>
      <c r="D4" t="s">
        <v>15</v>
      </c>
      <c r="E4">
        <v>38.69</v>
      </c>
      <c r="F4">
        <v>73.540000000000006</v>
      </c>
      <c r="G4">
        <v>65.430000000000007</v>
      </c>
      <c r="H4">
        <v>47.4</v>
      </c>
      <c r="I4">
        <v>69.099999999999994</v>
      </c>
      <c r="J4">
        <v>357</v>
      </c>
      <c r="K4">
        <v>3.8</v>
      </c>
      <c r="L4">
        <v>1148</v>
      </c>
      <c r="M4" t="s">
        <v>16</v>
      </c>
      <c r="N4" s="1">
        <v>44417</v>
      </c>
      <c r="O4" t="s">
        <v>5229</v>
      </c>
      <c r="P4">
        <v>1</v>
      </c>
      <c r="Q4" t="s">
        <v>5234</v>
      </c>
      <c r="R4" t="s">
        <v>5243</v>
      </c>
    </row>
    <row r="5" spans="1:18">
      <c r="A5" t="s">
        <v>23</v>
      </c>
      <c r="B5" t="s">
        <v>24</v>
      </c>
      <c r="C5" t="s">
        <v>14</v>
      </c>
      <c r="D5" t="s">
        <v>19</v>
      </c>
      <c r="E5">
        <v>76.790000000000006</v>
      </c>
      <c r="F5">
        <v>154.03</v>
      </c>
      <c r="G5">
        <v>0</v>
      </c>
      <c r="H5">
        <v>50.1</v>
      </c>
      <c r="J5">
        <v>183</v>
      </c>
      <c r="K5">
        <v>4.7</v>
      </c>
      <c r="L5">
        <v>2482</v>
      </c>
      <c r="M5" t="s">
        <v>16</v>
      </c>
      <c r="N5" s="1">
        <v>45023</v>
      </c>
      <c r="O5" t="s">
        <v>5230</v>
      </c>
      <c r="P5">
        <v>0</v>
      </c>
      <c r="Q5" t="s">
        <v>5233</v>
      </c>
    </row>
    <row r="6" spans="1:18">
      <c r="A6" t="s">
        <v>25</v>
      </c>
      <c r="B6" t="s">
        <v>26</v>
      </c>
      <c r="C6" t="s">
        <v>14</v>
      </c>
      <c r="D6" t="s">
        <v>27</v>
      </c>
      <c r="E6">
        <v>8.26</v>
      </c>
      <c r="F6">
        <v>18.39</v>
      </c>
      <c r="G6">
        <v>0</v>
      </c>
      <c r="H6">
        <v>55.1</v>
      </c>
      <c r="J6">
        <v>40</v>
      </c>
      <c r="K6">
        <v>4.0999999999999996</v>
      </c>
      <c r="L6">
        <v>2584</v>
      </c>
      <c r="M6" t="s">
        <v>16</v>
      </c>
      <c r="N6" s="1">
        <v>44788</v>
      </c>
      <c r="O6" t="s">
        <v>5230</v>
      </c>
      <c r="P6">
        <v>0</v>
      </c>
      <c r="Q6" t="s">
        <v>5233</v>
      </c>
    </row>
    <row r="7" spans="1:18">
      <c r="A7" t="s">
        <v>28</v>
      </c>
      <c r="B7" t="s">
        <v>29</v>
      </c>
      <c r="C7" t="s">
        <v>14</v>
      </c>
      <c r="D7" t="s">
        <v>19</v>
      </c>
      <c r="E7">
        <v>19.420000000000002</v>
      </c>
      <c r="F7">
        <v>29.62</v>
      </c>
      <c r="G7">
        <v>26.46</v>
      </c>
      <c r="H7">
        <v>34.4</v>
      </c>
      <c r="I7">
        <v>36.299999999999997</v>
      </c>
      <c r="J7">
        <v>437</v>
      </c>
      <c r="K7">
        <v>3.5</v>
      </c>
      <c r="L7">
        <v>423</v>
      </c>
      <c r="M7" t="s">
        <v>20</v>
      </c>
      <c r="N7" s="1">
        <v>44481</v>
      </c>
      <c r="O7" t="s">
        <v>5229</v>
      </c>
      <c r="P7">
        <v>1</v>
      </c>
      <c r="Q7" t="s">
        <v>5234</v>
      </c>
      <c r="R7" t="s">
        <v>5243</v>
      </c>
    </row>
    <row r="8" spans="1:18">
      <c r="A8" t="s">
        <v>30</v>
      </c>
      <c r="B8" t="s">
        <v>31</v>
      </c>
      <c r="C8" t="s">
        <v>14</v>
      </c>
      <c r="D8" t="s">
        <v>32</v>
      </c>
      <c r="E8">
        <v>39.01</v>
      </c>
      <c r="F8">
        <v>113.18</v>
      </c>
      <c r="G8">
        <v>0</v>
      </c>
      <c r="H8">
        <v>65.5</v>
      </c>
      <c r="J8">
        <v>107</v>
      </c>
      <c r="K8">
        <v>4.3</v>
      </c>
      <c r="L8">
        <v>2884</v>
      </c>
      <c r="M8" t="s">
        <v>16</v>
      </c>
      <c r="N8" s="1">
        <v>44820</v>
      </c>
      <c r="O8" t="s">
        <v>5230</v>
      </c>
      <c r="P8">
        <v>0</v>
      </c>
      <c r="Q8" t="s">
        <v>5233</v>
      </c>
    </row>
    <row r="9" spans="1:18">
      <c r="A9" t="s">
        <v>33</v>
      </c>
      <c r="B9" t="s">
        <v>34</v>
      </c>
      <c r="C9" t="s">
        <v>14</v>
      </c>
      <c r="D9" t="s">
        <v>27</v>
      </c>
      <c r="E9">
        <v>52.62</v>
      </c>
      <c r="F9">
        <v>124.26</v>
      </c>
      <c r="G9">
        <v>0</v>
      </c>
      <c r="H9">
        <v>57.7</v>
      </c>
      <c r="J9">
        <v>194</v>
      </c>
      <c r="K9">
        <v>3.5</v>
      </c>
      <c r="L9">
        <v>2631</v>
      </c>
      <c r="M9" t="s">
        <v>16</v>
      </c>
      <c r="N9" s="1">
        <v>44898</v>
      </c>
      <c r="O9" t="s">
        <v>5230</v>
      </c>
      <c r="P9">
        <v>0</v>
      </c>
      <c r="Q9" t="s">
        <v>5233</v>
      </c>
    </row>
    <row r="10" spans="1:18">
      <c r="A10" t="s">
        <v>35</v>
      </c>
      <c r="B10" t="s">
        <v>36</v>
      </c>
      <c r="C10" t="s">
        <v>14</v>
      </c>
      <c r="D10" t="s">
        <v>19</v>
      </c>
      <c r="E10">
        <v>29.32</v>
      </c>
      <c r="F10">
        <v>81.599999999999994</v>
      </c>
      <c r="G10">
        <v>0</v>
      </c>
      <c r="H10">
        <v>64.099999999999994</v>
      </c>
      <c r="J10">
        <v>412</v>
      </c>
      <c r="K10">
        <v>3.6</v>
      </c>
      <c r="L10">
        <v>1106</v>
      </c>
      <c r="M10" t="s">
        <v>16</v>
      </c>
      <c r="N10" s="1">
        <v>44413</v>
      </c>
      <c r="O10" t="s">
        <v>5230</v>
      </c>
      <c r="P10">
        <v>0</v>
      </c>
      <c r="Q10" t="s">
        <v>5233</v>
      </c>
    </row>
    <row r="11" spans="1:18">
      <c r="A11" t="s">
        <v>37</v>
      </c>
      <c r="B11" t="s">
        <v>38</v>
      </c>
      <c r="C11" t="s">
        <v>14</v>
      </c>
      <c r="D11" t="s">
        <v>27</v>
      </c>
      <c r="E11">
        <v>73.489999999999995</v>
      </c>
      <c r="F11">
        <v>177.91</v>
      </c>
      <c r="G11">
        <v>133.99</v>
      </c>
      <c r="H11">
        <v>58.7</v>
      </c>
      <c r="I11">
        <v>82.3</v>
      </c>
      <c r="J11">
        <v>202</v>
      </c>
      <c r="K11">
        <v>4.8</v>
      </c>
      <c r="L11">
        <v>2643</v>
      </c>
      <c r="M11" t="s">
        <v>20</v>
      </c>
      <c r="N11" s="1">
        <v>44343</v>
      </c>
      <c r="O11" t="s">
        <v>5230</v>
      </c>
      <c r="P11">
        <v>1</v>
      </c>
      <c r="Q11" t="s">
        <v>5234</v>
      </c>
      <c r="R11" t="s">
        <v>5243</v>
      </c>
    </row>
    <row r="12" spans="1:18">
      <c r="A12" t="s">
        <v>39</v>
      </c>
      <c r="B12" t="s">
        <v>40</v>
      </c>
      <c r="C12" t="s">
        <v>41</v>
      </c>
      <c r="D12" t="s">
        <v>42</v>
      </c>
      <c r="E12">
        <v>24.87</v>
      </c>
      <c r="F12">
        <v>45.86</v>
      </c>
      <c r="G12">
        <v>35.11</v>
      </c>
      <c r="H12">
        <v>45.8</v>
      </c>
      <c r="I12">
        <v>41.2</v>
      </c>
      <c r="J12">
        <v>459</v>
      </c>
      <c r="K12">
        <v>4.2</v>
      </c>
      <c r="L12">
        <v>1492</v>
      </c>
      <c r="M12" t="s">
        <v>16</v>
      </c>
      <c r="N12" s="1">
        <v>44338</v>
      </c>
      <c r="O12" t="s">
        <v>5229</v>
      </c>
      <c r="P12">
        <v>1</v>
      </c>
      <c r="Q12" t="s">
        <v>5234</v>
      </c>
      <c r="R12" t="s">
        <v>5243</v>
      </c>
    </row>
    <row r="13" spans="1:18">
      <c r="A13" t="s">
        <v>43</v>
      </c>
      <c r="B13" t="s">
        <v>44</v>
      </c>
      <c r="C13" t="s">
        <v>41</v>
      </c>
      <c r="D13" t="s">
        <v>45</v>
      </c>
      <c r="E13">
        <v>43.21</v>
      </c>
      <c r="F13">
        <v>67.56</v>
      </c>
      <c r="G13">
        <v>0</v>
      </c>
      <c r="H13">
        <v>36</v>
      </c>
      <c r="J13">
        <v>78</v>
      </c>
      <c r="K13">
        <v>4.3</v>
      </c>
      <c r="L13">
        <v>2797</v>
      </c>
      <c r="M13" t="s">
        <v>20</v>
      </c>
      <c r="N13" s="1">
        <v>44807</v>
      </c>
      <c r="O13" t="s">
        <v>5229</v>
      </c>
      <c r="P13">
        <v>0</v>
      </c>
      <c r="Q13" t="s">
        <v>5233</v>
      </c>
    </row>
    <row r="14" spans="1:18">
      <c r="A14" t="s">
        <v>46</v>
      </c>
      <c r="B14" t="s">
        <v>47</v>
      </c>
      <c r="C14" t="s">
        <v>41</v>
      </c>
      <c r="D14" t="s">
        <v>45</v>
      </c>
      <c r="E14">
        <v>9.76</v>
      </c>
      <c r="F14">
        <v>20.37</v>
      </c>
      <c r="G14">
        <v>16.95</v>
      </c>
      <c r="H14">
        <v>52.1</v>
      </c>
      <c r="I14">
        <v>73.7</v>
      </c>
      <c r="J14">
        <v>348</v>
      </c>
      <c r="K14">
        <v>4.4000000000000004</v>
      </c>
      <c r="L14">
        <v>2802</v>
      </c>
      <c r="M14" t="s">
        <v>16</v>
      </c>
      <c r="N14" s="1">
        <v>44984</v>
      </c>
      <c r="O14" t="s">
        <v>5230</v>
      </c>
      <c r="P14">
        <v>1</v>
      </c>
      <c r="Q14" t="s">
        <v>5234</v>
      </c>
      <c r="R14" t="s">
        <v>5243</v>
      </c>
    </row>
    <row r="15" spans="1:18">
      <c r="A15" t="s">
        <v>48</v>
      </c>
      <c r="B15" t="s">
        <v>49</v>
      </c>
      <c r="C15" t="s">
        <v>41</v>
      </c>
      <c r="D15" t="s">
        <v>42</v>
      </c>
      <c r="E15">
        <v>53.07</v>
      </c>
      <c r="F15">
        <v>84.95</v>
      </c>
      <c r="G15">
        <v>0</v>
      </c>
      <c r="H15">
        <v>37.5</v>
      </c>
      <c r="J15">
        <v>1</v>
      </c>
      <c r="K15">
        <v>4.9000000000000004</v>
      </c>
      <c r="L15">
        <v>2957</v>
      </c>
      <c r="M15" t="s">
        <v>16</v>
      </c>
      <c r="N15" s="1">
        <v>44709</v>
      </c>
      <c r="O15" t="s">
        <v>5229</v>
      </c>
      <c r="P15">
        <v>0</v>
      </c>
      <c r="Q15" t="s">
        <v>5233</v>
      </c>
    </row>
    <row r="16" spans="1:18">
      <c r="A16" t="s">
        <v>50</v>
      </c>
      <c r="B16" t="s">
        <v>51</v>
      </c>
      <c r="C16" t="s">
        <v>41</v>
      </c>
      <c r="D16" t="s">
        <v>52</v>
      </c>
      <c r="E16">
        <v>62.15</v>
      </c>
      <c r="F16">
        <v>143.80000000000001</v>
      </c>
      <c r="G16">
        <v>0</v>
      </c>
      <c r="H16">
        <v>56.8</v>
      </c>
      <c r="J16">
        <v>430</v>
      </c>
      <c r="K16">
        <v>4.3</v>
      </c>
      <c r="L16">
        <v>2504</v>
      </c>
      <c r="M16" t="s">
        <v>16</v>
      </c>
      <c r="N16" s="1">
        <v>44353</v>
      </c>
      <c r="O16" t="s">
        <v>5230</v>
      </c>
      <c r="P16">
        <v>0</v>
      </c>
      <c r="Q16" t="s">
        <v>5233</v>
      </c>
    </row>
    <row r="17" spans="1:18">
      <c r="A17" t="s">
        <v>53</v>
      </c>
      <c r="B17" t="s">
        <v>54</v>
      </c>
      <c r="C17" t="s">
        <v>41</v>
      </c>
      <c r="D17" t="s">
        <v>45</v>
      </c>
      <c r="E17">
        <v>33.04</v>
      </c>
      <c r="F17">
        <v>55.86</v>
      </c>
      <c r="G17">
        <v>51.98</v>
      </c>
      <c r="H17">
        <v>40.9</v>
      </c>
      <c r="I17">
        <v>57.3</v>
      </c>
      <c r="J17">
        <v>306</v>
      </c>
      <c r="K17">
        <v>3.6</v>
      </c>
      <c r="L17">
        <v>89</v>
      </c>
      <c r="M17" t="s">
        <v>16</v>
      </c>
      <c r="N17" s="1">
        <v>44568</v>
      </c>
      <c r="O17" t="s">
        <v>5229</v>
      </c>
      <c r="P17">
        <v>1</v>
      </c>
      <c r="Q17" t="s">
        <v>5234</v>
      </c>
      <c r="R17" t="s">
        <v>5243</v>
      </c>
    </row>
    <row r="18" spans="1:18">
      <c r="A18" t="s">
        <v>55</v>
      </c>
      <c r="B18" t="s">
        <v>56</v>
      </c>
      <c r="C18" t="s">
        <v>41</v>
      </c>
      <c r="D18" t="s">
        <v>45</v>
      </c>
      <c r="E18">
        <v>70.900000000000006</v>
      </c>
      <c r="F18">
        <v>205.4</v>
      </c>
      <c r="G18">
        <v>0</v>
      </c>
      <c r="H18">
        <v>65.5</v>
      </c>
      <c r="J18">
        <v>123</v>
      </c>
      <c r="K18">
        <v>4.8</v>
      </c>
      <c r="L18">
        <v>332</v>
      </c>
      <c r="M18" t="s">
        <v>16</v>
      </c>
      <c r="N18" s="1">
        <v>44946</v>
      </c>
      <c r="O18" t="s">
        <v>5230</v>
      </c>
      <c r="P18">
        <v>0</v>
      </c>
      <c r="Q18" t="s">
        <v>5233</v>
      </c>
    </row>
    <row r="19" spans="1:18">
      <c r="A19" t="s">
        <v>57</v>
      </c>
      <c r="B19" t="s">
        <v>58</v>
      </c>
      <c r="C19" t="s">
        <v>41</v>
      </c>
      <c r="D19" t="s">
        <v>59</v>
      </c>
      <c r="E19">
        <v>41.45</v>
      </c>
      <c r="F19">
        <v>63.19</v>
      </c>
      <c r="G19">
        <v>56.33</v>
      </c>
      <c r="H19">
        <v>34.4</v>
      </c>
      <c r="I19">
        <v>35.9</v>
      </c>
      <c r="J19">
        <v>337</v>
      </c>
      <c r="K19">
        <v>4</v>
      </c>
      <c r="L19">
        <v>2261</v>
      </c>
      <c r="M19" t="s">
        <v>16</v>
      </c>
      <c r="N19" s="1">
        <v>44468</v>
      </c>
      <c r="O19" t="s">
        <v>5229</v>
      </c>
      <c r="P19">
        <v>1</v>
      </c>
      <c r="Q19" t="s">
        <v>5234</v>
      </c>
      <c r="R19" t="s">
        <v>5243</v>
      </c>
    </row>
    <row r="20" spans="1:18">
      <c r="A20" t="s">
        <v>60</v>
      </c>
      <c r="B20" t="s">
        <v>61</v>
      </c>
      <c r="C20" t="s">
        <v>41</v>
      </c>
      <c r="D20" t="s">
        <v>59</v>
      </c>
      <c r="E20">
        <v>44.58</v>
      </c>
      <c r="F20">
        <v>111.09</v>
      </c>
      <c r="G20">
        <v>103.56</v>
      </c>
      <c r="H20">
        <v>59.9</v>
      </c>
      <c r="I20">
        <v>132.30000000000001</v>
      </c>
      <c r="J20">
        <v>365</v>
      </c>
      <c r="K20">
        <v>3.6</v>
      </c>
      <c r="L20">
        <v>2761</v>
      </c>
      <c r="M20" t="s">
        <v>16</v>
      </c>
      <c r="N20" s="1">
        <v>44645</v>
      </c>
      <c r="O20" t="s">
        <v>5230</v>
      </c>
      <c r="P20">
        <v>1</v>
      </c>
      <c r="Q20" t="s">
        <v>5234</v>
      </c>
      <c r="R20" t="s">
        <v>5243</v>
      </c>
    </row>
    <row r="21" spans="1:18">
      <c r="A21" t="s">
        <v>62</v>
      </c>
      <c r="B21" t="s">
        <v>63</v>
      </c>
      <c r="C21" t="s">
        <v>41</v>
      </c>
      <c r="D21" t="s">
        <v>45</v>
      </c>
      <c r="E21">
        <v>72.47</v>
      </c>
      <c r="F21">
        <v>160.35</v>
      </c>
      <c r="G21">
        <v>0</v>
      </c>
      <c r="H21">
        <v>54.8</v>
      </c>
      <c r="J21">
        <v>173</v>
      </c>
      <c r="K21">
        <v>3</v>
      </c>
      <c r="L21">
        <v>2278</v>
      </c>
      <c r="M21" t="s">
        <v>16</v>
      </c>
      <c r="N21" s="1">
        <v>44799</v>
      </c>
      <c r="O21" t="s">
        <v>5230</v>
      </c>
      <c r="P21">
        <v>0</v>
      </c>
      <c r="Q21" t="s">
        <v>5233</v>
      </c>
    </row>
    <row r="22" spans="1:18">
      <c r="A22" t="s">
        <v>64</v>
      </c>
      <c r="B22" t="s">
        <v>65</v>
      </c>
      <c r="C22" t="s">
        <v>66</v>
      </c>
      <c r="D22" t="s">
        <v>67</v>
      </c>
      <c r="E22">
        <v>21.52</v>
      </c>
      <c r="F22">
        <v>32.880000000000003</v>
      </c>
      <c r="G22">
        <v>24.9</v>
      </c>
      <c r="H22">
        <v>34.5</v>
      </c>
      <c r="I22">
        <v>15.7</v>
      </c>
      <c r="J22">
        <v>440</v>
      </c>
      <c r="K22">
        <v>3.7</v>
      </c>
      <c r="L22">
        <v>2115</v>
      </c>
      <c r="M22" t="s">
        <v>16</v>
      </c>
      <c r="N22" s="1">
        <v>44482</v>
      </c>
      <c r="O22" t="s">
        <v>5229</v>
      </c>
      <c r="P22">
        <v>1</v>
      </c>
      <c r="Q22" t="s">
        <v>5234</v>
      </c>
      <c r="R22" t="s">
        <v>5244</v>
      </c>
    </row>
    <row r="23" spans="1:18">
      <c r="A23" t="s">
        <v>68</v>
      </c>
      <c r="B23" t="s">
        <v>69</v>
      </c>
      <c r="C23" t="s">
        <v>66</v>
      </c>
      <c r="D23" t="s">
        <v>70</v>
      </c>
      <c r="E23">
        <v>55.17</v>
      </c>
      <c r="F23">
        <v>98.51</v>
      </c>
      <c r="G23">
        <v>0</v>
      </c>
      <c r="H23">
        <v>44</v>
      </c>
      <c r="J23">
        <v>124</v>
      </c>
      <c r="K23">
        <v>4.5999999999999996</v>
      </c>
      <c r="L23">
        <v>1677</v>
      </c>
      <c r="M23" t="s">
        <v>16</v>
      </c>
      <c r="N23" s="1">
        <v>44293</v>
      </c>
      <c r="O23" t="s">
        <v>5229</v>
      </c>
      <c r="P23">
        <v>0</v>
      </c>
      <c r="Q23" t="s">
        <v>5233</v>
      </c>
    </row>
    <row r="24" spans="1:18">
      <c r="A24" t="s">
        <v>71</v>
      </c>
      <c r="B24" t="s">
        <v>72</v>
      </c>
      <c r="C24" t="s">
        <v>66</v>
      </c>
      <c r="D24" t="s">
        <v>70</v>
      </c>
      <c r="E24">
        <v>12.27</v>
      </c>
      <c r="F24">
        <v>26.7</v>
      </c>
      <c r="G24">
        <v>0</v>
      </c>
      <c r="H24">
        <v>54</v>
      </c>
      <c r="J24">
        <v>442</v>
      </c>
      <c r="K24">
        <v>4.5</v>
      </c>
      <c r="L24">
        <v>2768</v>
      </c>
      <c r="M24" t="s">
        <v>16</v>
      </c>
      <c r="N24" s="1">
        <v>44259</v>
      </c>
      <c r="O24" t="s">
        <v>5230</v>
      </c>
      <c r="P24">
        <v>0</v>
      </c>
      <c r="Q24" t="s">
        <v>5233</v>
      </c>
    </row>
    <row r="25" spans="1:18">
      <c r="A25" t="s">
        <v>73</v>
      </c>
      <c r="B25" t="s">
        <v>74</v>
      </c>
      <c r="C25" t="s">
        <v>66</v>
      </c>
      <c r="D25" t="s">
        <v>75</v>
      </c>
      <c r="E25">
        <v>35.200000000000003</v>
      </c>
      <c r="F25">
        <v>70.78</v>
      </c>
      <c r="G25">
        <v>53.95</v>
      </c>
      <c r="H25">
        <v>50.3</v>
      </c>
      <c r="I25">
        <v>53.3</v>
      </c>
      <c r="J25">
        <v>274</v>
      </c>
      <c r="K25">
        <v>3.9</v>
      </c>
      <c r="L25">
        <v>1738</v>
      </c>
      <c r="M25" t="s">
        <v>16</v>
      </c>
      <c r="N25" s="1">
        <v>44482</v>
      </c>
      <c r="O25" t="s">
        <v>5230</v>
      </c>
      <c r="P25">
        <v>1</v>
      </c>
      <c r="Q25" t="s">
        <v>5234</v>
      </c>
      <c r="R25" t="s">
        <v>5243</v>
      </c>
    </row>
    <row r="26" spans="1:18">
      <c r="A26" t="s">
        <v>76</v>
      </c>
      <c r="B26" t="s">
        <v>77</v>
      </c>
      <c r="C26" t="s">
        <v>66</v>
      </c>
      <c r="D26" t="s">
        <v>67</v>
      </c>
      <c r="E26">
        <v>39.700000000000003</v>
      </c>
      <c r="F26">
        <v>118.07</v>
      </c>
      <c r="G26">
        <v>0</v>
      </c>
      <c r="H26">
        <v>66.400000000000006</v>
      </c>
      <c r="J26">
        <v>25</v>
      </c>
      <c r="K26">
        <v>4.3</v>
      </c>
      <c r="L26">
        <v>2224</v>
      </c>
      <c r="M26" t="s">
        <v>16</v>
      </c>
      <c r="N26" s="1">
        <v>44292</v>
      </c>
      <c r="O26" t="s">
        <v>5230</v>
      </c>
      <c r="P26">
        <v>0</v>
      </c>
      <c r="Q26" t="s">
        <v>5233</v>
      </c>
    </row>
    <row r="27" spans="1:18">
      <c r="A27" t="s">
        <v>78</v>
      </c>
      <c r="B27" t="s">
        <v>79</v>
      </c>
      <c r="C27" t="s">
        <v>66</v>
      </c>
      <c r="D27" t="s">
        <v>70</v>
      </c>
      <c r="E27">
        <v>74.48</v>
      </c>
      <c r="F27">
        <v>218.05</v>
      </c>
      <c r="G27">
        <v>0</v>
      </c>
      <c r="H27">
        <v>65.8</v>
      </c>
      <c r="J27">
        <v>246</v>
      </c>
      <c r="K27">
        <v>3.4</v>
      </c>
      <c r="L27">
        <v>1652</v>
      </c>
      <c r="M27" t="s">
        <v>16</v>
      </c>
      <c r="N27" s="1">
        <v>44365</v>
      </c>
      <c r="O27" t="s">
        <v>5230</v>
      </c>
      <c r="P27">
        <v>0</v>
      </c>
      <c r="Q27" t="s">
        <v>5233</v>
      </c>
    </row>
    <row r="28" spans="1:18">
      <c r="A28" t="s">
        <v>80</v>
      </c>
      <c r="B28" t="s">
        <v>81</v>
      </c>
      <c r="C28" t="s">
        <v>66</v>
      </c>
      <c r="D28" t="s">
        <v>70</v>
      </c>
      <c r="E28">
        <v>33.42</v>
      </c>
      <c r="F28">
        <v>106.06</v>
      </c>
      <c r="G28">
        <v>0</v>
      </c>
      <c r="H28">
        <v>68.5</v>
      </c>
      <c r="J28">
        <v>146</v>
      </c>
      <c r="K28">
        <v>3.8</v>
      </c>
      <c r="L28">
        <v>2286</v>
      </c>
      <c r="M28" t="s">
        <v>20</v>
      </c>
      <c r="N28" s="1">
        <v>44355</v>
      </c>
      <c r="O28" t="s">
        <v>5230</v>
      </c>
      <c r="P28">
        <v>0</v>
      </c>
      <c r="Q28" t="s">
        <v>5233</v>
      </c>
    </row>
    <row r="29" spans="1:18">
      <c r="A29" t="s">
        <v>82</v>
      </c>
      <c r="B29" t="s">
        <v>83</v>
      </c>
      <c r="C29" t="s">
        <v>66</v>
      </c>
      <c r="D29" t="s">
        <v>67</v>
      </c>
      <c r="E29">
        <v>19.239999999999998</v>
      </c>
      <c r="F29">
        <v>34.479999999999997</v>
      </c>
      <c r="G29">
        <v>0</v>
      </c>
      <c r="H29">
        <v>44.2</v>
      </c>
      <c r="J29">
        <v>382</v>
      </c>
      <c r="K29">
        <v>3.6</v>
      </c>
      <c r="L29">
        <v>215</v>
      </c>
      <c r="M29" t="s">
        <v>20</v>
      </c>
      <c r="N29" s="1">
        <v>44711</v>
      </c>
      <c r="O29" t="s">
        <v>5229</v>
      </c>
      <c r="P29">
        <v>0</v>
      </c>
      <c r="Q29" t="s">
        <v>5233</v>
      </c>
    </row>
    <row r="30" spans="1:18">
      <c r="A30" t="s">
        <v>84</v>
      </c>
      <c r="B30" t="s">
        <v>85</v>
      </c>
      <c r="C30" t="s">
        <v>66</v>
      </c>
      <c r="D30" t="s">
        <v>67</v>
      </c>
      <c r="E30">
        <v>73.95</v>
      </c>
      <c r="F30">
        <v>174.23</v>
      </c>
      <c r="G30">
        <v>0</v>
      </c>
      <c r="H30">
        <v>57.6</v>
      </c>
      <c r="J30">
        <v>435</v>
      </c>
      <c r="K30">
        <v>3.4</v>
      </c>
      <c r="L30">
        <v>2447</v>
      </c>
      <c r="M30" t="s">
        <v>16</v>
      </c>
      <c r="N30" s="1">
        <v>44888</v>
      </c>
      <c r="O30" t="s">
        <v>5230</v>
      </c>
      <c r="P30">
        <v>0</v>
      </c>
      <c r="Q30" t="s">
        <v>5233</v>
      </c>
    </row>
    <row r="31" spans="1:18">
      <c r="A31" t="s">
        <v>86</v>
      </c>
      <c r="B31" t="s">
        <v>87</v>
      </c>
      <c r="C31" t="s">
        <v>66</v>
      </c>
      <c r="D31" t="s">
        <v>67</v>
      </c>
      <c r="E31">
        <v>69.64</v>
      </c>
      <c r="F31">
        <v>148.11000000000001</v>
      </c>
      <c r="G31">
        <v>124.77</v>
      </c>
      <c r="H31">
        <v>53</v>
      </c>
      <c r="I31">
        <v>79.2</v>
      </c>
      <c r="J31">
        <v>317</v>
      </c>
      <c r="K31">
        <v>3.2</v>
      </c>
      <c r="L31">
        <v>2702</v>
      </c>
      <c r="M31" t="s">
        <v>16</v>
      </c>
      <c r="N31" s="1">
        <v>44464</v>
      </c>
      <c r="O31" t="s">
        <v>5230</v>
      </c>
      <c r="P31">
        <v>1</v>
      </c>
      <c r="Q31" t="s">
        <v>5234</v>
      </c>
      <c r="R31" t="s">
        <v>5243</v>
      </c>
    </row>
    <row r="32" spans="1:18">
      <c r="A32" t="s">
        <v>88</v>
      </c>
      <c r="B32" t="s">
        <v>89</v>
      </c>
      <c r="C32" t="s">
        <v>90</v>
      </c>
      <c r="D32" t="s">
        <v>91</v>
      </c>
      <c r="E32">
        <v>20.32</v>
      </c>
      <c r="F32">
        <v>54.64</v>
      </c>
      <c r="G32">
        <v>0</v>
      </c>
      <c r="H32">
        <v>62.8</v>
      </c>
      <c r="J32">
        <v>67</v>
      </c>
      <c r="K32">
        <v>4.3</v>
      </c>
      <c r="L32">
        <v>1238</v>
      </c>
      <c r="M32" t="s">
        <v>20</v>
      </c>
      <c r="N32" s="1">
        <v>44520</v>
      </c>
      <c r="O32" t="s">
        <v>5230</v>
      </c>
      <c r="P32">
        <v>0</v>
      </c>
      <c r="Q32" t="s">
        <v>5233</v>
      </c>
    </row>
    <row r="33" spans="1:18">
      <c r="A33" t="s">
        <v>92</v>
      </c>
      <c r="B33" t="s">
        <v>93</v>
      </c>
      <c r="C33" t="s">
        <v>90</v>
      </c>
      <c r="D33" t="s">
        <v>94</v>
      </c>
      <c r="E33">
        <v>74.680000000000007</v>
      </c>
      <c r="F33">
        <v>230.34</v>
      </c>
      <c r="G33">
        <v>0</v>
      </c>
      <c r="H33">
        <v>67.599999999999994</v>
      </c>
      <c r="J33">
        <v>37</v>
      </c>
      <c r="K33">
        <v>4.0999999999999996</v>
      </c>
      <c r="L33">
        <v>2082</v>
      </c>
      <c r="M33" t="s">
        <v>16</v>
      </c>
      <c r="N33" s="1">
        <v>44332</v>
      </c>
      <c r="O33" t="s">
        <v>5230</v>
      </c>
      <c r="P33">
        <v>0</v>
      </c>
      <c r="Q33" t="s">
        <v>5233</v>
      </c>
    </row>
    <row r="34" spans="1:18">
      <c r="A34" t="s">
        <v>95</v>
      </c>
      <c r="B34" t="s">
        <v>96</v>
      </c>
      <c r="C34" t="s">
        <v>90</v>
      </c>
      <c r="D34" t="s">
        <v>97</v>
      </c>
      <c r="E34">
        <v>74.989999999999995</v>
      </c>
      <c r="F34">
        <v>223.89</v>
      </c>
      <c r="G34">
        <v>177.41</v>
      </c>
      <c r="H34">
        <v>66.5</v>
      </c>
      <c r="I34">
        <v>136.6</v>
      </c>
      <c r="J34">
        <v>224</v>
      </c>
      <c r="K34">
        <v>4.7</v>
      </c>
      <c r="L34">
        <v>2891</v>
      </c>
      <c r="M34" t="s">
        <v>16</v>
      </c>
      <c r="N34" s="1">
        <v>44823</v>
      </c>
      <c r="O34" t="s">
        <v>5230</v>
      </c>
      <c r="P34">
        <v>1</v>
      </c>
      <c r="Q34" t="s">
        <v>5234</v>
      </c>
      <c r="R34" t="s">
        <v>5243</v>
      </c>
    </row>
    <row r="35" spans="1:18">
      <c r="A35" t="s">
        <v>98</v>
      </c>
      <c r="B35" t="s">
        <v>99</v>
      </c>
      <c r="C35" t="s">
        <v>90</v>
      </c>
      <c r="D35" t="s">
        <v>100</v>
      </c>
      <c r="E35">
        <v>78.790000000000006</v>
      </c>
      <c r="F35">
        <v>224.77</v>
      </c>
      <c r="G35">
        <v>194.87</v>
      </c>
      <c r="H35">
        <v>64.900000000000006</v>
      </c>
      <c r="I35">
        <v>147.30000000000001</v>
      </c>
      <c r="J35">
        <v>477</v>
      </c>
      <c r="K35">
        <v>4.3</v>
      </c>
      <c r="L35">
        <v>560</v>
      </c>
      <c r="M35" t="s">
        <v>16</v>
      </c>
      <c r="N35" s="1">
        <v>44315</v>
      </c>
      <c r="O35" t="s">
        <v>5230</v>
      </c>
      <c r="P35">
        <v>1</v>
      </c>
      <c r="Q35" t="s">
        <v>5234</v>
      </c>
      <c r="R35" t="s">
        <v>5243</v>
      </c>
    </row>
    <row r="36" spans="1:18">
      <c r="A36" t="s">
        <v>101</v>
      </c>
      <c r="B36" t="s">
        <v>102</v>
      </c>
      <c r="C36" t="s">
        <v>90</v>
      </c>
      <c r="D36" t="s">
        <v>100</v>
      </c>
      <c r="E36">
        <v>71.73</v>
      </c>
      <c r="F36">
        <v>196.28</v>
      </c>
      <c r="G36">
        <v>0</v>
      </c>
      <c r="H36">
        <v>63.5</v>
      </c>
      <c r="J36">
        <v>309</v>
      </c>
      <c r="K36">
        <v>3.4</v>
      </c>
      <c r="L36">
        <v>1414</v>
      </c>
      <c r="M36" t="s">
        <v>16</v>
      </c>
      <c r="N36" s="1">
        <v>44900</v>
      </c>
      <c r="O36" t="s">
        <v>5230</v>
      </c>
      <c r="P36">
        <v>0</v>
      </c>
      <c r="Q36" t="s">
        <v>5233</v>
      </c>
    </row>
    <row r="37" spans="1:18">
      <c r="A37" t="s">
        <v>103</v>
      </c>
      <c r="B37" t="s">
        <v>104</v>
      </c>
      <c r="C37" t="s">
        <v>90</v>
      </c>
      <c r="D37" t="s">
        <v>94</v>
      </c>
      <c r="E37">
        <v>52.57</v>
      </c>
      <c r="F37">
        <v>98.58</v>
      </c>
      <c r="G37">
        <v>0</v>
      </c>
      <c r="H37">
        <v>46.7</v>
      </c>
      <c r="J37">
        <v>47</v>
      </c>
      <c r="K37">
        <v>4.3</v>
      </c>
      <c r="L37">
        <v>1143</v>
      </c>
      <c r="M37" t="s">
        <v>16</v>
      </c>
      <c r="N37" s="1">
        <v>44200</v>
      </c>
      <c r="O37" t="s">
        <v>5229</v>
      </c>
      <c r="P37">
        <v>0</v>
      </c>
      <c r="Q37" t="s">
        <v>5233</v>
      </c>
    </row>
    <row r="38" spans="1:18">
      <c r="A38" t="s">
        <v>105</v>
      </c>
      <c r="B38" t="s">
        <v>106</v>
      </c>
      <c r="C38" t="s">
        <v>90</v>
      </c>
      <c r="D38" t="s">
        <v>91</v>
      </c>
      <c r="E38">
        <v>30.02</v>
      </c>
      <c r="F38">
        <v>49.1</v>
      </c>
      <c r="G38">
        <v>36.35</v>
      </c>
      <c r="H38">
        <v>38.9</v>
      </c>
      <c r="I38">
        <v>21.1</v>
      </c>
      <c r="J38">
        <v>282</v>
      </c>
      <c r="K38">
        <v>4.4000000000000004</v>
      </c>
      <c r="L38">
        <v>2307</v>
      </c>
      <c r="M38" t="s">
        <v>16</v>
      </c>
      <c r="N38" s="1">
        <v>44311</v>
      </c>
      <c r="O38" t="s">
        <v>5229</v>
      </c>
      <c r="P38">
        <v>1</v>
      </c>
      <c r="Q38" t="s">
        <v>5234</v>
      </c>
      <c r="R38" t="s">
        <v>5244</v>
      </c>
    </row>
    <row r="39" spans="1:18">
      <c r="A39" t="s">
        <v>107</v>
      </c>
      <c r="B39" t="s">
        <v>108</v>
      </c>
      <c r="C39" t="s">
        <v>90</v>
      </c>
      <c r="D39" t="s">
        <v>100</v>
      </c>
      <c r="E39">
        <v>10.64</v>
      </c>
      <c r="F39">
        <v>31.81</v>
      </c>
      <c r="G39">
        <v>26.61</v>
      </c>
      <c r="H39">
        <v>66.599999999999994</v>
      </c>
      <c r="I39">
        <v>150.1</v>
      </c>
      <c r="J39">
        <v>298</v>
      </c>
      <c r="K39">
        <v>4.0999999999999996</v>
      </c>
      <c r="L39">
        <v>1770</v>
      </c>
      <c r="M39" t="s">
        <v>16</v>
      </c>
      <c r="N39" s="1">
        <v>44239</v>
      </c>
      <c r="O39" t="s">
        <v>5230</v>
      </c>
      <c r="P39">
        <v>1</v>
      </c>
      <c r="Q39" t="s">
        <v>5234</v>
      </c>
      <c r="R39" t="s">
        <v>5243</v>
      </c>
    </row>
    <row r="40" spans="1:18">
      <c r="A40" t="s">
        <v>109</v>
      </c>
      <c r="B40" t="s">
        <v>110</v>
      </c>
      <c r="C40" t="s">
        <v>90</v>
      </c>
      <c r="D40" t="s">
        <v>100</v>
      </c>
      <c r="E40">
        <v>28.12</v>
      </c>
      <c r="F40">
        <v>84.87</v>
      </c>
      <c r="G40">
        <v>77.67</v>
      </c>
      <c r="H40">
        <v>66.900000000000006</v>
      </c>
      <c r="I40">
        <v>176.2</v>
      </c>
      <c r="J40">
        <v>107</v>
      </c>
      <c r="K40">
        <v>4.4000000000000004</v>
      </c>
      <c r="L40">
        <v>2741</v>
      </c>
      <c r="M40" t="s">
        <v>16</v>
      </c>
      <c r="N40" s="1">
        <v>44559</v>
      </c>
      <c r="O40" t="s">
        <v>5230</v>
      </c>
      <c r="P40">
        <v>1</v>
      </c>
      <c r="Q40" t="s">
        <v>5234</v>
      </c>
      <c r="R40" t="s">
        <v>5243</v>
      </c>
    </row>
    <row r="41" spans="1:18">
      <c r="A41" t="s">
        <v>111</v>
      </c>
      <c r="B41" t="s">
        <v>112</v>
      </c>
      <c r="C41" t="s">
        <v>90</v>
      </c>
      <c r="D41" t="s">
        <v>97</v>
      </c>
      <c r="E41">
        <v>63.51</v>
      </c>
      <c r="F41">
        <v>189.99</v>
      </c>
      <c r="G41">
        <v>0</v>
      </c>
      <c r="H41">
        <v>66.599999999999994</v>
      </c>
      <c r="J41">
        <v>473</v>
      </c>
      <c r="K41">
        <v>4.9000000000000004</v>
      </c>
      <c r="L41">
        <v>675</v>
      </c>
      <c r="M41" t="s">
        <v>16</v>
      </c>
      <c r="N41" s="1">
        <v>44619</v>
      </c>
      <c r="O41" t="s">
        <v>5230</v>
      </c>
      <c r="P41">
        <v>0</v>
      </c>
      <c r="Q41" t="s">
        <v>5233</v>
      </c>
    </row>
    <row r="42" spans="1:18">
      <c r="A42" t="s">
        <v>113</v>
      </c>
      <c r="B42" t="s">
        <v>114</v>
      </c>
      <c r="C42" t="s">
        <v>115</v>
      </c>
      <c r="D42" t="s">
        <v>116</v>
      </c>
      <c r="E42">
        <v>6.86</v>
      </c>
      <c r="F42">
        <v>18.7</v>
      </c>
      <c r="G42">
        <v>0</v>
      </c>
      <c r="H42">
        <v>63.3</v>
      </c>
      <c r="J42">
        <v>410</v>
      </c>
      <c r="K42">
        <v>4.3</v>
      </c>
      <c r="L42">
        <v>1026</v>
      </c>
      <c r="M42" t="s">
        <v>16</v>
      </c>
      <c r="N42" s="1">
        <v>44360</v>
      </c>
      <c r="O42" t="s">
        <v>5230</v>
      </c>
      <c r="P42">
        <v>0</v>
      </c>
      <c r="Q42" t="s">
        <v>5233</v>
      </c>
    </row>
    <row r="43" spans="1:18">
      <c r="A43" t="s">
        <v>117</v>
      </c>
      <c r="B43" t="s">
        <v>118</v>
      </c>
      <c r="C43" t="s">
        <v>115</v>
      </c>
      <c r="D43" t="s">
        <v>119</v>
      </c>
      <c r="E43">
        <v>64.05</v>
      </c>
      <c r="F43">
        <v>102.13</v>
      </c>
      <c r="G43">
        <v>93.41</v>
      </c>
      <c r="H43">
        <v>37.299999999999997</v>
      </c>
      <c r="I43">
        <v>45.8</v>
      </c>
      <c r="J43">
        <v>102</v>
      </c>
      <c r="K43">
        <v>4.5999999999999996</v>
      </c>
      <c r="L43">
        <v>1895</v>
      </c>
      <c r="M43" t="s">
        <v>16</v>
      </c>
      <c r="N43" s="1">
        <v>44509</v>
      </c>
      <c r="O43" t="s">
        <v>5229</v>
      </c>
      <c r="P43">
        <v>1</v>
      </c>
      <c r="Q43" t="s">
        <v>5234</v>
      </c>
      <c r="R43" t="s">
        <v>5243</v>
      </c>
    </row>
    <row r="44" spans="1:18">
      <c r="A44" t="s">
        <v>120</v>
      </c>
      <c r="B44" t="s">
        <v>121</v>
      </c>
      <c r="C44" t="s">
        <v>115</v>
      </c>
      <c r="D44" t="s">
        <v>119</v>
      </c>
      <c r="E44">
        <v>66.540000000000006</v>
      </c>
      <c r="F44">
        <v>197.52</v>
      </c>
      <c r="G44">
        <v>0</v>
      </c>
      <c r="H44">
        <v>66.3</v>
      </c>
      <c r="J44">
        <v>204</v>
      </c>
      <c r="K44">
        <v>3.7</v>
      </c>
      <c r="L44">
        <v>294</v>
      </c>
      <c r="M44" t="s">
        <v>16</v>
      </c>
      <c r="N44" s="1">
        <v>44556</v>
      </c>
      <c r="O44" t="s">
        <v>5230</v>
      </c>
      <c r="P44">
        <v>0</v>
      </c>
      <c r="Q44" t="s">
        <v>5233</v>
      </c>
    </row>
    <row r="45" spans="1:18">
      <c r="A45" t="s">
        <v>122</v>
      </c>
      <c r="B45" t="s">
        <v>123</v>
      </c>
      <c r="C45" t="s">
        <v>115</v>
      </c>
      <c r="D45" t="s">
        <v>124</v>
      </c>
      <c r="E45">
        <v>53.11</v>
      </c>
      <c r="F45">
        <v>112.56</v>
      </c>
      <c r="G45">
        <v>93.88</v>
      </c>
      <c r="H45">
        <v>52.8</v>
      </c>
      <c r="I45">
        <v>76.8</v>
      </c>
      <c r="J45">
        <v>59</v>
      </c>
      <c r="K45">
        <v>4.8</v>
      </c>
      <c r="L45">
        <v>1079</v>
      </c>
      <c r="M45" t="s">
        <v>16</v>
      </c>
      <c r="N45" s="1">
        <v>44791</v>
      </c>
      <c r="O45" t="s">
        <v>5230</v>
      </c>
      <c r="P45">
        <v>1</v>
      </c>
      <c r="Q45" t="s">
        <v>5234</v>
      </c>
      <c r="R45" t="s">
        <v>5243</v>
      </c>
    </row>
    <row r="46" spans="1:18">
      <c r="A46" t="s">
        <v>125</v>
      </c>
      <c r="B46" t="s">
        <v>126</v>
      </c>
      <c r="C46" t="s">
        <v>115</v>
      </c>
      <c r="D46" t="s">
        <v>116</v>
      </c>
      <c r="E46">
        <v>77.19</v>
      </c>
      <c r="F46">
        <v>144.94999999999999</v>
      </c>
      <c r="G46">
        <v>0</v>
      </c>
      <c r="H46">
        <v>46.7</v>
      </c>
      <c r="J46">
        <v>176</v>
      </c>
      <c r="K46">
        <v>4.5</v>
      </c>
      <c r="L46">
        <v>1294</v>
      </c>
      <c r="M46" t="s">
        <v>20</v>
      </c>
      <c r="N46" s="1">
        <v>44817</v>
      </c>
      <c r="O46" t="s">
        <v>5229</v>
      </c>
      <c r="P46">
        <v>0</v>
      </c>
      <c r="Q46" t="s">
        <v>5233</v>
      </c>
    </row>
    <row r="47" spans="1:18">
      <c r="A47" t="s">
        <v>127</v>
      </c>
      <c r="B47" t="s">
        <v>128</v>
      </c>
      <c r="C47" t="s">
        <v>115</v>
      </c>
      <c r="D47" t="s">
        <v>124</v>
      </c>
      <c r="E47">
        <v>78.819999999999993</v>
      </c>
      <c r="F47">
        <v>126.76</v>
      </c>
      <c r="G47">
        <v>94.76</v>
      </c>
      <c r="H47">
        <v>37.799999999999997</v>
      </c>
      <c r="I47">
        <v>20.2</v>
      </c>
      <c r="J47">
        <v>362</v>
      </c>
      <c r="K47">
        <v>3.9</v>
      </c>
      <c r="L47">
        <v>2139</v>
      </c>
      <c r="M47" t="s">
        <v>16</v>
      </c>
      <c r="N47" s="1">
        <v>44569</v>
      </c>
      <c r="O47" t="s">
        <v>5229</v>
      </c>
      <c r="P47">
        <v>1</v>
      </c>
      <c r="Q47" t="s">
        <v>5234</v>
      </c>
      <c r="R47" t="s">
        <v>5244</v>
      </c>
    </row>
    <row r="48" spans="1:18">
      <c r="A48" t="s">
        <v>129</v>
      </c>
      <c r="B48" t="s">
        <v>130</v>
      </c>
      <c r="C48" t="s">
        <v>115</v>
      </c>
      <c r="D48" t="s">
        <v>124</v>
      </c>
      <c r="E48">
        <v>37.35</v>
      </c>
      <c r="F48">
        <v>116.08</v>
      </c>
      <c r="G48">
        <v>99.34</v>
      </c>
      <c r="H48">
        <v>67.8</v>
      </c>
      <c r="I48">
        <v>166</v>
      </c>
      <c r="J48">
        <v>368</v>
      </c>
      <c r="K48">
        <v>4.8</v>
      </c>
      <c r="L48">
        <v>2087</v>
      </c>
      <c r="M48" t="s">
        <v>16</v>
      </c>
      <c r="N48" s="1">
        <v>44879</v>
      </c>
      <c r="O48" t="s">
        <v>5230</v>
      </c>
      <c r="P48">
        <v>1</v>
      </c>
      <c r="Q48" t="s">
        <v>5234</v>
      </c>
      <c r="R48" t="s">
        <v>5243</v>
      </c>
    </row>
    <row r="49" spans="1:18">
      <c r="A49" t="s">
        <v>131</v>
      </c>
      <c r="B49" t="s">
        <v>132</v>
      </c>
      <c r="C49" t="s">
        <v>115</v>
      </c>
      <c r="D49" t="s">
        <v>119</v>
      </c>
      <c r="E49">
        <v>35.630000000000003</v>
      </c>
      <c r="F49">
        <v>75.69</v>
      </c>
      <c r="G49">
        <v>0</v>
      </c>
      <c r="H49">
        <v>52.9</v>
      </c>
      <c r="J49">
        <v>98</v>
      </c>
      <c r="K49">
        <v>3.8</v>
      </c>
      <c r="L49">
        <v>1562</v>
      </c>
      <c r="M49" t="s">
        <v>16</v>
      </c>
      <c r="N49" s="1">
        <v>44827</v>
      </c>
      <c r="O49" t="s">
        <v>5230</v>
      </c>
      <c r="P49">
        <v>0</v>
      </c>
      <c r="Q49" t="s">
        <v>5233</v>
      </c>
    </row>
    <row r="50" spans="1:18">
      <c r="A50" t="s">
        <v>133</v>
      </c>
      <c r="B50" t="s">
        <v>134</v>
      </c>
      <c r="C50" t="s">
        <v>115</v>
      </c>
      <c r="D50" t="s">
        <v>119</v>
      </c>
      <c r="E50">
        <v>47.68</v>
      </c>
      <c r="F50">
        <v>101.6</v>
      </c>
      <c r="G50">
        <v>78.84</v>
      </c>
      <c r="H50">
        <v>53.1</v>
      </c>
      <c r="I50">
        <v>65.400000000000006</v>
      </c>
      <c r="J50">
        <v>220</v>
      </c>
      <c r="K50">
        <v>4.5999999999999996</v>
      </c>
      <c r="L50">
        <v>2494</v>
      </c>
      <c r="M50" t="s">
        <v>16</v>
      </c>
      <c r="N50" s="1">
        <v>44673</v>
      </c>
      <c r="O50" t="s">
        <v>5230</v>
      </c>
      <c r="P50">
        <v>1</v>
      </c>
      <c r="Q50" t="s">
        <v>5234</v>
      </c>
      <c r="R50" t="s">
        <v>5243</v>
      </c>
    </row>
    <row r="51" spans="1:18">
      <c r="A51" t="s">
        <v>135</v>
      </c>
      <c r="B51" t="s">
        <v>136</v>
      </c>
      <c r="C51" t="s">
        <v>115</v>
      </c>
      <c r="D51" t="s">
        <v>119</v>
      </c>
      <c r="E51">
        <v>38.130000000000003</v>
      </c>
      <c r="F51">
        <v>99.75</v>
      </c>
      <c r="G51">
        <v>89.62</v>
      </c>
      <c r="H51">
        <v>61.8</v>
      </c>
      <c r="I51">
        <v>135</v>
      </c>
      <c r="J51">
        <v>337</v>
      </c>
      <c r="K51">
        <v>3.2</v>
      </c>
      <c r="L51">
        <v>2121</v>
      </c>
      <c r="M51" t="s">
        <v>16</v>
      </c>
      <c r="N51" s="1">
        <v>44292</v>
      </c>
      <c r="O51" t="s">
        <v>5230</v>
      </c>
      <c r="P51">
        <v>1</v>
      </c>
      <c r="Q51" t="s">
        <v>5234</v>
      </c>
      <c r="R51" t="s">
        <v>5243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75702-193E-4951-9C13-71E92B21C059}">
  <sheetPr codeName="Sheet11">
    <tabColor rgb="FFC00000"/>
  </sheetPr>
  <dimension ref="A1:V1001"/>
  <sheetViews>
    <sheetView workbookViewId="0"/>
  </sheetViews>
  <sheetFormatPr defaultRowHeight="15"/>
  <cols>
    <col min="1" max="1" width="16.28515625" bestFit="1" customWidth="1"/>
    <col min="2" max="2" width="10.42578125" bestFit="1" customWidth="1"/>
    <col min="3" max="3" width="10.28515625" bestFit="1" customWidth="1"/>
    <col min="4" max="4" width="7.28515625" bestFit="1" customWidth="1"/>
    <col min="5" max="5" width="10.140625" bestFit="1" customWidth="1"/>
    <col min="6" max="6" width="14.7109375" bestFit="1" customWidth="1"/>
    <col min="7" max="7" width="9.140625" bestFit="1" customWidth="1"/>
    <col min="8" max="8" width="20.28515625" bestFit="1" customWidth="1"/>
    <col min="9" max="9" width="21.7109375" bestFit="1" customWidth="1"/>
    <col min="10" max="10" width="12.5703125" bestFit="1" customWidth="1"/>
    <col min="11" max="11" width="16.42578125" bestFit="1" customWidth="1"/>
    <col min="12" max="12" width="10" bestFit="1" customWidth="1"/>
    <col min="13" max="13" width="11" bestFit="1" customWidth="1"/>
    <col min="14" max="14" width="14.85546875" bestFit="1" customWidth="1"/>
    <col min="15" max="15" width="17.140625" bestFit="1" customWidth="1"/>
    <col min="16" max="16" width="14.85546875" bestFit="1" customWidth="1"/>
    <col min="17" max="17" width="22" bestFit="1" customWidth="1"/>
    <col min="18" max="18" width="27.85546875" bestFit="1" customWidth="1"/>
    <col min="19" max="19" width="11.5703125" bestFit="1" customWidth="1"/>
    <col min="20" max="20" width="17" bestFit="1" customWidth="1"/>
    <col min="21" max="21" width="18.5703125" customWidth="1"/>
    <col min="22" max="22" width="14.5703125" bestFit="1" customWidth="1"/>
    <col min="23" max="23" width="14.5703125" customWidth="1"/>
  </cols>
  <sheetData>
    <row r="1" spans="1:22">
      <c r="A1" t="s">
        <v>137</v>
      </c>
      <c r="B1" t="s">
        <v>138</v>
      </c>
      <c r="C1" t="s">
        <v>139</v>
      </c>
      <c r="D1" t="s">
        <v>5236</v>
      </c>
      <c r="E1" t="s">
        <v>140</v>
      </c>
      <c r="F1" t="s">
        <v>141</v>
      </c>
      <c r="G1" t="s">
        <v>0</v>
      </c>
      <c r="H1" t="s">
        <v>1</v>
      </c>
      <c r="I1" t="s">
        <v>2</v>
      </c>
      <c r="J1" t="s">
        <v>3</v>
      </c>
      <c r="K1" t="s">
        <v>142</v>
      </c>
      <c r="L1" t="s">
        <v>143</v>
      </c>
      <c r="M1" t="s">
        <v>144</v>
      </c>
      <c r="N1" t="s">
        <v>145</v>
      </c>
      <c r="O1" t="s">
        <v>5237</v>
      </c>
      <c r="P1" t="s">
        <v>146</v>
      </c>
      <c r="Q1" t="s">
        <v>147</v>
      </c>
      <c r="R1" t="s">
        <v>5238</v>
      </c>
      <c r="S1" t="s">
        <v>148</v>
      </c>
      <c r="T1" t="s">
        <v>149</v>
      </c>
      <c r="U1" t="s">
        <v>150</v>
      </c>
      <c r="V1" t="s">
        <v>151</v>
      </c>
    </row>
    <row r="2" spans="1:22">
      <c r="A2" t="s">
        <v>1589</v>
      </c>
      <c r="B2" s="1">
        <v>45291</v>
      </c>
      <c r="C2" t="s">
        <v>245</v>
      </c>
      <c r="D2">
        <v>2023</v>
      </c>
      <c r="E2" t="s">
        <v>184</v>
      </c>
      <c r="F2" t="s">
        <v>258</v>
      </c>
      <c r="G2" t="s">
        <v>120</v>
      </c>
      <c r="H2" t="s">
        <v>121</v>
      </c>
      <c r="I2" t="s">
        <v>115</v>
      </c>
      <c r="J2" t="s">
        <v>119</v>
      </c>
      <c r="K2" t="s">
        <v>164</v>
      </c>
      <c r="L2" t="s">
        <v>174</v>
      </c>
      <c r="M2">
        <v>1</v>
      </c>
      <c r="N2">
        <v>197.52</v>
      </c>
      <c r="O2">
        <v>197.52</v>
      </c>
      <c r="P2">
        <v>15</v>
      </c>
      <c r="Q2">
        <v>29.63</v>
      </c>
      <c r="R2">
        <v>167.89</v>
      </c>
      <c r="S2">
        <v>66.540000000000006</v>
      </c>
      <c r="T2">
        <v>101.35</v>
      </c>
      <c r="U2" t="s">
        <v>166</v>
      </c>
      <c r="V2" t="s">
        <v>181</v>
      </c>
    </row>
    <row r="3" spans="1:22">
      <c r="A3" t="s">
        <v>1025</v>
      </c>
      <c r="B3" s="1">
        <v>45291</v>
      </c>
      <c r="C3" t="s">
        <v>245</v>
      </c>
      <c r="D3">
        <v>2023</v>
      </c>
      <c r="E3" t="s">
        <v>184</v>
      </c>
      <c r="F3" t="s">
        <v>1026</v>
      </c>
      <c r="G3" t="s">
        <v>57</v>
      </c>
      <c r="H3" t="s">
        <v>58</v>
      </c>
      <c r="I3" t="s">
        <v>41</v>
      </c>
      <c r="J3" t="s">
        <v>59</v>
      </c>
      <c r="K3" t="s">
        <v>178</v>
      </c>
      <c r="L3" t="s">
        <v>157</v>
      </c>
      <c r="M3">
        <v>3</v>
      </c>
      <c r="N3">
        <v>56.33</v>
      </c>
      <c r="O3">
        <v>168.99</v>
      </c>
      <c r="P3">
        <v>15</v>
      </c>
      <c r="Q3">
        <v>25.35</v>
      </c>
      <c r="R3">
        <v>143.63999999999999</v>
      </c>
      <c r="S3">
        <v>124.35</v>
      </c>
      <c r="T3">
        <v>19.29</v>
      </c>
      <c r="U3" t="s">
        <v>190</v>
      </c>
      <c r="V3" t="s">
        <v>181</v>
      </c>
    </row>
    <row r="4" spans="1:22">
      <c r="A4" t="s">
        <v>865</v>
      </c>
      <c r="B4" s="1">
        <v>45291</v>
      </c>
      <c r="C4" t="s">
        <v>245</v>
      </c>
      <c r="D4">
        <v>2023</v>
      </c>
      <c r="E4" t="s">
        <v>184</v>
      </c>
      <c r="F4" t="s">
        <v>866</v>
      </c>
      <c r="G4" t="s">
        <v>98</v>
      </c>
      <c r="H4" t="s">
        <v>99</v>
      </c>
      <c r="I4" t="s">
        <v>90</v>
      </c>
      <c r="J4" t="s">
        <v>100</v>
      </c>
      <c r="K4" t="s">
        <v>209</v>
      </c>
      <c r="L4" t="s">
        <v>204</v>
      </c>
      <c r="M4">
        <v>1</v>
      </c>
      <c r="N4">
        <v>194.87</v>
      </c>
      <c r="O4">
        <v>194.87</v>
      </c>
      <c r="P4">
        <v>0</v>
      </c>
      <c r="Q4">
        <v>0</v>
      </c>
      <c r="R4">
        <v>194.87</v>
      </c>
      <c r="S4">
        <v>78.790000000000006</v>
      </c>
      <c r="T4">
        <v>116.08</v>
      </c>
      <c r="U4" t="s">
        <v>180</v>
      </c>
      <c r="V4" t="s">
        <v>181</v>
      </c>
    </row>
    <row r="5" spans="1:22">
      <c r="A5" t="s">
        <v>711</v>
      </c>
      <c r="B5" s="1">
        <v>45291</v>
      </c>
      <c r="C5" t="s">
        <v>245</v>
      </c>
      <c r="D5">
        <v>2023</v>
      </c>
      <c r="E5" t="s">
        <v>184</v>
      </c>
      <c r="F5" t="s">
        <v>712</v>
      </c>
      <c r="G5" t="s">
        <v>48</v>
      </c>
      <c r="H5" t="s">
        <v>49</v>
      </c>
      <c r="I5" t="s">
        <v>41</v>
      </c>
      <c r="J5" t="s">
        <v>42</v>
      </c>
      <c r="K5" t="s">
        <v>164</v>
      </c>
      <c r="L5" t="s">
        <v>174</v>
      </c>
      <c r="M5">
        <v>2</v>
      </c>
      <c r="N5">
        <v>84.95</v>
      </c>
      <c r="O5">
        <v>169.9</v>
      </c>
      <c r="P5">
        <v>20</v>
      </c>
      <c r="Q5">
        <v>33.979999999999997</v>
      </c>
      <c r="R5">
        <v>135.91999999999999</v>
      </c>
      <c r="S5">
        <v>106.14</v>
      </c>
      <c r="T5">
        <v>29.78</v>
      </c>
      <c r="U5" t="s">
        <v>195</v>
      </c>
      <c r="V5" t="s">
        <v>159</v>
      </c>
    </row>
    <row r="6" spans="1:22">
      <c r="A6" t="s">
        <v>801</v>
      </c>
      <c r="B6" s="1">
        <v>45290</v>
      </c>
      <c r="C6" t="s">
        <v>245</v>
      </c>
      <c r="D6">
        <v>2023</v>
      </c>
      <c r="E6" t="s">
        <v>184</v>
      </c>
      <c r="F6" t="s">
        <v>802</v>
      </c>
      <c r="G6" t="s">
        <v>131</v>
      </c>
      <c r="H6" t="s">
        <v>132</v>
      </c>
      <c r="I6" t="s">
        <v>115</v>
      </c>
      <c r="J6" t="s">
        <v>119</v>
      </c>
      <c r="K6" t="s">
        <v>164</v>
      </c>
      <c r="L6" t="s">
        <v>157</v>
      </c>
      <c r="M6">
        <v>3</v>
      </c>
      <c r="N6">
        <v>75.69</v>
      </c>
      <c r="O6">
        <v>227.07</v>
      </c>
      <c r="P6">
        <v>20</v>
      </c>
      <c r="Q6">
        <v>45.41</v>
      </c>
      <c r="R6">
        <v>181.66</v>
      </c>
      <c r="S6">
        <v>106.89</v>
      </c>
      <c r="T6">
        <v>74.77</v>
      </c>
      <c r="U6" t="s">
        <v>166</v>
      </c>
      <c r="V6" t="s">
        <v>159</v>
      </c>
    </row>
    <row r="7" spans="1:22">
      <c r="A7" t="s">
        <v>1813</v>
      </c>
      <c r="B7" s="1">
        <v>45290</v>
      </c>
      <c r="C7" t="s">
        <v>245</v>
      </c>
      <c r="D7">
        <v>2023</v>
      </c>
      <c r="E7" t="s">
        <v>184</v>
      </c>
      <c r="F7" t="s">
        <v>1814</v>
      </c>
      <c r="G7" t="s">
        <v>84</v>
      </c>
      <c r="H7" t="s">
        <v>85</v>
      </c>
      <c r="I7" t="s">
        <v>66</v>
      </c>
      <c r="J7" t="s">
        <v>67</v>
      </c>
      <c r="K7" t="s">
        <v>209</v>
      </c>
      <c r="L7" t="s">
        <v>165</v>
      </c>
      <c r="M7">
        <v>3</v>
      </c>
      <c r="N7">
        <v>174.23</v>
      </c>
      <c r="O7">
        <v>522.68999999999994</v>
      </c>
      <c r="P7">
        <v>0</v>
      </c>
      <c r="Q7">
        <v>0</v>
      </c>
      <c r="R7">
        <v>522.69000000000005</v>
      </c>
      <c r="S7">
        <v>221.85</v>
      </c>
      <c r="T7">
        <v>300.83999999999997</v>
      </c>
      <c r="U7" t="s">
        <v>158</v>
      </c>
      <c r="V7" t="s">
        <v>159</v>
      </c>
    </row>
    <row r="8" spans="1:22">
      <c r="A8" t="s">
        <v>525</v>
      </c>
      <c r="B8" s="1">
        <v>45290</v>
      </c>
      <c r="C8" t="s">
        <v>245</v>
      </c>
      <c r="D8">
        <v>2023</v>
      </c>
      <c r="E8" t="s">
        <v>184</v>
      </c>
      <c r="F8" t="s">
        <v>526</v>
      </c>
      <c r="G8" t="s">
        <v>62</v>
      </c>
      <c r="H8" t="s">
        <v>63</v>
      </c>
      <c r="I8" t="s">
        <v>41</v>
      </c>
      <c r="J8" t="s">
        <v>45</v>
      </c>
      <c r="K8" t="s">
        <v>156</v>
      </c>
      <c r="L8" t="s">
        <v>179</v>
      </c>
      <c r="M8">
        <v>2</v>
      </c>
      <c r="N8">
        <v>160.35</v>
      </c>
      <c r="O8">
        <v>320.7</v>
      </c>
      <c r="P8">
        <v>15</v>
      </c>
      <c r="Q8">
        <v>48.1</v>
      </c>
      <c r="R8">
        <v>272.60000000000002</v>
      </c>
      <c r="S8">
        <v>144.94</v>
      </c>
      <c r="T8">
        <v>127.66</v>
      </c>
      <c r="U8" t="s">
        <v>195</v>
      </c>
      <c r="V8" t="s">
        <v>181</v>
      </c>
    </row>
    <row r="9" spans="1:22">
      <c r="A9" t="s">
        <v>665</v>
      </c>
      <c r="B9" s="1">
        <v>45289</v>
      </c>
      <c r="C9" t="s">
        <v>245</v>
      </c>
      <c r="D9">
        <v>2023</v>
      </c>
      <c r="E9" t="s">
        <v>184</v>
      </c>
      <c r="F9" t="s">
        <v>666</v>
      </c>
      <c r="G9" t="s">
        <v>53</v>
      </c>
      <c r="H9" t="s">
        <v>54</v>
      </c>
      <c r="I9" t="s">
        <v>41</v>
      </c>
      <c r="J9" t="s">
        <v>45</v>
      </c>
      <c r="K9" t="s">
        <v>164</v>
      </c>
      <c r="L9" t="s">
        <v>174</v>
      </c>
      <c r="M9">
        <v>2</v>
      </c>
      <c r="N9">
        <v>51.98</v>
      </c>
      <c r="O9">
        <v>103.96</v>
      </c>
      <c r="P9">
        <v>0</v>
      </c>
      <c r="Q9">
        <v>0</v>
      </c>
      <c r="R9">
        <v>103.96</v>
      </c>
      <c r="S9">
        <v>66.08</v>
      </c>
      <c r="T9">
        <v>37.880000000000003</v>
      </c>
      <c r="U9" t="s">
        <v>166</v>
      </c>
      <c r="V9" t="s">
        <v>186</v>
      </c>
    </row>
    <row r="10" spans="1:22">
      <c r="A10" t="s">
        <v>1151</v>
      </c>
      <c r="B10" s="1">
        <v>45289</v>
      </c>
      <c r="C10" t="s">
        <v>245</v>
      </c>
      <c r="D10">
        <v>2023</v>
      </c>
      <c r="E10" t="s">
        <v>184</v>
      </c>
      <c r="F10" t="s">
        <v>1152</v>
      </c>
      <c r="G10" t="s">
        <v>71</v>
      </c>
      <c r="H10" t="s">
        <v>72</v>
      </c>
      <c r="I10" t="s">
        <v>66</v>
      </c>
      <c r="J10" t="s">
        <v>70</v>
      </c>
      <c r="K10" t="s">
        <v>156</v>
      </c>
      <c r="L10" t="s">
        <v>157</v>
      </c>
      <c r="M10">
        <v>1</v>
      </c>
      <c r="N10">
        <v>26.7</v>
      </c>
      <c r="O10">
        <v>26.7</v>
      </c>
      <c r="P10">
        <v>20</v>
      </c>
      <c r="Q10">
        <v>5.34</v>
      </c>
      <c r="R10">
        <v>21.36</v>
      </c>
      <c r="S10">
        <v>12.27</v>
      </c>
      <c r="T10">
        <v>9.09</v>
      </c>
      <c r="U10" t="s">
        <v>166</v>
      </c>
      <c r="V10" t="s">
        <v>159</v>
      </c>
    </row>
    <row r="11" spans="1:22">
      <c r="A11" t="s">
        <v>1759</v>
      </c>
      <c r="B11" s="1">
        <v>45289</v>
      </c>
      <c r="C11" t="s">
        <v>245</v>
      </c>
      <c r="D11">
        <v>2023</v>
      </c>
      <c r="E11" t="s">
        <v>184</v>
      </c>
      <c r="F11" t="s">
        <v>623</v>
      </c>
      <c r="G11" t="s">
        <v>60</v>
      </c>
      <c r="H11" t="s">
        <v>61</v>
      </c>
      <c r="I11" t="s">
        <v>41</v>
      </c>
      <c r="J11" t="s">
        <v>59</v>
      </c>
      <c r="K11" t="s">
        <v>156</v>
      </c>
      <c r="L11" t="s">
        <v>157</v>
      </c>
      <c r="M11">
        <v>2</v>
      </c>
      <c r="N11">
        <v>103.56</v>
      </c>
      <c r="O11">
        <v>207.12</v>
      </c>
      <c r="P11">
        <v>0</v>
      </c>
      <c r="Q11">
        <v>0</v>
      </c>
      <c r="R11">
        <v>207.12</v>
      </c>
      <c r="S11">
        <v>89.16</v>
      </c>
      <c r="T11">
        <v>117.96</v>
      </c>
      <c r="U11" t="s">
        <v>190</v>
      </c>
      <c r="V11" t="s">
        <v>159</v>
      </c>
    </row>
    <row r="12" spans="1:22">
      <c r="A12" t="s">
        <v>1217</v>
      </c>
      <c r="B12" s="1">
        <v>45287</v>
      </c>
      <c r="C12" t="s">
        <v>245</v>
      </c>
      <c r="D12">
        <v>2023</v>
      </c>
      <c r="E12" t="s">
        <v>184</v>
      </c>
      <c r="F12" t="s">
        <v>1218</v>
      </c>
      <c r="G12" t="s">
        <v>117</v>
      </c>
      <c r="H12" t="s">
        <v>118</v>
      </c>
      <c r="I12" t="s">
        <v>115</v>
      </c>
      <c r="J12" t="s">
        <v>119</v>
      </c>
      <c r="K12" t="s">
        <v>178</v>
      </c>
      <c r="L12" t="s">
        <v>179</v>
      </c>
      <c r="M12">
        <v>3</v>
      </c>
      <c r="N12">
        <v>93.41</v>
      </c>
      <c r="O12">
        <v>280.23</v>
      </c>
      <c r="P12">
        <v>0</v>
      </c>
      <c r="Q12">
        <v>0</v>
      </c>
      <c r="R12">
        <v>280.23</v>
      </c>
      <c r="S12">
        <v>192.15</v>
      </c>
      <c r="T12">
        <v>88.08</v>
      </c>
      <c r="U12" t="s">
        <v>195</v>
      </c>
      <c r="V12" t="s">
        <v>181</v>
      </c>
    </row>
    <row r="13" spans="1:22">
      <c r="A13" t="s">
        <v>939</v>
      </c>
      <c r="B13" s="1">
        <v>45287</v>
      </c>
      <c r="C13" t="s">
        <v>245</v>
      </c>
      <c r="D13">
        <v>2023</v>
      </c>
      <c r="E13" t="s">
        <v>184</v>
      </c>
      <c r="F13" t="s">
        <v>940</v>
      </c>
      <c r="G13" t="s">
        <v>73</v>
      </c>
      <c r="H13" t="s">
        <v>74</v>
      </c>
      <c r="I13" t="s">
        <v>66</v>
      </c>
      <c r="J13" t="s">
        <v>75</v>
      </c>
      <c r="K13" t="s">
        <v>164</v>
      </c>
      <c r="L13" t="s">
        <v>232</v>
      </c>
      <c r="M13">
        <v>1</v>
      </c>
      <c r="N13">
        <v>53.95</v>
      </c>
      <c r="O13">
        <v>53.95</v>
      </c>
      <c r="P13">
        <v>0</v>
      </c>
      <c r="Q13">
        <v>0</v>
      </c>
      <c r="R13">
        <v>53.95</v>
      </c>
      <c r="S13">
        <v>35.200000000000003</v>
      </c>
      <c r="T13">
        <v>18.75</v>
      </c>
      <c r="U13" t="s">
        <v>158</v>
      </c>
      <c r="V13" t="s">
        <v>159</v>
      </c>
    </row>
    <row r="14" spans="1:22">
      <c r="A14" t="s">
        <v>937</v>
      </c>
      <c r="B14" s="1">
        <v>45287</v>
      </c>
      <c r="C14" t="s">
        <v>245</v>
      </c>
      <c r="D14">
        <v>2023</v>
      </c>
      <c r="E14" t="s">
        <v>184</v>
      </c>
      <c r="F14" t="s">
        <v>938</v>
      </c>
      <c r="G14" t="s">
        <v>17</v>
      </c>
      <c r="H14" t="s">
        <v>18</v>
      </c>
      <c r="I14" t="s">
        <v>14</v>
      </c>
      <c r="J14" t="s">
        <v>19</v>
      </c>
      <c r="K14" t="s">
        <v>156</v>
      </c>
      <c r="L14" t="s">
        <v>179</v>
      </c>
      <c r="M14">
        <v>2</v>
      </c>
      <c r="N14">
        <v>53.26</v>
      </c>
      <c r="O14">
        <v>106.52</v>
      </c>
      <c r="P14">
        <v>10</v>
      </c>
      <c r="Q14">
        <v>10.65</v>
      </c>
      <c r="R14">
        <v>95.87</v>
      </c>
      <c r="S14">
        <v>73.28</v>
      </c>
      <c r="T14">
        <v>22.59</v>
      </c>
      <c r="U14" t="s">
        <v>158</v>
      </c>
      <c r="V14" t="s">
        <v>181</v>
      </c>
    </row>
    <row r="15" spans="1:22">
      <c r="A15" t="s">
        <v>593</v>
      </c>
      <c r="B15" s="1">
        <v>45287</v>
      </c>
      <c r="C15" t="s">
        <v>245</v>
      </c>
      <c r="D15">
        <v>2023</v>
      </c>
      <c r="E15" t="s">
        <v>184</v>
      </c>
      <c r="F15" t="s">
        <v>594</v>
      </c>
      <c r="G15" t="s">
        <v>127</v>
      </c>
      <c r="H15" t="s">
        <v>128</v>
      </c>
      <c r="I15" t="s">
        <v>115</v>
      </c>
      <c r="J15" t="s">
        <v>124</v>
      </c>
      <c r="K15" t="s">
        <v>178</v>
      </c>
      <c r="L15" t="s">
        <v>204</v>
      </c>
      <c r="M15">
        <v>2</v>
      </c>
      <c r="N15">
        <v>94.76</v>
      </c>
      <c r="O15">
        <v>189.52</v>
      </c>
      <c r="P15">
        <v>15</v>
      </c>
      <c r="Q15">
        <v>28.43</v>
      </c>
      <c r="R15">
        <v>161.09</v>
      </c>
      <c r="S15">
        <v>157.63999999999999</v>
      </c>
      <c r="T15">
        <v>3.45</v>
      </c>
      <c r="U15" t="s">
        <v>195</v>
      </c>
      <c r="V15" t="s">
        <v>181</v>
      </c>
    </row>
    <row r="16" spans="1:22">
      <c r="A16" t="s">
        <v>630</v>
      </c>
      <c r="B16" s="1">
        <v>45287</v>
      </c>
      <c r="C16" t="s">
        <v>245</v>
      </c>
      <c r="D16">
        <v>2023</v>
      </c>
      <c r="E16" t="s">
        <v>184</v>
      </c>
      <c r="F16" t="s">
        <v>631</v>
      </c>
      <c r="G16" t="s">
        <v>28</v>
      </c>
      <c r="H16" t="s">
        <v>29</v>
      </c>
      <c r="I16" t="s">
        <v>14</v>
      </c>
      <c r="J16" t="s">
        <v>19</v>
      </c>
      <c r="K16" t="s">
        <v>209</v>
      </c>
      <c r="L16" t="s">
        <v>232</v>
      </c>
      <c r="M16">
        <v>4</v>
      </c>
      <c r="N16">
        <v>26.46</v>
      </c>
      <c r="O16">
        <v>105.84</v>
      </c>
      <c r="P16">
        <v>10</v>
      </c>
      <c r="Q16">
        <v>10.58</v>
      </c>
      <c r="R16">
        <v>95.26</v>
      </c>
      <c r="S16">
        <v>77.680000000000007</v>
      </c>
      <c r="T16">
        <v>17.579999999999998</v>
      </c>
      <c r="U16" t="s">
        <v>158</v>
      </c>
      <c r="V16" t="s">
        <v>159</v>
      </c>
    </row>
    <row r="17" spans="1:22">
      <c r="A17" t="s">
        <v>900</v>
      </c>
      <c r="B17" s="1">
        <v>45287</v>
      </c>
      <c r="C17" t="s">
        <v>245</v>
      </c>
      <c r="D17">
        <v>2023</v>
      </c>
      <c r="E17" t="s">
        <v>184</v>
      </c>
      <c r="F17" t="s">
        <v>901</v>
      </c>
      <c r="G17" t="s">
        <v>39</v>
      </c>
      <c r="H17" t="s">
        <v>40</v>
      </c>
      <c r="I17" t="s">
        <v>41</v>
      </c>
      <c r="J17" t="s">
        <v>42</v>
      </c>
      <c r="K17" t="s">
        <v>209</v>
      </c>
      <c r="L17" t="s">
        <v>157</v>
      </c>
      <c r="M17">
        <v>3</v>
      </c>
      <c r="N17">
        <v>35.11</v>
      </c>
      <c r="O17">
        <v>105.33</v>
      </c>
      <c r="P17">
        <v>20</v>
      </c>
      <c r="Q17">
        <v>21.07</v>
      </c>
      <c r="R17">
        <v>84.26</v>
      </c>
      <c r="S17">
        <v>74.61</v>
      </c>
      <c r="T17">
        <v>9.65</v>
      </c>
      <c r="U17" t="s">
        <v>195</v>
      </c>
      <c r="V17" t="s">
        <v>159</v>
      </c>
    </row>
    <row r="18" spans="1:22">
      <c r="A18" t="s">
        <v>805</v>
      </c>
      <c r="B18" s="1">
        <v>45287</v>
      </c>
      <c r="C18" t="s">
        <v>245</v>
      </c>
      <c r="D18">
        <v>2023</v>
      </c>
      <c r="E18" t="s">
        <v>184</v>
      </c>
      <c r="F18" t="s">
        <v>806</v>
      </c>
      <c r="G18" t="s">
        <v>101</v>
      </c>
      <c r="H18" t="s">
        <v>102</v>
      </c>
      <c r="I18" t="s">
        <v>90</v>
      </c>
      <c r="J18" t="s">
        <v>100</v>
      </c>
      <c r="K18" t="s">
        <v>178</v>
      </c>
      <c r="L18" t="s">
        <v>232</v>
      </c>
      <c r="M18">
        <v>2</v>
      </c>
      <c r="N18">
        <v>196.28</v>
      </c>
      <c r="O18">
        <v>392.56</v>
      </c>
      <c r="P18">
        <v>0</v>
      </c>
      <c r="Q18">
        <v>0</v>
      </c>
      <c r="R18">
        <v>392.56</v>
      </c>
      <c r="S18">
        <v>143.46</v>
      </c>
      <c r="T18">
        <v>249.1</v>
      </c>
      <c r="U18" t="s">
        <v>195</v>
      </c>
      <c r="V18" t="s">
        <v>181</v>
      </c>
    </row>
    <row r="19" spans="1:22">
      <c r="A19" t="s">
        <v>417</v>
      </c>
      <c r="B19" s="1">
        <v>45287</v>
      </c>
      <c r="C19" t="s">
        <v>245</v>
      </c>
      <c r="D19">
        <v>2023</v>
      </c>
      <c r="E19" t="s">
        <v>184</v>
      </c>
      <c r="F19" t="s">
        <v>418</v>
      </c>
      <c r="G19" t="s">
        <v>35</v>
      </c>
      <c r="H19" t="s">
        <v>36</v>
      </c>
      <c r="I19" t="s">
        <v>14</v>
      </c>
      <c r="J19" t="s">
        <v>19</v>
      </c>
      <c r="K19" t="s">
        <v>178</v>
      </c>
      <c r="L19" t="s">
        <v>174</v>
      </c>
      <c r="M19">
        <v>4</v>
      </c>
      <c r="N19">
        <v>81.599999999999994</v>
      </c>
      <c r="O19">
        <v>326.39999999999998</v>
      </c>
      <c r="P19">
        <v>10</v>
      </c>
      <c r="Q19">
        <v>32.64</v>
      </c>
      <c r="R19">
        <v>293.76</v>
      </c>
      <c r="S19">
        <v>117.28</v>
      </c>
      <c r="T19">
        <v>176.48</v>
      </c>
      <c r="U19" t="s">
        <v>180</v>
      </c>
      <c r="V19" t="s">
        <v>159</v>
      </c>
    </row>
    <row r="20" spans="1:22">
      <c r="A20" t="s">
        <v>1065</v>
      </c>
      <c r="B20" s="1">
        <v>45286</v>
      </c>
      <c r="C20" t="s">
        <v>245</v>
      </c>
      <c r="D20">
        <v>2023</v>
      </c>
      <c r="E20" t="s">
        <v>184</v>
      </c>
      <c r="F20" t="s">
        <v>1066</v>
      </c>
      <c r="G20" t="s">
        <v>103</v>
      </c>
      <c r="H20" t="s">
        <v>104</v>
      </c>
      <c r="I20" t="s">
        <v>90</v>
      </c>
      <c r="J20" t="s">
        <v>94</v>
      </c>
      <c r="K20" t="s">
        <v>156</v>
      </c>
      <c r="L20" t="s">
        <v>165</v>
      </c>
      <c r="M20">
        <v>3</v>
      </c>
      <c r="N20">
        <v>98.58</v>
      </c>
      <c r="O20">
        <v>295.74</v>
      </c>
      <c r="P20">
        <v>5</v>
      </c>
      <c r="Q20">
        <v>14.79</v>
      </c>
      <c r="R20">
        <v>280.95</v>
      </c>
      <c r="S20">
        <v>157.71</v>
      </c>
      <c r="T20">
        <v>123.24</v>
      </c>
      <c r="U20" t="s">
        <v>158</v>
      </c>
      <c r="V20" t="s">
        <v>159</v>
      </c>
    </row>
    <row r="21" spans="1:22">
      <c r="A21" t="s">
        <v>386</v>
      </c>
      <c r="B21" s="1">
        <v>45286</v>
      </c>
      <c r="C21" t="s">
        <v>245</v>
      </c>
      <c r="D21">
        <v>2023</v>
      </c>
      <c r="E21" t="s">
        <v>184</v>
      </c>
      <c r="F21" t="s">
        <v>387</v>
      </c>
      <c r="G21" t="s">
        <v>82</v>
      </c>
      <c r="H21" t="s">
        <v>83</v>
      </c>
      <c r="I21" t="s">
        <v>66</v>
      </c>
      <c r="J21" t="s">
        <v>67</v>
      </c>
      <c r="K21" t="s">
        <v>156</v>
      </c>
      <c r="L21" t="s">
        <v>204</v>
      </c>
      <c r="M21">
        <v>1</v>
      </c>
      <c r="N21">
        <v>34.479999999999997</v>
      </c>
      <c r="O21">
        <v>34.479999999999997</v>
      </c>
      <c r="P21">
        <v>20</v>
      </c>
      <c r="Q21">
        <v>6.9</v>
      </c>
      <c r="R21">
        <v>27.58</v>
      </c>
      <c r="S21">
        <v>19.239999999999998</v>
      </c>
      <c r="T21">
        <v>8.34</v>
      </c>
      <c r="U21" t="s">
        <v>180</v>
      </c>
      <c r="V21" t="s">
        <v>159</v>
      </c>
    </row>
    <row r="22" spans="1:22">
      <c r="A22" t="s">
        <v>1577</v>
      </c>
      <c r="B22" s="1">
        <v>45285</v>
      </c>
      <c r="C22" t="s">
        <v>245</v>
      </c>
      <c r="D22">
        <v>2023</v>
      </c>
      <c r="E22" t="s">
        <v>184</v>
      </c>
      <c r="F22" t="s">
        <v>1578</v>
      </c>
      <c r="G22" t="s">
        <v>73</v>
      </c>
      <c r="H22" t="s">
        <v>74</v>
      </c>
      <c r="I22" t="s">
        <v>66</v>
      </c>
      <c r="J22" t="s">
        <v>75</v>
      </c>
      <c r="K22" t="s">
        <v>178</v>
      </c>
      <c r="L22" t="s">
        <v>179</v>
      </c>
      <c r="M22">
        <v>4</v>
      </c>
      <c r="N22">
        <v>53.95</v>
      </c>
      <c r="O22">
        <v>215.8</v>
      </c>
      <c r="P22">
        <v>0</v>
      </c>
      <c r="Q22">
        <v>0</v>
      </c>
      <c r="R22">
        <v>215.8</v>
      </c>
      <c r="S22">
        <v>140.80000000000001</v>
      </c>
      <c r="T22">
        <v>75</v>
      </c>
      <c r="U22" t="s">
        <v>195</v>
      </c>
      <c r="V22" t="s">
        <v>186</v>
      </c>
    </row>
    <row r="23" spans="1:22">
      <c r="A23" t="s">
        <v>2057</v>
      </c>
      <c r="B23" s="1">
        <v>45285</v>
      </c>
      <c r="C23" t="s">
        <v>245</v>
      </c>
      <c r="D23">
        <v>2023</v>
      </c>
      <c r="E23" t="s">
        <v>184</v>
      </c>
      <c r="F23" t="s">
        <v>2058</v>
      </c>
      <c r="G23" t="s">
        <v>80</v>
      </c>
      <c r="H23" t="s">
        <v>81</v>
      </c>
      <c r="I23" t="s">
        <v>66</v>
      </c>
      <c r="J23" t="s">
        <v>70</v>
      </c>
      <c r="K23" t="s">
        <v>178</v>
      </c>
      <c r="L23" t="s">
        <v>165</v>
      </c>
      <c r="M23">
        <v>4</v>
      </c>
      <c r="N23">
        <v>106.06</v>
      </c>
      <c r="O23">
        <v>424.24</v>
      </c>
      <c r="P23">
        <v>15</v>
      </c>
      <c r="Q23">
        <v>63.64</v>
      </c>
      <c r="R23">
        <v>360.6</v>
      </c>
      <c r="S23">
        <v>133.68</v>
      </c>
      <c r="T23">
        <v>226.92</v>
      </c>
      <c r="U23" t="s">
        <v>195</v>
      </c>
      <c r="V23" t="s">
        <v>159</v>
      </c>
    </row>
    <row r="24" spans="1:22">
      <c r="A24" t="s">
        <v>2022</v>
      </c>
      <c r="B24" s="1">
        <v>45284</v>
      </c>
      <c r="C24" t="s">
        <v>245</v>
      </c>
      <c r="D24">
        <v>2023</v>
      </c>
      <c r="E24" t="s">
        <v>184</v>
      </c>
      <c r="F24" t="s">
        <v>1197</v>
      </c>
      <c r="G24" t="s">
        <v>117</v>
      </c>
      <c r="H24" t="s">
        <v>118</v>
      </c>
      <c r="I24" t="s">
        <v>115</v>
      </c>
      <c r="J24" t="s">
        <v>119</v>
      </c>
      <c r="K24" t="s">
        <v>209</v>
      </c>
      <c r="L24" t="s">
        <v>157</v>
      </c>
      <c r="M24">
        <v>3</v>
      </c>
      <c r="N24">
        <v>93.41</v>
      </c>
      <c r="O24">
        <v>280.23</v>
      </c>
      <c r="P24">
        <v>5</v>
      </c>
      <c r="Q24">
        <v>14.01</v>
      </c>
      <c r="R24">
        <v>266.22000000000003</v>
      </c>
      <c r="S24">
        <v>192.15</v>
      </c>
      <c r="T24">
        <v>74.069999999999993</v>
      </c>
      <c r="U24" t="s">
        <v>195</v>
      </c>
      <c r="V24" t="s">
        <v>159</v>
      </c>
    </row>
    <row r="25" spans="1:22">
      <c r="A25" t="s">
        <v>1436</v>
      </c>
      <c r="B25" s="1">
        <v>45284</v>
      </c>
      <c r="C25" t="s">
        <v>245</v>
      </c>
      <c r="D25">
        <v>2023</v>
      </c>
      <c r="E25" t="s">
        <v>184</v>
      </c>
      <c r="F25" t="s">
        <v>1437</v>
      </c>
      <c r="G25" t="s">
        <v>95</v>
      </c>
      <c r="H25" t="s">
        <v>96</v>
      </c>
      <c r="I25" t="s">
        <v>90</v>
      </c>
      <c r="J25" t="s">
        <v>97</v>
      </c>
      <c r="K25" t="s">
        <v>156</v>
      </c>
      <c r="L25" t="s">
        <v>204</v>
      </c>
      <c r="M25">
        <v>4</v>
      </c>
      <c r="N25">
        <v>177.41</v>
      </c>
      <c r="O25">
        <v>709.64</v>
      </c>
      <c r="P25">
        <v>20</v>
      </c>
      <c r="Q25">
        <v>141.93</v>
      </c>
      <c r="R25">
        <v>567.71</v>
      </c>
      <c r="S25">
        <v>299.95999999999998</v>
      </c>
      <c r="T25">
        <v>267.75</v>
      </c>
      <c r="U25" t="s">
        <v>166</v>
      </c>
      <c r="V25" t="s">
        <v>159</v>
      </c>
    </row>
    <row r="26" spans="1:22">
      <c r="A26" t="s">
        <v>975</v>
      </c>
      <c r="B26" s="1">
        <v>45283</v>
      </c>
      <c r="C26" t="s">
        <v>245</v>
      </c>
      <c r="D26">
        <v>2023</v>
      </c>
      <c r="E26" t="s">
        <v>184</v>
      </c>
      <c r="F26" t="s">
        <v>976</v>
      </c>
      <c r="G26" t="s">
        <v>23</v>
      </c>
      <c r="H26" t="s">
        <v>24</v>
      </c>
      <c r="I26" t="s">
        <v>14</v>
      </c>
      <c r="J26" t="s">
        <v>19</v>
      </c>
      <c r="K26" t="s">
        <v>209</v>
      </c>
      <c r="L26" t="s">
        <v>174</v>
      </c>
      <c r="M26">
        <v>2</v>
      </c>
      <c r="N26">
        <v>154.03</v>
      </c>
      <c r="O26">
        <v>308.06</v>
      </c>
      <c r="P26">
        <v>20</v>
      </c>
      <c r="Q26">
        <v>61.61</v>
      </c>
      <c r="R26">
        <v>246.45</v>
      </c>
      <c r="S26">
        <v>153.58000000000001</v>
      </c>
      <c r="T26">
        <v>92.87</v>
      </c>
      <c r="U26" t="s">
        <v>195</v>
      </c>
      <c r="V26" t="s">
        <v>181</v>
      </c>
    </row>
    <row r="27" spans="1:22">
      <c r="A27" t="s">
        <v>743</v>
      </c>
      <c r="B27" s="1">
        <v>45282</v>
      </c>
      <c r="C27" t="s">
        <v>245</v>
      </c>
      <c r="D27">
        <v>2023</v>
      </c>
      <c r="E27" t="s">
        <v>184</v>
      </c>
      <c r="F27" t="s">
        <v>744</v>
      </c>
      <c r="G27" t="s">
        <v>64</v>
      </c>
      <c r="H27" t="s">
        <v>65</v>
      </c>
      <c r="I27" t="s">
        <v>66</v>
      </c>
      <c r="J27" t="s">
        <v>67</v>
      </c>
      <c r="K27" t="s">
        <v>164</v>
      </c>
      <c r="L27" t="s">
        <v>232</v>
      </c>
      <c r="M27">
        <v>3</v>
      </c>
      <c r="N27">
        <v>24.9</v>
      </c>
      <c r="O27">
        <v>74.699999999999989</v>
      </c>
      <c r="P27">
        <v>15</v>
      </c>
      <c r="Q27">
        <v>11.2</v>
      </c>
      <c r="R27">
        <v>63.5</v>
      </c>
      <c r="S27">
        <v>64.56</v>
      </c>
      <c r="T27">
        <v>-1.06</v>
      </c>
      <c r="U27" t="s">
        <v>190</v>
      </c>
      <c r="V27" t="s">
        <v>159</v>
      </c>
    </row>
    <row r="28" spans="1:22">
      <c r="A28" t="s">
        <v>741</v>
      </c>
      <c r="B28" s="1">
        <v>45282</v>
      </c>
      <c r="C28" t="s">
        <v>245</v>
      </c>
      <c r="D28">
        <v>2023</v>
      </c>
      <c r="E28" t="s">
        <v>184</v>
      </c>
      <c r="F28" t="s">
        <v>742</v>
      </c>
      <c r="G28" t="s">
        <v>62</v>
      </c>
      <c r="H28" t="s">
        <v>63</v>
      </c>
      <c r="I28" t="s">
        <v>41</v>
      </c>
      <c r="J28" t="s">
        <v>45</v>
      </c>
      <c r="K28" t="s">
        <v>164</v>
      </c>
      <c r="L28" t="s">
        <v>194</v>
      </c>
      <c r="M28">
        <v>3</v>
      </c>
      <c r="N28">
        <v>160.35</v>
      </c>
      <c r="O28">
        <v>481.04999999999995</v>
      </c>
      <c r="P28">
        <v>10</v>
      </c>
      <c r="Q28">
        <v>48.1</v>
      </c>
      <c r="R28">
        <v>432.95</v>
      </c>
      <c r="S28">
        <v>217.41</v>
      </c>
      <c r="T28">
        <v>215.54</v>
      </c>
      <c r="U28" t="s">
        <v>190</v>
      </c>
      <c r="V28" t="s">
        <v>186</v>
      </c>
    </row>
    <row r="29" spans="1:22">
      <c r="A29" t="s">
        <v>287</v>
      </c>
      <c r="B29" s="1">
        <v>45282</v>
      </c>
      <c r="C29" t="s">
        <v>245</v>
      </c>
      <c r="D29">
        <v>2023</v>
      </c>
      <c r="E29" t="s">
        <v>184</v>
      </c>
      <c r="F29" t="s">
        <v>288</v>
      </c>
      <c r="G29" t="s">
        <v>39</v>
      </c>
      <c r="H29" t="s">
        <v>40</v>
      </c>
      <c r="I29" t="s">
        <v>41</v>
      </c>
      <c r="J29" t="s">
        <v>42</v>
      </c>
      <c r="K29" t="s">
        <v>178</v>
      </c>
      <c r="L29" t="s">
        <v>165</v>
      </c>
      <c r="M29">
        <v>3</v>
      </c>
      <c r="N29">
        <v>35.11</v>
      </c>
      <c r="O29">
        <v>105.33</v>
      </c>
      <c r="P29">
        <v>5</v>
      </c>
      <c r="Q29">
        <v>5.27</v>
      </c>
      <c r="R29">
        <v>100.06</v>
      </c>
      <c r="S29">
        <v>74.61</v>
      </c>
      <c r="T29">
        <v>25.45</v>
      </c>
      <c r="U29" t="s">
        <v>180</v>
      </c>
      <c r="V29" t="s">
        <v>181</v>
      </c>
    </row>
    <row r="30" spans="1:22">
      <c r="A30" t="s">
        <v>1447</v>
      </c>
      <c r="B30" s="1">
        <v>45282</v>
      </c>
      <c r="C30" t="s">
        <v>245</v>
      </c>
      <c r="D30">
        <v>2023</v>
      </c>
      <c r="E30" t="s">
        <v>184</v>
      </c>
      <c r="F30" t="s">
        <v>1448</v>
      </c>
      <c r="G30" t="s">
        <v>60</v>
      </c>
      <c r="H30" t="s">
        <v>61</v>
      </c>
      <c r="I30" t="s">
        <v>41</v>
      </c>
      <c r="J30" t="s">
        <v>59</v>
      </c>
      <c r="K30" t="s">
        <v>209</v>
      </c>
      <c r="L30" t="s">
        <v>194</v>
      </c>
      <c r="M30">
        <v>1</v>
      </c>
      <c r="N30">
        <v>103.56</v>
      </c>
      <c r="O30">
        <v>103.56</v>
      </c>
      <c r="P30">
        <v>0</v>
      </c>
      <c r="Q30">
        <v>0</v>
      </c>
      <c r="R30">
        <v>103.56</v>
      </c>
      <c r="S30">
        <v>44.58</v>
      </c>
      <c r="T30">
        <v>58.98</v>
      </c>
      <c r="U30" t="s">
        <v>180</v>
      </c>
      <c r="V30" t="s">
        <v>186</v>
      </c>
    </row>
    <row r="31" spans="1:22">
      <c r="A31" t="s">
        <v>2004</v>
      </c>
      <c r="B31" s="1">
        <v>45281</v>
      </c>
      <c r="C31" t="s">
        <v>245</v>
      </c>
      <c r="D31">
        <v>2023</v>
      </c>
      <c r="E31" t="s">
        <v>184</v>
      </c>
      <c r="F31" t="s">
        <v>422</v>
      </c>
      <c r="G31" t="s">
        <v>39</v>
      </c>
      <c r="H31" t="s">
        <v>40</v>
      </c>
      <c r="I31" t="s">
        <v>41</v>
      </c>
      <c r="J31" t="s">
        <v>42</v>
      </c>
      <c r="K31" t="s">
        <v>164</v>
      </c>
      <c r="L31" t="s">
        <v>194</v>
      </c>
      <c r="M31">
        <v>4</v>
      </c>
      <c r="N31">
        <v>35.11</v>
      </c>
      <c r="O31">
        <v>140.44</v>
      </c>
      <c r="P31">
        <v>5</v>
      </c>
      <c r="Q31">
        <v>7.02</v>
      </c>
      <c r="R31">
        <v>133.41999999999999</v>
      </c>
      <c r="S31">
        <v>99.48</v>
      </c>
      <c r="T31">
        <v>33.94</v>
      </c>
      <c r="U31" t="s">
        <v>166</v>
      </c>
      <c r="V31" t="s">
        <v>181</v>
      </c>
    </row>
    <row r="32" spans="1:22">
      <c r="A32" t="s">
        <v>707</v>
      </c>
      <c r="B32" s="1">
        <v>45281</v>
      </c>
      <c r="C32" t="s">
        <v>245</v>
      </c>
      <c r="D32">
        <v>2023</v>
      </c>
      <c r="E32" t="s">
        <v>184</v>
      </c>
      <c r="F32" t="s">
        <v>708</v>
      </c>
      <c r="G32" t="s">
        <v>21</v>
      </c>
      <c r="H32" t="s">
        <v>22</v>
      </c>
      <c r="I32" t="s">
        <v>14</v>
      </c>
      <c r="J32" t="s">
        <v>15</v>
      </c>
      <c r="K32" t="s">
        <v>164</v>
      </c>
      <c r="L32" t="s">
        <v>194</v>
      </c>
      <c r="M32">
        <v>2</v>
      </c>
      <c r="N32">
        <v>65.430000000000007</v>
      </c>
      <c r="O32">
        <v>130.86000000000001</v>
      </c>
      <c r="P32">
        <v>0</v>
      </c>
      <c r="Q32">
        <v>0</v>
      </c>
      <c r="R32">
        <v>130.86000000000001</v>
      </c>
      <c r="S32">
        <v>77.38</v>
      </c>
      <c r="T32">
        <v>53.48</v>
      </c>
      <c r="U32" t="s">
        <v>158</v>
      </c>
      <c r="V32" t="s">
        <v>159</v>
      </c>
    </row>
    <row r="33" spans="1:22">
      <c r="A33" t="s">
        <v>501</v>
      </c>
      <c r="B33" s="1">
        <v>45281</v>
      </c>
      <c r="C33" t="s">
        <v>245</v>
      </c>
      <c r="D33">
        <v>2023</v>
      </c>
      <c r="E33" t="s">
        <v>184</v>
      </c>
      <c r="F33" t="s">
        <v>502</v>
      </c>
      <c r="G33" t="s">
        <v>68</v>
      </c>
      <c r="H33" t="s">
        <v>69</v>
      </c>
      <c r="I33" t="s">
        <v>66</v>
      </c>
      <c r="J33" t="s">
        <v>70</v>
      </c>
      <c r="K33" t="s">
        <v>178</v>
      </c>
      <c r="L33" t="s">
        <v>179</v>
      </c>
      <c r="M33">
        <v>2</v>
      </c>
      <c r="N33">
        <v>98.51</v>
      </c>
      <c r="O33">
        <v>197.02</v>
      </c>
      <c r="P33">
        <v>5</v>
      </c>
      <c r="Q33">
        <v>9.85</v>
      </c>
      <c r="R33">
        <v>187.17</v>
      </c>
      <c r="S33">
        <v>110.34</v>
      </c>
      <c r="T33">
        <v>76.83</v>
      </c>
      <c r="U33" t="s">
        <v>166</v>
      </c>
      <c r="V33" t="s">
        <v>159</v>
      </c>
    </row>
    <row r="34" spans="1:22">
      <c r="A34" t="s">
        <v>460</v>
      </c>
      <c r="B34" s="1">
        <v>45281</v>
      </c>
      <c r="C34" t="s">
        <v>245</v>
      </c>
      <c r="D34">
        <v>2023</v>
      </c>
      <c r="E34" t="s">
        <v>184</v>
      </c>
      <c r="F34" t="s">
        <v>461</v>
      </c>
      <c r="G34" t="s">
        <v>39</v>
      </c>
      <c r="H34" t="s">
        <v>40</v>
      </c>
      <c r="I34" t="s">
        <v>41</v>
      </c>
      <c r="J34" t="s">
        <v>42</v>
      </c>
      <c r="K34" t="s">
        <v>156</v>
      </c>
      <c r="L34" t="s">
        <v>165</v>
      </c>
      <c r="M34">
        <v>2</v>
      </c>
      <c r="N34">
        <v>35.11</v>
      </c>
      <c r="O34">
        <v>70.22</v>
      </c>
      <c r="P34">
        <v>20</v>
      </c>
      <c r="Q34">
        <v>14.04</v>
      </c>
      <c r="R34">
        <v>56.18</v>
      </c>
      <c r="S34">
        <v>49.74</v>
      </c>
      <c r="T34">
        <v>6.44</v>
      </c>
      <c r="U34" t="s">
        <v>180</v>
      </c>
      <c r="V34" t="s">
        <v>159</v>
      </c>
    </row>
    <row r="35" spans="1:22">
      <c r="A35" t="s">
        <v>244</v>
      </c>
      <c r="B35" s="1">
        <v>45281</v>
      </c>
      <c r="C35" t="s">
        <v>245</v>
      </c>
      <c r="D35">
        <v>2023</v>
      </c>
      <c r="E35" t="s">
        <v>184</v>
      </c>
      <c r="F35" t="s">
        <v>246</v>
      </c>
      <c r="G35" t="s">
        <v>60</v>
      </c>
      <c r="H35" t="s">
        <v>61</v>
      </c>
      <c r="I35" t="s">
        <v>41</v>
      </c>
      <c r="J35" t="s">
        <v>59</v>
      </c>
      <c r="K35" t="s">
        <v>178</v>
      </c>
      <c r="L35" t="s">
        <v>165</v>
      </c>
      <c r="M35">
        <v>2</v>
      </c>
      <c r="N35">
        <v>103.56</v>
      </c>
      <c r="O35">
        <v>207.12</v>
      </c>
      <c r="P35">
        <v>5</v>
      </c>
      <c r="Q35">
        <v>10.36</v>
      </c>
      <c r="R35">
        <v>196.76</v>
      </c>
      <c r="S35">
        <v>89.16</v>
      </c>
      <c r="T35">
        <v>107.6</v>
      </c>
      <c r="U35" t="s">
        <v>166</v>
      </c>
      <c r="V35" t="s">
        <v>159</v>
      </c>
    </row>
    <row r="36" spans="1:22">
      <c r="A36" t="s">
        <v>1417</v>
      </c>
      <c r="B36" s="1">
        <v>45280</v>
      </c>
      <c r="C36" t="s">
        <v>245</v>
      </c>
      <c r="D36">
        <v>2023</v>
      </c>
      <c r="E36" t="s">
        <v>184</v>
      </c>
      <c r="F36" t="s">
        <v>1418</v>
      </c>
      <c r="G36" t="s">
        <v>48</v>
      </c>
      <c r="H36" t="s">
        <v>49</v>
      </c>
      <c r="I36" t="s">
        <v>41</v>
      </c>
      <c r="J36" t="s">
        <v>42</v>
      </c>
      <c r="K36" t="s">
        <v>178</v>
      </c>
      <c r="L36" t="s">
        <v>232</v>
      </c>
      <c r="M36">
        <v>3</v>
      </c>
      <c r="N36">
        <v>84.95</v>
      </c>
      <c r="O36">
        <v>254.85000000000002</v>
      </c>
      <c r="P36">
        <v>0</v>
      </c>
      <c r="Q36">
        <v>0</v>
      </c>
      <c r="R36">
        <v>254.85</v>
      </c>
      <c r="S36">
        <v>159.21</v>
      </c>
      <c r="T36">
        <v>95.64</v>
      </c>
      <c r="U36" t="s">
        <v>166</v>
      </c>
      <c r="V36" t="s">
        <v>181</v>
      </c>
    </row>
    <row r="37" spans="1:22">
      <c r="A37" t="s">
        <v>1063</v>
      </c>
      <c r="B37" s="1">
        <v>45280</v>
      </c>
      <c r="C37" t="s">
        <v>245</v>
      </c>
      <c r="D37">
        <v>2023</v>
      </c>
      <c r="E37" t="s">
        <v>184</v>
      </c>
      <c r="F37" t="s">
        <v>1064</v>
      </c>
      <c r="G37" t="s">
        <v>117</v>
      </c>
      <c r="H37" t="s">
        <v>118</v>
      </c>
      <c r="I37" t="s">
        <v>115</v>
      </c>
      <c r="J37" t="s">
        <v>119</v>
      </c>
      <c r="K37" t="s">
        <v>164</v>
      </c>
      <c r="L37" t="s">
        <v>204</v>
      </c>
      <c r="M37">
        <v>1</v>
      </c>
      <c r="N37">
        <v>93.41</v>
      </c>
      <c r="O37">
        <v>93.41</v>
      </c>
      <c r="P37">
        <v>0</v>
      </c>
      <c r="Q37">
        <v>0</v>
      </c>
      <c r="R37">
        <v>93.41</v>
      </c>
      <c r="S37">
        <v>64.05</v>
      </c>
      <c r="T37">
        <v>29.36</v>
      </c>
      <c r="U37" t="s">
        <v>180</v>
      </c>
      <c r="V37" t="s">
        <v>159</v>
      </c>
    </row>
    <row r="38" spans="1:22">
      <c r="A38" t="s">
        <v>842</v>
      </c>
      <c r="B38" s="1">
        <v>45280</v>
      </c>
      <c r="C38" t="s">
        <v>245</v>
      </c>
      <c r="D38">
        <v>2023</v>
      </c>
      <c r="E38" t="s">
        <v>184</v>
      </c>
      <c r="F38" t="s">
        <v>843</v>
      </c>
      <c r="G38" t="s">
        <v>129</v>
      </c>
      <c r="H38" t="s">
        <v>130</v>
      </c>
      <c r="I38" t="s">
        <v>115</v>
      </c>
      <c r="J38" t="s">
        <v>124</v>
      </c>
      <c r="K38" t="s">
        <v>178</v>
      </c>
      <c r="L38" t="s">
        <v>157</v>
      </c>
      <c r="M38">
        <v>3</v>
      </c>
      <c r="N38">
        <v>99.34</v>
      </c>
      <c r="O38">
        <v>298.02</v>
      </c>
      <c r="P38">
        <v>20</v>
      </c>
      <c r="Q38">
        <v>59.6</v>
      </c>
      <c r="R38">
        <v>238.42</v>
      </c>
      <c r="S38">
        <v>112.05</v>
      </c>
      <c r="T38">
        <v>126.37</v>
      </c>
      <c r="U38" t="s">
        <v>166</v>
      </c>
      <c r="V38" t="s">
        <v>181</v>
      </c>
    </row>
    <row r="39" spans="1:22">
      <c r="A39" t="s">
        <v>2027</v>
      </c>
      <c r="B39" s="1">
        <v>45280</v>
      </c>
      <c r="C39" t="s">
        <v>245</v>
      </c>
      <c r="D39">
        <v>2023</v>
      </c>
      <c r="E39" t="s">
        <v>184</v>
      </c>
      <c r="F39" t="s">
        <v>2028</v>
      </c>
      <c r="G39" t="s">
        <v>39</v>
      </c>
      <c r="H39" t="s">
        <v>40</v>
      </c>
      <c r="I39" t="s">
        <v>41</v>
      </c>
      <c r="J39" t="s">
        <v>42</v>
      </c>
      <c r="K39" t="s">
        <v>209</v>
      </c>
      <c r="L39" t="s">
        <v>165</v>
      </c>
      <c r="M39">
        <v>2</v>
      </c>
      <c r="N39">
        <v>35.11</v>
      </c>
      <c r="O39">
        <v>70.22</v>
      </c>
      <c r="P39">
        <v>0</v>
      </c>
      <c r="Q39">
        <v>0</v>
      </c>
      <c r="R39">
        <v>70.22</v>
      </c>
      <c r="S39">
        <v>49.74</v>
      </c>
      <c r="T39">
        <v>20.48</v>
      </c>
      <c r="U39" t="s">
        <v>180</v>
      </c>
      <c r="V39" t="s">
        <v>159</v>
      </c>
    </row>
    <row r="40" spans="1:22">
      <c r="A40" t="s">
        <v>1301</v>
      </c>
      <c r="B40" s="1">
        <v>45279</v>
      </c>
      <c r="C40" t="s">
        <v>245</v>
      </c>
      <c r="D40">
        <v>2023</v>
      </c>
      <c r="E40" t="s">
        <v>184</v>
      </c>
      <c r="F40" t="s">
        <v>1302</v>
      </c>
      <c r="G40" t="s">
        <v>33</v>
      </c>
      <c r="H40" t="s">
        <v>34</v>
      </c>
      <c r="I40" t="s">
        <v>14</v>
      </c>
      <c r="J40" t="s">
        <v>27</v>
      </c>
      <c r="K40" t="s">
        <v>209</v>
      </c>
      <c r="L40" t="s">
        <v>165</v>
      </c>
      <c r="M40">
        <v>4</v>
      </c>
      <c r="N40">
        <v>124.26</v>
      </c>
      <c r="O40">
        <v>497.04</v>
      </c>
      <c r="P40">
        <v>0</v>
      </c>
      <c r="Q40">
        <v>0</v>
      </c>
      <c r="R40">
        <v>497.04</v>
      </c>
      <c r="S40">
        <v>210.48</v>
      </c>
      <c r="T40">
        <v>286.56</v>
      </c>
      <c r="U40" t="s">
        <v>190</v>
      </c>
      <c r="V40" t="s">
        <v>186</v>
      </c>
    </row>
    <row r="41" spans="1:22">
      <c r="A41" t="s">
        <v>1526</v>
      </c>
      <c r="B41" s="1">
        <v>45279</v>
      </c>
      <c r="C41" t="s">
        <v>245</v>
      </c>
      <c r="D41">
        <v>2023</v>
      </c>
      <c r="E41" t="s">
        <v>184</v>
      </c>
      <c r="F41" t="s">
        <v>1527</v>
      </c>
      <c r="G41" t="s">
        <v>28</v>
      </c>
      <c r="H41" t="s">
        <v>29</v>
      </c>
      <c r="I41" t="s">
        <v>14</v>
      </c>
      <c r="J41" t="s">
        <v>19</v>
      </c>
      <c r="K41" t="s">
        <v>178</v>
      </c>
      <c r="L41" t="s">
        <v>204</v>
      </c>
      <c r="M41">
        <v>4</v>
      </c>
      <c r="N41">
        <v>26.46</v>
      </c>
      <c r="O41">
        <v>105.84</v>
      </c>
      <c r="P41">
        <v>15</v>
      </c>
      <c r="Q41">
        <v>15.88</v>
      </c>
      <c r="R41">
        <v>89.96</v>
      </c>
      <c r="S41">
        <v>77.680000000000007</v>
      </c>
      <c r="T41">
        <v>12.28</v>
      </c>
      <c r="U41" t="s">
        <v>166</v>
      </c>
      <c r="V41" t="s">
        <v>159</v>
      </c>
    </row>
    <row r="42" spans="1:22">
      <c r="A42" t="s">
        <v>624</v>
      </c>
      <c r="B42" s="1">
        <v>45278</v>
      </c>
      <c r="C42" t="s">
        <v>245</v>
      </c>
      <c r="D42">
        <v>2023</v>
      </c>
      <c r="E42" t="s">
        <v>184</v>
      </c>
      <c r="F42" t="s">
        <v>625</v>
      </c>
      <c r="G42" t="s">
        <v>62</v>
      </c>
      <c r="H42" t="s">
        <v>63</v>
      </c>
      <c r="I42" t="s">
        <v>41</v>
      </c>
      <c r="J42" t="s">
        <v>45</v>
      </c>
      <c r="K42" t="s">
        <v>178</v>
      </c>
      <c r="L42" t="s">
        <v>165</v>
      </c>
      <c r="M42">
        <v>2</v>
      </c>
      <c r="N42">
        <v>160.35</v>
      </c>
      <c r="O42">
        <v>320.7</v>
      </c>
      <c r="P42">
        <v>5</v>
      </c>
      <c r="Q42">
        <v>16.04</v>
      </c>
      <c r="R42">
        <v>304.66000000000003</v>
      </c>
      <c r="S42">
        <v>144.94</v>
      </c>
      <c r="T42">
        <v>159.72</v>
      </c>
      <c r="U42" t="s">
        <v>158</v>
      </c>
      <c r="V42" t="s">
        <v>159</v>
      </c>
    </row>
    <row r="43" spans="1:22">
      <c r="A43" t="s">
        <v>1989</v>
      </c>
      <c r="B43" s="1">
        <v>45278</v>
      </c>
      <c r="C43" t="s">
        <v>245</v>
      </c>
      <c r="D43">
        <v>2023</v>
      </c>
      <c r="E43" t="s">
        <v>184</v>
      </c>
      <c r="F43" t="s">
        <v>1558</v>
      </c>
      <c r="G43" t="s">
        <v>86</v>
      </c>
      <c r="H43" t="s">
        <v>87</v>
      </c>
      <c r="I43" t="s">
        <v>66</v>
      </c>
      <c r="J43" t="s">
        <v>67</v>
      </c>
      <c r="K43" t="s">
        <v>156</v>
      </c>
      <c r="L43" t="s">
        <v>204</v>
      </c>
      <c r="M43">
        <v>2</v>
      </c>
      <c r="N43">
        <v>124.77</v>
      </c>
      <c r="O43">
        <v>249.54</v>
      </c>
      <c r="P43">
        <v>15</v>
      </c>
      <c r="Q43">
        <v>37.43</v>
      </c>
      <c r="R43">
        <v>212.11</v>
      </c>
      <c r="S43">
        <v>139.28</v>
      </c>
      <c r="T43">
        <v>72.83</v>
      </c>
      <c r="U43" t="s">
        <v>166</v>
      </c>
      <c r="V43" t="s">
        <v>181</v>
      </c>
    </row>
    <row r="44" spans="1:22">
      <c r="A44" t="s">
        <v>380</v>
      </c>
      <c r="B44" s="1">
        <v>45278</v>
      </c>
      <c r="C44" t="s">
        <v>245</v>
      </c>
      <c r="D44">
        <v>2023</v>
      </c>
      <c r="E44" t="s">
        <v>184</v>
      </c>
      <c r="F44" t="s">
        <v>381</v>
      </c>
      <c r="G44" t="s">
        <v>88</v>
      </c>
      <c r="H44" t="s">
        <v>89</v>
      </c>
      <c r="I44" t="s">
        <v>90</v>
      </c>
      <c r="J44" t="s">
        <v>91</v>
      </c>
      <c r="K44" t="s">
        <v>164</v>
      </c>
      <c r="L44" t="s">
        <v>165</v>
      </c>
      <c r="M44">
        <v>4</v>
      </c>
      <c r="N44">
        <v>54.64</v>
      </c>
      <c r="O44">
        <v>218.56</v>
      </c>
      <c r="P44">
        <v>5</v>
      </c>
      <c r="Q44">
        <v>10.93</v>
      </c>
      <c r="R44">
        <v>207.63</v>
      </c>
      <c r="S44">
        <v>81.28</v>
      </c>
      <c r="T44">
        <v>126.35</v>
      </c>
      <c r="U44" t="s">
        <v>180</v>
      </c>
      <c r="V44" t="s">
        <v>159</v>
      </c>
    </row>
    <row r="45" spans="1:22">
      <c r="A45" t="s">
        <v>1477</v>
      </c>
      <c r="B45" s="1">
        <v>45278</v>
      </c>
      <c r="C45" t="s">
        <v>245</v>
      </c>
      <c r="D45">
        <v>2023</v>
      </c>
      <c r="E45" t="s">
        <v>184</v>
      </c>
      <c r="F45" t="s">
        <v>518</v>
      </c>
      <c r="G45" t="s">
        <v>50</v>
      </c>
      <c r="H45" t="s">
        <v>51</v>
      </c>
      <c r="I45" t="s">
        <v>41</v>
      </c>
      <c r="J45" t="s">
        <v>52</v>
      </c>
      <c r="K45" t="s">
        <v>178</v>
      </c>
      <c r="L45" t="s">
        <v>174</v>
      </c>
      <c r="M45">
        <v>2</v>
      </c>
      <c r="N45">
        <v>143.80000000000001</v>
      </c>
      <c r="O45">
        <v>287.60000000000002</v>
      </c>
      <c r="P45">
        <v>0</v>
      </c>
      <c r="Q45">
        <v>0</v>
      </c>
      <c r="R45">
        <v>287.60000000000002</v>
      </c>
      <c r="S45">
        <v>124.3</v>
      </c>
      <c r="T45">
        <v>163.30000000000001</v>
      </c>
      <c r="U45" t="s">
        <v>180</v>
      </c>
      <c r="V45" t="s">
        <v>159</v>
      </c>
    </row>
    <row r="46" spans="1:22">
      <c r="A46" t="s">
        <v>1307</v>
      </c>
      <c r="B46" s="1">
        <v>45278</v>
      </c>
      <c r="C46" t="s">
        <v>245</v>
      </c>
      <c r="D46">
        <v>2023</v>
      </c>
      <c r="E46" t="s">
        <v>184</v>
      </c>
      <c r="F46" t="s">
        <v>1308</v>
      </c>
      <c r="G46" t="s">
        <v>105</v>
      </c>
      <c r="H46" t="s">
        <v>106</v>
      </c>
      <c r="I46" t="s">
        <v>90</v>
      </c>
      <c r="J46" t="s">
        <v>91</v>
      </c>
      <c r="K46" t="s">
        <v>209</v>
      </c>
      <c r="L46" t="s">
        <v>165</v>
      </c>
      <c r="M46">
        <v>2</v>
      </c>
      <c r="N46">
        <v>36.35</v>
      </c>
      <c r="O46">
        <v>72.7</v>
      </c>
      <c r="P46">
        <v>10</v>
      </c>
      <c r="Q46">
        <v>7.27</v>
      </c>
      <c r="R46">
        <v>65.430000000000007</v>
      </c>
      <c r="S46">
        <v>60.04</v>
      </c>
      <c r="T46">
        <v>5.39</v>
      </c>
      <c r="U46" t="s">
        <v>195</v>
      </c>
      <c r="V46" t="s">
        <v>159</v>
      </c>
    </row>
    <row r="47" spans="1:22">
      <c r="A47" t="s">
        <v>1733</v>
      </c>
      <c r="B47" s="1">
        <v>45277</v>
      </c>
      <c r="C47" t="s">
        <v>245</v>
      </c>
      <c r="D47">
        <v>2023</v>
      </c>
      <c r="E47" t="s">
        <v>184</v>
      </c>
      <c r="F47" t="s">
        <v>1734</v>
      </c>
      <c r="G47" t="s">
        <v>101</v>
      </c>
      <c r="H47" t="s">
        <v>102</v>
      </c>
      <c r="I47" t="s">
        <v>90</v>
      </c>
      <c r="J47" t="s">
        <v>100</v>
      </c>
      <c r="K47" t="s">
        <v>178</v>
      </c>
      <c r="L47" t="s">
        <v>165</v>
      </c>
      <c r="M47">
        <v>2</v>
      </c>
      <c r="N47">
        <v>196.28</v>
      </c>
      <c r="O47">
        <v>392.56</v>
      </c>
      <c r="P47">
        <v>20</v>
      </c>
      <c r="Q47">
        <v>78.510000000000005</v>
      </c>
      <c r="R47">
        <v>314.05</v>
      </c>
      <c r="S47">
        <v>143.46</v>
      </c>
      <c r="T47">
        <v>170.59</v>
      </c>
      <c r="U47" t="s">
        <v>158</v>
      </c>
      <c r="V47" t="s">
        <v>181</v>
      </c>
    </row>
    <row r="48" spans="1:22">
      <c r="A48" t="s">
        <v>789</v>
      </c>
      <c r="B48" s="1">
        <v>45277</v>
      </c>
      <c r="C48" t="s">
        <v>245</v>
      </c>
      <c r="D48">
        <v>2023</v>
      </c>
      <c r="E48" t="s">
        <v>184</v>
      </c>
      <c r="F48" t="s">
        <v>790</v>
      </c>
      <c r="G48" t="s">
        <v>95</v>
      </c>
      <c r="H48" t="s">
        <v>96</v>
      </c>
      <c r="I48" t="s">
        <v>90</v>
      </c>
      <c r="J48" t="s">
        <v>97</v>
      </c>
      <c r="K48" t="s">
        <v>164</v>
      </c>
      <c r="L48" t="s">
        <v>165</v>
      </c>
      <c r="M48">
        <v>4</v>
      </c>
      <c r="N48">
        <v>177.41</v>
      </c>
      <c r="O48">
        <v>709.64</v>
      </c>
      <c r="P48">
        <v>5</v>
      </c>
      <c r="Q48">
        <v>35.479999999999997</v>
      </c>
      <c r="R48">
        <v>674.16</v>
      </c>
      <c r="S48">
        <v>299.95999999999998</v>
      </c>
      <c r="T48">
        <v>374.2</v>
      </c>
      <c r="U48" t="s">
        <v>180</v>
      </c>
      <c r="V48" t="s">
        <v>186</v>
      </c>
    </row>
    <row r="49" spans="1:22">
      <c r="A49" t="s">
        <v>701</v>
      </c>
      <c r="B49" s="1">
        <v>45277</v>
      </c>
      <c r="C49" t="s">
        <v>245</v>
      </c>
      <c r="D49">
        <v>2023</v>
      </c>
      <c r="E49" t="s">
        <v>184</v>
      </c>
      <c r="F49" t="s">
        <v>702</v>
      </c>
      <c r="G49" t="s">
        <v>53</v>
      </c>
      <c r="H49" t="s">
        <v>54</v>
      </c>
      <c r="I49" t="s">
        <v>41</v>
      </c>
      <c r="J49" t="s">
        <v>45</v>
      </c>
      <c r="K49" t="s">
        <v>209</v>
      </c>
      <c r="L49" t="s">
        <v>165</v>
      </c>
      <c r="M49">
        <v>2</v>
      </c>
      <c r="N49">
        <v>51.98</v>
      </c>
      <c r="O49">
        <v>103.96</v>
      </c>
      <c r="P49">
        <v>0</v>
      </c>
      <c r="Q49">
        <v>0</v>
      </c>
      <c r="R49">
        <v>103.96</v>
      </c>
      <c r="S49">
        <v>66.08</v>
      </c>
      <c r="T49">
        <v>37.880000000000003</v>
      </c>
      <c r="U49" t="s">
        <v>158</v>
      </c>
      <c r="V49" t="s">
        <v>159</v>
      </c>
    </row>
    <row r="50" spans="1:22">
      <c r="A50" t="s">
        <v>1892</v>
      </c>
      <c r="B50" s="1">
        <v>45277</v>
      </c>
      <c r="C50" t="s">
        <v>245</v>
      </c>
      <c r="D50">
        <v>2023</v>
      </c>
      <c r="E50" t="s">
        <v>184</v>
      </c>
      <c r="F50" t="s">
        <v>1507</v>
      </c>
      <c r="G50" t="s">
        <v>53</v>
      </c>
      <c r="H50" t="s">
        <v>54</v>
      </c>
      <c r="I50" t="s">
        <v>41</v>
      </c>
      <c r="J50" t="s">
        <v>45</v>
      </c>
      <c r="K50" t="s">
        <v>178</v>
      </c>
      <c r="L50" t="s">
        <v>179</v>
      </c>
      <c r="M50">
        <v>2</v>
      </c>
      <c r="N50">
        <v>51.98</v>
      </c>
      <c r="O50">
        <v>103.96</v>
      </c>
      <c r="P50">
        <v>15</v>
      </c>
      <c r="Q50">
        <v>15.59</v>
      </c>
      <c r="R50">
        <v>88.37</v>
      </c>
      <c r="S50">
        <v>66.08</v>
      </c>
      <c r="T50">
        <v>22.29</v>
      </c>
      <c r="U50" t="s">
        <v>180</v>
      </c>
      <c r="V50" t="s">
        <v>186</v>
      </c>
    </row>
    <row r="51" spans="1:22">
      <c r="A51" t="s">
        <v>1917</v>
      </c>
      <c r="B51" s="1">
        <v>45277</v>
      </c>
      <c r="C51" t="s">
        <v>245</v>
      </c>
      <c r="D51">
        <v>2023</v>
      </c>
      <c r="E51" t="s">
        <v>184</v>
      </c>
      <c r="F51" t="s">
        <v>1918</v>
      </c>
      <c r="G51" t="s">
        <v>113</v>
      </c>
      <c r="H51" t="s">
        <v>114</v>
      </c>
      <c r="I51" t="s">
        <v>115</v>
      </c>
      <c r="J51" t="s">
        <v>116</v>
      </c>
      <c r="K51" t="s">
        <v>156</v>
      </c>
      <c r="L51" t="s">
        <v>179</v>
      </c>
      <c r="M51">
        <v>3</v>
      </c>
      <c r="N51">
        <v>18.7</v>
      </c>
      <c r="O51">
        <v>56.099999999999994</v>
      </c>
      <c r="P51">
        <v>20</v>
      </c>
      <c r="Q51">
        <v>11.22</v>
      </c>
      <c r="R51">
        <v>44.88</v>
      </c>
      <c r="S51">
        <v>20.58</v>
      </c>
      <c r="T51">
        <v>24.3</v>
      </c>
      <c r="U51" t="s">
        <v>180</v>
      </c>
      <c r="V51" t="s">
        <v>186</v>
      </c>
    </row>
    <row r="52" spans="1:22">
      <c r="A52" t="s">
        <v>1439</v>
      </c>
      <c r="B52" s="1">
        <v>45277</v>
      </c>
      <c r="C52" t="s">
        <v>245</v>
      </c>
      <c r="D52">
        <v>2023</v>
      </c>
      <c r="E52" t="s">
        <v>184</v>
      </c>
      <c r="F52" t="s">
        <v>1440</v>
      </c>
      <c r="G52" t="s">
        <v>135</v>
      </c>
      <c r="H52" t="s">
        <v>136</v>
      </c>
      <c r="I52" t="s">
        <v>115</v>
      </c>
      <c r="J52" t="s">
        <v>119</v>
      </c>
      <c r="K52" t="s">
        <v>209</v>
      </c>
      <c r="L52" t="s">
        <v>174</v>
      </c>
      <c r="M52">
        <v>4</v>
      </c>
      <c r="N52">
        <v>89.62</v>
      </c>
      <c r="O52">
        <v>358.48</v>
      </c>
      <c r="P52">
        <v>0</v>
      </c>
      <c r="Q52">
        <v>0</v>
      </c>
      <c r="R52">
        <v>358.48</v>
      </c>
      <c r="S52">
        <v>152.52000000000001</v>
      </c>
      <c r="T52">
        <v>205.96</v>
      </c>
      <c r="U52" t="s">
        <v>180</v>
      </c>
      <c r="V52" t="s">
        <v>186</v>
      </c>
    </row>
    <row r="53" spans="1:22">
      <c r="A53" t="s">
        <v>326</v>
      </c>
      <c r="B53" s="1">
        <v>45276</v>
      </c>
      <c r="C53" t="s">
        <v>245</v>
      </c>
      <c r="D53">
        <v>2023</v>
      </c>
      <c r="E53" t="s">
        <v>184</v>
      </c>
      <c r="F53" t="s">
        <v>327</v>
      </c>
      <c r="G53" t="s">
        <v>111</v>
      </c>
      <c r="H53" t="s">
        <v>112</v>
      </c>
      <c r="I53" t="s">
        <v>90</v>
      </c>
      <c r="J53" t="s">
        <v>97</v>
      </c>
      <c r="K53" t="s">
        <v>164</v>
      </c>
      <c r="L53" t="s">
        <v>232</v>
      </c>
      <c r="M53">
        <v>4</v>
      </c>
      <c r="N53">
        <v>189.99</v>
      </c>
      <c r="O53">
        <v>759.96</v>
      </c>
      <c r="P53">
        <v>10</v>
      </c>
      <c r="Q53">
        <v>76</v>
      </c>
      <c r="R53">
        <v>683.96</v>
      </c>
      <c r="S53">
        <v>254.04</v>
      </c>
      <c r="T53">
        <v>429.92</v>
      </c>
      <c r="U53" t="s">
        <v>190</v>
      </c>
      <c r="V53" t="s">
        <v>159</v>
      </c>
    </row>
    <row r="54" spans="1:22">
      <c r="A54" t="s">
        <v>1665</v>
      </c>
      <c r="B54" s="1">
        <v>45276</v>
      </c>
      <c r="C54" t="s">
        <v>245</v>
      </c>
      <c r="D54">
        <v>2023</v>
      </c>
      <c r="E54" t="s">
        <v>184</v>
      </c>
      <c r="F54" t="s">
        <v>1666</v>
      </c>
      <c r="G54" t="s">
        <v>105</v>
      </c>
      <c r="H54" t="s">
        <v>106</v>
      </c>
      <c r="I54" t="s">
        <v>90</v>
      </c>
      <c r="J54" t="s">
        <v>91</v>
      </c>
      <c r="K54" t="s">
        <v>164</v>
      </c>
      <c r="L54" t="s">
        <v>174</v>
      </c>
      <c r="M54">
        <v>3</v>
      </c>
      <c r="N54">
        <v>36.35</v>
      </c>
      <c r="O54">
        <v>109.05000000000001</v>
      </c>
      <c r="P54">
        <v>0</v>
      </c>
      <c r="Q54">
        <v>0</v>
      </c>
      <c r="R54">
        <v>109.05</v>
      </c>
      <c r="S54">
        <v>90.06</v>
      </c>
      <c r="T54">
        <v>18.989999999999998</v>
      </c>
      <c r="U54" t="s">
        <v>158</v>
      </c>
      <c r="V54" t="s">
        <v>159</v>
      </c>
    </row>
    <row r="55" spans="1:22">
      <c r="A55" t="s">
        <v>1389</v>
      </c>
      <c r="B55" s="1">
        <v>45276</v>
      </c>
      <c r="C55" t="s">
        <v>245</v>
      </c>
      <c r="D55">
        <v>2023</v>
      </c>
      <c r="E55" t="s">
        <v>184</v>
      </c>
      <c r="F55" t="s">
        <v>502</v>
      </c>
      <c r="G55" t="s">
        <v>76</v>
      </c>
      <c r="H55" t="s">
        <v>77</v>
      </c>
      <c r="I55" t="s">
        <v>66</v>
      </c>
      <c r="J55" t="s">
        <v>67</v>
      </c>
      <c r="K55" t="s">
        <v>156</v>
      </c>
      <c r="L55" t="s">
        <v>232</v>
      </c>
      <c r="M55">
        <v>2</v>
      </c>
      <c r="N55">
        <v>118.07</v>
      </c>
      <c r="O55">
        <v>236.14</v>
      </c>
      <c r="P55">
        <v>10</v>
      </c>
      <c r="Q55">
        <v>23.61</v>
      </c>
      <c r="R55">
        <v>212.53</v>
      </c>
      <c r="S55">
        <v>79.400000000000006</v>
      </c>
      <c r="T55">
        <v>133.13</v>
      </c>
      <c r="U55" t="s">
        <v>195</v>
      </c>
      <c r="V55" t="s">
        <v>159</v>
      </c>
    </row>
    <row r="56" spans="1:22">
      <c r="A56" t="s">
        <v>1291</v>
      </c>
      <c r="B56" s="1">
        <v>45276</v>
      </c>
      <c r="C56" t="s">
        <v>245</v>
      </c>
      <c r="D56">
        <v>2023</v>
      </c>
      <c r="E56" t="s">
        <v>184</v>
      </c>
      <c r="F56" t="s">
        <v>1116</v>
      </c>
      <c r="G56" t="s">
        <v>48</v>
      </c>
      <c r="H56" t="s">
        <v>49</v>
      </c>
      <c r="I56" t="s">
        <v>41</v>
      </c>
      <c r="J56" t="s">
        <v>42</v>
      </c>
      <c r="K56" t="s">
        <v>156</v>
      </c>
      <c r="L56" t="s">
        <v>204</v>
      </c>
      <c r="M56">
        <v>3</v>
      </c>
      <c r="N56">
        <v>84.95</v>
      </c>
      <c r="O56">
        <v>254.85000000000002</v>
      </c>
      <c r="P56">
        <v>0</v>
      </c>
      <c r="Q56">
        <v>0</v>
      </c>
      <c r="R56">
        <v>254.85</v>
      </c>
      <c r="S56">
        <v>159.21</v>
      </c>
      <c r="T56">
        <v>95.64</v>
      </c>
      <c r="U56" t="s">
        <v>190</v>
      </c>
      <c r="V56" t="s">
        <v>159</v>
      </c>
    </row>
    <row r="57" spans="1:22">
      <c r="A57" t="s">
        <v>324</v>
      </c>
      <c r="B57" s="1">
        <v>45276</v>
      </c>
      <c r="C57" t="s">
        <v>245</v>
      </c>
      <c r="D57">
        <v>2023</v>
      </c>
      <c r="E57" t="s">
        <v>184</v>
      </c>
      <c r="F57" t="s">
        <v>325</v>
      </c>
      <c r="G57" t="s">
        <v>53</v>
      </c>
      <c r="H57" t="s">
        <v>54</v>
      </c>
      <c r="I57" t="s">
        <v>41</v>
      </c>
      <c r="J57" t="s">
        <v>45</v>
      </c>
      <c r="K57" t="s">
        <v>156</v>
      </c>
      <c r="L57" t="s">
        <v>157</v>
      </c>
      <c r="M57">
        <v>4</v>
      </c>
      <c r="N57">
        <v>51.98</v>
      </c>
      <c r="O57">
        <v>207.92</v>
      </c>
      <c r="P57">
        <v>10</v>
      </c>
      <c r="Q57">
        <v>20.79</v>
      </c>
      <c r="R57">
        <v>187.13</v>
      </c>
      <c r="S57">
        <v>132.16</v>
      </c>
      <c r="T57">
        <v>54.97</v>
      </c>
      <c r="U57" t="s">
        <v>190</v>
      </c>
      <c r="V57" t="s">
        <v>159</v>
      </c>
    </row>
    <row r="58" spans="1:22">
      <c r="A58" t="s">
        <v>983</v>
      </c>
      <c r="B58" s="1">
        <v>45276</v>
      </c>
      <c r="C58" t="s">
        <v>245</v>
      </c>
      <c r="D58">
        <v>2023</v>
      </c>
      <c r="E58" t="s">
        <v>184</v>
      </c>
      <c r="F58" t="s">
        <v>984</v>
      </c>
      <c r="G58" t="s">
        <v>21</v>
      </c>
      <c r="H58" t="s">
        <v>22</v>
      </c>
      <c r="I58" t="s">
        <v>14</v>
      </c>
      <c r="J58" t="s">
        <v>15</v>
      </c>
      <c r="K58" t="s">
        <v>156</v>
      </c>
      <c r="L58" t="s">
        <v>179</v>
      </c>
      <c r="M58">
        <v>4</v>
      </c>
      <c r="N58">
        <v>65.430000000000007</v>
      </c>
      <c r="O58">
        <v>261.72000000000003</v>
      </c>
      <c r="P58">
        <v>0</v>
      </c>
      <c r="Q58">
        <v>0</v>
      </c>
      <c r="R58">
        <v>261.72000000000003</v>
      </c>
      <c r="S58">
        <v>154.76</v>
      </c>
      <c r="T58">
        <v>106.96</v>
      </c>
      <c r="U58" t="s">
        <v>190</v>
      </c>
      <c r="V58" t="s">
        <v>181</v>
      </c>
    </row>
    <row r="59" spans="1:22">
      <c r="A59" t="s">
        <v>1637</v>
      </c>
      <c r="B59" s="1">
        <v>45276</v>
      </c>
      <c r="C59" t="s">
        <v>245</v>
      </c>
      <c r="D59">
        <v>2023</v>
      </c>
      <c r="E59" t="s">
        <v>184</v>
      </c>
      <c r="F59" t="s">
        <v>1638</v>
      </c>
      <c r="G59" t="s">
        <v>122</v>
      </c>
      <c r="H59" t="s">
        <v>123</v>
      </c>
      <c r="I59" t="s">
        <v>115</v>
      </c>
      <c r="J59" t="s">
        <v>124</v>
      </c>
      <c r="K59" t="s">
        <v>209</v>
      </c>
      <c r="L59" t="s">
        <v>174</v>
      </c>
      <c r="M59">
        <v>3</v>
      </c>
      <c r="N59">
        <v>93.88</v>
      </c>
      <c r="O59">
        <v>281.64</v>
      </c>
      <c r="P59">
        <v>10</v>
      </c>
      <c r="Q59">
        <v>28.16</v>
      </c>
      <c r="R59">
        <v>253.48</v>
      </c>
      <c r="S59">
        <v>159.33000000000001</v>
      </c>
      <c r="T59">
        <v>94.15</v>
      </c>
      <c r="U59" t="s">
        <v>166</v>
      </c>
      <c r="V59" t="s">
        <v>159</v>
      </c>
    </row>
    <row r="60" spans="1:22">
      <c r="A60" t="s">
        <v>1975</v>
      </c>
      <c r="B60" s="1">
        <v>45275</v>
      </c>
      <c r="C60" t="s">
        <v>245</v>
      </c>
      <c r="D60">
        <v>2023</v>
      </c>
      <c r="E60" t="s">
        <v>184</v>
      </c>
      <c r="F60" t="s">
        <v>1918</v>
      </c>
      <c r="G60" t="s">
        <v>17</v>
      </c>
      <c r="H60" t="s">
        <v>18</v>
      </c>
      <c r="I60" t="s">
        <v>14</v>
      </c>
      <c r="J60" t="s">
        <v>19</v>
      </c>
      <c r="K60" t="s">
        <v>164</v>
      </c>
      <c r="L60" t="s">
        <v>194</v>
      </c>
      <c r="M60">
        <v>3</v>
      </c>
      <c r="N60">
        <v>53.26</v>
      </c>
      <c r="O60">
        <v>159.78</v>
      </c>
      <c r="P60">
        <v>15</v>
      </c>
      <c r="Q60">
        <v>23.97</v>
      </c>
      <c r="R60">
        <v>135.81</v>
      </c>
      <c r="S60">
        <v>109.92</v>
      </c>
      <c r="T60">
        <v>25.89</v>
      </c>
      <c r="U60" t="s">
        <v>166</v>
      </c>
      <c r="V60" t="s">
        <v>159</v>
      </c>
    </row>
    <row r="61" spans="1:22">
      <c r="A61" t="s">
        <v>1467</v>
      </c>
      <c r="B61" s="1">
        <v>45274</v>
      </c>
      <c r="C61" t="s">
        <v>245</v>
      </c>
      <c r="D61">
        <v>2023</v>
      </c>
      <c r="E61" t="s">
        <v>184</v>
      </c>
      <c r="F61" t="s">
        <v>1323</v>
      </c>
      <c r="G61" t="s">
        <v>129</v>
      </c>
      <c r="H61" t="s">
        <v>130</v>
      </c>
      <c r="I61" t="s">
        <v>115</v>
      </c>
      <c r="J61" t="s">
        <v>124</v>
      </c>
      <c r="K61" t="s">
        <v>156</v>
      </c>
      <c r="L61" t="s">
        <v>204</v>
      </c>
      <c r="M61">
        <v>4</v>
      </c>
      <c r="N61">
        <v>99.34</v>
      </c>
      <c r="O61">
        <v>397.36</v>
      </c>
      <c r="P61">
        <v>10</v>
      </c>
      <c r="Q61">
        <v>39.74</v>
      </c>
      <c r="R61">
        <v>357.62</v>
      </c>
      <c r="S61">
        <v>149.4</v>
      </c>
      <c r="T61">
        <v>208.22</v>
      </c>
      <c r="U61" t="s">
        <v>190</v>
      </c>
      <c r="V61" t="s">
        <v>181</v>
      </c>
    </row>
    <row r="62" spans="1:22">
      <c r="A62" t="s">
        <v>1052</v>
      </c>
      <c r="B62" s="1">
        <v>45273</v>
      </c>
      <c r="C62" t="s">
        <v>245</v>
      </c>
      <c r="D62">
        <v>2023</v>
      </c>
      <c r="E62" t="s">
        <v>184</v>
      </c>
      <c r="F62" t="s">
        <v>1053</v>
      </c>
      <c r="G62" t="s">
        <v>64</v>
      </c>
      <c r="H62" t="s">
        <v>65</v>
      </c>
      <c r="I62" t="s">
        <v>66</v>
      </c>
      <c r="J62" t="s">
        <v>67</v>
      </c>
      <c r="K62" t="s">
        <v>156</v>
      </c>
      <c r="L62" t="s">
        <v>157</v>
      </c>
      <c r="M62">
        <v>2</v>
      </c>
      <c r="N62">
        <v>24.9</v>
      </c>
      <c r="O62">
        <v>49.8</v>
      </c>
      <c r="P62">
        <v>0</v>
      </c>
      <c r="Q62">
        <v>0</v>
      </c>
      <c r="R62">
        <v>49.8</v>
      </c>
      <c r="S62">
        <v>43.04</v>
      </c>
      <c r="T62">
        <v>6.76</v>
      </c>
      <c r="U62" t="s">
        <v>195</v>
      </c>
      <c r="V62" t="s">
        <v>159</v>
      </c>
    </row>
    <row r="63" spans="1:22">
      <c r="A63" t="s">
        <v>1944</v>
      </c>
      <c r="B63" s="1">
        <v>45273</v>
      </c>
      <c r="C63" t="s">
        <v>245</v>
      </c>
      <c r="D63">
        <v>2023</v>
      </c>
      <c r="E63" t="s">
        <v>184</v>
      </c>
      <c r="F63" t="s">
        <v>1945</v>
      </c>
      <c r="G63" t="s">
        <v>48</v>
      </c>
      <c r="H63" t="s">
        <v>49</v>
      </c>
      <c r="I63" t="s">
        <v>41</v>
      </c>
      <c r="J63" t="s">
        <v>42</v>
      </c>
      <c r="K63" t="s">
        <v>164</v>
      </c>
      <c r="L63" t="s">
        <v>157</v>
      </c>
      <c r="M63">
        <v>3</v>
      </c>
      <c r="N63">
        <v>84.95</v>
      </c>
      <c r="O63">
        <v>254.85000000000002</v>
      </c>
      <c r="P63">
        <v>15</v>
      </c>
      <c r="Q63">
        <v>38.229999999999997</v>
      </c>
      <c r="R63">
        <v>216.62</v>
      </c>
      <c r="S63">
        <v>159.21</v>
      </c>
      <c r="T63">
        <v>57.41</v>
      </c>
      <c r="U63" t="s">
        <v>180</v>
      </c>
      <c r="V63" t="s">
        <v>159</v>
      </c>
    </row>
    <row r="64" spans="1:22">
      <c r="A64" t="s">
        <v>653</v>
      </c>
      <c r="B64" s="1">
        <v>45271</v>
      </c>
      <c r="C64" t="s">
        <v>245</v>
      </c>
      <c r="D64">
        <v>2023</v>
      </c>
      <c r="E64" t="s">
        <v>184</v>
      </c>
      <c r="F64" t="s">
        <v>654</v>
      </c>
      <c r="G64" t="s">
        <v>21</v>
      </c>
      <c r="H64" t="s">
        <v>22</v>
      </c>
      <c r="I64" t="s">
        <v>14</v>
      </c>
      <c r="J64" t="s">
        <v>15</v>
      </c>
      <c r="K64" t="s">
        <v>209</v>
      </c>
      <c r="L64" t="s">
        <v>157</v>
      </c>
      <c r="M64">
        <v>4</v>
      </c>
      <c r="N64">
        <v>65.430000000000007</v>
      </c>
      <c r="O64">
        <v>261.72000000000003</v>
      </c>
      <c r="P64">
        <v>10</v>
      </c>
      <c r="Q64">
        <v>26.17</v>
      </c>
      <c r="R64">
        <v>235.55</v>
      </c>
      <c r="S64">
        <v>154.76</v>
      </c>
      <c r="T64">
        <v>80.790000000000006</v>
      </c>
      <c r="U64" t="s">
        <v>158</v>
      </c>
      <c r="V64" t="s">
        <v>186</v>
      </c>
    </row>
    <row r="65" spans="1:22">
      <c r="A65" t="s">
        <v>1940</v>
      </c>
      <c r="B65" s="1">
        <v>45271</v>
      </c>
      <c r="C65" t="s">
        <v>245</v>
      </c>
      <c r="D65">
        <v>2023</v>
      </c>
      <c r="E65" t="s">
        <v>184</v>
      </c>
      <c r="F65" t="s">
        <v>1941</v>
      </c>
      <c r="G65" t="s">
        <v>135</v>
      </c>
      <c r="H65" t="s">
        <v>136</v>
      </c>
      <c r="I65" t="s">
        <v>115</v>
      </c>
      <c r="J65" t="s">
        <v>119</v>
      </c>
      <c r="K65" t="s">
        <v>209</v>
      </c>
      <c r="L65" t="s">
        <v>157</v>
      </c>
      <c r="M65">
        <v>4</v>
      </c>
      <c r="N65">
        <v>89.62</v>
      </c>
      <c r="O65">
        <v>358.48</v>
      </c>
      <c r="P65">
        <v>20</v>
      </c>
      <c r="Q65">
        <v>71.7</v>
      </c>
      <c r="R65">
        <v>286.77999999999997</v>
      </c>
      <c r="S65">
        <v>152.52000000000001</v>
      </c>
      <c r="T65">
        <v>134.26</v>
      </c>
      <c r="U65" t="s">
        <v>190</v>
      </c>
      <c r="V65" t="s">
        <v>159</v>
      </c>
    </row>
    <row r="66" spans="1:22">
      <c r="A66" t="s">
        <v>1641</v>
      </c>
      <c r="B66" s="1">
        <v>45271</v>
      </c>
      <c r="C66" t="s">
        <v>245</v>
      </c>
      <c r="D66">
        <v>2023</v>
      </c>
      <c r="E66" t="s">
        <v>184</v>
      </c>
      <c r="F66" t="s">
        <v>1055</v>
      </c>
      <c r="G66" t="s">
        <v>86</v>
      </c>
      <c r="H66" t="s">
        <v>87</v>
      </c>
      <c r="I66" t="s">
        <v>66</v>
      </c>
      <c r="J66" t="s">
        <v>67</v>
      </c>
      <c r="K66" t="s">
        <v>156</v>
      </c>
      <c r="L66" t="s">
        <v>232</v>
      </c>
      <c r="M66">
        <v>2</v>
      </c>
      <c r="N66">
        <v>124.77</v>
      </c>
      <c r="O66">
        <v>249.54</v>
      </c>
      <c r="P66">
        <v>15</v>
      </c>
      <c r="Q66">
        <v>37.43</v>
      </c>
      <c r="R66">
        <v>212.11</v>
      </c>
      <c r="S66">
        <v>139.28</v>
      </c>
      <c r="T66">
        <v>72.83</v>
      </c>
      <c r="U66" t="s">
        <v>195</v>
      </c>
      <c r="V66" t="s">
        <v>159</v>
      </c>
    </row>
    <row r="67" spans="1:22">
      <c r="A67" t="s">
        <v>776</v>
      </c>
      <c r="B67" s="1">
        <v>45270</v>
      </c>
      <c r="C67" t="s">
        <v>245</v>
      </c>
      <c r="D67">
        <v>2023</v>
      </c>
      <c r="E67" t="s">
        <v>184</v>
      </c>
      <c r="F67" t="s">
        <v>777</v>
      </c>
      <c r="G67" t="s">
        <v>86</v>
      </c>
      <c r="H67" t="s">
        <v>87</v>
      </c>
      <c r="I67" t="s">
        <v>66</v>
      </c>
      <c r="J67" t="s">
        <v>67</v>
      </c>
      <c r="K67" t="s">
        <v>164</v>
      </c>
      <c r="L67" t="s">
        <v>232</v>
      </c>
      <c r="M67">
        <v>1</v>
      </c>
      <c r="N67">
        <v>124.77</v>
      </c>
      <c r="O67">
        <v>124.77</v>
      </c>
      <c r="P67">
        <v>0</v>
      </c>
      <c r="Q67">
        <v>0</v>
      </c>
      <c r="R67">
        <v>124.77</v>
      </c>
      <c r="S67">
        <v>69.64</v>
      </c>
      <c r="T67">
        <v>55.13</v>
      </c>
      <c r="U67" t="s">
        <v>195</v>
      </c>
      <c r="V67" t="s">
        <v>181</v>
      </c>
    </row>
    <row r="68" spans="1:22">
      <c r="A68" t="s">
        <v>1482</v>
      </c>
      <c r="B68" s="1">
        <v>45270</v>
      </c>
      <c r="C68" t="s">
        <v>245</v>
      </c>
      <c r="D68">
        <v>2023</v>
      </c>
      <c r="E68" t="s">
        <v>184</v>
      </c>
      <c r="F68" t="s">
        <v>1483</v>
      </c>
      <c r="G68" t="s">
        <v>80</v>
      </c>
      <c r="H68" t="s">
        <v>81</v>
      </c>
      <c r="I68" t="s">
        <v>66</v>
      </c>
      <c r="J68" t="s">
        <v>70</v>
      </c>
      <c r="K68" t="s">
        <v>156</v>
      </c>
      <c r="L68" t="s">
        <v>174</v>
      </c>
      <c r="M68">
        <v>2</v>
      </c>
      <c r="N68">
        <v>106.06</v>
      </c>
      <c r="O68">
        <v>212.12</v>
      </c>
      <c r="P68">
        <v>15</v>
      </c>
      <c r="Q68">
        <v>31.82</v>
      </c>
      <c r="R68">
        <v>180.3</v>
      </c>
      <c r="S68">
        <v>66.84</v>
      </c>
      <c r="T68">
        <v>113.46</v>
      </c>
      <c r="U68" t="s">
        <v>190</v>
      </c>
      <c r="V68" t="s">
        <v>186</v>
      </c>
    </row>
    <row r="69" spans="1:22">
      <c r="A69" t="s">
        <v>1188</v>
      </c>
      <c r="B69" s="1">
        <v>45270</v>
      </c>
      <c r="C69" t="s">
        <v>245</v>
      </c>
      <c r="D69">
        <v>2023</v>
      </c>
      <c r="E69" t="s">
        <v>184</v>
      </c>
      <c r="F69" t="s">
        <v>1189</v>
      </c>
      <c r="G69" t="s">
        <v>117</v>
      </c>
      <c r="H69" t="s">
        <v>118</v>
      </c>
      <c r="I69" t="s">
        <v>115</v>
      </c>
      <c r="J69" t="s">
        <v>119</v>
      </c>
      <c r="K69" t="s">
        <v>178</v>
      </c>
      <c r="L69" t="s">
        <v>174</v>
      </c>
      <c r="M69">
        <v>1</v>
      </c>
      <c r="N69">
        <v>93.41</v>
      </c>
      <c r="O69">
        <v>93.41</v>
      </c>
      <c r="P69">
        <v>0</v>
      </c>
      <c r="Q69">
        <v>0</v>
      </c>
      <c r="R69">
        <v>93.41</v>
      </c>
      <c r="S69">
        <v>64.05</v>
      </c>
      <c r="T69">
        <v>29.36</v>
      </c>
      <c r="U69" t="s">
        <v>190</v>
      </c>
      <c r="V69" t="s">
        <v>181</v>
      </c>
    </row>
    <row r="70" spans="1:22">
      <c r="A70" t="s">
        <v>1605</v>
      </c>
      <c r="B70" s="1">
        <v>45270</v>
      </c>
      <c r="C70" t="s">
        <v>245</v>
      </c>
      <c r="D70">
        <v>2023</v>
      </c>
      <c r="E70" t="s">
        <v>184</v>
      </c>
      <c r="F70" t="s">
        <v>1606</v>
      </c>
      <c r="G70" t="s">
        <v>37</v>
      </c>
      <c r="H70" t="s">
        <v>38</v>
      </c>
      <c r="I70" t="s">
        <v>14</v>
      </c>
      <c r="J70" t="s">
        <v>27</v>
      </c>
      <c r="K70" t="s">
        <v>156</v>
      </c>
      <c r="L70" t="s">
        <v>174</v>
      </c>
      <c r="M70">
        <v>3</v>
      </c>
      <c r="N70">
        <v>133.99</v>
      </c>
      <c r="O70">
        <v>401.97</v>
      </c>
      <c r="P70">
        <v>20</v>
      </c>
      <c r="Q70">
        <v>80.39</v>
      </c>
      <c r="R70">
        <v>321.58</v>
      </c>
      <c r="S70">
        <v>220.47</v>
      </c>
      <c r="T70">
        <v>101.11</v>
      </c>
      <c r="U70" t="s">
        <v>158</v>
      </c>
      <c r="V70" t="s">
        <v>159</v>
      </c>
    </row>
    <row r="71" spans="1:22">
      <c r="A71" t="s">
        <v>1075</v>
      </c>
      <c r="B71" s="1">
        <v>45270</v>
      </c>
      <c r="C71" t="s">
        <v>245</v>
      </c>
      <c r="D71">
        <v>2023</v>
      </c>
      <c r="E71" t="s">
        <v>184</v>
      </c>
      <c r="F71" t="s">
        <v>1076</v>
      </c>
      <c r="G71" t="s">
        <v>53</v>
      </c>
      <c r="H71" t="s">
        <v>54</v>
      </c>
      <c r="I71" t="s">
        <v>41</v>
      </c>
      <c r="J71" t="s">
        <v>45</v>
      </c>
      <c r="K71" t="s">
        <v>209</v>
      </c>
      <c r="L71" t="s">
        <v>179</v>
      </c>
      <c r="M71">
        <v>1</v>
      </c>
      <c r="N71">
        <v>51.98</v>
      </c>
      <c r="O71">
        <v>51.98</v>
      </c>
      <c r="P71">
        <v>0</v>
      </c>
      <c r="Q71">
        <v>0</v>
      </c>
      <c r="R71">
        <v>51.98</v>
      </c>
      <c r="S71">
        <v>33.04</v>
      </c>
      <c r="T71">
        <v>18.940000000000001</v>
      </c>
      <c r="U71" t="s">
        <v>166</v>
      </c>
      <c r="V71" t="s">
        <v>186</v>
      </c>
    </row>
    <row r="72" spans="1:22">
      <c r="A72" t="s">
        <v>1915</v>
      </c>
      <c r="B72" s="1">
        <v>45270</v>
      </c>
      <c r="C72" t="s">
        <v>245</v>
      </c>
      <c r="D72">
        <v>2023</v>
      </c>
      <c r="E72" t="s">
        <v>184</v>
      </c>
      <c r="F72" t="s">
        <v>1916</v>
      </c>
      <c r="G72" t="s">
        <v>131</v>
      </c>
      <c r="H72" t="s">
        <v>132</v>
      </c>
      <c r="I72" t="s">
        <v>115</v>
      </c>
      <c r="J72" t="s">
        <v>119</v>
      </c>
      <c r="K72" t="s">
        <v>178</v>
      </c>
      <c r="L72" t="s">
        <v>232</v>
      </c>
      <c r="M72">
        <v>1</v>
      </c>
      <c r="N72">
        <v>75.69</v>
      </c>
      <c r="O72">
        <v>75.69</v>
      </c>
      <c r="P72">
        <v>15</v>
      </c>
      <c r="Q72">
        <v>11.35</v>
      </c>
      <c r="R72">
        <v>64.34</v>
      </c>
      <c r="S72">
        <v>35.630000000000003</v>
      </c>
      <c r="T72">
        <v>28.71</v>
      </c>
      <c r="U72" t="s">
        <v>180</v>
      </c>
      <c r="V72" t="s">
        <v>159</v>
      </c>
    </row>
    <row r="73" spans="1:22">
      <c r="A73" t="s">
        <v>509</v>
      </c>
      <c r="B73" s="1">
        <v>45270</v>
      </c>
      <c r="C73" t="s">
        <v>245</v>
      </c>
      <c r="D73">
        <v>2023</v>
      </c>
      <c r="E73" t="s">
        <v>184</v>
      </c>
      <c r="F73" t="s">
        <v>510</v>
      </c>
      <c r="G73" t="s">
        <v>113</v>
      </c>
      <c r="H73" t="s">
        <v>114</v>
      </c>
      <c r="I73" t="s">
        <v>115</v>
      </c>
      <c r="J73" t="s">
        <v>116</v>
      </c>
      <c r="K73" t="s">
        <v>164</v>
      </c>
      <c r="L73" t="s">
        <v>194</v>
      </c>
      <c r="M73">
        <v>1</v>
      </c>
      <c r="N73">
        <v>18.7</v>
      </c>
      <c r="O73">
        <v>18.7</v>
      </c>
      <c r="P73">
        <v>0</v>
      </c>
      <c r="Q73">
        <v>0</v>
      </c>
      <c r="R73">
        <v>18.7</v>
      </c>
      <c r="S73">
        <v>6.86</v>
      </c>
      <c r="T73">
        <v>11.84</v>
      </c>
      <c r="U73" t="s">
        <v>166</v>
      </c>
      <c r="V73" t="s">
        <v>159</v>
      </c>
    </row>
    <row r="74" spans="1:22">
      <c r="A74" t="s">
        <v>1822</v>
      </c>
      <c r="B74" s="1">
        <v>45270</v>
      </c>
      <c r="C74" t="s">
        <v>245</v>
      </c>
      <c r="D74">
        <v>2023</v>
      </c>
      <c r="E74" t="s">
        <v>184</v>
      </c>
      <c r="F74" t="s">
        <v>1645</v>
      </c>
      <c r="G74" t="s">
        <v>48</v>
      </c>
      <c r="H74" t="s">
        <v>49</v>
      </c>
      <c r="I74" t="s">
        <v>41</v>
      </c>
      <c r="J74" t="s">
        <v>42</v>
      </c>
      <c r="K74" t="s">
        <v>209</v>
      </c>
      <c r="L74" t="s">
        <v>174</v>
      </c>
      <c r="M74">
        <v>2</v>
      </c>
      <c r="N74">
        <v>84.95</v>
      </c>
      <c r="O74">
        <v>169.9</v>
      </c>
      <c r="P74">
        <v>0</v>
      </c>
      <c r="Q74">
        <v>0</v>
      </c>
      <c r="R74">
        <v>169.9</v>
      </c>
      <c r="S74">
        <v>106.14</v>
      </c>
      <c r="T74">
        <v>63.76</v>
      </c>
      <c r="U74" t="s">
        <v>190</v>
      </c>
      <c r="V74" t="s">
        <v>159</v>
      </c>
    </row>
    <row r="75" spans="1:22">
      <c r="A75" t="s">
        <v>689</v>
      </c>
      <c r="B75" s="1">
        <v>45269</v>
      </c>
      <c r="C75" t="s">
        <v>245</v>
      </c>
      <c r="D75">
        <v>2023</v>
      </c>
      <c r="E75" t="s">
        <v>184</v>
      </c>
      <c r="F75" t="s">
        <v>690</v>
      </c>
      <c r="G75" t="s">
        <v>21</v>
      </c>
      <c r="H75" t="s">
        <v>22</v>
      </c>
      <c r="I75" t="s">
        <v>14</v>
      </c>
      <c r="J75" t="s">
        <v>15</v>
      </c>
      <c r="K75" t="s">
        <v>209</v>
      </c>
      <c r="L75" t="s">
        <v>204</v>
      </c>
      <c r="M75">
        <v>1</v>
      </c>
      <c r="N75">
        <v>65.430000000000007</v>
      </c>
      <c r="O75">
        <v>65.430000000000007</v>
      </c>
      <c r="P75">
        <v>20</v>
      </c>
      <c r="Q75">
        <v>13.09</v>
      </c>
      <c r="R75">
        <v>52.34</v>
      </c>
      <c r="S75">
        <v>38.69</v>
      </c>
      <c r="T75">
        <v>13.65</v>
      </c>
      <c r="U75" t="s">
        <v>190</v>
      </c>
      <c r="V75" t="s">
        <v>159</v>
      </c>
    </row>
    <row r="76" spans="1:22">
      <c r="A76" t="s">
        <v>1157</v>
      </c>
      <c r="B76" s="1">
        <v>45269</v>
      </c>
      <c r="C76" t="s">
        <v>245</v>
      </c>
      <c r="D76">
        <v>2023</v>
      </c>
      <c r="E76" t="s">
        <v>184</v>
      </c>
      <c r="F76" t="s">
        <v>1158</v>
      </c>
      <c r="G76" t="s">
        <v>88</v>
      </c>
      <c r="H76" t="s">
        <v>89</v>
      </c>
      <c r="I76" t="s">
        <v>90</v>
      </c>
      <c r="J76" t="s">
        <v>91</v>
      </c>
      <c r="K76" t="s">
        <v>164</v>
      </c>
      <c r="L76" t="s">
        <v>157</v>
      </c>
      <c r="M76">
        <v>1</v>
      </c>
      <c r="N76">
        <v>54.64</v>
      </c>
      <c r="O76">
        <v>54.64</v>
      </c>
      <c r="P76">
        <v>0</v>
      </c>
      <c r="Q76">
        <v>0</v>
      </c>
      <c r="R76">
        <v>54.64</v>
      </c>
      <c r="S76">
        <v>20.32</v>
      </c>
      <c r="T76">
        <v>34.32</v>
      </c>
      <c r="U76" t="s">
        <v>166</v>
      </c>
      <c r="V76" t="s">
        <v>181</v>
      </c>
    </row>
    <row r="77" spans="1:22">
      <c r="A77" t="s">
        <v>1820</v>
      </c>
      <c r="B77" s="1">
        <v>45268</v>
      </c>
      <c r="C77" t="s">
        <v>245</v>
      </c>
      <c r="D77">
        <v>2023</v>
      </c>
      <c r="E77" t="s">
        <v>184</v>
      </c>
      <c r="F77" t="s">
        <v>1821</v>
      </c>
      <c r="G77" t="s">
        <v>21</v>
      </c>
      <c r="H77" t="s">
        <v>22</v>
      </c>
      <c r="I77" t="s">
        <v>14</v>
      </c>
      <c r="J77" t="s">
        <v>15</v>
      </c>
      <c r="K77" t="s">
        <v>209</v>
      </c>
      <c r="L77" t="s">
        <v>179</v>
      </c>
      <c r="M77">
        <v>1</v>
      </c>
      <c r="N77">
        <v>65.430000000000007</v>
      </c>
      <c r="O77">
        <v>65.430000000000007</v>
      </c>
      <c r="P77">
        <v>0</v>
      </c>
      <c r="Q77">
        <v>0</v>
      </c>
      <c r="R77">
        <v>65.430000000000007</v>
      </c>
      <c r="S77">
        <v>38.69</v>
      </c>
      <c r="T77">
        <v>26.74</v>
      </c>
      <c r="U77" t="s">
        <v>158</v>
      </c>
      <c r="V77" t="s">
        <v>181</v>
      </c>
    </row>
    <row r="78" spans="1:22">
      <c r="A78" t="s">
        <v>1651</v>
      </c>
      <c r="B78" s="1">
        <v>45268</v>
      </c>
      <c r="C78" t="s">
        <v>245</v>
      </c>
      <c r="D78">
        <v>2023</v>
      </c>
      <c r="E78" t="s">
        <v>184</v>
      </c>
      <c r="F78" t="s">
        <v>1652</v>
      </c>
      <c r="G78" t="s">
        <v>135</v>
      </c>
      <c r="H78" t="s">
        <v>136</v>
      </c>
      <c r="I78" t="s">
        <v>115</v>
      </c>
      <c r="J78" t="s">
        <v>119</v>
      </c>
      <c r="K78" t="s">
        <v>178</v>
      </c>
      <c r="L78" t="s">
        <v>194</v>
      </c>
      <c r="M78">
        <v>4</v>
      </c>
      <c r="N78">
        <v>89.62</v>
      </c>
      <c r="O78">
        <v>358.48</v>
      </c>
      <c r="P78">
        <v>15</v>
      </c>
      <c r="Q78">
        <v>53.77</v>
      </c>
      <c r="R78">
        <v>304.70999999999998</v>
      </c>
      <c r="S78">
        <v>152.52000000000001</v>
      </c>
      <c r="T78">
        <v>152.19</v>
      </c>
      <c r="U78" t="s">
        <v>190</v>
      </c>
      <c r="V78" t="s">
        <v>159</v>
      </c>
    </row>
    <row r="79" spans="1:22">
      <c r="A79" t="s">
        <v>1141</v>
      </c>
      <c r="B79" s="1">
        <v>45267</v>
      </c>
      <c r="C79" t="s">
        <v>245</v>
      </c>
      <c r="D79">
        <v>2023</v>
      </c>
      <c r="E79" t="s">
        <v>184</v>
      </c>
      <c r="F79" t="s">
        <v>662</v>
      </c>
      <c r="G79" t="s">
        <v>53</v>
      </c>
      <c r="H79" t="s">
        <v>54</v>
      </c>
      <c r="I79" t="s">
        <v>41</v>
      </c>
      <c r="J79" t="s">
        <v>45</v>
      </c>
      <c r="K79" t="s">
        <v>164</v>
      </c>
      <c r="L79" t="s">
        <v>204</v>
      </c>
      <c r="M79">
        <v>3</v>
      </c>
      <c r="N79">
        <v>51.98</v>
      </c>
      <c r="O79">
        <v>155.94</v>
      </c>
      <c r="P79">
        <v>15</v>
      </c>
      <c r="Q79">
        <v>23.39</v>
      </c>
      <c r="R79">
        <v>132.55000000000001</v>
      </c>
      <c r="S79">
        <v>99.12</v>
      </c>
      <c r="T79">
        <v>33.43</v>
      </c>
      <c r="U79" t="s">
        <v>180</v>
      </c>
      <c r="V79" t="s">
        <v>159</v>
      </c>
    </row>
    <row r="80" spans="1:22">
      <c r="A80" t="s">
        <v>485</v>
      </c>
      <c r="B80" s="1">
        <v>45267</v>
      </c>
      <c r="C80" t="s">
        <v>245</v>
      </c>
      <c r="D80">
        <v>2023</v>
      </c>
      <c r="E80" t="s">
        <v>184</v>
      </c>
      <c r="F80" t="s">
        <v>486</v>
      </c>
      <c r="G80" t="s">
        <v>53</v>
      </c>
      <c r="H80" t="s">
        <v>54</v>
      </c>
      <c r="I80" t="s">
        <v>41</v>
      </c>
      <c r="J80" t="s">
        <v>45</v>
      </c>
      <c r="K80" t="s">
        <v>209</v>
      </c>
      <c r="L80" t="s">
        <v>232</v>
      </c>
      <c r="M80">
        <v>4</v>
      </c>
      <c r="N80">
        <v>51.98</v>
      </c>
      <c r="O80">
        <v>207.92</v>
      </c>
      <c r="P80">
        <v>0</v>
      </c>
      <c r="Q80">
        <v>0</v>
      </c>
      <c r="R80">
        <v>207.92</v>
      </c>
      <c r="S80">
        <v>132.16</v>
      </c>
      <c r="T80">
        <v>75.760000000000005</v>
      </c>
      <c r="U80" t="s">
        <v>195</v>
      </c>
      <c r="V80" t="s">
        <v>159</v>
      </c>
    </row>
    <row r="81" spans="1:22">
      <c r="A81" t="s">
        <v>943</v>
      </c>
      <c r="B81" s="1">
        <v>45267</v>
      </c>
      <c r="C81" t="s">
        <v>245</v>
      </c>
      <c r="D81">
        <v>2023</v>
      </c>
      <c r="E81" t="s">
        <v>184</v>
      </c>
      <c r="F81" t="s">
        <v>944</v>
      </c>
      <c r="G81" t="s">
        <v>43</v>
      </c>
      <c r="H81" t="s">
        <v>44</v>
      </c>
      <c r="I81" t="s">
        <v>41</v>
      </c>
      <c r="J81" t="s">
        <v>45</v>
      </c>
      <c r="K81" t="s">
        <v>156</v>
      </c>
      <c r="L81" t="s">
        <v>204</v>
      </c>
      <c r="M81">
        <v>3</v>
      </c>
      <c r="N81">
        <v>67.56</v>
      </c>
      <c r="O81">
        <v>202.68</v>
      </c>
      <c r="P81">
        <v>0</v>
      </c>
      <c r="Q81">
        <v>0</v>
      </c>
      <c r="R81">
        <v>202.68</v>
      </c>
      <c r="S81">
        <v>129.63</v>
      </c>
      <c r="T81">
        <v>73.05</v>
      </c>
      <c r="U81" t="s">
        <v>195</v>
      </c>
      <c r="V81" t="s">
        <v>159</v>
      </c>
    </row>
    <row r="82" spans="1:22">
      <c r="A82" t="s">
        <v>366</v>
      </c>
      <c r="B82" s="1">
        <v>45266</v>
      </c>
      <c r="C82" t="s">
        <v>245</v>
      </c>
      <c r="D82">
        <v>2023</v>
      </c>
      <c r="E82" t="s">
        <v>184</v>
      </c>
      <c r="F82" t="s">
        <v>367</v>
      </c>
      <c r="G82" t="s">
        <v>33</v>
      </c>
      <c r="H82" t="s">
        <v>34</v>
      </c>
      <c r="I82" t="s">
        <v>14</v>
      </c>
      <c r="J82" t="s">
        <v>27</v>
      </c>
      <c r="K82" t="s">
        <v>209</v>
      </c>
      <c r="L82" t="s">
        <v>174</v>
      </c>
      <c r="M82">
        <v>4</v>
      </c>
      <c r="N82">
        <v>124.26</v>
      </c>
      <c r="O82">
        <v>497.04</v>
      </c>
      <c r="P82">
        <v>0</v>
      </c>
      <c r="Q82">
        <v>0</v>
      </c>
      <c r="R82">
        <v>497.04</v>
      </c>
      <c r="S82">
        <v>210.48</v>
      </c>
      <c r="T82">
        <v>286.56</v>
      </c>
      <c r="U82" t="s">
        <v>195</v>
      </c>
      <c r="V82" t="s">
        <v>159</v>
      </c>
    </row>
    <row r="83" spans="1:22">
      <c r="A83" t="s">
        <v>310</v>
      </c>
      <c r="B83" s="1">
        <v>45266</v>
      </c>
      <c r="C83" t="s">
        <v>245</v>
      </c>
      <c r="D83">
        <v>2023</v>
      </c>
      <c r="E83" t="s">
        <v>184</v>
      </c>
      <c r="F83" t="s">
        <v>311</v>
      </c>
      <c r="G83" t="s">
        <v>127</v>
      </c>
      <c r="H83" t="s">
        <v>128</v>
      </c>
      <c r="I83" t="s">
        <v>115</v>
      </c>
      <c r="J83" t="s">
        <v>124</v>
      </c>
      <c r="K83" t="s">
        <v>156</v>
      </c>
      <c r="L83" t="s">
        <v>204</v>
      </c>
      <c r="M83">
        <v>4</v>
      </c>
      <c r="N83">
        <v>94.76</v>
      </c>
      <c r="O83">
        <v>379.04</v>
      </c>
      <c r="P83">
        <v>5</v>
      </c>
      <c r="Q83">
        <v>18.95</v>
      </c>
      <c r="R83">
        <v>360.09</v>
      </c>
      <c r="S83">
        <v>315.27999999999997</v>
      </c>
      <c r="T83">
        <v>44.81</v>
      </c>
      <c r="U83" t="s">
        <v>158</v>
      </c>
      <c r="V83" t="s">
        <v>159</v>
      </c>
    </row>
    <row r="84" spans="1:22">
      <c r="A84" t="s">
        <v>1971</v>
      </c>
      <c r="B84" s="1">
        <v>45266</v>
      </c>
      <c r="C84" t="s">
        <v>245</v>
      </c>
      <c r="D84">
        <v>2023</v>
      </c>
      <c r="E84" t="s">
        <v>184</v>
      </c>
      <c r="F84" t="s">
        <v>1972</v>
      </c>
      <c r="G84" t="s">
        <v>39</v>
      </c>
      <c r="H84" t="s">
        <v>40</v>
      </c>
      <c r="I84" t="s">
        <v>41</v>
      </c>
      <c r="J84" t="s">
        <v>42</v>
      </c>
      <c r="K84" t="s">
        <v>156</v>
      </c>
      <c r="L84" t="s">
        <v>232</v>
      </c>
      <c r="M84">
        <v>3</v>
      </c>
      <c r="N84">
        <v>35.11</v>
      </c>
      <c r="O84">
        <v>105.33</v>
      </c>
      <c r="P84">
        <v>10</v>
      </c>
      <c r="Q84">
        <v>10.53</v>
      </c>
      <c r="R84">
        <v>94.8</v>
      </c>
      <c r="S84">
        <v>74.61</v>
      </c>
      <c r="T84">
        <v>20.190000000000001</v>
      </c>
      <c r="U84" t="s">
        <v>158</v>
      </c>
      <c r="V84" t="s">
        <v>181</v>
      </c>
    </row>
    <row r="85" spans="1:22">
      <c r="A85" t="s">
        <v>505</v>
      </c>
      <c r="B85" s="1">
        <v>45265</v>
      </c>
      <c r="C85" t="s">
        <v>245</v>
      </c>
      <c r="D85">
        <v>2023</v>
      </c>
      <c r="E85" t="s">
        <v>184</v>
      </c>
      <c r="F85" t="s">
        <v>506</v>
      </c>
      <c r="G85" t="s">
        <v>30</v>
      </c>
      <c r="H85" t="s">
        <v>31</v>
      </c>
      <c r="I85" t="s">
        <v>14</v>
      </c>
      <c r="J85" t="s">
        <v>32</v>
      </c>
      <c r="K85" t="s">
        <v>178</v>
      </c>
      <c r="L85" t="s">
        <v>204</v>
      </c>
      <c r="M85">
        <v>1</v>
      </c>
      <c r="N85">
        <v>113.18</v>
      </c>
      <c r="O85">
        <v>113.18</v>
      </c>
      <c r="P85">
        <v>0</v>
      </c>
      <c r="Q85">
        <v>0</v>
      </c>
      <c r="R85">
        <v>113.18</v>
      </c>
      <c r="S85">
        <v>39.01</v>
      </c>
      <c r="T85">
        <v>74.17</v>
      </c>
      <c r="U85" t="s">
        <v>166</v>
      </c>
      <c r="V85" t="s">
        <v>186</v>
      </c>
    </row>
    <row r="86" spans="1:22">
      <c r="A86" t="s">
        <v>1889</v>
      </c>
      <c r="B86" s="1">
        <v>45265</v>
      </c>
      <c r="C86" t="s">
        <v>245</v>
      </c>
      <c r="D86">
        <v>2023</v>
      </c>
      <c r="E86" t="s">
        <v>184</v>
      </c>
      <c r="F86" t="s">
        <v>674</v>
      </c>
      <c r="G86" t="s">
        <v>105</v>
      </c>
      <c r="H86" t="s">
        <v>106</v>
      </c>
      <c r="I86" t="s">
        <v>90</v>
      </c>
      <c r="J86" t="s">
        <v>91</v>
      </c>
      <c r="K86" t="s">
        <v>164</v>
      </c>
      <c r="L86" t="s">
        <v>194</v>
      </c>
      <c r="M86">
        <v>4</v>
      </c>
      <c r="N86">
        <v>36.35</v>
      </c>
      <c r="O86">
        <v>145.4</v>
      </c>
      <c r="P86">
        <v>0</v>
      </c>
      <c r="Q86">
        <v>0</v>
      </c>
      <c r="R86">
        <v>145.4</v>
      </c>
      <c r="S86">
        <v>120.08</v>
      </c>
      <c r="T86">
        <v>25.32</v>
      </c>
      <c r="U86" t="s">
        <v>166</v>
      </c>
      <c r="V86" t="s">
        <v>181</v>
      </c>
    </row>
    <row r="87" spans="1:22">
      <c r="A87" t="s">
        <v>1668</v>
      </c>
      <c r="B87" s="1">
        <v>45265</v>
      </c>
      <c r="C87" t="s">
        <v>245</v>
      </c>
      <c r="D87">
        <v>2023</v>
      </c>
      <c r="E87" t="s">
        <v>184</v>
      </c>
      <c r="F87" t="s">
        <v>498</v>
      </c>
      <c r="G87" t="s">
        <v>103</v>
      </c>
      <c r="H87" t="s">
        <v>104</v>
      </c>
      <c r="I87" t="s">
        <v>90</v>
      </c>
      <c r="J87" t="s">
        <v>94</v>
      </c>
      <c r="K87" t="s">
        <v>178</v>
      </c>
      <c r="L87" t="s">
        <v>165</v>
      </c>
      <c r="M87">
        <v>1</v>
      </c>
      <c r="N87">
        <v>98.58</v>
      </c>
      <c r="O87">
        <v>98.58</v>
      </c>
      <c r="P87">
        <v>5</v>
      </c>
      <c r="Q87">
        <v>4.93</v>
      </c>
      <c r="R87">
        <v>93.65</v>
      </c>
      <c r="S87">
        <v>52.57</v>
      </c>
      <c r="T87">
        <v>41.08</v>
      </c>
      <c r="U87" t="s">
        <v>180</v>
      </c>
      <c r="V87" t="s">
        <v>159</v>
      </c>
    </row>
    <row r="88" spans="1:22">
      <c r="A88" t="s">
        <v>1819</v>
      </c>
      <c r="B88" s="1">
        <v>45264</v>
      </c>
      <c r="C88" t="s">
        <v>245</v>
      </c>
      <c r="D88">
        <v>2023</v>
      </c>
      <c r="E88" t="s">
        <v>184</v>
      </c>
      <c r="F88" t="s">
        <v>903</v>
      </c>
      <c r="G88" t="s">
        <v>46</v>
      </c>
      <c r="H88" t="s">
        <v>47</v>
      </c>
      <c r="I88" t="s">
        <v>41</v>
      </c>
      <c r="J88" t="s">
        <v>45</v>
      </c>
      <c r="K88" t="s">
        <v>209</v>
      </c>
      <c r="L88" t="s">
        <v>204</v>
      </c>
      <c r="M88">
        <v>1</v>
      </c>
      <c r="N88">
        <v>16.95</v>
      </c>
      <c r="O88">
        <v>16.95</v>
      </c>
      <c r="P88">
        <v>0</v>
      </c>
      <c r="Q88">
        <v>0</v>
      </c>
      <c r="R88">
        <v>16.95</v>
      </c>
      <c r="S88">
        <v>9.76</v>
      </c>
      <c r="T88">
        <v>7.19</v>
      </c>
      <c r="U88" t="s">
        <v>158</v>
      </c>
      <c r="V88" t="s">
        <v>159</v>
      </c>
    </row>
    <row r="89" spans="1:22">
      <c r="A89" t="s">
        <v>1858</v>
      </c>
      <c r="B89" s="1">
        <v>45264</v>
      </c>
      <c r="C89" t="s">
        <v>245</v>
      </c>
      <c r="D89">
        <v>2023</v>
      </c>
      <c r="E89" t="s">
        <v>184</v>
      </c>
      <c r="F89" t="s">
        <v>1859</v>
      </c>
      <c r="G89" t="s">
        <v>21</v>
      </c>
      <c r="H89" t="s">
        <v>22</v>
      </c>
      <c r="I89" t="s">
        <v>14</v>
      </c>
      <c r="J89" t="s">
        <v>15</v>
      </c>
      <c r="K89" t="s">
        <v>178</v>
      </c>
      <c r="L89" t="s">
        <v>165</v>
      </c>
      <c r="M89">
        <v>2</v>
      </c>
      <c r="N89">
        <v>65.430000000000007</v>
      </c>
      <c r="O89">
        <v>130.86000000000001</v>
      </c>
      <c r="P89">
        <v>10</v>
      </c>
      <c r="Q89">
        <v>13.09</v>
      </c>
      <c r="R89">
        <v>117.77</v>
      </c>
      <c r="S89">
        <v>77.38</v>
      </c>
      <c r="T89">
        <v>40.39</v>
      </c>
      <c r="U89" t="s">
        <v>190</v>
      </c>
      <c r="V89" t="s">
        <v>186</v>
      </c>
    </row>
    <row r="90" spans="1:22">
      <c r="A90" t="s">
        <v>1109</v>
      </c>
      <c r="B90" s="1">
        <v>45263</v>
      </c>
      <c r="C90" t="s">
        <v>245</v>
      </c>
      <c r="D90">
        <v>2023</v>
      </c>
      <c r="E90" t="s">
        <v>184</v>
      </c>
      <c r="F90" t="s">
        <v>1110</v>
      </c>
      <c r="G90" t="s">
        <v>68</v>
      </c>
      <c r="H90" t="s">
        <v>69</v>
      </c>
      <c r="I90" t="s">
        <v>66</v>
      </c>
      <c r="J90" t="s">
        <v>70</v>
      </c>
      <c r="K90" t="s">
        <v>164</v>
      </c>
      <c r="L90" t="s">
        <v>174</v>
      </c>
      <c r="M90">
        <v>4</v>
      </c>
      <c r="N90">
        <v>98.51</v>
      </c>
      <c r="O90">
        <v>394.04</v>
      </c>
      <c r="P90">
        <v>15</v>
      </c>
      <c r="Q90">
        <v>59.11</v>
      </c>
      <c r="R90">
        <v>334.93</v>
      </c>
      <c r="S90">
        <v>220.68</v>
      </c>
      <c r="T90">
        <v>114.25</v>
      </c>
      <c r="U90" t="s">
        <v>158</v>
      </c>
      <c r="V90" t="s">
        <v>159</v>
      </c>
    </row>
    <row r="91" spans="1:22">
      <c r="A91" t="s">
        <v>1032</v>
      </c>
      <c r="B91" s="1">
        <v>45263</v>
      </c>
      <c r="C91" t="s">
        <v>245</v>
      </c>
      <c r="D91">
        <v>2023</v>
      </c>
      <c r="E91" t="s">
        <v>184</v>
      </c>
      <c r="F91" t="s">
        <v>1033</v>
      </c>
      <c r="G91" t="s">
        <v>62</v>
      </c>
      <c r="H91" t="s">
        <v>63</v>
      </c>
      <c r="I91" t="s">
        <v>41</v>
      </c>
      <c r="J91" t="s">
        <v>45</v>
      </c>
      <c r="K91" t="s">
        <v>156</v>
      </c>
      <c r="L91" t="s">
        <v>194</v>
      </c>
      <c r="M91">
        <v>2</v>
      </c>
      <c r="N91">
        <v>160.35</v>
      </c>
      <c r="O91">
        <v>320.7</v>
      </c>
      <c r="P91">
        <v>20</v>
      </c>
      <c r="Q91">
        <v>64.14</v>
      </c>
      <c r="R91">
        <v>256.56</v>
      </c>
      <c r="S91">
        <v>144.94</v>
      </c>
      <c r="T91">
        <v>111.62</v>
      </c>
      <c r="U91" t="s">
        <v>158</v>
      </c>
      <c r="V91" t="s">
        <v>186</v>
      </c>
    </row>
    <row r="92" spans="1:22">
      <c r="A92" t="s">
        <v>360</v>
      </c>
      <c r="B92" s="1">
        <v>45262</v>
      </c>
      <c r="C92" t="s">
        <v>245</v>
      </c>
      <c r="D92">
        <v>2023</v>
      </c>
      <c r="E92" t="s">
        <v>184</v>
      </c>
      <c r="F92" t="s">
        <v>361</v>
      </c>
      <c r="G92" t="s">
        <v>107</v>
      </c>
      <c r="H92" t="s">
        <v>108</v>
      </c>
      <c r="I92" t="s">
        <v>90</v>
      </c>
      <c r="J92" t="s">
        <v>100</v>
      </c>
      <c r="K92" t="s">
        <v>164</v>
      </c>
      <c r="L92" t="s">
        <v>232</v>
      </c>
      <c r="M92">
        <v>2</v>
      </c>
      <c r="N92">
        <v>26.61</v>
      </c>
      <c r="O92">
        <v>53.22</v>
      </c>
      <c r="P92">
        <v>5</v>
      </c>
      <c r="Q92">
        <v>2.66</v>
      </c>
      <c r="R92">
        <v>50.56</v>
      </c>
      <c r="S92">
        <v>21.28</v>
      </c>
      <c r="T92">
        <v>29.28</v>
      </c>
      <c r="U92" t="s">
        <v>180</v>
      </c>
      <c r="V92" t="s">
        <v>159</v>
      </c>
    </row>
    <row r="93" spans="1:22">
      <c r="A93" t="s">
        <v>314</v>
      </c>
      <c r="B93" s="1">
        <v>45262</v>
      </c>
      <c r="C93" t="s">
        <v>245</v>
      </c>
      <c r="D93">
        <v>2023</v>
      </c>
      <c r="E93" t="s">
        <v>184</v>
      </c>
      <c r="F93" t="s">
        <v>315</v>
      </c>
      <c r="G93" t="s">
        <v>12</v>
      </c>
      <c r="H93" t="s">
        <v>13</v>
      </c>
      <c r="I93" t="s">
        <v>14</v>
      </c>
      <c r="J93" t="s">
        <v>15</v>
      </c>
      <c r="K93" t="s">
        <v>156</v>
      </c>
      <c r="L93" t="s">
        <v>174</v>
      </c>
      <c r="M93">
        <v>2</v>
      </c>
      <c r="N93">
        <v>76.53</v>
      </c>
      <c r="O93">
        <v>153.06</v>
      </c>
      <c r="P93">
        <v>5</v>
      </c>
      <c r="Q93">
        <v>7.65</v>
      </c>
      <c r="R93">
        <v>145.41</v>
      </c>
      <c r="S93">
        <v>105.92</v>
      </c>
      <c r="T93">
        <v>39.49</v>
      </c>
      <c r="U93" t="s">
        <v>180</v>
      </c>
      <c r="V93" t="s">
        <v>159</v>
      </c>
    </row>
    <row r="94" spans="1:22">
      <c r="A94" t="s">
        <v>827</v>
      </c>
      <c r="B94" s="1">
        <v>45262</v>
      </c>
      <c r="C94" t="s">
        <v>245</v>
      </c>
      <c r="D94">
        <v>2023</v>
      </c>
      <c r="E94" t="s">
        <v>184</v>
      </c>
      <c r="F94" t="s">
        <v>828</v>
      </c>
      <c r="G94" t="s">
        <v>129</v>
      </c>
      <c r="H94" t="s">
        <v>130</v>
      </c>
      <c r="I94" t="s">
        <v>115</v>
      </c>
      <c r="J94" t="s">
        <v>124</v>
      </c>
      <c r="K94" t="s">
        <v>209</v>
      </c>
      <c r="L94" t="s">
        <v>174</v>
      </c>
      <c r="M94">
        <v>2</v>
      </c>
      <c r="N94">
        <v>99.34</v>
      </c>
      <c r="O94">
        <v>198.68</v>
      </c>
      <c r="P94">
        <v>5</v>
      </c>
      <c r="Q94">
        <v>9.93</v>
      </c>
      <c r="R94">
        <v>188.75</v>
      </c>
      <c r="S94">
        <v>74.7</v>
      </c>
      <c r="T94">
        <v>114.05</v>
      </c>
      <c r="U94" t="s">
        <v>190</v>
      </c>
      <c r="V94" t="s">
        <v>186</v>
      </c>
    </row>
    <row r="95" spans="1:22">
      <c r="A95" t="s">
        <v>1103</v>
      </c>
      <c r="B95" s="1">
        <v>45261</v>
      </c>
      <c r="C95" t="s">
        <v>245</v>
      </c>
      <c r="D95">
        <v>2023</v>
      </c>
      <c r="E95" t="s">
        <v>184</v>
      </c>
      <c r="F95" t="s">
        <v>1104</v>
      </c>
      <c r="G95" t="s">
        <v>64</v>
      </c>
      <c r="H95" t="s">
        <v>65</v>
      </c>
      <c r="I95" t="s">
        <v>66</v>
      </c>
      <c r="J95" t="s">
        <v>67</v>
      </c>
      <c r="K95" t="s">
        <v>209</v>
      </c>
      <c r="L95" t="s">
        <v>204</v>
      </c>
      <c r="M95">
        <v>1</v>
      </c>
      <c r="N95">
        <v>24.9</v>
      </c>
      <c r="O95">
        <v>24.9</v>
      </c>
      <c r="P95">
        <v>5</v>
      </c>
      <c r="Q95">
        <v>1.25</v>
      </c>
      <c r="R95">
        <v>23.65</v>
      </c>
      <c r="S95">
        <v>21.52</v>
      </c>
      <c r="T95">
        <v>2.13</v>
      </c>
      <c r="U95" t="s">
        <v>180</v>
      </c>
      <c r="V95" t="s">
        <v>159</v>
      </c>
    </row>
    <row r="96" spans="1:22">
      <c r="A96" t="s">
        <v>1219</v>
      </c>
      <c r="B96" s="1">
        <v>45261</v>
      </c>
      <c r="C96" t="s">
        <v>245</v>
      </c>
      <c r="D96">
        <v>2023</v>
      </c>
      <c r="E96" t="s">
        <v>184</v>
      </c>
      <c r="F96" t="s">
        <v>1220</v>
      </c>
      <c r="G96" t="s">
        <v>101</v>
      </c>
      <c r="H96" t="s">
        <v>102</v>
      </c>
      <c r="I96" t="s">
        <v>90</v>
      </c>
      <c r="J96" t="s">
        <v>100</v>
      </c>
      <c r="K96" t="s">
        <v>178</v>
      </c>
      <c r="L96" t="s">
        <v>232</v>
      </c>
      <c r="M96">
        <v>2</v>
      </c>
      <c r="N96">
        <v>196.28</v>
      </c>
      <c r="O96">
        <v>392.56</v>
      </c>
      <c r="P96">
        <v>5</v>
      </c>
      <c r="Q96">
        <v>19.63</v>
      </c>
      <c r="R96">
        <v>372.93</v>
      </c>
      <c r="S96">
        <v>143.46</v>
      </c>
      <c r="T96">
        <v>229.47</v>
      </c>
      <c r="U96" t="s">
        <v>158</v>
      </c>
      <c r="V96" t="s">
        <v>181</v>
      </c>
    </row>
    <row r="97" spans="1:22">
      <c r="A97" t="s">
        <v>1163</v>
      </c>
      <c r="B97" s="1">
        <v>45260</v>
      </c>
      <c r="C97" t="s">
        <v>188</v>
      </c>
      <c r="D97">
        <v>2023</v>
      </c>
      <c r="E97" t="s">
        <v>184</v>
      </c>
      <c r="F97" t="s">
        <v>1164</v>
      </c>
      <c r="G97" t="s">
        <v>92</v>
      </c>
      <c r="H97" t="s">
        <v>93</v>
      </c>
      <c r="I97" t="s">
        <v>90</v>
      </c>
      <c r="J97" t="s">
        <v>94</v>
      </c>
      <c r="K97" t="s">
        <v>178</v>
      </c>
      <c r="L97" t="s">
        <v>232</v>
      </c>
      <c r="M97">
        <v>1</v>
      </c>
      <c r="N97">
        <v>230.34</v>
      </c>
      <c r="O97">
        <v>230.34</v>
      </c>
      <c r="P97">
        <v>0</v>
      </c>
      <c r="Q97">
        <v>0</v>
      </c>
      <c r="R97">
        <v>230.34</v>
      </c>
      <c r="S97">
        <v>74.680000000000007</v>
      </c>
      <c r="T97">
        <v>155.66</v>
      </c>
      <c r="U97" t="s">
        <v>158</v>
      </c>
      <c r="V97" t="s">
        <v>159</v>
      </c>
    </row>
    <row r="98" spans="1:22">
      <c r="A98" t="s">
        <v>1015</v>
      </c>
      <c r="B98" s="1">
        <v>45260</v>
      </c>
      <c r="C98" t="s">
        <v>188</v>
      </c>
      <c r="D98">
        <v>2023</v>
      </c>
      <c r="E98" t="s">
        <v>184</v>
      </c>
      <c r="F98" t="s">
        <v>1016</v>
      </c>
      <c r="G98" t="s">
        <v>122</v>
      </c>
      <c r="H98" t="s">
        <v>123</v>
      </c>
      <c r="I98" t="s">
        <v>115</v>
      </c>
      <c r="J98" t="s">
        <v>124</v>
      </c>
      <c r="K98" t="s">
        <v>209</v>
      </c>
      <c r="L98" t="s">
        <v>179</v>
      </c>
      <c r="M98">
        <v>2</v>
      </c>
      <c r="N98">
        <v>93.88</v>
      </c>
      <c r="O98">
        <v>187.76</v>
      </c>
      <c r="P98">
        <v>0</v>
      </c>
      <c r="Q98">
        <v>0</v>
      </c>
      <c r="R98">
        <v>187.76</v>
      </c>
      <c r="S98">
        <v>106.22</v>
      </c>
      <c r="T98">
        <v>81.540000000000006</v>
      </c>
      <c r="U98" t="s">
        <v>158</v>
      </c>
      <c r="V98" t="s">
        <v>186</v>
      </c>
    </row>
    <row r="99" spans="1:22">
      <c r="A99" t="s">
        <v>1691</v>
      </c>
      <c r="B99" s="1">
        <v>45260</v>
      </c>
      <c r="C99" t="s">
        <v>188</v>
      </c>
      <c r="D99">
        <v>2023</v>
      </c>
      <c r="E99" t="s">
        <v>184</v>
      </c>
      <c r="F99" t="s">
        <v>1692</v>
      </c>
      <c r="G99" t="s">
        <v>43</v>
      </c>
      <c r="H99" t="s">
        <v>44</v>
      </c>
      <c r="I99" t="s">
        <v>41</v>
      </c>
      <c r="J99" t="s">
        <v>45</v>
      </c>
      <c r="K99" t="s">
        <v>178</v>
      </c>
      <c r="L99" t="s">
        <v>204</v>
      </c>
      <c r="M99">
        <v>1</v>
      </c>
      <c r="N99">
        <v>67.56</v>
      </c>
      <c r="O99">
        <v>67.56</v>
      </c>
      <c r="P99">
        <v>15</v>
      </c>
      <c r="Q99">
        <v>10.130000000000001</v>
      </c>
      <c r="R99">
        <v>57.43</v>
      </c>
      <c r="S99">
        <v>43.21</v>
      </c>
      <c r="T99">
        <v>14.22</v>
      </c>
      <c r="U99" t="s">
        <v>180</v>
      </c>
      <c r="V99" t="s">
        <v>159</v>
      </c>
    </row>
    <row r="100" spans="1:22">
      <c r="A100" t="s">
        <v>605</v>
      </c>
      <c r="B100" s="1">
        <v>45260</v>
      </c>
      <c r="C100" t="s">
        <v>188</v>
      </c>
      <c r="D100">
        <v>2023</v>
      </c>
      <c r="E100" t="s">
        <v>184</v>
      </c>
      <c r="F100" t="s">
        <v>606</v>
      </c>
      <c r="G100" t="s">
        <v>80</v>
      </c>
      <c r="H100" t="s">
        <v>81</v>
      </c>
      <c r="I100" t="s">
        <v>66</v>
      </c>
      <c r="J100" t="s">
        <v>70</v>
      </c>
      <c r="K100" t="s">
        <v>178</v>
      </c>
      <c r="L100" t="s">
        <v>194</v>
      </c>
      <c r="M100">
        <v>4</v>
      </c>
      <c r="N100">
        <v>106.06</v>
      </c>
      <c r="O100">
        <v>424.24</v>
      </c>
      <c r="P100">
        <v>5</v>
      </c>
      <c r="Q100">
        <v>21.21</v>
      </c>
      <c r="R100">
        <v>403.03</v>
      </c>
      <c r="S100">
        <v>133.68</v>
      </c>
      <c r="T100">
        <v>269.35000000000002</v>
      </c>
      <c r="U100" t="s">
        <v>195</v>
      </c>
      <c r="V100" t="s">
        <v>159</v>
      </c>
    </row>
    <row r="101" spans="1:22">
      <c r="A101" t="s">
        <v>1457</v>
      </c>
      <c r="B101" s="1">
        <v>45259</v>
      </c>
      <c r="C101" t="s">
        <v>188</v>
      </c>
      <c r="D101">
        <v>2023</v>
      </c>
      <c r="E101" t="s">
        <v>184</v>
      </c>
      <c r="F101" t="s">
        <v>1458</v>
      </c>
      <c r="G101" t="s">
        <v>30</v>
      </c>
      <c r="H101" t="s">
        <v>31</v>
      </c>
      <c r="I101" t="s">
        <v>14</v>
      </c>
      <c r="J101" t="s">
        <v>32</v>
      </c>
      <c r="K101" t="s">
        <v>156</v>
      </c>
      <c r="L101" t="s">
        <v>204</v>
      </c>
      <c r="M101">
        <v>1</v>
      </c>
      <c r="N101">
        <v>113.18</v>
      </c>
      <c r="O101">
        <v>113.18</v>
      </c>
      <c r="P101">
        <v>0</v>
      </c>
      <c r="Q101">
        <v>0</v>
      </c>
      <c r="R101">
        <v>113.18</v>
      </c>
      <c r="S101">
        <v>39.01</v>
      </c>
      <c r="T101">
        <v>74.17</v>
      </c>
      <c r="U101" t="s">
        <v>166</v>
      </c>
      <c r="V101" t="s">
        <v>159</v>
      </c>
    </row>
    <row r="102" spans="1:22">
      <c r="A102" t="s">
        <v>214</v>
      </c>
      <c r="B102" s="1">
        <v>45259</v>
      </c>
      <c r="C102" t="s">
        <v>188</v>
      </c>
      <c r="D102">
        <v>2023</v>
      </c>
      <c r="E102" t="s">
        <v>184</v>
      </c>
      <c r="F102" t="s">
        <v>215</v>
      </c>
      <c r="G102" t="s">
        <v>23</v>
      </c>
      <c r="H102" t="s">
        <v>24</v>
      </c>
      <c r="I102" t="s">
        <v>14</v>
      </c>
      <c r="J102" t="s">
        <v>19</v>
      </c>
      <c r="K102" t="s">
        <v>209</v>
      </c>
      <c r="L102" t="s">
        <v>179</v>
      </c>
      <c r="M102">
        <v>3</v>
      </c>
      <c r="N102">
        <v>154.03</v>
      </c>
      <c r="O102">
        <v>462.09000000000003</v>
      </c>
      <c r="P102">
        <v>0</v>
      </c>
      <c r="Q102">
        <v>0</v>
      </c>
      <c r="R102">
        <v>462.09</v>
      </c>
      <c r="S102">
        <v>230.37</v>
      </c>
      <c r="T102">
        <v>231.72</v>
      </c>
      <c r="U102" t="s">
        <v>158</v>
      </c>
      <c r="V102" t="s">
        <v>159</v>
      </c>
    </row>
    <row r="103" spans="1:22">
      <c r="A103" t="s">
        <v>1929</v>
      </c>
      <c r="B103" s="1">
        <v>45259</v>
      </c>
      <c r="C103" t="s">
        <v>188</v>
      </c>
      <c r="D103">
        <v>2023</v>
      </c>
      <c r="E103" t="s">
        <v>184</v>
      </c>
      <c r="F103" t="s">
        <v>1930</v>
      </c>
      <c r="G103" t="s">
        <v>39</v>
      </c>
      <c r="H103" t="s">
        <v>40</v>
      </c>
      <c r="I103" t="s">
        <v>41</v>
      </c>
      <c r="J103" t="s">
        <v>42</v>
      </c>
      <c r="K103" t="s">
        <v>156</v>
      </c>
      <c r="L103" t="s">
        <v>179</v>
      </c>
      <c r="M103">
        <v>2</v>
      </c>
      <c r="N103">
        <v>35.11</v>
      </c>
      <c r="O103">
        <v>70.22</v>
      </c>
      <c r="P103">
        <v>10</v>
      </c>
      <c r="Q103">
        <v>7.02</v>
      </c>
      <c r="R103">
        <v>63.2</v>
      </c>
      <c r="S103">
        <v>49.74</v>
      </c>
      <c r="T103">
        <v>13.46</v>
      </c>
      <c r="U103" t="s">
        <v>166</v>
      </c>
      <c r="V103" t="s">
        <v>186</v>
      </c>
    </row>
    <row r="104" spans="1:22">
      <c r="A104" t="s">
        <v>1478</v>
      </c>
      <c r="B104" s="1">
        <v>45259</v>
      </c>
      <c r="C104" t="s">
        <v>188</v>
      </c>
      <c r="D104">
        <v>2023</v>
      </c>
      <c r="E104" t="s">
        <v>184</v>
      </c>
      <c r="F104" t="s">
        <v>1479</v>
      </c>
      <c r="G104" t="s">
        <v>95</v>
      </c>
      <c r="H104" t="s">
        <v>96</v>
      </c>
      <c r="I104" t="s">
        <v>90</v>
      </c>
      <c r="J104" t="s">
        <v>97</v>
      </c>
      <c r="K104" t="s">
        <v>156</v>
      </c>
      <c r="L104" t="s">
        <v>179</v>
      </c>
      <c r="M104">
        <v>4</v>
      </c>
      <c r="N104">
        <v>177.41</v>
      </c>
      <c r="O104">
        <v>709.64</v>
      </c>
      <c r="P104">
        <v>15</v>
      </c>
      <c r="Q104">
        <v>106.45</v>
      </c>
      <c r="R104">
        <v>603.19000000000005</v>
      </c>
      <c r="S104">
        <v>299.95999999999998</v>
      </c>
      <c r="T104">
        <v>303.23</v>
      </c>
      <c r="U104" t="s">
        <v>180</v>
      </c>
      <c r="V104" t="s">
        <v>186</v>
      </c>
    </row>
    <row r="105" spans="1:22">
      <c r="A105" t="s">
        <v>1736</v>
      </c>
      <c r="B105" s="1">
        <v>45258</v>
      </c>
      <c r="C105" t="s">
        <v>188</v>
      </c>
      <c r="D105">
        <v>2023</v>
      </c>
      <c r="E105" t="s">
        <v>184</v>
      </c>
      <c r="F105" t="s">
        <v>1737</v>
      </c>
      <c r="G105" t="s">
        <v>73</v>
      </c>
      <c r="H105" t="s">
        <v>74</v>
      </c>
      <c r="I105" t="s">
        <v>66</v>
      </c>
      <c r="J105" t="s">
        <v>75</v>
      </c>
      <c r="K105" t="s">
        <v>209</v>
      </c>
      <c r="L105" t="s">
        <v>232</v>
      </c>
      <c r="M105">
        <v>3</v>
      </c>
      <c r="N105">
        <v>53.95</v>
      </c>
      <c r="O105">
        <v>161.85000000000002</v>
      </c>
      <c r="P105">
        <v>0</v>
      </c>
      <c r="Q105">
        <v>0</v>
      </c>
      <c r="R105">
        <v>161.85</v>
      </c>
      <c r="S105">
        <v>105.6</v>
      </c>
      <c r="T105">
        <v>56.25</v>
      </c>
      <c r="U105" t="s">
        <v>190</v>
      </c>
      <c r="V105" t="s">
        <v>159</v>
      </c>
    </row>
    <row r="106" spans="1:22">
      <c r="A106" t="s">
        <v>497</v>
      </c>
      <c r="B106" s="1">
        <v>45258</v>
      </c>
      <c r="C106" t="s">
        <v>188</v>
      </c>
      <c r="D106">
        <v>2023</v>
      </c>
      <c r="E106" t="s">
        <v>184</v>
      </c>
      <c r="F106" t="s">
        <v>498</v>
      </c>
      <c r="G106" t="s">
        <v>88</v>
      </c>
      <c r="H106" t="s">
        <v>89</v>
      </c>
      <c r="I106" t="s">
        <v>90</v>
      </c>
      <c r="J106" t="s">
        <v>91</v>
      </c>
      <c r="K106" t="s">
        <v>178</v>
      </c>
      <c r="L106" t="s">
        <v>194</v>
      </c>
      <c r="M106">
        <v>3</v>
      </c>
      <c r="N106">
        <v>54.64</v>
      </c>
      <c r="O106">
        <v>163.92000000000002</v>
      </c>
      <c r="P106">
        <v>0</v>
      </c>
      <c r="Q106">
        <v>0</v>
      </c>
      <c r="R106">
        <v>163.92</v>
      </c>
      <c r="S106">
        <v>60.96</v>
      </c>
      <c r="T106">
        <v>102.96</v>
      </c>
      <c r="U106" t="s">
        <v>158</v>
      </c>
      <c r="V106" t="s">
        <v>159</v>
      </c>
    </row>
    <row r="107" spans="1:22">
      <c r="A107" t="s">
        <v>2044</v>
      </c>
      <c r="B107" s="1">
        <v>45258</v>
      </c>
      <c r="C107" t="s">
        <v>188</v>
      </c>
      <c r="D107">
        <v>2023</v>
      </c>
      <c r="E107" t="s">
        <v>184</v>
      </c>
      <c r="F107" t="s">
        <v>2045</v>
      </c>
      <c r="G107" t="s">
        <v>129</v>
      </c>
      <c r="H107" t="s">
        <v>130</v>
      </c>
      <c r="I107" t="s">
        <v>115</v>
      </c>
      <c r="J107" t="s">
        <v>124</v>
      </c>
      <c r="K107" t="s">
        <v>178</v>
      </c>
      <c r="L107" t="s">
        <v>179</v>
      </c>
      <c r="M107">
        <v>1</v>
      </c>
      <c r="N107">
        <v>99.34</v>
      </c>
      <c r="O107">
        <v>99.34</v>
      </c>
      <c r="P107">
        <v>0</v>
      </c>
      <c r="Q107">
        <v>0</v>
      </c>
      <c r="R107">
        <v>99.34</v>
      </c>
      <c r="S107">
        <v>37.35</v>
      </c>
      <c r="T107">
        <v>61.99</v>
      </c>
      <c r="U107" t="s">
        <v>190</v>
      </c>
      <c r="V107" t="s">
        <v>159</v>
      </c>
    </row>
    <row r="108" spans="1:22">
      <c r="A108" t="s">
        <v>2020</v>
      </c>
      <c r="B108" s="1">
        <v>45258</v>
      </c>
      <c r="C108" t="s">
        <v>188</v>
      </c>
      <c r="D108">
        <v>2023</v>
      </c>
      <c r="E108" t="s">
        <v>184</v>
      </c>
      <c r="F108" t="s">
        <v>2021</v>
      </c>
      <c r="G108" t="s">
        <v>103</v>
      </c>
      <c r="H108" t="s">
        <v>104</v>
      </c>
      <c r="I108" t="s">
        <v>90</v>
      </c>
      <c r="J108" t="s">
        <v>94</v>
      </c>
      <c r="K108" t="s">
        <v>164</v>
      </c>
      <c r="L108" t="s">
        <v>174</v>
      </c>
      <c r="M108">
        <v>1</v>
      </c>
      <c r="N108">
        <v>98.58</v>
      </c>
      <c r="O108">
        <v>98.58</v>
      </c>
      <c r="P108">
        <v>0</v>
      </c>
      <c r="Q108">
        <v>0</v>
      </c>
      <c r="R108">
        <v>98.58</v>
      </c>
      <c r="S108">
        <v>52.57</v>
      </c>
      <c r="T108">
        <v>46.01</v>
      </c>
      <c r="U108" t="s">
        <v>180</v>
      </c>
      <c r="V108" t="s">
        <v>181</v>
      </c>
    </row>
    <row r="109" spans="1:22">
      <c r="A109" t="s">
        <v>364</v>
      </c>
      <c r="B109" s="1">
        <v>45257</v>
      </c>
      <c r="C109" t="s">
        <v>188</v>
      </c>
      <c r="D109">
        <v>2023</v>
      </c>
      <c r="E109" t="s">
        <v>184</v>
      </c>
      <c r="F109" t="s">
        <v>365</v>
      </c>
      <c r="G109" t="s">
        <v>122</v>
      </c>
      <c r="H109" t="s">
        <v>123</v>
      </c>
      <c r="I109" t="s">
        <v>115</v>
      </c>
      <c r="J109" t="s">
        <v>124</v>
      </c>
      <c r="K109" t="s">
        <v>209</v>
      </c>
      <c r="L109" t="s">
        <v>204</v>
      </c>
      <c r="M109">
        <v>3</v>
      </c>
      <c r="N109">
        <v>93.88</v>
      </c>
      <c r="O109">
        <v>281.64</v>
      </c>
      <c r="P109">
        <v>10</v>
      </c>
      <c r="Q109">
        <v>28.16</v>
      </c>
      <c r="R109">
        <v>253.48</v>
      </c>
      <c r="S109">
        <v>159.33000000000001</v>
      </c>
      <c r="T109">
        <v>94.15</v>
      </c>
      <c r="U109" t="s">
        <v>195</v>
      </c>
      <c r="V109" t="s">
        <v>159</v>
      </c>
    </row>
    <row r="110" spans="1:22">
      <c r="A110" t="s">
        <v>1703</v>
      </c>
      <c r="B110" s="1">
        <v>45257</v>
      </c>
      <c r="C110" t="s">
        <v>188</v>
      </c>
      <c r="D110">
        <v>2023</v>
      </c>
      <c r="E110" t="s">
        <v>184</v>
      </c>
      <c r="F110" t="s">
        <v>1704</v>
      </c>
      <c r="G110" t="s">
        <v>120</v>
      </c>
      <c r="H110" t="s">
        <v>121</v>
      </c>
      <c r="I110" t="s">
        <v>115</v>
      </c>
      <c r="J110" t="s">
        <v>119</v>
      </c>
      <c r="K110" t="s">
        <v>178</v>
      </c>
      <c r="L110" t="s">
        <v>157</v>
      </c>
      <c r="M110">
        <v>1</v>
      </c>
      <c r="N110">
        <v>197.52</v>
      </c>
      <c r="O110">
        <v>197.52</v>
      </c>
      <c r="P110">
        <v>0</v>
      </c>
      <c r="Q110">
        <v>0</v>
      </c>
      <c r="R110">
        <v>197.52</v>
      </c>
      <c r="S110">
        <v>66.540000000000006</v>
      </c>
      <c r="T110">
        <v>130.97999999999999</v>
      </c>
      <c r="U110" t="s">
        <v>180</v>
      </c>
      <c r="V110" t="s">
        <v>159</v>
      </c>
    </row>
    <row r="111" spans="1:22">
      <c r="A111" t="s">
        <v>340</v>
      </c>
      <c r="B111" s="1">
        <v>45257</v>
      </c>
      <c r="C111" t="s">
        <v>188</v>
      </c>
      <c r="D111">
        <v>2023</v>
      </c>
      <c r="E111" t="s">
        <v>184</v>
      </c>
      <c r="F111" t="s">
        <v>341</v>
      </c>
      <c r="G111" t="s">
        <v>113</v>
      </c>
      <c r="H111" t="s">
        <v>114</v>
      </c>
      <c r="I111" t="s">
        <v>115</v>
      </c>
      <c r="J111" t="s">
        <v>116</v>
      </c>
      <c r="K111" t="s">
        <v>178</v>
      </c>
      <c r="L111" t="s">
        <v>179</v>
      </c>
      <c r="M111">
        <v>1</v>
      </c>
      <c r="N111">
        <v>18.7</v>
      </c>
      <c r="O111">
        <v>18.7</v>
      </c>
      <c r="P111">
        <v>15</v>
      </c>
      <c r="Q111">
        <v>2.81</v>
      </c>
      <c r="R111">
        <v>15.89</v>
      </c>
      <c r="S111">
        <v>6.86</v>
      </c>
      <c r="T111">
        <v>9.0299999999999994</v>
      </c>
      <c r="U111" t="s">
        <v>180</v>
      </c>
      <c r="V111" t="s">
        <v>159</v>
      </c>
    </row>
    <row r="112" spans="1:22">
      <c r="A112" t="s">
        <v>443</v>
      </c>
      <c r="B112" s="1">
        <v>45257</v>
      </c>
      <c r="C112" t="s">
        <v>188</v>
      </c>
      <c r="D112">
        <v>2023</v>
      </c>
      <c r="E112" t="s">
        <v>184</v>
      </c>
      <c r="F112" t="s">
        <v>444</v>
      </c>
      <c r="G112" t="s">
        <v>127</v>
      </c>
      <c r="H112" t="s">
        <v>128</v>
      </c>
      <c r="I112" t="s">
        <v>115</v>
      </c>
      <c r="J112" t="s">
        <v>124</v>
      </c>
      <c r="K112" t="s">
        <v>209</v>
      </c>
      <c r="L112" t="s">
        <v>157</v>
      </c>
      <c r="M112">
        <v>1</v>
      </c>
      <c r="N112">
        <v>94.76</v>
      </c>
      <c r="O112">
        <v>94.76</v>
      </c>
      <c r="P112">
        <v>10</v>
      </c>
      <c r="Q112">
        <v>9.48</v>
      </c>
      <c r="R112">
        <v>85.28</v>
      </c>
      <c r="S112">
        <v>78.819999999999993</v>
      </c>
      <c r="T112">
        <v>6.46</v>
      </c>
      <c r="U112" t="s">
        <v>180</v>
      </c>
      <c r="V112" t="s">
        <v>186</v>
      </c>
    </row>
    <row r="113" spans="1:22">
      <c r="A113" t="s">
        <v>840</v>
      </c>
      <c r="B113" s="1">
        <v>45257</v>
      </c>
      <c r="C113" t="s">
        <v>188</v>
      </c>
      <c r="D113">
        <v>2023</v>
      </c>
      <c r="E113" t="s">
        <v>184</v>
      </c>
      <c r="F113" t="s">
        <v>841</v>
      </c>
      <c r="G113" t="s">
        <v>35</v>
      </c>
      <c r="H113" t="s">
        <v>36</v>
      </c>
      <c r="I113" t="s">
        <v>14</v>
      </c>
      <c r="J113" t="s">
        <v>19</v>
      </c>
      <c r="K113" t="s">
        <v>156</v>
      </c>
      <c r="L113" t="s">
        <v>232</v>
      </c>
      <c r="M113">
        <v>2</v>
      </c>
      <c r="N113">
        <v>81.599999999999994</v>
      </c>
      <c r="O113">
        <v>163.19999999999999</v>
      </c>
      <c r="P113">
        <v>0</v>
      </c>
      <c r="Q113">
        <v>0</v>
      </c>
      <c r="R113">
        <v>163.19999999999999</v>
      </c>
      <c r="S113">
        <v>58.64</v>
      </c>
      <c r="T113">
        <v>104.56</v>
      </c>
      <c r="U113" t="s">
        <v>166</v>
      </c>
      <c r="V113" t="s">
        <v>181</v>
      </c>
    </row>
    <row r="114" spans="1:22">
      <c r="A114" t="s">
        <v>1794</v>
      </c>
      <c r="B114" s="1">
        <v>45257</v>
      </c>
      <c r="C114" t="s">
        <v>188</v>
      </c>
      <c r="D114">
        <v>2023</v>
      </c>
      <c r="E114" t="s">
        <v>184</v>
      </c>
      <c r="F114" t="s">
        <v>1795</v>
      </c>
      <c r="G114" t="s">
        <v>43</v>
      </c>
      <c r="H114" t="s">
        <v>44</v>
      </c>
      <c r="I114" t="s">
        <v>41</v>
      </c>
      <c r="J114" t="s">
        <v>45</v>
      </c>
      <c r="K114" t="s">
        <v>209</v>
      </c>
      <c r="L114" t="s">
        <v>174</v>
      </c>
      <c r="M114">
        <v>4</v>
      </c>
      <c r="N114">
        <v>67.56</v>
      </c>
      <c r="O114">
        <v>270.24</v>
      </c>
      <c r="P114">
        <v>15</v>
      </c>
      <c r="Q114">
        <v>40.54</v>
      </c>
      <c r="R114">
        <v>229.7</v>
      </c>
      <c r="S114">
        <v>172.84</v>
      </c>
      <c r="T114">
        <v>56.86</v>
      </c>
      <c r="U114" t="s">
        <v>195</v>
      </c>
      <c r="V114" t="s">
        <v>186</v>
      </c>
    </row>
    <row r="115" spans="1:22">
      <c r="A115" t="s">
        <v>1200</v>
      </c>
      <c r="B115" s="1">
        <v>45257</v>
      </c>
      <c r="C115" t="s">
        <v>188</v>
      </c>
      <c r="D115">
        <v>2023</v>
      </c>
      <c r="E115" t="s">
        <v>184</v>
      </c>
      <c r="F115" t="s">
        <v>1201</v>
      </c>
      <c r="G115" t="s">
        <v>103</v>
      </c>
      <c r="H115" t="s">
        <v>104</v>
      </c>
      <c r="I115" t="s">
        <v>90</v>
      </c>
      <c r="J115" t="s">
        <v>94</v>
      </c>
      <c r="K115" t="s">
        <v>209</v>
      </c>
      <c r="L115" t="s">
        <v>179</v>
      </c>
      <c r="M115">
        <v>1</v>
      </c>
      <c r="N115">
        <v>98.58</v>
      </c>
      <c r="O115">
        <v>98.58</v>
      </c>
      <c r="P115">
        <v>0</v>
      </c>
      <c r="Q115">
        <v>0</v>
      </c>
      <c r="R115">
        <v>98.58</v>
      </c>
      <c r="S115">
        <v>52.57</v>
      </c>
      <c r="T115">
        <v>46.01</v>
      </c>
      <c r="U115" t="s">
        <v>195</v>
      </c>
      <c r="V115" t="s">
        <v>159</v>
      </c>
    </row>
    <row r="116" spans="1:22">
      <c r="A116" t="s">
        <v>1920</v>
      </c>
      <c r="B116" s="1">
        <v>45256</v>
      </c>
      <c r="C116" t="s">
        <v>188</v>
      </c>
      <c r="D116">
        <v>2023</v>
      </c>
      <c r="E116" t="s">
        <v>184</v>
      </c>
      <c r="F116" t="s">
        <v>1921</v>
      </c>
      <c r="G116" t="s">
        <v>84</v>
      </c>
      <c r="H116" t="s">
        <v>85</v>
      </c>
      <c r="I116" t="s">
        <v>66</v>
      </c>
      <c r="J116" t="s">
        <v>67</v>
      </c>
      <c r="K116" t="s">
        <v>209</v>
      </c>
      <c r="L116" t="s">
        <v>194</v>
      </c>
      <c r="M116">
        <v>3</v>
      </c>
      <c r="N116">
        <v>174.23</v>
      </c>
      <c r="O116">
        <v>522.68999999999994</v>
      </c>
      <c r="P116">
        <v>20</v>
      </c>
      <c r="Q116">
        <v>104.54</v>
      </c>
      <c r="R116">
        <v>418.15</v>
      </c>
      <c r="S116">
        <v>221.85</v>
      </c>
      <c r="T116">
        <v>196.3</v>
      </c>
      <c r="U116" t="s">
        <v>158</v>
      </c>
      <c r="V116" t="s">
        <v>186</v>
      </c>
    </row>
    <row r="117" spans="1:22">
      <c r="A117" t="s">
        <v>1978</v>
      </c>
      <c r="B117" s="1">
        <v>45256</v>
      </c>
      <c r="C117" t="s">
        <v>188</v>
      </c>
      <c r="D117">
        <v>2023</v>
      </c>
      <c r="E117" t="s">
        <v>184</v>
      </c>
      <c r="F117" t="s">
        <v>1979</v>
      </c>
      <c r="G117" t="s">
        <v>48</v>
      </c>
      <c r="H117" t="s">
        <v>49</v>
      </c>
      <c r="I117" t="s">
        <v>41</v>
      </c>
      <c r="J117" t="s">
        <v>42</v>
      </c>
      <c r="K117" t="s">
        <v>178</v>
      </c>
      <c r="L117" t="s">
        <v>179</v>
      </c>
      <c r="M117">
        <v>1</v>
      </c>
      <c r="N117">
        <v>84.95</v>
      </c>
      <c r="O117">
        <v>84.95</v>
      </c>
      <c r="P117">
        <v>20</v>
      </c>
      <c r="Q117">
        <v>16.989999999999998</v>
      </c>
      <c r="R117">
        <v>67.959999999999994</v>
      </c>
      <c r="S117">
        <v>53.07</v>
      </c>
      <c r="T117">
        <v>14.89</v>
      </c>
      <c r="U117" t="s">
        <v>158</v>
      </c>
      <c r="V117" t="s">
        <v>159</v>
      </c>
    </row>
    <row r="118" spans="1:22">
      <c r="A118" t="s">
        <v>2055</v>
      </c>
      <c r="B118" s="1">
        <v>45255</v>
      </c>
      <c r="C118" t="s">
        <v>188</v>
      </c>
      <c r="D118">
        <v>2023</v>
      </c>
      <c r="E118" t="s">
        <v>184</v>
      </c>
      <c r="F118" t="s">
        <v>2056</v>
      </c>
      <c r="G118" t="s">
        <v>133</v>
      </c>
      <c r="H118" t="s">
        <v>134</v>
      </c>
      <c r="I118" t="s">
        <v>115</v>
      </c>
      <c r="J118" t="s">
        <v>119</v>
      </c>
      <c r="K118" t="s">
        <v>209</v>
      </c>
      <c r="L118" t="s">
        <v>165</v>
      </c>
      <c r="M118">
        <v>1</v>
      </c>
      <c r="N118">
        <v>78.84</v>
      </c>
      <c r="O118">
        <v>78.84</v>
      </c>
      <c r="P118">
        <v>15</v>
      </c>
      <c r="Q118">
        <v>11.83</v>
      </c>
      <c r="R118">
        <v>67.010000000000005</v>
      </c>
      <c r="S118">
        <v>47.68</v>
      </c>
      <c r="T118">
        <v>19.329999999999998</v>
      </c>
      <c r="U118" t="s">
        <v>166</v>
      </c>
      <c r="V118" t="s">
        <v>159</v>
      </c>
    </row>
    <row r="119" spans="1:22">
      <c r="A119" t="s">
        <v>1631</v>
      </c>
      <c r="B119" s="1">
        <v>45255</v>
      </c>
      <c r="C119" t="s">
        <v>188</v>
      </c>
      <c r="D119">
        <v>2023</v>
      </c>
      <c r="E119" t="s">
        <v>184</v>
      </c>
      <c r="F119" t="s">
        <v>1632</v>
      </c>
      <c r="G119" t="s">
        <v>105</v>
      </c>
      <c r="H119" t="s">
        <v>106</v>
      </c>
      <c r="I119" t="s">
        <v>90</v>
      </c>
      <c r="J119" t="s">
        <v>91</v>
      </c>
      <c r="K119" t="s">
        <v>209</v>
      </c>
      <c r="L119" t="s">
        <v>174</v>
      </c>
      <c r="M119">
        <v>3</v>
      </c>
      <c r="N119">
        <v>36.35</v>
      </c>
      <c r="O119">
        <v>109.05000000000001</v>
      </c>
      <c r="P119">
        <v>0</v>
      </c>
      <c r="Q119">
        <v>0</v>
      </c>
      <c r="R119">
        <v>109.05</v>
      </c>
      <c r="S119">
        <v>90.06</v>
      </c>
      <c r="T119">
        <v>18.989999999999998</v>
      </c>
      <c r="U119" t="s">
        <v>190</v>
      </c>
      <c r="V119" t="s">
        <v>186</v>
      </c>
    </row>
    <row r="120" spans="1:22">
      <c r="A120" t="s">
        <v>685</v>
      </c>
      <c r="B120" s="1">
        <v>45255</v>
      </c>
      <c r="C120" t="s">
        <v>188</v>
      </c>
      <c r="D120">
        <v>2023</v>
      </c>
      <c r="E120" t="s">
        <v>184</v>
      </c>
      <c r="F120" t="s">
        <v>686</v>
      </c>
      <c r="G120" t="s">
        <v>55</v>
      </c>
      <c r="H120" t="s">
        <v>56</v>
      </c>
      <c r="I120" t="s">
        <v>41</v>
      </c>
      <c r="J120" t="s">
        <v>45</v>
      </c>
      <c r="K120" t="s">
        <v>164</v>
      </c>
      <c r="L120" t="s">
        <v>204</v>
      </c>
      <c r="M120">
        <v>4</v>
      </c>
      <c r="N120">
        <v>205.4</v>
      </c>
      <c r="O120">
        <v>821.6</v>
      </c>
      <c r="P120">
        <v>15</v>
      </c>
      <c r="Q120">
        <v>123.24</v>
      </c>
      <c r="R120">
        <v>698.36</v>
      </c>
      <c r="S120">
        <v>283.60000000000002</v>
      </c>
      <c r="T120">
        <v>414.76</v>
      </c>
      <c r="U120" t="s">
        <v>190</v>
      </c>
      <c r="V120" t="s">
        <v>159</v>
      </c>
    </row>
    <row r="121" spans="1:22">
      <c r="A121" t="s">
        <v>468</v>
      </c>
      <c r="B121" s="1">
        <v>45255</v>
      </c>
      <c r="C121" t="s">
        <v>188</v>
      </c>
      <c r="D121">
        <v>2023</v>
      </c>
      <c r="E121" t="s">
        <v>184</v>
      </c>
      <c r="F121" t="s">
        <v>469</v>
      </c>
      <c r="G121" t="s">
        <v>35</v>
      </c>
      <c r="H121" t="s">
        <v>36</v>
      </c>
      <c r="I121" t="s">
        <v>14</v>
      </c>
      <c r="J121" t="s">
        <v>19</v>
      </c>
      <c r="K121" t="s">
        <v>178</v>
      </c>
      <c r="L121" t="s">
        <v>232</v>
      </c>
      <c r="M121">
        <v>3</v>
      </c>
      <c r="N121">
        <v>81.599999999999994</v>
      </c>
      <c r="O121">
        <v>244.79999999999998</v>
      </c>
      <c r="P121">
        <v>0</v>
      </c>
      <c r="Q121">
        <v>0</v>
      </c>
      <c r="R121">
        <v>244.8</v>
      </c>
      <c r="S121">
        <v>87.96</v>
      </c>
      <c r="T121">
        <v>156.84</v>
      </c>
      <c r="U121" t="s">
        <v>158</v>
      </c>
      <c r="V121" t="s">
        <v>181</v>
      </c>
    </row>
    <row r="122" spans="1:22">
      <c r="A122" t="s">
        <v>1425</v>
      </c>
      <c r="B122" s="1">
        <v>45255</v>
      </c>
      <c r="C122" t="s">
        <v>188</v>
      </c>
      <c r="D122">
        <v>2023</v>
      </c>
      <c r="E122" t="s">
        <v>184</v>
      </c>
      <c r="F122" t="s">
        <v>1426</v>
      </c>
      <c r="G122" t="s">
        <v>92</v>
      </c>
      <c r="H122" t="s">
        <v>93</v>
      </c>
      <c r="I122" t="s">
        <v>90</v>
      </c>
      <c r="J122" t="s">
        <v>94</v>
      </c>
      <c r="K122" t="s">
        <v>209</v>
      </c>
      <c r="L122" t="s">
        <v>165</v>
      </c>
      <c r="M122">
        <v>1</v>
      </c>
      <c r="N122">
        <v>230.34</v>
      </c>
      <c r="O122">
        <v>230.34</v>
      </c>
      <c r="P122">
        <v>10</v>
      </c>
      <c r="Q122">
        <v>23.03</v>
      </c>
      <c r="R122">
        <v>207.31</v>
      </c>
      <c r="S122">
        <v>74.680000000000007</v>
      </c>
      <c r="T122">
        <v>132.63</v>
      </c>
      <c r="U122" t="s">
        <v>166</v>
      </c>
      <c r="V122" t="s">
        <v>186</v>
      </c>
    </row>
    <row r="123" spans="1:22">
      <c r="A123" t="s">
        <v>541</v>
      </c>
      <c r="B123" s="1">
        <v>45255</v>
      </c>
      <c r="C123" t="s">
        <v>188</v>
      </c>
      <c r="D123">
        <v>2023</v>
      </c>
      <c r="E123" t="s">
        <v>184</v>
      </c>
      <c r="F123" t="s">
        <v>542</v>
      </c>
      <c r="G123" t="s">
        <v>101</v>
      </c>
      <c r="H123" t="s">
        <v>102</v>
      </c>
      <c r="I123" t="s">
        <v>90</v>
      </c>
      <c r="J123" t="s">
        <v>100</v>
      </c>
      <c r="K123" t="s">
        <v>156</v>
      </c>
      <c r="L123" t="s">
        <v>157</v>
      </c>
      <c r="M123">
        <v>1</v>
      </c>
      <c r="N123">
        <v>196.28</v>
      </c>
      <c r="O123">
        <v>196.28</v>
      </c>
      <c r="P123">
        <v>10</v>
      </c>
      <c r="Q123">
        <v>19.63</v>
      </c>
      <c r="R123">
        <v>176.65</v>
      </c>
      <c r="S123">
        <v>71.73</v>
      </c>
      <c r="T123">
        <v>104.92</v>
      </c>
      <c r="U123" t="s">
        <v>166</v>
      </c>
      <c r="V123" t="s">
        <v>181</v>
      </c>
    </row>
    <row r="124" spans="1:22">
      <c r="A124" t="s">
        <v>1196</v>
      </c>
      <c r="B124" s="1">
        <v>45255</v>
      </c>
      <c r="C124" t="s">
        <v>188</v>
      </c>
      <c r="D124">
        <v>2023</v>
      </c>
      <c r="E124" t="s">
        <v>184</v>
      </c>
      <c r="F124" t="s">
        <v>1197</v>
      </c>
      <c r="G124" t="s">
        <v>53</v>
      </c>
      <c r="H124" t="s">
        <v>54</v>
      </c>
      <c r="I124" t="s">
        <v>41</v>
      </c>
      <c r="J124" t="s">
        <v>45</v>
      </c>
      <c r="K124" t="s">
        <v>178</v>
      </c>
      <c r="L124" t="s">
        <v>179</v>
      </c>
      <c r="M124">
        <v>2</v>
      </c>
      <c r="N124">
        <v>51.98</v>
      </c>
      <c r="O124">
        <v>103.96</v>
      </c>
      <c r="P124">
        <v>15</v>
      </c>
      <c r="Q124">
        <v>15.59</v>
      </c>
      <c r="R124">
        <v>88.37</v>
      </c>
      <c r="S124">
        <v>66.08</v>
      </c>
      <c r="T124">
        <v>22.29</v>
      </c>
      <c r="U124" t="s">
        <v>195</v>
      </c>
      <c r="V124" t="s">
        <v>159</v>
      </c>
    </row>
    <row r="125" spans="1:22">
      <c r="A125" t="s">
        <v>770</v>
      </c>
      <c r="B125" s="1">
        <v>45254</v>
      </c>
      <c r="C125" t="s">
        <v>188</v>
      </c>
      <c r="D125">
        <v>2023</v>
      </c>
      <c r="E125" t="s">
        <v>184</v>
      </c>
      <c r="F125" t="s">
        <v>771</v>
      </c>
      <c r="G125" t="s">
        <v>113</v>
      </c>
      <c r="H125" t="s">
        <v>114</v>
      </c>
      <c r="I125" t="s">
        <v>115</v>
      </c>
      <c r="J125" t="s">
        <v>116</v>
      </c>
      <c r="K125" t="s">
        <v>164</v>
      </c>
      <c r="L125" t="s">
        <v>204</v>
      </c>
      <c r="M125">
        <v>2</v>
      </c>
      <c r="N125">
        <v>18.7</v>
      </c>
      <c r="O125">
        <v>37.4</v>
      </c>
      <c r="P125">
        <v>0</v>
      </c>
      <c r="Q125">
        <v>0</v>
      </c>
      <c r="R125">
        <v>37.4</v>
      </c>
      <c r="S125">
        <v>13.72</v>
      </c>
      <c r="T125">
        <v>23.68</v>
      </c>
      <c r="U125" t="s">
        <v>158</v>
      </c>
      <c r="V125" t="s">
        <v>181</v>
      </c>
    </row>
    <row r="126" spans="1:22">
      <c r="A126" t="s">
        <v>1534</v>
      </c>
      <c r="B126" s="1">
        <v>45254</v>
      </c>
      <c r="C126" t="s">
        <v>188</v>
      </c>
      <c r="D126">
        <v>2023</v>
      </c>
      <c r="E126" t="s">
        <v>184</v>
      </c>
      <c r="F126" t="s">
        <v>1535</v>
      </c>
      <c r="G126" t="s">
        <v>71</v>
      </c>
      <c r="H126" t="s">
        <v>72</v>
      </c>
      <c r="I126" t="s">
        <v>66</v>
      </c>
      <c r="J126" t="s">
        <v>70</v>
      </c>
      <c r="K126" t="s">
        <v>178</v>
      </c>
      <c r="L126" t="s">
        <v>194</v>
      </c>
      <c r="M126">
        <v>2</v>
      </c>
      <c r="N126">
        <v>26.7</v>
      </c>
      <c r="O126">
        <v>53.4</v>
      </c>
      <c r="P126">
        <v>0</v>
      </c>
      <c r="Q126">
        <v>0</v>
      </c>
      <c r="R126">
        <v>53.4</v>
      </c>
      <c r="S126">
        <v>24.54</v>
      </c>
      <c r="T126">
        <v>28.86</v>
      </c>
      <c r="U126" t="s">
        <v>158</v>
      </c>
      <c r="V126" t="s">
        <v>159</v>
      </c>
    </row>
    <row r="127" spans="1:22">
      <c r="A127" t="s">
        <v>1660</v>
      </c>
      <c r="B127" s="1">
        <v>45254</v>
      </c>
      <c r="C127" t="s">
        <v>188</v>
      </c>
      <c r="D127">
        <v>2023</v>
      </c>
      <c r="E127" t="s">
        <v>184</v>
      </c>
      <c r="F127" t="s">
        <v>1661</v>
      </c>
      <c r="G127" t="s">
        <v>92</v>
      </c>
      <c r="H127" t="s">
        <v>93</v>
      </c>
      <c r="I127" t="s">
        <v>90</v>
      </c>
      <c r="J127" t="s">
        <v>94</v>
      </c>
      <c r="K127" t="s">
        <v>209</v>
      </c>
      <c r="L127" t="s">
        <v>165</v>
      </c>
      <c r="M127">
        <v>2</v>
      </c>
      <c r="N127">
        <v>230.34</v>
      </c>
      <c r="O127">
        <v>460.68</v>
      </c>
      <c r="P127">
        <v>15</v>
      </c>
      <c r="Q127">
        <v>69.099999999999994</v>
      </c>
      <c r="R127">
        <v>391.58</v>
      </c>
      <c r="S127">
        <v>149.36000000000001</v>
      </c>
      <c r="T127">
        <v>242.22</v>
      </c>
      <c r="U127" t="s">
        <v>180</v>
      </c>
      <c r="V127" t="s">
        <v>159</v>
      </c>
    </row>
    <row r="128" spans="1:22">
      <c r="A128" t="s">
        <v>1385</v>
      </c>
      <c r="B128" s="1">
        <v>45253</v>
      </c>
      <c r="C128" t="s">
        <v>188</v>
      </c>
      <c r="D128">
        <v>2023</v>
      </c>
      <c r="E128" t="s">
        <v>184</v>
      </c>
      <c r="F128" t="s">
        <v>1386</v>
      </c>
      <c r="G128" t="s">
        <v>73</v>
      </c>
      <c r="H128" t="s">
        <v>74</v>
      </c>
      <c r="I128" t="s">
        <v>66</v>
      </c>
      <c r="J128" t="s">
        <v>75</v>
      </c>
      <c r="K128" t="s">
        <v>164</v>
      </c>
      <c r="L128" t="s">
        <v>165</v>
      </c>
      <c r="M128">
        <v>4</v>
      </c>
      <c r="N128">
        <v>53.95</v>
      </c>
      <c r="O128">
        <v>215.8</v>
      </c>
      <c r="P128">
        <v>0</v>
      </c>
      <c r="Q128">
        <v>0</v>
      </c>
      <c r="R128">
        <v>215.8</v>
      </c>
      <c r="S128">
        <v>140.80000000000001</v>
      </c>
      <c r="T128">
        <v>75</v>
      </c>
      <c r="U128" t="s">
        <v>190</v>
      </c>
      <c r="V128" t="s">
        <v>159</v>
      </c>
    </row>
    <row r="129" spans="1:22">
      <c r="A129" t="s">
        <v>187</v>
      </c>
      <c r="B129" s="1">
        <v>45253</v>
      </c>
      <c r="C129" t="s">
        <v>188</v>
      </c>
      <c r="D129">
        <v>2023</v>
      </c>
      <c r="E129" t="s">
        <v>184</v>
      </c>
      <c r="F129" t="s">
        <v>189</v>
      </c>
      <c r="G129" t="s">
        <v>55</v>
      </c>
      <c r="H129" t="s">
        <v>56</v>
      </c>
      <c r="I129" t="s">
        <v>41</v>
      </c>
      <c r="J129" t="s">
        <v>45</v>
      </c>
      <c r="K129" t="s">
        <v>164</v>
      </c>
      <c r="L129" t="s">
        <v>165</v>
      </c>
      <c r="M129">
        <v>2</v>
      </c>
      <c r="N129">
        <v>205.4</v>
      </c>
      <c r="O129">
        <v>410.8</v>
      </c>
      <c r="P129">
        <v>20</v>
      </c>
      <c r="Q129">
        <v>82.16</v>
      </c>
      <c r="R129">
        <v>328.64</v>
      </c>
      <c r="S129">
        <v>141.80000000000001</v>
      </c>
      <c r="T129">
        <v>186.84</v>
      </c>
      <c r="U129" t="s">
        <v>190</v>
      </c>
      <c r="V129" t="s">
        <v>159</v>
      </c>
    </row>
    <row r="130" spans="1:22">
      <c r="A130" t="s">
        <v>352</v>
      </c>
      <c r="B130" s="1">
        <v>45253</v>
      </c>
      <c r="C130" t="s">
        <v>188</v>
      </c>
      <c r="D130">
        <v>2023</v>
      </c>
      <c r="E130" t="s">
        <v>184</v>
      </c>
      <c r="F130" t="s">
        <v>353</v>
      </c>
      <c r="G130" t="s">
        <v>107</v>
      </c>
      <c r="H130" t="s">
        <v>108</v>
      </c>
      <c r="I130" t="s">
        <v>90</v>
      </c>
      <c r="J130" t="s">
        <v>100</v>
      </c>
      <c r="K130" t="s">
        <v>178</v>
      </c>
      <c r="L130" t="s">
        <v>174</v>
      </c>
      <c r="M130">
        <v>4</v>
      </c>
      <c r="N130">
        <v>26.61</v>
      </c>
      <c r="O130">
        <v>106.44</v>
      </c>
      <c r="P130">
        <v>20</v>
      </c>
      <c r="Q130">
        <v>21.29</v>
      </c>
      <c r="R130">
        <v>85.15</v>
      </c>
      <c r="S130">
        <v>42.56</v>
      </c>
      <c r="T130">
        <v>42.59</v>
      </c>
      <c r="U130" t="s">
        <v>190</v>
      </c>
      <c r="V130" t="s">
        <v>186</v>
      </c>
    </row>
    <row r="131" spans="1:22">
      <c r="A131" t="s">
        <v>1405</v>
      </c>
      <c r="B131" s="1">
        <v>45253</v>
      </c>
      <c r="C131" t="s">
        <v>188</v>
      </c>
      <c r="D131">
        <v>2023</v>
      </c>
      <c r="E131" t="s">
        <v>184</v>
      </c>
      <c r="F131" t="s">
        <v>1406</v>
      </c>
      <c r="G131" t="s">
        <v>131</v>
      </c>
      <c r="H131" t="s">
        <v>132</v>
      </c>
      <c r="I131" t="s">
        <v>115</v>
      </c>
      <c r="J131" t="s">
        <v>119</v>
      </c>
      <c r="K131" t="s">
        <v>178</v>
      </c>
      <c r="L131" t="s">
        <v>165</v>
      </c>
      <c r="M131">
        <v>1</v>
      </c>
      <c r="N131">
        <v>75.69</v>
      </c>
      <c r="O131">
        <v>75.69</v>
      </c>
      <c r="P131">
        <v>20</v>
      </c>
      <c r="Q131">
        <v>15.14</v>
      </c>
      <c r="R131">
        <v>60.55</v>
      </c>
      <c r="S131">
        <v>35.630000000000003</v>
      </c>
      <c r="T131">
        <v>24.92</v>
      </c>
      <c r="U131" t="s">
        <v>180</v>
      </c>
      <c r="V131" t="s">
        <v>186</v>
      </c>
    </row>
    <row r="132" spans="1:22">
      <c r="A132" t="s">
        <v>1792</v>
      </c>
      <c r="B132" s="1">
        <v>45252</v>
      </c>
      <c r="C132" t="s">
        <v>188</v>
      </c>
      <c r="D132">
        <v>2023</v>
      </c>
      <c r="E132" t="s">
        <v>184</v>
      </c>
      <c r="F132" t="s">
        <v>1793</v>
      </c>
      <c r="G132" t="s">
        <v>55</v>
      </c>
      <c r="H132" t="s">
        <v>56</v>
      </c>
      <c r="I132" t="s">
        <v>41</v>
      </c>
      <c r="J132" t="s">
        <v>45</v>
      </c>
      <c r="K132" t="s">
        <v>209</v>
      </c>
      <c r="L132" t="s">
        <v>165</v>
      </c>
      <c r="M132">
        <v>3</v>
      </c>
      <c r="N132">
        <v>205.4</v>
      </c>
      <c r="O132">
        <v>616.20000000000005</v>
      </c>
      <c r="P132">
        <v>15</v>
      </c>
      <c r="Q132">
        <v>92.43</v>
      </c>
      <c r="R132">
        <v>523.77</v>
      </c>
      <c r="S132">
        <v>212.7</v>
      </c>
      <c r="T132">
        <v>311.07</v>
      </c>
      <c r="U132" t="s">
        <v>195</v>
      </c>
      <c r="V132" t="s">
        <v>186</v>
      </c>
    </row>
    <row r="133" spans="1:22">
      <c r="A133" t="s">
        <v>1800</v>
      </c>
      <c r="B133" s="1">
        <v>45252</v>
      </c>
      <c r="C133" t="s">
        <v>188</v>
      </c>
      <c r="D133">
        <v>2023</v>
      </c>
      <c r="E133" t="s">
        <v>184</v>
      </c>
      <c r="F133" t="s">
        <v>1801</v>
      </c>
      <c r="G133" t="s">
        <v>57</v>
      </c>
      <c r="H133" t="s">
        <v>58</v>
      </c>
      <c r="I133" t="s">
        <v>41</v>
      </c>
      <c r="J133" t="s">
        <v>59</v>
      </c>
      <c r="K133" t="s">
        <v>178</v>
      </c>
      <c r="L133" t="s">
        <v>174</v>
      </c>
      <c r="M133">
        <v>3</v>
      </c>
      <c r="N133">
        <v>56.33</v>
      </c>
      <c r="O133">
        <v>168.99</v>
      </c>
      <c r="P133">
        <v>5</v>
      </c>
      <c r="Q133">
        <v>8.4499999999999993</v>
      </c>
      <c r="R133">
        <v>160.54</v>
      </c>
      <c r="S133">
        <v>124.35</v>
      </c>
      <c r="T133">
        <v>36.19</v>
      </c>
      <c r="U133" t="s">
        <v>195</v>
      </c>
      <c r="V133" t="s">
        <v>159</v>
      </c>
    </row>
    <row r="134" spans="1:22">
      <c r="A134" t="s">
        <v>539</v>
      </c>
      <c r="B134" s="1">
        <v>45252</v>
      </c>
      <c r="C134" t="s">
        <v>188</v>
      </c>
      <c r="D134">
        <v>2023</v>
      </c>
      <c r="E134" t="s">
        <v>184</v>
      </c>
      <c r="F134" t="s">
        <v>540</v>
      </c>
      <c r="G134" t="s">
        <v>28</v>
      </c>
      <c r="H134" t="s">
        <v>29</v>
      </c>
      <c r="I134" t="s">
        <v>14</v>
      </c>
      <c r="J134" t="s">
        <v>19</v>
      </c>
      <c r="K134" t="s">
        <v>178</v>
      </c>
      <c r="L134" t="s">
        <v>157</v>
      </c>
      <c r="M134">
        <v>3</v>
      </c>
      <c r="N134">
        <v>26.46</v>
      </c>
      <c r="O134">
        <v>79.38</v>
      </c>
      <c r="P134">
        <v>0</v>
      </c>
      <c r="Q134">
        <v>0</v>
      </c>
      <c r="R134">
        <v>79.38</v>
      </c>
      <c r="S134">
        <v>58.26</v>
      </c>
      <c r="T134">
        <v>21.12</v>
      </c>
      <c r="U134" t="s">
        <v>195</v>
      </c>
      <c r="V134" t="s">
        <v>181</v>
      </c>
    </row>
    <row r="135" spans="1:22">
      <c r="A135" t="s">
        <v>1111</v>
      </c>
      <c r="B135" s="1">
        <v>45251</v>
      </c>
      <c r="C135" t="s">
        <v>188</v>
      </c>
      <c r="D135">
        <v>2023</v>
      </c>
      <c r="E135" t="s">
        <v>184</v>
      </c>
      <c r="F135" t="s">
        <v>1112</v>
      </c>
      <c r="G135" t="s">
        <v>12</v>
      </c>
      <c r="H135" t="s">
        <v>13</v>
      </c>
      <c r="I135" t="s">
        <v>14</v>
      </c>
      <c r="J135" t="s">
        <v>15</v>
      </c>
      <c r="K135" t="s">
        <v>178</v>
      </c>
      <c r="L135" t="s">
        <v>232</v>
      </c>
      <c r="M135">
        <v>3</v>
      </c>
      <c r="N135">
        <v>76.53</v>
      </c>
      <c r="O135">
        <v>229.59</v>
      </c>
      <c r="P135">
        <v>0</v>
      </c>
      <c r="Q135">
        <v>0</v>
      </c>
      <c r="R135">
        <v>229.59</v>
      </c>
      <c r="S135">
        <v>158.88</v>
      </c>
      <c r="T135">
        <v>70.709999999999994</v>
      </c>
      <c r="U135" t="s">
        <v>166</v>
      </c>
      <c r="V135" t="s">
        <v>159</v>
      </c>
    </row>
    <row r="136" spans="1:22">
      <c r="A136" t="s">
        <v>447</v>
      </c>
      <c r="B136" s="1">
        <v>45250</v>
      </c>
      <c r="C136" t="s">
        <v>188</v>
      </c>
      <c r="D136">
        <v>2023</v>
      </c>
      <c r="E136" t="s">
        <v>184</v>
      </c>
      <c r="F136" t="s">
        <v>448</v>
      </c>
      <c r="G136" t="s">
        <v>122</v>
      </c>
      <c r="H136" t="s">
        <v>123</v>
      </c>
      <c r="I136" t="s">
        <v>115</v>
      </c>
      <c r="J136" t="s">
        <v>124</v>
      </c>
      <c r="K136" t="s">
        <v>178</v>
      </c>
      <c r="L136" t="s">
        <v>174</v>
      </c>
      <c r="M136">
        <v>1</v>
      </c>
      <c r="N136">
        <v>93.88</v>
      </c>
      <c r="O136">
        <v>93.88</v>
      </c>
      <c r="P136">
        <v>20</v>
      </c>
      <c r="Q136">
        <v>18.78</v>
      </c>
      <c r="R136">
        <v>75.099999999999994</v>
      </c>
      <c r="S136">
        <v>53.11</v>
      </c>
      <c r="T136">
        <v>21.99</v>
      </c>
      <c r="U136" t="s">
        <v>195</v>
      </c>
      <c r="V136" t="s">
        <v>159</v>
      </c>
    </row>
    <row r="137" spans="1:22">
      <c r="A137" t="s">
        <v>1428</v>
      </c>
      <c r="B137" s="1">
        <v>45250</v>
      </c>
      <c r="C137" t="s">
        <v>188</v>
      </c>
      <c r="D137">
        <v>2023</v>
      </c>
      <c r="E137" t="s">
        <v>184</v>
      </c>
      <c r="F137" t="s">
        <v>1429</v>
      </c>
      <c r="G137" t="s">
        <v>131</v>
      </c>
      <c r="H137" t="s">
        <v>132</v>
      </c>
      <c r="I137" t="s">
        <v>115</v>
      </c>
      <c r="J137" t="s">
        <v>119</v>
      </c>
      <c r="K137" t="s">
        <v>209</v>
      </c>
      <c r="L137" t="s">
        <v>194</v>
      </c>
      <c r="M137">
        <v>1</v>
      </c>
      <c r="N137">
        <v>75.69</v>
      </c>
      <c r="O137">
        <v>75.69</v>
      </c>
      <c r="P137">
        <v>15</v>
      </c>
      <c r="Q137">
        <v>11.35</v>
      </c>
      <c r="R137">
        <v>64.34</v>
      </c>
      <c r="S137">
        <v>35.630000000000003</v>
      </c>
      <c r="T137">
        <v>28.71</v>
      </c>
      <c r="U137" t="s">
        <v>166</v>
      </c>
      <c r="V137" t="s">
        <v>159</v>
      </c>
    </row>
    <row r="138" spans="1:22">
      <c r="A138" t="s">
        <v>1322</v>
      </c>
      <c r="B138" s="1">
        <v>45250</v>
      </c>
      <c r="C138" t="s">
        <v>188</v>
      </c>
      <c r="D138">
        <v>2023</v>
      </c>
      <c r="E138" t="s">
        <v>184</v>
      </c>
      <c r="F138" t="s">
        <v>1323</v>
      </c>
      <c r="G138" t="s">
        <v>113</v>
      </c>
      <c r="H138" t="s">
        <v>114</v>
      </c>
      <c r="I138" t="s">
        <v>115</v>
      </c>
      <c r="J138" t="s">
        <v>116</v>
      </c>
      <c r="K138" t="s">
        <v>164</v>
      </c>
      <c r="L138" t="s">
        <v>179</v>
      </c>
      <c r="M138">
        <v>3</v>
      </c>
      <c r="N138">
        <v>18.7</v>
      </c>
      <c r="O138">
        <v>56.099999999999994</v>
      </c>
      <c r="P138">
        <v>5</v>
      </c>
      <c r="Q138">
        <v>2.81</v>
      </c>
      <c r="R138">
        <v>53.29</v>
      </c>
      <c r="S138">
        <v>20.58</v>
      </c>
      <c r="T138">
        <v>32.71</v>
      </c>
      <c r="U138" t="s">
        <v>158</v>
      </c>
      <c r="V138" t="s">
        <v>159</v>
      </c>
    </row>
    <row r="139" spans="1:22">
      <c r="A139" t="s">
        <v>261</v>
      </c>
      <c r="B139" s="1">
        <v>45249</v>
      </c>
      <c r="C139" t="s">
        <v>188</v>
      </c>
      <c r="D139">
        <v>2023</v>
      </c>
      <c r="E139" t="s">
        <v>184</v>
      </c>
      <c r="F139" t="s">
        <v>262</v>
      </c>
      <c r="G139" t="s">
        <v>92</v>
      </c>
      <c r="H139" t="s">
        <v>93</v>
      </c>
      <c r="I139" t="s">
        <v>90</v>
      </c>
      <c r="J139" t="s">
        <v>94</v>
      </c>
      <c r="K139" t="s">
        <v>209</v>
      </c>
      <c r="L139" t="s">
        <v>157</v>
      </c>
      <c r="M139">
        <v>1</v>
      </c>
      <c r="N139">
        <v>230.34</v>
      </c>
      <c r="O139">
        <v>230.34</v>
      </c>
      <c r="P139">
        <v>10</v>
      </c>
      <c r="Q139">
        <v>23.03</v>
      </c>
      <c r="R139">
        <v>207.31</v>
      </c>
      <c r="S139">
        <v>74.680000000000007</v>
      </c>
      <c r="T139">
        <v>132.63</v>
      </c>
      <c r="U139" t="s">
        <v>190</v>
      </c>
      <c r="V139" t="s">
        <v>181</v>
      </c>
    </row>
    <row r="140" spans="1:22">
      <c r="A140" t="s">
        <v>582</v>
      </c>
      <c r="B140" s="1">
        <v>45249</v>
      </c>
      <c r="C140" t="s">
        <v>188</v>
      </c>
      <c r="D140">
        <v>2023</v>
      </c>
      <c r="E140" t="s">
        <v>184</v>
      </c>
      <c r="F140" t="s">
        <v>583</v>
      </c>
      <c r="G140" t="s">
        <v>88</v>
      </c>
      <c r="H140" t="s">
        <v>89</v>
      </c>
      <c r="I140" t="s">
        <v>90</v>
      </c>
      <c r="J140" t="s">
        <v>91</v>
      </c>
      <c r="K140" t="s">
        <v>164</v>
      </c>
      <c r="L140" t="s">
        <v>157</v>
      </c>
      <c r="M140">
        <v>2</v>
      </c>
      <c r="N140">
        <v>54.64</v>
      </c>
      <c r="O140">
        <v>109.28</v>
      </c>
      <c r="P140">
        <v>10</v>
      </c>
      <c r="Q140">
        <v>10.93</v>
      </c>
      <c r="R140">
        <v>98.35</v>
      </c>
      <c r="S140">
        <v>40.64</v>
      </c>
      <c r="T140">
        <v>57.71</v>
      </c>
      <c r="U140" t="s">
        <v>190</v>
      </c>
      <c r="V140" t="s">
        <v>159</v>
      </c>
    </row>
    <row r="141" spans="1:22">
      <c r="A141" t="s">
        <v>1987</v>
      </c>
      <c r="B141" s="1">
        <v>45249</v>
      </c>
      <c r="C141" t="s">
        <v>188</v>
      </c>
      <c r="D141">
        <v>2023</v>
      </c>
      <c r="E141" t="s">
        <v>184</v>
      </c>
      <c r="F141" t="s">
        <v>1988</v>
      </c>
      <c r="G141" t="s">
        <v>111</v>
      </c>
      <c r="H141" t="s">
        <v>112</v>
      </c>
      <c r="I141" t="s">
        <v>90</v>
      </c>
      <c r="J141" t="s">
        <v>97</v>
      </c>
      <c r="K141" t="s">
        <v>209</v>
      </c>
      <c r="L141" t="s">
        <v>174</v>
      </c>
      <c r="M141">
        <v>2</v>
      </c>
      <c r="N141">
        <v>189.99</v>
      </c>
      <c r="O141">
        <v>379.98</v>
      </c>
      <c r="P141">
        <v>5</v>
      </c>
      <c r="Q141">
        <v>19</v>
      </c>
      <c r="R141">
        <v>360.98</v>
      </c>
      <c r="S141">
        <v>127.02</v>
      </c>
      <c r="T141">
        <v>233.96</v>
      </c>
      <c r="U141" t="s">
        <v>166</v>
      </c>
      <c r="V141" t="s">
        <v>159</v>
      </c>
    </row>
    <row r="142" spans="1:22">
      <c r="A142" t="s">
        <v>1231</v>
      </c>
      <c r="B142" s="1">
        <v>45249</v>
      </c>
      <c r="C142" t="s">
        <v>188</v>
      </c>
      <c r="D142">
        <v>2023</v>
      </c>
      <c r="E142" t="s">
        <v>184</v>
      </c>
      <c r="F142" t="s">
        <v>1232</v>
      </c>
      <c r="G142" t="s">
        <v>107</v>
      </c>
      <c r="H142" t="s">
        <v>108</v>
      </c>
      <c r="I142" t="s">
        <v>90</v>
      </c>
      <c r="J142" t="s">
        <v>100</v>
      </c>
      <c r="K142" t="s">
        <v>209</v>
      </c>
      <c r="L142" t="s">
        <v>232</v>
      </c>
      <c r="M142">
        <v>2</v>
      </c>
      <c r="N142">
        <v>26.61</v>
      </c>
      <c r="O142">
        <v>53.22</v>
      </c>
      <c r="P142">
        <v>0</v>
      </c>
      <c r="Q142">
        <v>0</v>
      </c>
      <c r="R142">
        <v>53.22</v>
      </c>
      <c r="S142">
        <v>21.28</v>
      </c>
      <c r="T142">
        <v>31.94</v>
      </c>
      <c r="U142" t="s">
        <v>190</v>
      </c>
      <c r="V142" t="s">
        <v>159</v>
      </c>
    </row>
    <row r="143" spans="1:22">
      <c r="A143" t="s">
        <v>1927</v>
      </c>
      <c r="B143" s="1">
        <v>45248</v>
      </c>
      <c r="C143" t="s">
        <v>188</v>
      </c>
      <c r="D143">
        <v>2023</v>
      </c>
      <c r="E143" t="s">
        <v>184</v>
      </c>
      <c r="F143" t="s">
        <v>1928</v>
      </c>
      <c r="G143" t="s">
        <v>12</v>
      </c>
      <c r="H143" t="s">
        <v>13</v>
      </c>
      <c r="I143" t="s">
        <v>14</v>
      </c>
      <c r="J143" t="s">
        <v>15</v>
      </c>
      <c r="K143" t="s">
        <v>178</v>
      </c>
      <c r="L143" t="s">
        <v>232</v>
      </c>
      <c r="M143">
        <v>4</v>
      </c>
      <c r="N143">
        <v>76.53</v>
      </c>
      <c r="O143">
        <v>306.12</v>
      </c>
      <c r="P143">
        <v>0</v>
      </c>
      <c r="Q143">
        <v>0</v>
      </c>
      <c r="R143">
        <v>306.12</v>
      </c>
      <c r="S143">
        <v>211.84</v>
      </c>
      <c r="T143">
        <v>94.28</v>
      </c>
      <c r="U143" t="s">
        <v>158</v>
      </c>
      <c r="V143" t="s">
        <v>159</v>
      </c>
    </row>
    <row r="144" spans="1:22">
      <c r="A144" t="s">
        <v>1149</v>
      </c>
      <c r="B144" s="1">
        <v>45247</v>
      </c>
      <c r="C144" t="s">
        <v>188</v>
      </c>
      <c r="D144">
        <v>2023</v>
      </c>
      <c r="E144" t="s">
        <v>184</v>
      </c>
      <c r="F144" t="s">
        <v>1150</v>
      </c>
      <c r="G144" t="s">
        <v>109</v>
      </c>
      <c r="H144" t="s">
        <v>110</v>
      </c>
      <c r="I144" t="s">
        <v>90</v>
      </c>
      <c r="J144" t="s">
        <v>100</v>
      </c>
      <c r="K144" t="s">
        <v>178</v>
      </c>
      <c r="L144" t="s">
        <v>204</v>
      </c>
      <c r="M144">
        <v>1</v>
      </c>
      <c r="N144">
        <v>77.67</v>
      </c>
      <c r="O144">
        <v>77.67</v>
      </c>
      <c r="P144">
        <v>20</v>
      </c>
      <c r="Q144">
        <v>15.53</v>
      </c>
      <c r="R144">
        <v>62.14</v>
      </c>
      <c r="S144">
        <v>28.12</v>
      </c>
      <c r="T144">
        <v>34.020000000000003</v>
      </c>
      <c r="U144" t="s">
        <v>166</v>
      </c>
      <c r="V144" t="s">
        <v>181</v>
      </c>
    </row>
    <row r="145" spans="1:22">
      <c r="A145" t="s">
        <v>273</v>
      </c>
      <c r="B145" s="1">
        <v>45247</v>
      </c>
      <c r="C145" t="s">
        <v>188</v>
      </c>
      <c r="D145">
        <v>2023</v>
      </c>
      <c r="E145" t="s">
        <v>184</v>
      </c>
      <c r="F145" t="s">
        <v>274</v>
      </c>
      <c r="G145" t="s">
        <v>122</v>
      </c>
      <c r="H145" t="s">
        <v>123</v>
      </c>
      <c r="I145" t="s">
        <v>115</v>
      </c>
      <c r="J145" t="s">
        <v>124</v>
      </c>
      <c r="K145" t="s">
        <v>156</v>
      </c>
      <c r="L145" t="s">
        <v>204</v>
      </c>
      <c r="M145">
        <v>2</v>
      </c>
      <c r="N145">
        <v>93.88</v>
      </c>
      <c r="O145">
        <v>187.76</v>
      </c>
      <c r="P145">
        <v>0</v>
      </c>
      <c r="Q145">
        <v>0</v>
      </c>
      <c r="R145">
        <v>187.76</v>
      </c>
      <c r="S145">
        <v>106.22</v>
      </c>
      <c r="T145">
        <v>81.540000000000006</v>
      </c>
      <c r="U145" t="s">
        <v>158</v>
      </c>
      <c r="V145" t="s">
        <v>181</v>
      </c>
    </row>
    <row r="146" spans="1:22">
      <c r="A146" t="s">
        <v>2009</v>
      </c>
      <c r="B146" s="1">
        <v>45247</v>
      </c>
      <c r="C146" t="s">
        <v>188</v>
      </c>
      <c r="D146">
        <v>2023</v>
      </c>
      <c r="E146" t="s">
        <v>184</v>
      </c>
      <c r="F146" t="s">
        <v>999</v>
      </c>
      <c r="G146" t="s">
        <v>117</v>
      </c>
      <c r="H146" t="s">
        <v>118</v>
      </c>
      <c r="I146" t="s">
        <v>115</v>
      </c>
      <c r="J146" t="s">
        <v>119</v>
      </c>
      <c r="K146" t="s">
        <v>156</v>
      </c>
      <c r="L146" t="s">
        <v>174</v>
      </c>
      <c r="M146">
        <v>2</v>
      </c>
      <c r="N146">
        <v>93.41</v>
      </c>
      <c r="O146">
        <v>186.82</v>
      </c>
      <c r="P146">
        <v>5</v>
      </c>
      <c r="Q146">
        <v>9.34</v>
      </c>
      <c r="R146">
        <v>177.48</v>
      </c>
      <c r="S146">
        <v>128.1</v>
      </c>
      <c r="T146">
        <v>49.38</v>
      </c>
      <c r="U146" t="s">
        <v>195</v>
      </c>
      <c r="V146" t="s">
        <v>186</v>
      </c>
    </row>
    <row r="147" spans="1:22">
      <c r="A147" t="s">
        <v>1202</v>
      </c>
      <c r="B147" s="1">
        <v>45247</v>
      </c>
      <c r="C147" t="s">
        <v>188</v>
      </c>
      <c r="D147">
        <v>2023</v>
      </c>
      <c r="E147" t="s">
        <v>184</v>
      </c>
      <c r="F147" t="s">
        <v>1203</v>
      </c>
      <c r="G147" t="s">
        <v>101</v>
      </c>
      <c r="H147" t="s">
        <v>102</v>
      </c>
      <c r="I147" t="s">
        <v>90</v>
      </c>
      <c r="J147" t="s">
        <v>100</v>
      </c>
      <c r="K147" t="s">
        <v>209</v>
      </c>
      <c r="L147" t="s">
        <v>174</v>
      </c>
      <c r="M147">
        <v>2</v>
      </c>
      <c r="N147">
        <v>196.28</v>
      </c>
      <c r="O147">
        <v>392.56</v>
      </c>
      <c r="P147">
        <v>0</v>
      </c>
      <c r="Q147">
        <v>0</v>
      </c>
      <c r="R147">
        <v>392.56</v>
      </c>
      <c r="S147">
        <v>143.46</v>
      </c>
      <c r="T147">
        <v>249.1</v>
      </c>
      <c r="U147" t="s">
        <v>166</v>
      </c>
      <c r="V147" t="s">
        <v>159</v>
      </c>
    </row>
    <row r="148" spans="1:22">
      <c r="A148" t="s">
        <v>1890</v>
      </c>
      <c r="B148" s="1">
        <v>45247</v>
      </c>
      <c r="C148" t="s">
        <v>188</v>
      </c>
      <c r="D148">
        <v>2023</v>
      </c>
      <c r="E148" t="s">
        <v>184</v>
      </c>
      <c r="F148" t="s">
        <v>1891</v>
      </c>
      <c r="G148" t="s">
        <v>135</v>
      </c>
      <c r="H148" t="s">
        <v>136</v>
      </c>
      <c r="I148" t="s">
        <v>115</v>
      </c>
      <c r="J148" t="s">
        <v>119</v>
      </c>
      <c r="K148" t="s">
        <v>156</v>
      </c>
      <c r="L148" t="s">
        <v>194</v>
      </c>
      <c r="M148">
        <v>4</v>
      </c>
      <c r="N148">
        <v>89.62</v>
      </c>
      <c r="O148">
        <v>358.48</v>
      </c>
      <c r="P148">
        <v>10</v>
      </c>
      <c r="Q148">
        <v>35.85</v>
      </c>
      <c r="R148">
        <v>322.63</v>
      </c>
      <c r="S148">
        <v>152.52000000000001</v>
      </c>
      <c r="T148">
        <v>170.11</v>
      </c>
      <c r="U148" t="s">
        <v>180</v>
      </c>
      <c r="V148" t="s">
        <v>159</v>
      </c>
    </row>
    <row r="149" spans="1:22">
      <c r="A149" t="s">
        <v>1403</v>
      </c>
      <c r="B149" s="1">
        <v>45247</v>
      </c>
      <c r="C149" t="s">
        <v>188</v>
      </c>
      <c r="D149">
        <v>2023</v>
      </c>
      <c r="E149" t="s">
        <v>184</v>
      </c>
      <c r="F149" t="s">
        <v>1404</v>
      </c>
      <c r="G149" t="s">
        <v>120</v>
      </c>
      <c r="H149" t="s">
        <v>121</v>
      </c>
      <c r="I149" t="s">
        <v>115</v>
      </c>
      <c r="J149" t="s">
        <v>119</v>
      </c>
      <c r="K149" t="s">
        <v>156</v>
      </c>
      <c r="L149" t="s">
        <v>232</v>
      </c>
      <c r="M149">
        <v>2</v>
      </c>
      <c r="N149">
        <v>197.52</v>
      </c>
      <c r="O149">
        <v>395.04</v>
      </c>
      <c r="P149">
        <v>10</v>
      </c>
      <c r="Q149">
        <v>39.5</v>
      </c>
      <c r="R149">
        <v>355.54</v>
      </c>
      <c r="S149">
        <v>133.08000000000001</v>
      </c>
      <c r="T149">
        <v>222.46</v>
      </c>
      <c r="U149" t="s">
        <v>166</v>
      </c>
      <c r="V149" t="s">
        <v>186</v>
      </c>
    </row>
    <row r="150" spans="1:22">
      <c r="A150" t="s">
        <v>2061</v>
      </c>
      <c r="B150" s="1">
        <v>45246</v>
      </c>
      <c r="C150" t="s">
        <v>188</v>
      </c>
      <c r="D150">
        <v>2023</v>
      </c>
      <c r="E150" t="s">
        <v>184</v>
      </c>
      <c r="F150" t="s">
        <v>2062</v>
      </c>
      <c r="G150" t="s">
        <v>117</v>
      </c>
      <c r="H150" t="s">
        <v>118</v>
      </c>
      <c r="I150" t="s">
        <v>115</v>
      </c>
      <c r="J150" t="s">
        <v>119</v>
      </c>
      <c r="K150" t="s">
        <v>164</v>
      </c>
      <c r="L150" t="s">
        <v>165</v>
      </c>
      <c r="M150">
        <v>2</v>
      </c>
      <c r="N150">
        <v>93.41</v>
      </c>
      <c r="O150">
        <v>186.82</v>
      </c>
      <c r="P150">
        <v>10</v>
      </c>
      <c r="Q150">
        <v>18.68</v>
      </c>
      <c r="R150">
        <v>168.14</v>
      </c>
      <c r="S150">
        <v>128.1</v>
      </c>
      <c r="T150">
        <v>40.04</v>
      </c>
      <c r="U150" t="s">
        <v>195</v>
      </c>
      <c r="V150" t="s">
        <v>186</v>
      </c>
    </row>
    <row r="151" spans="1:22">
      <c r="A151" t="s">
        <v>568</v>
      </c>
      <c r="B151" s="1">
        <v>45246</v>
      </c>
      <c r="C151" t="s">
        <v>188</v>
      </c>
      <c r="D151">
        <v>2023</v>
      </c>
      <c r="E151" t="s">
        <v>184</v>
      </c>
      <c r="F151" t="s">
        <v>569</v>
      </c>
      <c r="G151" t="s">
        <v>133</v>
      </c>
      <c r="H151" t="s">
        <v>134</v>
      </c>
      <c r="I151" t="s">
        <v>115</v>
      </c>
      <c r="J151" t="s">
        <v>119</v>
      </c>
      <c r="K151" t="s">
        <v>209</v>
      </c>
      <c r="L151" t="s">
        <v>157</v>
      </c>
      <c r="M151">
        <v>3</v>
      </c>
      <c r="N151">
        <v>78.84</v>
      </c>
      <c r="O151">
        <v>236.52</v>
      </c>
      <c r="P151">
        <v>20</v>
      </c>
      <c r="Q151">
        <v>47.3</v>
      </c>
      <c r="R151">
        <v>189.22</v>
      </c>
      <c r="S151">
        <v>143.04</v>
      </c>
      <c r="T151">
        <v>46.18</v>
      </c>
      <c r="U151" t="s">
        <v>158</v>
      </c>
      <c r="V151" t="s">
        <v>186</v>
      </c>
    </row>
    <row r="152" spans="1:22">
      <c r="A152" t="s">
        <v>1394</v>
      </c>
      <c r="B152" s="1">
        <v>45246</v>
      </c>
      <c r="C152" t="s">
        <v>188</v>
      </c>
      <c r="D152">
        <v>2023</v>
      </c>
      <c r="E152" t="s">
        <v>184</v>
      </c>
      <c r="F152" t="s">
        <v>1395</v>
      </c>
      <c r="G152" t="s">
        <v>120</v>
      </c>
      <c r="H152" t="s">
        <v>121</v>
      </c>
      <c r="I152" t="s">
        <v>115</v>
      </c>
      <c r="J152" t="s">
        <v>119</v>
      </c>
      <c r="K152" t="s">
        <v>178</v>
      </c>
      <c r="L152" t="s">
        <v>174</v>
      </c>
      <c r="M152">
        <v>4</v>
      </c>
      <c r="N152">
        <v>197.52</v>
      </c>
      <c r="O152">
        <v>790.08</v>
      </c>
      <c r="P152">
        <v>10</v>
      </c>
      <c r="Q152">
        <v>79.010000000000005</v>
      </c>
      <c r="R152">
        <v>711.07</v>
      </c>
      <c r="S152">
        <v>266.16000000000003</v>
      </c>
      <c r="T152">
        <v>444.91</v>
      </c>
      <c r="U152" t="s">
        <v>195</v>
      </c>
      <c r="V152" t="s">
        <v>159</v>
      </c>
    </row>
    <row r="153" spans="1:22">
      <c r="A153" t="s">
        <v>1083</v>
      </c>
      <c r="B153" s="1">
        <v>45245</v>
      </c>
      <c r="C153" t="s">
        <v>188</v>
      </c>
      <c r="D153">
        <v>2023</v>
      </c>
      <c r="E153" t="s">
        <v>184</v>
      </c>
      <c r="F153" t="s">
        <v>1084</v>
      </c>
      <c r="G153" t="s">
        <v>68</v>
      </c>
      <c r="H153" t="s">
        <v>69</v>
      </c>
      <c r="I153" t="s">
        <v>66</v>
      </c>
      <c r="J153" t="s">
        <v>70</v>
      </c>
      <c r="K153" t="s">
        <v>209</v>
      </c>
      <c r="L153" t="s">
        <v>194</v>
      </c>
      <c r="M153">
        <v>3</v>
      </c>
      <c r="N153">
        <v>98.51</v>
      </c>
      <c r="O153">
        <v>295.53000000000003</v>
      </c>
      <c r="P153">
        <v>5</v>
      </c>
      <c r="Q153">
        <v>14.78</v>
      </c>
      <c r="R153">
        <v>280.75</v>
      </c>
      <c r="S153">
        <v>165.51</v>
      </c>
      <c r="T153">
        <v>115.24</v>
      </c>
      <c r="U153" t="s">
        <v>195</v>
      </c>
      <c r="V153" t="s">
        <v>159</v>
      </c>
    </row>
    <row r="154" spans="1:22">
      <c r="A154" t="s">
        <v>1564</v>
      </c>
      <c r="B154" s="1">
        <v>45245</v>
      </c>
      <c r="C154" t="s">
        <v>188</v>
      </c>
      <c r="D154">
        <v>2023</v>
      </c>
      <c r="E154" t="s">
        <v>184</v>
      </c>
      <c r="F154" t="s">
        <v>1565</v>
      </c>
      <c r="G154" t="s">
        <v>57</v>
      </c>
      <c r="H154" t="s">
        <v>58</v>
      </c>
      <c r="I154" t="s">
        <v>41</v>
      </c>
      <c r="J154" t="s">
        <v>59</v>
      </c>
      <c r="K154" t="s">
        <v>209</v>
      </c>
      <c r="L154" t="s">
        <v>157</v>
      </c>
      <c r="M154">
        <v>1</v>
      </c>
      <c r="N154">
        <v>56.33</v>
      </c>
      <c r="O154">
        <v>56.33</v>
      </c>
      <c r="P154">
        <v>0</v>
      </c>
      <c r="Q154">
        <v>0</v>
      </c>
      <c r="R154">
        <v>56.33</v>
      </c>
      <c r="S154">
        <v>41.45</v>
      </c>
      <c r="T154">
        <v>14.88</v>
      </c>
      <c r="U154" t="s">
        <v>166</v>
      </c>
      <c r="V154" t="s">
        <v>159</v>
      </c>
    </row>
    <row r="155" spans="1:22">
      <c r="A155" t="s">
        <v>1506</v>
      </c>
      <c r="B155" s="1">
        <v>45245</v>
      </c>
      <c r="C155" t="s">
        <v>188</v>
      </c>
      <c r="D155">
        <v>2023</v>
      </c>
      <c r="E155" t="s">
        <v>184</v>
      </c>
      <c r="F155" t="s">
        <v>1507</v>
      </c>
      <c r="G155" t="s">
        <v>35</v>
      </c>
      <c r="H155" t="s">
        <v>36</v>
      </c>
      <c r="I155" t="s">
        <v>14</v>
      </c>
      <c r="J155" t="s">
        <v>19</v>
      </c>
      <c r="K155" t="s">
        <v>178</v>
      </c>
      <c r="L155" t="s">
        <v>174</v>
      </c>
      <c r="M155">
        <v>2</v>
      </c>
      <c r="N155">
        <v>81.599999999999994</v>
      </c>
      <c r="O155">
        <v>163.19999999999999</v>
      </c>
      <c r="P155">
        <v>0</v>
      </c>
      <c r="Q155">
        <v>0</v>
      </c>
      <c r="R155">
        <v>163.19999999999999</v>
      </c>
      <c r="S155">
        <v>58.64</v>
      </c>
      <c r="T155">
        <v>104.56</v>
      </c>
      <c r="U155" t="s">
        <v>180</v>
      </c>
      <c r="V155" t="s">
        <v>186</v>
      </c>
    </row>
    <row r="156" spans="1:22">
      <c r="A156" t="s">
        <v>1646</v>
      </c>
      <c r="B156" s="1">
        <v>45244</v>
      </c>
      <c r="C156" t="s">
        <v>188</v>
      </c>
      <c r="D156">
        <v>2023</v>
      </c>
      <c r="E156" t="s">
        <v>184</v>
      </c>
      <c r="F156" t="s">
        <v>911</v>
      </c>
      <c r="G156" t="s">
        <v>46</v>
      </c>
      <c r="H156" t="s">
        <v>47</v>
      </c>
      <c r="I156" t="s">
        <v>41</v>
      </c>
      <c r="J156" t="s">
        <v>45</v>
      </c>
      <c r="K156" t="s">
        <v>209</v>
      </c>
      <c r="L156" t="s">
        <v>232</v>
      </c>
      <c r="M156">
        <v>1</v>
      </c>
      <c r="N156">
        <v>16.95</v>
      </c>
      <c r="O156">
        <v>16.95</v>
      </c>
      <c r="P156">
        <v>0</v>
      </c>
      <c r="Q156">
        <v>0</v>
      </c>
      <c r="R156">
        <v>16.95</v>
      </c>
      <c r="S156">
        <v>9.76</v>
      </c>
      <c r="T156">
        <v>7.19</v>
      </c>
      <c r="U156" t="s">
        <v>190</v>
      </c>
      <c r="V156" t="s">
        <v>181</v>
      </c>
    </row>
    <row r="157" spans="1:22">
      <c r="A157" t="s">
        <v>1387</v>
      </c>
      <c r="B157" s="1">
        <v>45244</v>
      </c>
      <c r="C157" t="s">
        <v>188</v>
      </c>
      <c r="D157">
        <v>2023</v>
      </c>
      <c r="E157" t="s">
        <v>184</v>
      </c>
      <c r="F157" t="s">
        <v>1388</v>
      </c>
      <c r="G157" t="s">
        <v>111</v>
      </c>
      <c r="H157" t="s">
        <v>112</v>
      </c>
      <c r="I157" t="s">
        <v>90</v>
      </c>
      <c r="J157" t="s">
        <v>97</v>
      </c>
      <c r="K157" t="s">
        <v>178</v>
      </c>
      <c r="L157" t="s">
        <v>165</v>
      </c>
      <c r="M157">
        <v>3</v>
      </c>
      <c r="N157">
        <v>189.99</v>
      </c>
      <c r="O157">
        <v>569.97</v>
      </c>
      <c r="P157">
        <v>20</v>
      </c>
      <c r="Q157">
        <v>113.99</v>
      </c>
      <c r="R157">
        <v>455.98</v>
      </c>
      <c r="S157">
        <v>190.53</v>
      </c>
      <c r="T157">
        <v>265.45</v>
      </c>
      <c r="U157" t="s">
        <v>158</v>
      </c>
      <c r="V157" t="s">
        <v>181</v>
      </c>
    </row>
    <row r="158" spans="1:22">
      <c r="A158" t="s">
        <v>916</v>
      </c>
      <c r="B158" s="1">
        <v>45244</v>
      </c>
      <c r="C158" t="s">
        <v>188</v>
      </c>
      <c r="D158">
        <v>2023</v>
      </c>
      <c r="E158" t="s">
        <v>184</v>
      </c>
      <c r="F158" t="s">
        <v>917</v>
      </c>
      <c r="G158" t="s">
        <v>37</v>
      </c>
      <c r="H158" t="s">
        <v>38</v>
      </c>
      <c r="I158" t="s">
        <v>14</v>
      </c>
      <c r="J158" t="s">
        <v>27</v>
      </c>
      <c r="K158" t="s">
        <v>156</v>
      </c>
      <c r="L158" t="s">
        <v>165</v>
      </c>
      <c r="M158">
        <v>1</v>
      </c>
      <c r="N158">
        <v>133.99</v>
      </c>
      <c r="O158">
        <v>133.99</v>
      </c>
      <c r="P158">
        <v>10</v>
      </c>
      <c r="Q158">
        <v>13.4</v>
      </c>
      <c r="R158">
        <v>120.59</v>
      </c>
      <c r="S158">
        <v>73.489999999999995</v>
      </c>
      <c r="T158">
        <v>47.1</v>
      </c>
      <c r="U158" t="s">
        <v>195</v>
      </c>
      <c r="V158" t="s">
        <v>186</v>
      </c>
    </row>
    <row r="159" spans="1:22">
      <c r="A159" t="s">
        <v>1744</v>
      </c>
      <c r="B159" s="1">
        <v>45244</v>
      </c>
      <c r="C159" t="s">
        <v>188</v>
      </c>
      <c r="D159">
        <v>2023</v>
      </c>
      <c r="E159" t="s">
        <v>184</v>
      </c>
      <c r="F159" t="s">
        <v>1745</v>
      </c>
      <c r="G159" t="s">
        <v>88</v>
      </c>
      <c r="H159" t="s">
        <v>89</v>
      </c>
      <c r="I159" t="s">
        <v>90</v>
      </c>
      <c r="J159" t="s">
        <v>91</v>
      </c>
      <c r="K159" t="s">
        <v>209</v>
      </c>
      <c r="L159" t="s">
        <v>157</v>
      </c>
      <c r="M159">
        <v>3</v>
      </c>
      <c r="N159">
        <v>54.64</v>
      </c>
      <c r="O159">
        <v>163.92000000000002</v>
      </c>
      <c r="P159">
        <v>5</v>
      </c>
      <c r="Q159">
        <v>8.1999999999999993</v>
      </c>
      <c r="R159">
        <v>155.72</v>
      </c>
      <c r="S159">
        <v>60.96</v>
      </c>
      <c r="T159">
        <v>94.76</v>
      </c>
      <c r="U159" t="s">
        <v>180</v>
      </c>
      <c r="V159" t="s">
        <v>159</v>
      </c>
    </row>
    <row r="160" spans="1:22">
      <c r="A160" t="s">
        <v>1679</v>
      </c>
      <c r="B160" s="1">
        <v>45243</v>
      </c>
      <c r="C160" t="s">
        <v>188</v>
      </c>
      <c r="D160">
        <v>2023</v>
      </c>
      <c r="E160" t="s">
        <v>184</v>
      </c>
      <c r="F160" t="s">
        <v>1680</v>
      </c>
      <c r="G160" t="s">
        <v>117</v>
      </c>
      <c r="H160" t="s">
        <v>118</v>
      </c>
      <c r="I160" t="s">
        <v>115</v>
      </c>
      <c r="J160" t="s">
        <v>119</v>
      </c>
      <c r="K160" t="s">
        <v>156</v>
      </c>
      <c r="L160" t="s">
        <v>165</v>
      </c>
      <c r="M160">
        <v>1</v>
      </c>
      <c r="N160">
        <v>93.41</v>
      </c>
      <c r="O160">
        <v>93.41</v>
      </c>
      <c r="P160">
        <v>5</v>
      </c>
      <c r="Q160">
        <v>4.67</v>
      </c>
      <c r="R160">
        <v>88.74</v>
      </c>
      <c r="S160">
        <v>64.05</v>
      </c>
      <c r="T160">
        <v>24.69</v>
      </c>
      <c r="U160" t="s">
        <v>190</v>
      </c>
      <c r="V160" t="s">
        <v>159</v>
      </c>
    </row>
    <row r="161" spans="1:22">
      <c r="A161" t="s">
        <v>477</v>
      </c>
      <c r="B161" s="1">
        <v>45242</v>
      </c>
      <c r="C161" t="s">
        <v>188</v>
      </c>
      <c r="D161">
        <v>2023</v>
      </c>
      <c r="E161" t="s">
        <v>184</v>
      </c>
      <c r="F161" t="s">
        <v>478</v>
      </c>
      <c r="G161" t="s">
        <v>133</v>
      </c>
      <c r="H161" t="s">
        <v>134</v>
      </c>
      <c r="I161" t="s">
        <v>115</v>
      </c>
      <c r="J161" t="s">
        <v>119</v>
      </c>
      <c r="K161" t="s">
        <v>209</v>
      </c>
      <c r="L161" t="s">
        <v>174</v>
      </c>
      <c r="M161">
        <v>4</v>
      </c>
      <c r="N161">
        <v>78.84</v>
      </c>
      <c r="O161">
        <v>315.36</v>
      </c>
      <c r="P161">
        <v>5</v>
      </c>
      <c r="Q161">
        <v>15.77</v>
      </c>
      <c r="R161">
        <v>299.58999999999997</v>
      </c>
      <c r="S161">
        <v>190.72</v>
      </c>
      <c r="T161">
        <v>108.87</v>
      </c>
      <c r="U161" t="s">
        <v>195</v>
      </c>
      <c r="V161" t="s">
        <v>159</v>
      </c>
    </row>
    <row r="162" spans="1:22">
      <c r="A162" t="s">
        <v>1139</v>
      </c>
      <c r="B162" s="1">
        <v>45242</v>
      </c>
      <c r="C162" t="s">
        <v>188</v>
      </c>
      <c r="D162">
        <v>2023</v>
      </c>
      <c r="E162" t="s">
        <v>184</v>
      </c>
      <c r="F162" t="s">
        <v>1140</v>
      </c>
      <c r="G162" t="s">
        <v>71</v>
      </c>
      <c r="H162" t="s">
        <v>72</v>
      </c>
      <c r="I162" t="s">
        <v>66</v>
      </c>
      <c r="J162" t="s">
        <v>70</v>
      </c>
      <c r="K162" t="s">
        <v>156</v>
      </c>
      <c r="L162" t="s">
        <v>165</v>
      </c>
      <c r="M162">
        <v>4</v>
      </c>
      <c r="N162">
        <v>26.7</v>
      </c>
      <c r="O162">
        <v>106.8</v>
      </c>
      <c r="P162">
        <v>0</v>
      </c>
      <c r="Q162">
        <v>0</v>
      </c>
      <c r="R162">
        <v>106.8</v>
      </c>
      <c r="S162">
        <v>49.08</v>
      </c>
      <c r="T162">
        <v>57.72</v>
      </c>
      <c r="U162" t="s">
        <v>166</v>
      </c>
      <c r="V162" t="s">
        <v>186</v>
      </c>
    </row>
    <row r="163" spans="1:22">
      <c r="A163" t="s">
        <v>1594</v>
      </c>
      <c r="B163" s="1">
        <v>45242</v>
      </c>
      <c r="C163" t="s">
        <v>188</v>
      </c>
      <c r="D163">
        <v>2023</v>
      </c>
      <c r="E163" t="s">
        <v>184</v>
      </c>
      <c r="F163" t="s">
        <v>397</v>
      </c>
      <c r="G163" t="s">
        <v>84</v>
      </c>
      <c r="H163" t="s">
        <v>85</v>
      </c>
      <c r="I163" t="s">
        <v>66</v>
      </c>
      <c r="J163" t="s">
        <v>67</v>
      </c>
      <c r="K163" t="s">
        <v>164</v>
      </c>
      <c r="L163" t="s">
        <v>157</v>
      </c>
      <c r="M163">
        <v>3</v>
      </c>
      <c r="N163">
        <v>174.23</v>
      </c>
      <c r="O163">
        <v>522.68999999999994</v>
      </c>
      <c r="P163">
        <v>5</v>
      </c>
      <c r="Q163">
        <v>26.13</v>
      </c>
      <c r="R163">
        <v>496.56</v>
      </c>
      <c r="S163">
        <v>221.85</v>
      </c>
      <c r="T163">
        <v>274.70999999999998</v>
      </c>
      <c r="U163" t="s">
        <v>190</v>
      </c>
      <c r="V163" t="s">
        <v>159</v>
      </c>
    </row>
    <row r="164" spans="1:22">
      <c r="A164" t="s">
        <v>1267</v>
      </c>
      <c r="B164" s="1">
        <v>45241</v>
      </c>
      <c r="C164" t="s">
        <v>188</v>
      </c>
      <c r="D164">
        <v>2023</v>
      </c>
      <c r="E164" t="s">
        <v>184</v>
      </c>
      <c r="F164" t="s">
        <v>1268</v>
      </c>
      <c r="G164" t="s">
        <v>21</v>
      </c>
      <c r="H164" t="s">
        <v>22</v>
      </c>
      <c r="I164" t="s">
        <v>14</v>
      </c>
      <c r="J164" t="s">
        <v>15</v>
      </c>
      <c r="K164" t="s">
        <v>178</v>
      </c>
      <c r="L164" t="s">
        <v>165</v>
      </c>
      <c r="M164">
        <v>4</v>
      </c>
      <c r="N164">
        <v>65.430000000000007</v>
      </c>
      <c r="O164">
        <v>261.72000000000003</v>
      </c>
      <c r="P164">
        <v>5</v>
      </c>
      <c r="Q164">
        <v>13.09</v>
      </c>
      <c r="R164">
        <v>248.63</v>
      </c>
      <c r="S164">
        <v>154.76</v>
      </c>
      <c r="T164">
        <v>93.87</v>
      </c>
      <c r="U164" t="s">
        <v>166</v>
      </c>
      <c r="V164" t="s">
        <v>159</v>
      </c>
    </row>
    <row r="165" spans="1:22">
      <c r="A165" t="s">
        <v>1209</v>
      </c>
      <c r="B165" s="1">
        <v>45241</v>
      </c>
      <c r="C165" t="s">
        <v>188</v>
      </c>
      <c r="D165">
        <v>2023</v>
      </c>
      <c r="E165" t="s">
        <v>184</v>
      </c>
      <c r="F165" t="s">
        <v>1210</v>
      </c>
      <c r="G165" t="s">
        <v>120</v>
      </c>
      <c r="H165" t="s">
        <v>121</v>
      </c>
      <c r="I165" t="s">
        <v>115</v>
      </c>
      <c r="J165" t="s">
        <v>119</v>
      </c>
      <c r="K165" t="s">
        <v>156</v>
      </c>
      <c r="L165" t="s">
        <v>179</v>
      </c>
      <c r="M165">
        <v>2</v>
      </c>
      <c r="N165">
        <v>197.52</v>
      </c>
      <c r="O165">
        <v>395.04</v>
      </c>
      <c r="P165">
        <v>20</v>
      </c>
      <c r="Q165">
        <v>79.010000000000005</v>
      </c>
      <c r="R165">
        <v>316.02999999999997</v>
      </c>
      <c r="S165">
        <v>133.08000000000001</v>
      </c>
      <c r="T165">
        <v>182.95</v>
      </c>
      <c r="U165" t="s">
        <v>166</v>
      </c>
      <c r="V165" t="s">
        <v>159</v>
      </c>
    </row>
    <row r="166" spans="1:22">
      <c r="A166" t="s">
        <v>1243</v>
      </c>
      <c r="B166" s="1">
        <v>45241</v>
      </c>
      <c r="C166" t="s">
        <v>188</v>
      </c>
      <c r="D166">
        <v>2023</v>
      </c>
      <c r="E166" t="s">
        <v>184</v>
      </c>
      <c r="F166" t="s">
        <v>1244</v>
      </c>
      <c r="G166" t="s">
        <v>30</v>
      </c>
      <c r="H166" t="s">
        <v>31</v>
      </c>
      <c r="I166" t="s">
        <v>14</v>
      </c>
      <c r="J166" t="s">
        <v>32</v>
      </c>
      <c r="K166" t="s">
        <v>209</v>
      </c>
      <c r="L166" t="s">
        <v>179</v>
      </c>
      <c r="M166">
        <v>2</v>
      </c>
      <c r="N166">
        <v>113.18</v>
      </c>
      <c r="O166">
        <v>226.36</v>
      </c>
      <c r="P166">
        <v>5</v>
      </c>
      <c r="Q166">
        <v>11.32</v>
      </c>
      <c r="R166">
        <v>215.04</v>
      </c>
      <c r="S166">
        <v>78.02</v>
      </c>
      <c r="T166">
        <v>137.02000000000001</v>
      </c>
      <c r="U166" t="s">
        <v>166</v>
      </c>
      <c r="V166" t="s">
        <v>181</v>
      </c>
    </row>
    <row r="167" spans="1:22">
      <c r="A167" t="s">
        <v>1528</v>
      </c>
      <c r="B167" s="1">
        <v>45241</v>
      </c>
      <c r="C167" t="s">
        <v>188</v>
      </c>
      <c r="D167">
        <v>2023</v>
      </c>
      <c r="E167" t="s">
        <v>184</v>
      </c>
      <c r="F167" t="s">
        <v>1529</v>
      </c>
      <c r="G167" t="s">
        <v>55</v>
      </c>
      <c r="H167" t="s">
        <v>56</v>
      </c>
      <c r="I167" t="s">
        <v>41</v>
      </c>
      <c r="J167" t="s">
        <v>45</v>
      </c>
      <c r="K167" t="s">
        <v>164</v>
      </c>
      <c r="L167" t="s">
        <v>232</v>
      </c>
      <c r="M167">
        <v>3</v>
      </c>
      <c r="N167">
        <v>205.4</v>
      </c>
      <c r="O167">
        <v>616.20000000000005</v>
      </c>
      <c r="P167">
        <v>0</v>
      </c>
      <c r="Q167">
        <v>0</v>
      </c>
      <c r="R167">
        <v>616.20000000000005</v>
      </c>
      <c r="S167">
        <v>212.7</v>
      </c>
      <c r="T167">
        <v>403.5</v>
      </c>
      <c r="U167" t="s">
        <v>180</v>
      </c>
      <c r="V167" t="s">
        <v>186</v>
      </c>
    </row>
    <row r="168" spans="1:22">
      <c r="A168" t="s">
        <v>1656</v>
      </c>
      <c r="B168" s="1">
        <v>45241</v>
      </c>
      <c r="C168" t="s">
        <v>188</v>
      </c>
      <c r="D168">
        <v>2023</v>
      </c>
      <c r="E168" t="s">
        <v>184</v>
      </c>
      <c r="F168" t="s">
        <v>1657</v>
      </c>
      <c r="G168" t="s">
        <v>37</v>
      </c>
      <c r="H168" t="s">
        <v>38</v>
      </c>
      <c r="I168" t="s">
        <v>14</v>
      </c>
      <c r="J168" t="s">
        <v>27</v>
      </c>
      <c r="K168" t="s">
        <v>209</v>
      </c>
      <c r="L168" t="s">
        <v>204</v>
      </c>
      <c r="M168">
        <v>4</v>
      </c>
      <c r="N168">
        <v>133.99</v>
      </c>
      <c r="O168">
        <v>535.96</v>
      </c>
      <c r="P168">
        <v>0</v>
      </c>
      <c r="Q168">
        <v>0</v>
      </c>
      <c r="R168">
        <v>535.96</v>
      </c>
      <c r="S168">
        <v>293.95999999999998</v>
      </c>
      <c r="T168">
        <v>242</v>
      </c>
      <c r="U168" t="s">
        <v>195</v>
      </c>
      <c r="V168" t="s">
        <v>159</v>
      </c>
    </row>
    <row r="169" spans="1:22">
      <c r="A169" t="s">
        <v>1877</v>
      </c>
      <c r="B169" s="1">
        <v>45241</v>
      </c>
      <c r="C169" t="s">
        <v>188</v>
      </c>
      <c r="D169">
        <v>2023</v>
      </c>
      <c r="E169" t="s">
        <v>184</v>
      </c>
      <c r="F169" t="s">
        <v>1878</v>
      </c>
      <c r="G169" t="s">
        <v>92</v>
      </c>
      <c r="H169" t="s">
        <v>93</v>
      </c>
      <c r="I169" t="s">
        <v>90</v>
      </c>
      <c r="J169" t="s">
        <v>94</v>
      </c>
      <c r="K169" t="s">
        <v>178</v>
      </c>
      <c r="L169" t="s">
        <v>204</v>
      </c>
      <c r="M169">
        <v>3</v>
      </c>
      <c r="N169">
        <v>230.34</v>
      </c>
      <c r="O169">
        <v>691.02</v>
      </c>
      <c r="P169">
        <v>0</v>
      </c>
      <c r="Q169">
        <v>0</v>
      </c>
      <c r="R169">
        <v>691.02</v>
      </c>
      <c r="S169">
        <v>224.04</v>
      </c>
      <c r="T169">
        <v>466.98</v>
      </c>
      <c r="U169" t="s">
        <v>190</v>
      </c>
      <c r="V169" t="s">
        <v>186</v>
      </c>
    </row>
    <row r="170" spans="1:22">
      <c r="A170" t="s">
        <v>1476</v>
      </c>
      <c r="B170" s="1">
        <v>45240</v>
      </c>
      <c r="C170" t="s">
        <v>188</v>
      </c>
      <c r="D170">
        <v>2023</v>
      </c>
      <c r="E170" t="s">
        <v>184</v>
      </c>
      <c r="F170" t="s">
        <v>917</v>
      </c>
      <c r="G170" t="s">
        <v>35</v>
      </c>
      <c r="H170" t="s">
        <v>36</v>
      </c>
      <c r="I170" t="s">
        <v>14</v>
      </c>
      <c r="J170" t="s">
        <v>19</v>
      </c>
      <c r="K170" t="s">
        <v>178</v>
      </c>
      <c r="L170" t="s">
        <v>232</v>
      </c>
      <c r="M170">
        <v>2</v>
      </c>
      <c r="N170">
        <v>81.599999999999994</v>
      </c>
      <c r="O170">
        <v>163.19999999999999</v>
      </c>
      <c r="P170">
        <v>0</v>
      </c>
      <c r="Q170">
        <v>0</v>
      </c>
      <c r="R170">
        <v>163.19999999999999</v>
      </c>
      <c r="S170">
        <v>58.64</v>
      </c>
      <c r="T170">
        <v>104.56</v>
      </c>
      <c r="U170" t="s">
        <v>166</v>
      </c>
      <c r="V170" t="s">
        <v>181</v>
      </c>
    </row>
    <row r="171" spans="1:22">
      <c r="A171" t="s">
        <v>947</v>
      </c>
      <c r="B171" s="1">
        <v>45240</v>
      </c>
      <c r="C171" t="s">
        <v>188</v>
      </c>
      <c r="D171">
        <v>2023</v>
      </c>
      <c r="E171" t="s">
        <v>184</v>
      </c>
      <c r="F171" t="s">
        <v>948</v>
      </c>
      <c r="G171" t="s">
        <v>43</v>
      </c>
      <c r="H171" t="s">
        <v>44</v>
      </c>
      <c r="I171" t="s">
        <v>41</v>
      </c>
      <c r="J171" t="s">
        <v>45</v>
      </c>
      <c r="K171" t="s">
        <v>209</v>
      </c>
      <c r="L171" t="s">
        <v>204</v>
      </c>
      <c r="M171">
        <v>3</v>
      </c>
      <c r="N171">
        <v>67.56</v>
      </c>
      <c r="O171">
        <v>202.68</v>
      </c>
      <c r="P171">
        <v>20</v>
      </c>
      <c r="Q171">
        <v>40.54</v>
      </c>
      <c r="R171">
        <v>162.13999999999999</v>
      </c>
      <c r="S171">
        <v>129.63</v>
      </c>
      <c r="T171">
        <v>32.51</v>
      </c>
      <c r="U171" t="s">
        <v>190</v>
      </c>
      <c r="V171" t="s">
        <v>159</v>
      </c>
    </row>
    <row r="172" spans="1:22">
      <c r="A172" t="s">
        <v>1305</v>
      </c>
      <c r="B172" s="1">
        <v>45240</v>
      </c>
      <c r="C172" t="s">
        <v>188</v>
      </c>
      <c r="D172">
        <v>2023</v>
      </c>
      <c r="E172" t="s">
        <v>184</v>
      </c>
      <c r="F172" t="s">
        <v>763</v>
      </c>
      <c r="G172" t="s">
        <v>53</v>
      </c>
      <c r="H172" t="s">
        <v>54</v>
      </c>
      <c r="I172" t="s">
        <v>41</v>
      </c>
      <c r="J172" t="s">
        <v>45</v>
      </c>
      <c r="K172" t="s">
        <v>178</v>
      </c>
      <c r="L172" t="s">
        <v>157</v>
      </c>
      <c r="M172">
        <v>3</v>
      </c>
      <c r="N172">
        <v>51.98</v>
      </c>
      <c r="O172">
        <v>155.94</v>
      </c>
      <c r="P172">
        <v>5</v>
      </c>
      <c r="Q172">
        <v>7.8</v>
      </c>
      <c r="R172">
        <v>148.13999999999999</v>
      </c>
      <c r="S172">
        <v>99.12</v>
      </c>
      <c r="T172">
        <v>49.02</v>
      </c>
      <c r="U172" t="s">
        <v>180</v>
      </c>
      <c r="V172" t="s">
        <v>186</v>
      </c>
    </row>
    <row r="173" spans="1:22">
      <c r="A173" t="s">
        <v>2059</v>
      </c>
      <c r="B173" s="1">
        <v>45239</v>
      </c>
      <c r="C173" t="s">
        <v>188</v>
      </c>
      <c r="D173">
        <v>2023</v>
      </c>
      <c r="E173" t="s">
        <v>184</v>
      </c>
      <c r="F173" t="s">
        <v>2060</v>
      </c>
      <c r="G173" t="s">
        <v>12</v>
      </c>
      <c r="H173" t="s">
        <v>13</v>
      </c>
      <c r="I173" t="s">
        <v>14</v>
      </c>
      <c r="J173" t="s">
        <v>15</v>
      </c>
      <c r="K173" t="s">
        <v>156</v>
      </c>
      <c r="L173" t="s">
        <v>165</v>
      </c>
      <c r="M173">
        <v>3</v>
      </c>
      <c r="N173">
        <v>76.53</v>
      </c>
      <c r="O173">
        <v>229.59</v>
      </c>
      <c r="P173">
        <v>10</v>
      </c>
      <c r="Q173">
        <v>22.96</v>
      </c>
      <c r="R173">
        <v>206.63</v>
      </c>
      <c r="S173">
        <v>158.88</v>
      </c>
      <c r="T173">
        <v>47.75</v>
      </c>
      <c r="U173" t="s">
        <v>180</v>
      </c>
      <c r="V173" t="s">
        <v>186</v>
      </c>
    </row>
    <row r="174" spans="1:22">
      <c r="A174" t="s">
        <v>1614</v>
      </c>
      <c r="B174" s="1">
        <v>45239</v>
      </c>
      <c r="C174" t="s">
        <v>188</v>
      </c>
      <c r="D174">
        <v>2023</v>
      </c>
      <c r="E174" t="s">
        <v>184</v>
      </c>
      <c r="F174" t="s">
        <v>1615</v>
      </c>
      <c r="G174" t="s">
        <v>86</v>
      </c>
      <c r="H174" t="s">
        <v>87</v>
      </c>
      <c r="I174" t="s">
        <v>66</v>
      </c>
      <c r="J174" t="s">
        <v>67</v>
      </c>
      <c r="K174" t="s">
        <v>156</v>
      </c>
      <c r="L174" t="s">
        <v>204</v>
      </c>
      <c r="M174">
        <v>1</v>
      </c>
      <c r="N174">
        <v>124.77</v>
      </c>
      <c r="O174">
        <v>124.77</v>
      </c>
      <c r="P174">
        <v>10</v>
      </c>
      <c r="Q174">
        <v>12.48</v>
      </c>
      <c r="R174">
        <v>112.29</v>
      </c>
      <c r="S174">
        <v>69.64</v>
      </c>
      <c r="T174">
        <v>42.65</v>
      </c>
      <c r="U174" t="s">
        <v>158</v>
      </c>
      <c r="V174" t="s">
        <v>181</v>
      </c>
    </row>
    <row r="175" spans="1:22">
      <c r="A175" t="s">
        <v>511</v>
      </c>
      <c r="B175" s="1">
        <v>45238</v>
      </c>
      <c r="C175" t="s">
        <v>188</v>
      </c>
      <c r="D175">
        <v>2023</v>
      </c>
      <c r="E175" t="s">
        <v>184</v>
      </c>
      <c r="F175" t="s">
        <v>512</v>
      </c>
      <c r="G175" t="s">
        <v>17</v>
      </c>
      <c r="H175" t="s">
        <v>18</v>
      </c>
      <c r="I175" t="s">
        <v>14</v>
      </c>
      <c r="J175" t="s">
        <v>19</v>
      </c>
      <c r="K175" t="s">
        <v>164</v>
      </c>
      <c r="L175" t="s">
        <v>174</v>
      </c>
      <c r="M175">
        <v>2</v>
      </c>
      <c r="N175">
        <v>53.26</v>
      </c>
      <c r="O175">
        <v>106.52</v>
      </c>
      <c r="P175">
        <v>20</v>
      </c>
      <c r="Q175">
        <v>21.3</v>
      </c>
      <c r="R175">
        <v>85.22</v>
      </c>
      <c r="S175">
        <v>73.28</v>
      </c>
      <c r="T175">
        <v>11.94</v>
      </c>
      <c r="U175" t="s">
        <v>190</v>
      </c>
      <c r="V175" t="s">
        <v>159</v>
      </c>
    </row>
    <row r="176" spans="1:22">
      <c r="A176" t="s">
        <v>294</v>
      </c>
      <c r="B176" s="1">
        <v>45238</v>
      </c>
      <c r="C176" t="s">
        <v>188</v>
      </c>
      <c r="D176">
        <v>2023</v>
      </c>
      <c r="E176" t="s">
        <v>184</v>
      </c>
      <c r="F176" t="s">
        <v>295</v>
      </c>
      <c r="G176" t="s">
        <v>33</v>
      </c>
      <c r="H176" t="s">
        <v>34</v>
      </c>
      <c r="I176" t="s">
        <v>14</v>
      </c>
      <c r="J176" t="s">
        <v>27</v>
      </c>
      <c r="K176" t="s">
        <v>156</v>
      </c>
      <c r="L176" t="s">
        <v>165</v>
      </c>
      <c r="M176">
        <v>1</v>
      </c>
      <c r="N176">
        <v>124.26</v>
      </c>
      <c r="O176">
        <v>124.26</v>
      </c>
      <c r="P176">
        <v>15</v>
      </c>
      <c r="Q176">
        <v>18.64</v>
      </c>
      <c r="R176">
        <v>105.62</v>
      </c>
      <c r="S176">
        <v>52.62</v>
      </c>
      <c r="T176">
        <v>53</v>
      </c>
      <c r="U176" t="s">
        <v>190</v>
      </c>
      <c r="V176" t="s">
        <v>159</v>
      </c>
    </row>
    <row r="177" spans="1:22">
      <c r="A177" t="s">
        <v>2029</v>
      </c>
      <c r="B177" s="1">
        <v>45237</v>
      </c>
      <c r="C177" t="s">
        <v>188</v>
      </c>
      <c r="D177">
        <v>2023</v>
      </c>
      <c r="E177" t="s">
        <v>184</v>
      </c>
      <c r="F177" t="s">
        <v>2030</v>
      </c>
      <c r="G177" t="s">
        <v>43</v>
      </c>
      <c r="H177" t="s">
        <v>44</v>
      </c>
      <c r="I177" t="s">
        <v>41</v>
      </c>
      <c r="J177" t="s">
        <v>45</v>
      </c>
      <c r="K177" t="s">
        <v>209</v>
      </c>
      <c r="L177" t="s">
        <v>179</v>
      </c>
      <c r="M177">
        <v>2</v>
      </c>
      <c r="N177">
        <v>67.56</v>
      </c>
      <c r="O177">
        <v>135.12</v>
      </c>
      <c r="P177">
        <v>0</v>
      </c>
      <c r="Q177">
        <v>0</v>
      </c>
      <c r="R177">
        <v>135.12</v>
      </c>
      <c r="S177">
        <v>86.42</v>
      </c>
      <c r="T177">
        <v>48.7</v>
      </c>
      <c r="U177" t="s">
        <v>180</v>
      </c>
      <c r="V177" t="s">
        <v>186</v>
      </c>
    </row>
    <row r="178" spans="1:22">
      <c r="A178" t="s">
        <v>409</v>
      </c>
      <c r="B178" s="1">
        <v>45237</v>
      </c>
      <c r="C178" t="s">
        <v>188</v>
      </c>
      <c r="D178">
        <v>2023</v>
      </c>
      <c r="E178" t="s">
        <v>184</v>
      </c>
      <c r="F178" t="s">
        <v>410</v>
      </c>
      <c r="G178" t="s">
        <v>84</v>
      </c>
      <c r="H178" t="s">
        <v>85</v>
      </c>
      <c r="I178" t="s">
        <v>66</v>
      </c>
      <c r="J178" t="s">
        <v>67</v>
      </c>
      <c r="K178" t="s">
        <v>164</v>
      </c>
      <c r="L178" t="s">
        <v>194</v>
      </c>
      <c r="M178">
        <v>4</v>
      </c>
      <c r="N178">
        <v>174.23</v>
      </c>
      <c r="O178">
        <v>696.92</v>
      </c>
      <c r="P178">
        <v>5</v>
      </c>
      <c r="Q178">
        <v>34.85</v>
      </c>
      <c r="R178">
        <v>662.07</v>
      </c>
      <c r="S178">
        <v>295.8</v>
      </c>
      <c r="T178">
        <v>366.27</v>
      </c>
      <c r="U178" t="s">
        <v>190</v>
      </c>
      <c r="V178" t="s">
        <v>181</v>
      </c>
    </row>
    <row r="179" spans="1:22">
      <c r="A179" t="s">
        <v>1468</v>
      </c>
      <c r="B179" s="1">
        <v>45236</v>
      </c>
      <c r="C179" t="s">
        <v>188</v>
      </c>
      <c r="D179">
        <v>2023</v>
      </c>
      <c r="E179" t="s">
        <v>184</v>
      </c>
      <c r="F179" t="s">
        <v>1469</v>
      </c>
      <c r="G179" t="s">
        <v>37</v>
      </c>
      <c r="H179" t="s">
        <v>38</v>
      </c>
      <c r="I179" t="s">
        <v>14</v>
      </c>
      <c r="J179" t="s">
        <v>27</v>
      </c>
      <c r="K179" t="s">
        <v>164</v>
      </c>
      <c r="L179" t="s">
        <v>232</v>
      </c>
      <c r="M179">
        <v>4</v>
      </c>
      <c r="N179">
        <v>133.99</v>
      </c>
      <c r="O179">
        <v>535.96</v>
      </c>
      <c r="P179">
        <v>0</v>
      </c>
      <c r="Q179">
        <v>0</v>
      </c>
      <c r="R179">
        <v>535.96</v>
      </c>
      <c r="S179">
        <v>293.95999999999998</v>
      </c>
      <c r="T179">
        <v>242</v>
      </c>
      <c r="U179" t="s">
        <v>190</v>
      </c>
      <c r="V179" t="s">
        <v>159</v>
      </c>
    </row>
    <row r="180" spans="1:22">
      <c r="A180" t="s">
        <v>933</v>
      </c>
      <c r="B180" s="1">
        <v>45235</v>
      </c>
      <c r="C180" t="s">
        <v>188</v>
      </c>
      <c r="D180">
        <v>2023</v>
      </c>
      <c r="E180" t="s">
        <v>184</v>
      </c>
      <c r="F180" t="s">
        <v>934</v>
      </c>
      <c r="G180" t="s">
        <v>28</v>
      </c>
      <c r="H180" t="s">
        <v>29</v>
      </c>
      <c r="I180" t="s">
        <v>14</v>
      </c>
      <c r="J180" t="s">
        <v>19</v>
      </c>
      <c r="K180" t="s">
        <v>209</v>
      </c>
      <c r="L180" t="s">
        <v>232</v>
      </c>
      <c r="M180">
        <v>1</v>
      </c>
      <c r="N180">
        <v>26.46</v>
      </c>
      <c r="O180">
        <v>26.46</v>
      </c>
      <c r="P180">
        <v>0</v>
      </c>
      <c r="Q180">
        <v>0</v>
      </c>
      <c r="R180">
        <v>26.46</v>
      </c>
      <c r="S180">
        <v>19.420000000000002</v>
      </c>
      <c r="T180">
        <v>7.04</v>
      </c>
      <c r="U180" t="s">
        <v>180</v>
      </c>
      <c r="V180" t="s">
        <v>159</v>
      </c>
    </row>
    <row r="181" spans="1:22">
      <c r="A181" t="s">
        <v>1510</v>
      </c>
      <c r="B181" s="1">
        <v>45234</v>
      </c>
      <c r="C181" t="s">
        <v>188</v>
      </c>
      <c r="D181">
        <v>2023</v>
      </c>
      <c r="E181" t="s">
        <v>184</v>
      </c>
      <c r="F181" t="s">
        <v>1511</v>
      </c>
      <c r="G181" t="s">
        <v>80</v>
      </c>
      <c r="H181" t="s">
        <v>81</v>
      </c>
      <c r="I181" t="s">
        <v>66</v>
      </c>
      <c r="J181" t="s">
        <v>70</v>
      </c>
      <c r="K181" t="s">
        <v>209</v>
      </c>
      <c r="L181" t="s">
        <v>157</v>
      </c>
      <c r="M181">
        <v>4</v>
      </c>
      <c r="N181">
        <v>106.06</v>
      </c>
      <c r="O181">
        <v>424.24</v>
      </c>
      <c r="P181">
        <v>0</v>
      </c>
      <c r="Q181">
        <v>0</v>
      </c>
      <c r="R181">
        <v>424.24</v>
      </c>
      <c r="S181">
        <v>133.68</v>
      </c>
      <c r="T181">
        <v>290.56</v>
      </c>
      <c r="U181" t="s">
        <v>166</v>
      </c>
      <c r="V181" t="s">
        <v>159</v>
      </c>
    </row>
    <row r="182" spans="1:22">
      <c r="A182" t="s">
        <v>1027</v>
      </c>
      <c r="B182" s="1">
        <v>45234</v>
      </c>
      <c r="C182" t="s">
        <v>188</v>
      </c>
      <c r="D182">
        <v>2023</v>
      </c>
      <c r="E182" t="s">
        <v>184</v>
      </c>
      <c r="F182" t="s">
        <v>1028</v>
      </c>
      <c r="G182" t="s">
        <v>133</v>
      </c>
      <c r="H182" t="s">
        <v>134</v>
      </c>
      <c r="I182" t="s">
        <v>115</v>
      </c>
      <c r="J182" t="s">
        <v>119</v>
      </c>
      <c r="K182" t="s">
        <v>178</v>
      </c>
      <c r="L182" t="s">
        <v>165</v>
      </c>
      <c r="M182">
        <v>2</v>
      </c>
      <c r="N182">
        <v>78.84</v>
      </c>
      <c r="O182">
        <v>157.68</v>
      </c>
      <c r="P182">
        <v>0</v>
      </c>
      <c r="Q182">
        <v>0</v>
      </c>
      <c r="R182">
        <v>157.68</v>
      </c>
      <c r="S182">
        <v>95.36</v>
      </c>
      <c r="T182">
        <v>62.32</v>
      </c>
      <c r="U182" t="s">
        <v>190</v>
      </c>
      <c r="V182" t="s">
        <v>159</v>
      </c>
    </row>
    <row r="183" spans="1:22">
      <c r="A183" t="s">
        <v>1986</v>
      </c>
      <c r="B183" s="1">
        <v>45234</v>
      </c>
      <c r="C183" t="s">
        <v>188</v>
      </c>
      <c r="D183">
        <v>2023</v>
      </c>
      <c r="E183" t="s">
        <v>184</v>
      </c>
      <c r="F183" t="s">
        <v>784</v>
      </c>
      <c r="G183" t="s">
        <v>88</v>
      </c>
      <c r="H183" t="s">
        <v>89</v>
      </c>
      <c r="I183" t="s">
        <v>90</v>
      </c>
      <c r="J183" t="s">
        <v>91</v>
      </c>
      <c r="K183" t="s">
        <v>209</v>
      </c>
      <c r="L183" t="s">
        <v>179</v>
      </c>
      <c r="M183">
        <v>3</v>
      </c>
      <c r="N183">
        <v>54.64</v>
      </c>
      <c r="O183">
        <v>163.92000000000002</v>
      </c>
      <c r="P183">
        <v>10</v>
      </c>
      <c r="Q183">
        <v>16.39</v>
      </c>
      <c r="R183">
        <v>147.53</v>
      </c>
      <c r="S183">
        <v>60.96</v>
      </c>
      <c r="T183">
        <v>86.57</v>
      </c>
      <c r="U183" t="s">
        <v>180</v>
      </c>
      <c r="V183" t="s">
        <v>159</v>
      </c>
    </row>
    <row r="184" spans="1:22">
      <c r="A184" t="s">
        <v>657</v>
      </c>
      <c r="B184" s="1">
        <v>45233</v>
      </c>
      <c r="C184" t="s">
        <v>188</v>
      </c>
      <c r="D184">
        <v>2023</v>
      </c>
      <c r="E184" t="s">
        <v>184</v>
      </c>
      <c r="F184" t="s">
        <v>658</v>
      </c>
      <c r="G184" t="s">
        <v>50</v>
      </c>
      <c r="H184" t="s">
        <v>51</v>
      </c>
      <c r="I184" t="s">
        <v>41</v>
      </c>
      <c r="J184" t="s">
        <v>52</v>
      </c>
      <c r="K184" t="s">
        <v>178</v>
      </c>
      <c r="L184" t="s">
        <v>157</v>
      </c>
      <c r="M184">
        <v>3</v>
      </c>
      <c r="N184">
        <v>143.80000000000001</v>
      </c>
      <c r="O184">
        <v>431.40000000000003</v>
      </c>
      <c r="P184">
        <v>10</v>
      </c>
      <c r="Q184">
        <v>43.14</v>
      </c>
      <c r="R184">
        <v>388.26</v>
      </c>
      <c r="S184">
        <v>186.45</v>
      </c>
      <c r="T184">
        <v>201.81</v>
      </c>
      <c r="U184" t="s">
        <v>195</v>
      </c>
      <c r="V184" t="s">
        <v>159</v>
      </c>
    </row>
    <row r="185" spans="1:22">
      <c r="A185" t="s">
        <v>1270</v>
      </c>
      <c r="B185" s="1">
        <v>45233</v>
      </c>
      <c r="C185" t="s">
        <v>188</v>
      </c>
      <c r="D185">
        <v>2023</v>
      </c>
      <c r="E185" t="s">
        <v>184</v>
      </c>
      <c r="F185" t="s">
        <v>1271</v>
      </c>
      <c r="G185" t="s">
        <v>46</v>
      </c>
      <c r="H185" t="s">
        <v>47</v>
      </c>
      <c r="I185" t="s">
        <v>41</v>
      </c>
      <c r="J185" t="s">
        <v>45</v>
      </c>
      <c r="K185" t="s">
        <v>156</v>
      </c>
      <c r="L185" t="s">
        <v>232</v>
      </c>
      <c r="M185">
        <v>1</v>
      </c>
      <c r="N185">
        <v>16.95</v>
      </c>
      <c r="O185">
        <v>16.95</v>
      </c>
      <c r="P185">
        <v>20</v>
      </c>
      <c r="Q185">
        <v>3.39</v>
      </c>
      <c r="R185">
        <v>13.56</v>
      </c>
      <c r="S185">
        <v>9.76</v>
      </c>
      <c r="T185">
        <v>3.8</v>
      </c>
      <c r="U185" t="s">
        <v>190</v>
      </c>
      <c r="V185" t="s">
        <v>159</v>
      </c>
    </row>
    <row r="186" spans="1:22">
      <c r="A186" t="s">
        <v>384</v>
      </c>
      <c r="B186" s="1">
        <v>45232</v>
      </c>
      <c r="C186" t="s">
        <v>188</v>
      </c>
      <c r="D186">
        <v>2023</v>
      </c>
      <c r="E186" t="s">
        <v>184</v>
      </c>
      <c r="F186" t="s">
        <v>385</v>
      </c>
      <c r="G186" t="s">
        <v>103</v>
      </c>
      <c r="H186" t="s">
        <v>104</v>
      </c>
      <c r="I186" t="s">
        <v>90</v>
      </c>
      <c r="J186" t="s">
        <v>94</v>
      </c>
      <c r="K186" t="s">
        <v>178</v>
      </c>
      <c r="L186" t="s">
        <v>204</v>
      </c>
      <c r="M186">
        <v>3</v>
      </c>
      <c r="N186">
        <v>98.58</v>
      </c>
      <c r="O186">
        <v>295.74</v>
      </c>
      <c r="P186">
        <v>5</v>
      </c>
      <c r="Q186">
        <v>14.79</v>
      </c>
      <c r="R186">
        <v>280.95</v>
      </c>
      <c r="S186">
        <v>157.71</v>
      </c>
      <c r="T186">
        <v>123.24</v>
      </c>
      <c r="U186" t="s">
        <v>166</v>
      </c>
      <c r="V186" t="s">
        <v>181</v>
      </c>
    </row>
    <row r="187" spans="1:22">
      <c r="A187" t="s">
        <v>370</v>
      </c>
      <c r="B187" s="1">
        <v>45232</v>
      </c>
      <c r="C187" t="s">
        <v>188</v>
      </c>
      <c r="D187">
        <v>2023</v>
      </c>
      <c r="E187" t="s">
        <v>184</v>
      </c>
      <c r="F187" t="s">
        <v>371</v>
      </c>
      <c r="G187" t="s">
        <v>135</v>
      </c>
      <c r="H187" t="s">
        <v>136</v>
      </c>
      <c r="I187" t="s">
        <v>115</v>
      </c>
      <c r="J187" t="s">
        <v>119</v>
      </c>
      <c r="K187" t="s">
        <v>178</v>
      </c>
      <c r="L187" t="s">
        <v>179</v>
      </c>
      <c r="M187">
        <v>2</v>
      </c>
      <c r="N187">
        <v>89.62</v>
      </c>
      <c r="O187">
        <v>179.24</v>
      </c>
      <c r="P187">
        <v>20</v>
      </c>
      <c r="Q187">
        <v>35.85</v>
      </c>
      <c r="R187">
        <v>143.38999999999999</v>
      </c>
      <c r="S187">
        <v>76.260000000000005</v>
      </c>
      <c r="T187">
        <v>67.13</v>
      </c>
      <c r="U187" t="s">
        <v>190</v>
      </c>
      <c r="V187" t="s">
        <v>159</v>
      </c>
    </row>
    <row r="188" spans="1:22">
      <c r="A188" t="s">
        <v>1619</v>
      </c>
      <c r="B188" s="1">
        <v>45232</v>
      </c>
      <c r="C188" t="s">
        <v>188</v>
      </c>
      <c r="D188">
        <v>2023</v>
      </c>
      <c r="E188" t="s">
        <v>184</v>
      </c>
      <c r="F188" t="s">
        <v>1620</v>
      </c>
      <c r="G188" t="s">
        <v>39</v>
      </c>
      <c r="H188" t="s">
        <v>40</v>
      </c>
      <c r="I188" t="s">
        <v>41</v>
      </c>
      <c r="J188" t="s">
        <v>42</v>
      </c>
      <c r="K188" t="s">
        <v>178</v>
      </c>
      <c r="L188" t="s">
        <v>165</v>
      </c>
      <c r="M188">
        <v>1</v>
      </c>
      <c r="N188">
        <v>35.11</v>
      </c>
      <c r="O188">
        <v>35.11</v>
      </c>
      <c r="P188">
        <v>15</v>
      </c>
      <c r="Q188">
        <v>5.27</v>
      </c>
      <c r="R188">
        <v>29.84</v>
      </c>
      <c r="S188">
        <v>24.87</v>
      </c>
      <c r="T188">
        <v>4.97</v>
      </c>
      <c r="U188" t="s">
        <v>166</v>
      </c>
      <c r="V188" t="s">
        <v>159</v>
      </c>
    </row>
    <row r="189" spans="1:22">
      <c r="A189" t="s">
        <v>1339</v>
      </c>
      <c r="B189" s="1">
        <v>45232</v>
      </c>
      <c r="C189" t="s">
        <v>188</v>
      </c>
      <c r="D189">
        <v>2023</v>
      </c>
      <c r="E189" t="s">
        <v>184</v>
      </c>
      <c r="F189" t="s">
        <v>1340</v>
      </c>
      <c r="G189" t="s">
        <v>125</v>
      </c>
      <c r="H189" t="s">
        <v>126</v>
      </c>
      <c r="I189" t="s">
        <v>115</v>
      </c>
      <c r="J189" t="s">
        <v>116</v>
      </c>
      <c r="K189" t="s">
        <v>164</v>
      </c>
      <c r="L189" t="s">
        <v>232</v>
      </c>
      <c r="M189">
        <v>2</v>
      </c>
      <c r="N189">
        <v>144.94999999999999</v>
      </c>
      <c r="O189">
        <v>289.89999999999998</v>
      </c>
      <c r="P189">
        <v>10</v>
      </c>
      <c r="Q189">
        <v>28.99</v>
      </c>
      <c r="R189">
        <v>260.91000000000003</v>
      </c>
      <c r="S189">
        <v>154.38</v>
      </c>
      <c r="T189">
        <v>106.53</v>
      </c>
      <c r="U189" t="s">
        <v>166</v>
      </c>
      <c r="V189" t="s">
        <v>159</v>
      </c>
    </row>
    <row r="190" spans="1:22">
      <c r="A190" t="s">
        <v>1459</v>
      </c>
      <c r="B190" s="1">
        <v>45232</v>
      </c>
      <c r="C190" t="s">
        <v>188</v>
      </c>
      <c r="D190">
        <v>2023</v>
      </c>
      <c r="E190" t="s">
        <v>184</v>
      </c>
      <c r="F190" t="s">
        <v>1402</v>
      </c>
      <c r="G190" t="s">
        <v>64</v>
      </c>
      <c r="H190" t="s">
        <v>65</v>
      </c>
      <c r="I190" t="s">
        <v>66</v>
      </c>
      <c r="J190" t="s">
        <v>67</v>
      </c>
      <c r="K190" t="s">
        <v>209</v>
      </c>
      <c r="L190" t="s">
        <v>157</v>
      </c>
      <c r="M190">
        <v>4</v>
      </c>
      <c r="N190">
        <v>24.9</v>
      </c>
      <c r="O190">
        <v>99.6</v>
      </c>
      <c r="P190">
        <v>20</v>
      </c>
      <c r="Q190">
        <v>19.920000000000002</v>
      </c>
      <c r="R190">
        <v>79.680000000000007</v>
      </c>
      <c r="S190">
        <v>86.08</v>
      </c>
      <c r="T190">
        <v>-6.4</v>
      </c>
      <c r="U190" t="s">
        <v>190</v>
      </c>
      <c r="V190" t="s">
        <v>181</v>
      </c>
    </row>
    <row r="191" spans="1:22">
      <c r="A191" t="s">
        <v>1591</v>
      </c>
      <c r="B191" s="1">
        <v>45232</v>
      </c>
      <c r="C191" t="s">
        <v>188</v>
      </c>
      <c r="D191">
        <v>2023</v>
      </c>
      <c r="E191" t="s">
        <v>184</v>
      </c>
      <c r="F191" t="s">
        <v>864</v>
      </c>
      <c r="G191" t="s">
        <v>25</v>
      </c>
      <c r="H191" t="s">
        <v>26</v>
      </c>
      <c r="I191" t="s">
        <v>14</v>
      </c>
      <c r="J191" t="s">
        <v>27</v>
      </c>
      <c r="K191" t="s">
        <v>164</v>
      </c>
      <c r="L191" t="s">
        <v>194</v>
      </c>
      <c r="M191">
        <v>1</v>
      </c>
      <c r="N191">
        <v>18.39</v>
      </c>
      <c r="O191">
        <v>18.39</v>
      </c>
      <c r="P191">
        <v>15</v>
      </c>
      <c r="Q191">
        <v>2.76</v>
      </c>
      <c r="R191">
        <v>15.63</v>
      </c>
      <c r="S191">
        <v>8.26</v>
      </c>
      <c r="T191">
        <v>7.37</v>
      </c>
      <c r="U191" t="s">
        <v>180</v>
      </c>
      <c r="V191" t="s">
        <v>159</v>
      </c>
    </row>
    <row r="192" spans="1:22">
      <c r="A192" t="s">
        <v>1239</v>
      </c>
      <c r="B192" s="1">
        <v>45232</v>
      </c>
      <c r="C192" t="s">
        <v>188</v>
      </c>
      <c r="D192">
        <v>2023</v>
      </c>
      <c r="E192" t="s">
        <v>184</v>
      </c>
      <c r="F192" t="s">
        <v>1240</v>
      </c>
      <c r="G192" t="s">
        <v>39</v>
      </c>
      <c r="H192" t="s">
        <v>40</v>
      </c>
      <c r="I192" t="s">
        <v>41</v>
      </c>
      <c r="J192" t="s">
        <v>42</v>
      </c>
      <c r="K192" t="s">
        <v>209</v>
      </c>
      <c r="L192" t="s">
        <v>157</v>
      </c>
      <c r="M192">
        <v>3</v>
      </c>
      <c r="N192">
        <v>35.11</v>
      </c>
      <c r="O192">
        <v>105.33</v>
      </c>
      <c r="P192">
        <v>5</v>
      </c>
      <c r="Q192">
        <v>5.27</v>
      </c>
      <c r="R192">
        <v>100.06</v>
      </c>
      <c r="S192">
        <v>74.61</v>
      </c>
      <c r="T192">
        <v>25.45</v>
      </c>
      <c r="U192" t="s">
        <v>180</v>
      </c>
      <c r="V192" t="s">
        <v>186</v>
      </c>
    </row>
    <row r="193" spans="1:22">
      <c r="A193" t="s">
        <v>1547</v>
      </c>
      <c r="B193" s="1">
        <v>45231</v>
      </c>
      <c r="C193" t="s">
        <v>188</v>
      </c>
      <c r="D193">
        <v>2023</v>
      </c>
      <c r="E193" t="s">
        <v>184</v>
      </c>
      <c r="F193" t="s">
        <v>1548</v>
      </c>
      <c r="G193" t="s">
        <v>105</v>
      </c>
      <c r="H193" t="s">
        <v>106</v>
      </c>
      <c r="I193" t="s">
        <v>90</v>
      </c>
      <c r="J193" t="s">
        <v>91</v>
      </c>
      <c r="K193" t="s">
        <v>178</v>
      </c>
      <c r="L193" t="s">
        <v>165</v>
      </c>
      <c r="M193">
        <v>4</v>
      </c>
      <c r="N193">
        <v>36.35</v>
      </c>
      <c r="O193">
        <v>145.4</v>
      </c>
      <c r="P193">
        <v>0</v>
      </c>
      <c r="Q193">
        <v>0</v>
      </c>
      <c r="R193">
        <v>145.4</v>
      </c>
      <c r="S193">
        <v>120.08</v>
      </c>
      <c r="T193">
        <v>25.32</v>
      </c>
      <c r="U193" t="s">
        <v>195</v>
      </c>
      <c r="V193" t="s">
        <v>159</v>
      </c>
    </row>
    <row r="194" spans="1:22">
      <c r="A194" t="s">
        <v>1683</v>
      </c>
      <c r="B194" s="1">
        <v>45231</v>
      </c>
      <c r="C194" t="s">
        <v>188</v>
      </c>
      <c r="D194">
        <v>2023</v>
      </c>
      <c r="E194" t="s">
        <v>184</v>
      </c>
      <c r="F194" t="s">
        <v>295</v>
      </c>
      <c r="G194" t="s">
        <v>30</v>
      </c>
      <c r="H194" t="s">
        <v>31</v>
      </c>
      <c r="I194" t="s">
        <v>14</v>
      </c>
      <c r="J194" t="s">
        <v>32</v>
      </c>
      <c r="K194" t="s">
        <v>156</v>
      </c>
      <c r="L194" t="s">
        <v>174</v>
      </c>
      <c r="M194">
        <v>1</v>
      </c>
      <c r="N194">
        <v>113.18</v>
      </c>
      <c r="O194">
        <v>113.18</v>
      </c>
      <c r="P194">
        <v>5</v>
      </c>
      <c r="Q194">
        <v>5.66</v>
      </c>
      <c r="R194">
        <v>107.52</v>
      </c>
      <c r="S194">
        <v>39.01</v>
      </c>
      <c r="T194">
        <v>68.510000000000005</v>
      </c>
      <c r="U194" t="s">
        <v>190</v>
      </c>
      <c r="V194" t="s">
        <v>186</v>
      </c>
    </row>
    <row r="195" spans="1:22">
      <c r="A195" t="s">
        <v>207</v>
      </c>
      <c r="B195" s="1">
        <v>45230</v>
      </c>
      <c r="C195" t="s">
        <v>183</v>
      </c>
      <c r="D195">
        <v>2023</v>
      </c>
      <c r="E195" t="s">
        <v>184</v>
      </c>
      <c r="F195" t="s">
        <v>208</v>
      </c>
      <c r="G195" t="s">
        <v>35</v>
      </c>
      <c r="H195" t="s">
        <v>36</v>
      </c>
      <c r="I195" t="s">
        <v>14</v>
      </c>
      <c r="J195" t="s">
        <v>19</v>
      </c>
      <c r="K195" t="s">
        <v>209</v>
      </c>
      <c r="L195" t="s">
        <v>174</v>
      </c>
      <c r="M195">
        <v>1</v>
      </c>
      <c r="N195">
        <v>81.599999999999994</v>
      </c>
      <c r="O195">
        <v>81.599999999999994</v>
      </c>
      <c r="P195">
        <v>5</v>
      </c>
      <c r="Q195">
        <v>4.08</v>
      </c>
      <c r="R195">
        <v>77.52</v>
      </c>
      <c r="S195">
        <v>29.32</v>
      </c>
      <c r="T195">
        <v>48.2</v>
      </c>
      <c r="U195" t="s">
        <v>180</v>
      </c>
      <c r="V195" t="s">
        <v>159</v>
      </c>
    </row>
    <row r="196" spans="1:22">
      <c r="A196" t="s">
        <v>1753</v>
      </c>
      <c r="B196" s="1">
        <v>45230</v>
      </c>
      <c r="C196" t="s">
        <v>183</v>
      </c>
      <c r="D196">
        <v>2023</v>
      </c>
      <c r="E196" t="s">
        <v>184</v>
      </c>
      <c r="F196" t="s">
        <v>1754</v>
      </c>
      <c r="G196" t="s">
        <v>117</v>
      </c>
      <c r="H196" t="s">
        <v>118</v>
      </c>
      <c r="I196" t="s">
        <v>115</v>
      </c>
      <c r="J196" t="s">
        <v>119</v>
      </c>
      <c r="K196" t="s">
        <v>164</v>
      </c>
      <c r="L196" t="s">
        <v>204</v>
      </c>
      <c r="M196">
        <v>3</v>
      </c>
      <c r="N196">
        <v>93.41</v>
      </c>
      <c r="O196">
        <v>280.23</v>
      </c>
      <c r="P196">
        <v>5</v>
      </c>
      <c r="Q196">
        <v>14.01</v>
      </c>
      <c r="R196">
        <v>266.22000000000003</v>
      </c>
      <c r="S196">
        <v>192.15</v>
      </c>
      <c r="T196">
        <v>74.069999999999993</v>
      </c>
      <c r="U196" t="s">
        <v>195</v>
      </c>
      <c r="V196" t="s">
        <v>181</v>
      </c>
    </row>
    <row r="197" spans="1:22">
      <c r="A197" t="s">
        <v>233</v>
      </c>
      <c r="B197" s="1">
        <v>45230</v>
      </c>
      <c r="C197" t="s">
        <v>183</v>
      </c>
      <c r="D197">
        <v>2023</v>
      </c>
      <c r="E197" t="s">
        <v>184</v>
      </c>
      <c r="F197" t="s">
        <v>234</v>
      </c>
      <c r="G197" t="s">
        <v>86</v>
      </c>
      <c r="H197" t="s">
        <v>87</v>
      </c>
      <c r="I197" t="s">
        <v>66</v>
      </c>
      <c r="J197" t="s">
        <v>67</v>
      </c>
      <c r="K197" t="s">
        <v>178</v>
      </c>
      <c r="L197" t="s">
        <v>179</v>
      </c>
      <c r="M197">
        <v>4</v>
      </c>
      <c r="N197">
        <v>124.77</v>
      </c>
      <c r="O197">
        <v>499.08</v>
      </c>
      <c r="P197">
        <v>20</v>
      </c>
      <c r="Q197">
        <v>99.82</v>
      </c>
      <c r="R197">
        <v>399.26</v>
      </c>
      <c r="S197">
        <v>278.56</v>
      </c>
      <c r="T197">
        <v>120.7</v>
      </c>
      <c r="U197" t="s">
        <v>190</v>
      </c>
      <c r="V197" t="s">
        <v>159</v>
      </c>
    </row>
    <row r="198" spans="1:22">
      <c r="A198" t="s">
        <v>1671</v>
      </c>
      <c r="B198" s="1">
        <v>45230</v>
      </c>
      <c r="C198" t="s">
        <v>183</v>
      </c>
      <c r="D198">
        <v>2023</v>
      </c>
      <c r="E198" t="s">
        <v>184</v>
      </c>
      <c r="F198" t="s">
        <v>1672</v>
      </c>
      <c r="G198" t="s">
        <v>21</v>
      </c>
      <c r="H198" t="s">
        <v>22</v>
      </c>
      <c r="I198" t="s">
        <v>14</v>
      </c>
      <c r="J198" t="s">
        <v>15</v>
      </c>
      <c r="K198" t="s">
        <v>164</v>
      </c>
      <c r="L198" t="s">
        <v>204</v>
      </c>
      <c r="M198">
        <v>2</v>
      </c>
      <c r="N198">
        <v>65.430000000000007</v>
      </c>
      <c r="O198">
        <v>130.86000000000001</v>
      </c>
      <c r="P198">
        <v>0</v>
      </c>
      <c r="Q198">
        <v>0</v>
      </c>
      <c r="R198">
        <v>130.86000000000001</v>
      </c>
      <c r="S198">
        <v>77.38</v>
      </c>
      <c r="T198">
        <v>53.48</v>
      </c>
      <c r="U198" t="s">
        <v>158</v>
      </c>
      <c r="V198" t="s">
        <v>181</v>
      </c>
    </row>
    <row r="199" spans="1:22">
      <c r="A199" t="s">
        <v>881</v>
      </c>
      <c r="B199" s="1">
        <v>45229</v>
      </c>
      <c r="C199" t="s">
        <v>183</v>
      </c>
      <c r="D199">
        <v>2023</v>
      </c>
      <c r="E199" t="s">
        <v>184</v>
      </c>
      <c r="F199" t="s">
        <v>882</v>
      </c>
      <c r="G199" t="s">
        <v>53</v>
      </c>
      <c r="H199" t="s">
        <v>54</v>
      </c>
      <c r="I199" t="s">
        <v>41</v>
      </c>
      <c r="J199" t="s">
        <v>45</v>
      </c>
      <c r="K199" t="s">
        <v>164</v>
      </c>
      <c r="L199" t="s">
        <v>179</v>
      </c>
      <c r="M199">
        <v>4</v>
      </c>
      <c r="N199">
        <v>51.98</v>
      </c>
      <c r="O199">
        <v>207.92</v>
      </c>
      <c r="P199">
        <v>0</v>
      </c>
      <c r="Q199">
        <v>0</v>
      </c>
      <c r="R199">
        <v>207.92</v>
      </c>
      <c r="S199">
        <v>132.16</v>
      </c>
      <c r="T199">
        <v>75.760000000000005</v>
      </c>
      <c r="U199" t="s">
        <v>190</v>
      </c>
      <c r="V199" t="s">
        <v>181</v>
      </c>
    </row>
    <row r="200" spans="1:22">
      <c r="A200" t="s">
        <v>1784</v>
      </c>
      <c r="B200" s="1">
        <v>45229</v>
      </c>
      <c r="C200" t="s">
        <v>183</v>
      </c>
      <c r="D200">
        <v>2023</v>
      </c>
      <c r="E200" t="s">
        <v>184</v>
      </c>
      <c r="F200" t="s">
        <v>1785</v>
      </c>
      <c r="G200" t="s">
        <v>88</v>
      </c>
      <c r="H200" t="s">
        <v>89</v>
      </c>
      <c r="I200" t="s">
        <v>90</v>
      </c>
      <c r="J200" t="s">
        <v>91</v>
      </c>
      <c r="K200" t="s">
        <v>164</v>
      </c>
      <c r="L200" t="s">
        <v>174</v>
      </c>
      <c r="M200">
        <v>3</v>
      </c>
      <c r="N200">
        <v>54.64</v>
      </c>
      <c r="O200">
        <v>163.92000000000002</v>
      </c>
      <c r="P200">
        <v>0</v>
      </c>
      <c r="Q200">
        <v>0</v>
      </c>
      <c r="R200">
        <v>163.92</v>
      </c>
      <c r="S200">
        <v>60.96</v>
      </c>
      <c r="T200">
        <v>102.96</v>
      </c>
      <c r="U200" t="s">
        <v>158</v>
      </c>
      <c r="V200" t="s">
        <v>186</v>
      </c>
    </row>
    <row r="201" spans="1:22">
      <c r="A201" t="s">
        <v>1204</v>
      </c>
      <c r="B201" s="1">
        <v>45229</v>
      </c>
      <c r="C201" t="s">
        <v>183</v>
      </c>
      <c r="D201">
        <v>2023</v>
      </c>
      <c r="E201" t="s">
        <v>184</v>
      </c>
      <c r="F201" t="s">
        <v>1205</v>
      </c>
      <c r="G201" t="s">
        <v>107</v>
      </c>
      <c r="H201" t="s">
        <v>108</v>
      </c>
      <c r="I201" t="s">
        <v>90</v>
      </c>
      <c r="J201" t="s">
        <v>100</v>
      </c>
      <c r="K201" t="s">
        <v>209</v>
      </c>
      <c r="L201" t="s">
        <v>232</v>
      </c>
      <c r="M201">
        <v>4</v>
      </c>
      <c r="N201">
        <v>26.61</v>
      </c>
      <c r="O201">
        <v>106.44</v>
      </c>
      <c r="P201">
        <v>20</v>
      </c>
      <c r="Q201">
        <v>21.29</v>
      </c>
      <c r="R201">
        <v>85.15</v>
      </c>
      <c r="S201">
        <v>42.56</v>
      </c>
      <c r="T201">
        <v>42.59</v>
      </c>
      <c r="U201" t="s">
        <v>195</v>
      </c>
      <c r="V201" t="s">
        <v>181</v>
      </c>
    </row>
    <row r="202" spans="1:22">
      <c r="A202" t="s">
        <v>779</v>
      </c>
      <c r="B202" s="1">
        <v>45229</v>
      </c>
      <c r="C202" t="s">
        <v>183</v>
      </c>
      <c r="D202">
        <v>2023</v>
      </c>
      <c r="E202" t="s">
        <v>184</v>
      </c>
      <c r="F202" t="s">
        <v>780</v>
      </c>
      <c r="G202" t="s">
        <v>43</v>
      </c>
      <c r="H202" t="s">
        <v>44</v>
      </c>
      <c r="I202" t="s">
        <v>41</v>
      </c>
      <c r="J202" t="s">
        <v>45</v>
      </c>
      <c r="K202" t="s">
        <v>156</v>
      </c>
      <c r="L202" t="s">
        <v>194</v>
      </c>
      <c r="M202">
        <v>3</v>
      </c>
      <c r="N202">
        <v>67.56</v>
      </c>
      <c r="O202">
        <v>202.68</v>
      </c>
      <c r="P202">
        <v>10</v>
      </c>
      <c r="Q202">
        <v>20.27</v>
      </c>
      <c r="R202">
        <v>182.41</v>
      </c>
      <c r="S202">
        <v>129.63</v>
      </c>
      <c r="T202">
        <v>52.78</v>
      </c>
      <c r="U202" t="s">
        <v>158</v>
      </c>
      <c r="V202" t="s">
        <v>159</v>
      </c>
    </row>
    <row r="203" spans="1:22">
      <c r="A203" t="s">
        <v>908</v>
      </c>
      <c r="B203" s="1">
        <v>45227</v>
      </c>
      <c r="C203" t="s">
        <v>183</v>
      </c>
      <c r="D203">
        <v>2023</v>
      </c>
      <c r="E203" t="s">
        <v>184</v>
      </c>
      <c r="F203" t="s">
        <v>909</v>
      </c>
      <c r="G203" t="s">
        <v>73</v>
      </c>
      <c r="H203" t="s">
        <v>74</v>
      </c>
      <c r="I203" t="s">
        <v>66</v>
      </c>
      <c r="J203" t="s">
        <v>75</v>
      </c>
      <c r="K203" t="s">
        <v>209</v>
      </c>
      <c r="L203" t="s">
        <v>174</v>
      </c>
      <c r="M203">
        <v>1</v>
      </c>
      <c r="N203">
        <v>53.95</v>
      </c>
      <c r="O203">
        <v>53.95</v>
      </c>
      <c r="P203">
        <v>10</v>
      </c>
      <c r="Q203">
        <v>5.39</v>
      </c>
      <c r="R203">
        <v>48.56</v>
      </c>
      <c r="S203">
        <v>35.200000000000003</v>
      </c>
      <c r="T203">
        <v>13.36</v>
      </c>
      <c r="U203" t="s">
        <v>158</v>
      </c>
      <c r="V203" t="s">
        <v>159</v>
      </c>
    </row>
    <row r="204" spans="1:22">
      <c r="A204" t="s">
        <v>671</v>
      </c>
      <c r="B204" s="1">
        <v>45227</v>
      </c>
      <c r="C204" t="s">
        <v>183</v>
      </c>
      <c r="D204">
        <v>2023</v>
      </c>
      <c r="E204" t="s">
        <v>184</v>
      </c>
      <c r="F204" t="s">
        <v>672</v>
      </c>
      <c r="G204" t="s">
        <v>21</v>
      </c>
      <c r="H204" t="s">
        <v>22</v>
      </c>
      <c r="I204" t="s">
        <v>14</v>
      </c>
      <c r="J204" t="s">
        <v>15</v>
      </c>
      <c r="K204" t="s">
        <v>156</v>
      </c>
      <c r="L204" t="s">
        <v>204</v>
      </c>
      <c r="M204">
        <v>1</v>
      </c>
      <c r="N204">
        <v>65.430000000000007</v>
      </c>
      <c r="O204">
        <v>65.430000000000007</v>
      </c>
      <c r="P204">
        <v>0</v>
      </c>
      <c r="Q204">
        <v>0</v>
      </c>
      <c r="R204">
        <v>65.430000000000007</v>
      </c>
      <c r="S204">
        <v>38.69</v>
      </c>
      <c r="T204">
        <v>26.74</v>
      </c>
      <c r="U204" t="s">
        <v>190</v>
      </c>
      <c r="V204" t="s">
        <v>159</v>
      </c>
    </row>
    <row r="205" spans="1:22">
      <c r="A205" t="s">
        <v>855</v>
      </c>
      <c r="B205" s="1">
        <v>45227</v>
      </c>
      <c r="C205" t="s">
        <v>183</v>
      </c>
      <c r="D205">
        <v>2023</v>
      </c>
      <c r="E205" t="s">
        <v>184</v>
      </c>
      <c r="F205" t="s">
        <v>856</v>
      </c>
      <c r="G205" t="s">
        <v>101</v>
      </c>
      <c r="H205" t="s">
        <v>102</v>
      </c>
      <c r="I205" t="s">
        <v>90</v>
      </c>
      <c r="J205" t="s">
        <v>100</v>
      </c>
      <c r="K205" t="s">
        <v>209</v>
      </c>
      <c r="L205" t="s">
        <v>194</v>
      </c>
      <c r="M205">
        <v>3</v>
      </c>
      <c r="N205">
        <v>196.28</v>
      </c>
      <c r="O205">
        <v>588.84</v>
      </c>
      <c r="P205">
        <v>5</v>
      </c>
      <c r="Q205">
        <v>29.44</v>
      </c>
      <c r="R205">
        <v>559.4</v>
      </c>
      <c r="S205">
        <v>215.19</v>
      </c>
      <c r="T205">
        <v>344.21</v>
      </c>
      <c r="U205" t="s">
        <v>180</v>
      </c>
      <c r="V205" t="s">
        <v>159</v>
      </c>
    </row>
    <row r="206" spans="1:22">
      <c r="A206" t="s">
        <v>849</v>
      </c>
      <c r="B206" s="1">
        <v>45227</v>
      </c>
      <c r="C206" t="s">
        <v>183</v>
      </c>
      <c r="D206">
        <v>2023</v>
      </c>
      <c r="E206" t="s">
        <v>184</v>
      </c>
      <c r="F206" t="s">
        <v>850</v>
      </c>
      <c r="G206" t="s">
        <v>135</v>
      </c>
      <c r="H206" t="s">
        <v>136</v>
      </c>
      <c r="I206" t="s">
        <v>115</v>
      </c>
      <c r="J206" t="s">
        <v>119</v>
      </c>
      <c r="K206" t="s">
        <v>209</v>
      </c>
      <c r="L206" t="s">
        <v>194</v>
      </c>
      <c r="M206">
        <v>1</v>
      </c>
      <c r="N206">
        <v>89.62</v>
      </c>
      <c r="O206">
        <v>89.62</v>
      </c>
      <c r="P206">
        <v>0</v>
      </c>
      <c r="Q206">
        <v>0</v>
      </c>
      <c r="R206">
        <v>89.62</v>
      </c>
      <c r="S206">
        <v>38.130000000000003</v>
      </c>
      <c r="T206">
        <v>51.49</v>
      </c>
      <c r="U206" t="s">
        <v>190</v>
      </c>
      <c r="V206" t="s">
        <v>159</v>
      </c>
    </row>
    <row r="207" spans="1:22">
      <c r="A207" t="s">
        <v>304</v>
      </c>
      <c r="B207" s="1">
        <v>45227</v>
      </c>
      <c r="C207" t="s">
        <v>183</v>
      </c>
      <c r="D207">
        <v>2023</v>
      </c>
      <c r="E207" t="s">
        <v>184</v>
      </c>
      <c r="F207" t="s">
        <v>305</v>
      </c>
      <c r="G207" t="s">
        <v>129</v>
      </c>
      <c r="H207" t="s">
        <v>130</v>
      </c>
      <c r="I207" t="s">
        <v>115</v>
      </c>
      <c r="J207" t="s">
        <v>124</v>
      </c>
      <c r="K207" t="s">
        <v>164</v>
      </c>
      <c r="L207" t="s">
        <v>179</v>
      </c>
      <c r="M207">
        <v>3</v>
      </c>
      <c r="N207">
        <v>99.34</v>
      </c>
      <c r="O207">
        <v>298.02</v>
      </c>
      <c r="P207">
        <v>20</v>
      </c>
      <c r="Q207">
        <v>59.6</v>
      </c>
      <c r="R207">
        <v>238.42</v>
      </c>
      <c r="S207">
        <v>112.05</v>
      </c>
      <c r="T207">
        <v>126.37</v>
      </c>
      <c r="U207" t="s">
        <v>190</v>
      </c>
      <c r="V207" t="s">
        <v>186</v>
      </c>
    </row>
    <row r="208" spans="1:22">
      <c r="A208" t="s">
        <v>1274</v>
      </c>
      <c r="B208" s="1">
        <v>45227</v>
      </c>
      <c r="C208" t="s">
        <v>183</v>
      </c>
      <c r="D208">
        <v>2023</v>
      </c>
      <c r="E208" t="s">
        <v>184</v>
      </c>
      <c r="F208" t="s">
        <v>1275</v>
      </c>
      <c r="G208" t="s">
        <v>71</v>
      </c>
      <c r="H208" t="s">
        <v>72</v>
      </c>
      <c r="I208" t="s">
        <v>66</v>
      </c>
      <c r="J208" t="s">
        <v>70</v>
      </c>
      <c r="K208" t="s">
        <v>209</v>
      </c>
      <c r="L208" t="s">
        <v>165</v>
      </c>
      <c r="M208">
        <v>4</v>
      </c>
      <c r="N208">
        <v>26.7</v>
      </c>
      <c r="O208">
        <v>106.8</v>
      </c>
      <c r="P208">
        <v>5</v>
      </c>
      <c r="Q208">
        <v>5.34</v>
      </c>
      <c r="R208">
        <v>101.46</v>
      </c>
      <c r="S208">
        <v>49.08</v>
      </c>
      <c r="T208">
        <v>52.38</v>
      </c>
      <c r="U208" t="s">
        <v>158</v>
      </c>
      <c r="V208" t="s">
        <v>159</v>
      </c>
    </row>
    <row r="209" spans="1:22">
      <c r="A209" t="s">
        <v>1998</v>
      </c>
      <c r="B209" s="1">
        <v>45227</v>
      </c>
      <c r="C209" t="s">
        <v>183</v>
      </c>
      <c r="D209">
        <v>2023</v>
      </c>
      <c r="E209" t="s">
        <v>184</v>
      </c>
      <c r="F209" t="s">
        <v>1999</v>
      </c>
      <c r="G209" t="s">
        <v>127</v>
      </c>
      <c r="H209" t="s">
        <v>128</v>
      </c>
      <c r="I209" t="s">
        <v>115</v>
      </c>
      <c r="J209" t="s">
        <v>124</v>
      </c>
      <c r="K209" t="s">
        <v>164</v>
      </c>
      <c r="L209" t="s">
        <v>179</v>
      </c>
      <c r="M209">
        <v>3</v>
      </c>
      <c r="N209">
        <v>94.76</v>
      </c>
      <c r="O209">
        <v>284.28000000000003</v>
      </c>
      <c r="P209">
        <v>0</v>
      </c>
      <c r="Q209">
        <v>0</v>
      </c>
      <c r="R209">
        <v>284.27999999999997</v>
      </c>
      <c r="S209">
        <v>236.46</v>
      </c>
      <c r="T209">
        <v>47.82</v>
      </c>
      <c r="U209" t="s">
        <v>180</v>
      </c>
      <c r="V209" t="s">
        <v>181</v>
      </c>
    </row>
    <row r="210" spans="1:22">
      <c r="A210" t="s">
        <v>1496</v>
      </c>
      <c r="B210" s="1">
        <v>45226</v>
      </c>
      <c r="C210" t="s">
        <v>183</v>
      </c>
      <c r="D210">
        <v>2023</v>
      </c>
      <c r="E210" t="s">
        <v>184</v>
      </c>
      <c r="F210" t="s">
        <v>1497</v>
      </c>
      <c r="G210" t="s">
        <v>129</v>
      </c>
      <c r="H210" t="s">
        <v>130</v>
      </c>
      <c r="I210" t="s">
        <v>115</v>
      </c>
      <c r="J210" t="s">
        <v>124</v>
      </c>
      <c r="K210" t="s">
        <v>156</v>
      </c>
      <c r="L210" t="s">
        <v>204</v>
      </c>
      <c r="M210">
        <v>1</v>
      </c>
      <c r="N210">
        <v>99.34</v>
      </c>
      <c r="O210">
        <v>99.34</v>
      </c>
      <c r="P210">
        <v>0</v>
      </c>
      <c r="Q210">
        <v>0</v>
      </c>
      <c r="R210">
        <v>99.34</v>
      </c>
      <c r="S210">
        <v>37.35</v>
      </c>
      <c r="T210">
        <v>61.99</v>
      </c>
      <c r="U210" t="s">
        <v>180</v>
      </c>
      <c r="V210" t="s">
        <v>159</v>
      </c>
    </row>
    <row r="211" spans="1:22">
      <c r="A211" t="s">
        <v>634</v>
      </c>
      <c r="B211" s="1">
        <v>45225</v>
      </c>
      <c r="C211" t="s">
        <v>183</v>
      </c>
      <c r="D211">
        <v>2023</v>
      </c>
      <c r="E211" t="s">
        <v>184</v>
      </c>
      <c r="F211" t="s">
        <v>594</v>
      </c>
      <c r="G211" t="s">
        <v>33</v>
      </c>
      <c r="H211" t="s">
        <v>34</v>
      </c>
      <c r="I211" t="s">
        <v>14</v>
      </c>
      <c r="J211" t="s">
        <v>27</v>
      </c>
      <c r="K211" t="s">
        <v>209</v>
      </c>
      <c r="L211" t="s">
        <v>232</v>
      </c>
      <c r="M211">
        <v>2</v>
      </c>
      <c r="N211">
        <v>124.26</v>
      </c>
      <c r="O211">
        <v>248.52</v>
      </c>
      <c r="P211">
        <v>15</v>
      </c>
      <c r="Q211">
        <v>37.28</v>
      </c>
      <c r="R211">
        <v>211.24</v>
      </c>
      <c r="S211">
        <v>105.24</v>
      </c>
      <c r="T211">
        <v>106</v>
      </c>
      <c r="U211" t="s">
        <v>180</v>
      </c>
      <c r="V211" t="s">
        <v>159</v>
      </c>
    </row>
    <row r="212" spans="1:22">
      <c r="A212" t="s">
        <v>560</v>
      </c>
      <c r="B212" s="1">
        <v>45225</v>
      </c>
      <c r="C212" t="s">
        <v>183</v>
      </c>
      <c r="D212">
        <v>2023</v>
      </c>
      <c r="E212" t="s">
        <v>184</v>
      </c>
      <c r="F212" t="s">
        <v>561</v>
      </c>
      <c r="G212" t="s">
        <v>86</v>
      </c>
      <c r="H212" t="s">
        <v>87</v>
      </c>
      <c r="I212" t="s">
        <v>66</v>
      </c>
      <c r="J212" t="s">
        <v>67</v>
      </c>
      <c r="K212" t="s">
        <v>209</v>
      </c>
      <c r="L212" t="s">
        <v>174</v>
      </c>
      <c r="M212">
        <v>2</v>
      </c>
      <c r="N212">
        <v>124.77</v>
      </c>
      <c r="O212">
        <v>249.54</v>
      </c>
      <c r="P212">
        <v>0</v>
      </c>
      <c r="Q212">
        <v>0</v>
      </c>
      <c r="R212">
        <v>249.54</v>
      </c>
      <c r="S212">
        <v>139.28</v>
      </c>
      <c r="T212">
        <v>110.26</v>
      </c>
      <c r="U212" t="s">
        <v>195</v>
      </c>
      <c r="V212" t="s">
        <v>186</v>
      </c>
    </row>
    <row r="213" spans="1:22">
      <c r="A213" t="s">
        <v>1613</v>
      </c>
      <c r="B213" s="1">
        <v>45224</v>
      </c>
      <c r="C213" t="s">
        <v>183</v>
      </c>
      <c r="D213">
        <v>2023</v>
      </c>
      <c r="E213" t="s">
        <v>184</v>
      </c>
      <c r="F213" t="s">
        <v>1540</v>
      </c>
      <c r="G213" t="s">
        <v>88</v>
      </c>
      <c r="H213" t="s">
        <v>89</v>
      </c>
      <c r="I213" t="s">
        <v>90</v>
      </c>
      <c r="J213" t="s">
        <v>91</v>
      </c>
      <c r="K213" t="s">
        <v>209</v>
      </c>
      <c r="L213" t="s">
        <v>157</v>
      </c>
      <c r="M213">
        <v>3</v>
      </c>
      <c r="N213">
        <v>54.64</v>
      </c>
      <c r="O213">
        <v>163.92000000000002</v>
      </c>
      <c r="P213">
        <v>0</v>
      </c>
      <c r="Q213">
        <v>0</v>
      </c>
      <c r="R213">
        <v>163.92</v>
      </c>
      <c r="S213">
        <v>60.96</v>
      </c>
      <c r="T213">
        <v>102.96</v>
      </c>
      <c r="U213" t="s">
        <v>166</v>
      </c>
      <c r="V213" t="s">
        <v>159</v>
      </c>
    </row>
    <row r="214" spans="1:22">
      <c r="A214" t="s">
        <v>1121</v>
      </c>
      <c r="B214" s="1">
        <v>45223</v>
      </c>
      <c r="C214" t="s">
        <v>183</v>
      </c>
      <c r="D214">
        <v>2023</v>
      </c>
      <c r="E214" t="s">
        <v>184</v>
      </c>
      <c r="F214" t="s">
        <v>1122</v>
      </c>
      <c r="G214" t="s">
        <v>88</v>
      </c>
      <c r="H214" t="s">
        <v>89</v>
      </c>
      <c r="I214" t="s">
        <v>90</v>
      </c>
      <c r="J214" t="s">
        <v>91</v>
      </c>
      <c r="K214" t="s">
        <v>156</v>
      </c>
      <c r="L214" t="s">
        <v>174</v>
      </c>
      <c r="M214">
        <v>2</v>
      </c>
      <c r="N214">
        <v>54.64</v>
      </c>
      <c r="O214">
        <v>109.28</v>
      </c>
      <c r="P214">
        <v>15</v>
      </c>
      <c r="Q214">
        <v>16.39</v>
      </c>
      <c r="R214">
        <v>92.89</v>
      </c>
      <c r="S214">
        <v>40.64</v>
      </c>
      <c r="T214">
        <v>52.25</v>
      </c>
      <c r="U214" t="s">
        <v>180</v>
      </c>
      <c r="V214" t="s">
        <v>181</v>
      </c>
    </row>
    <row r="215" spans="1:22">
      <c r="A215" t="s">
        <v>1677</v>
      </c>
      <c r="B215" s="1">
        <v>45223</v>
      </c>
      <c r="C215" t="s">
        <v>183</v>
      </c>
      <c r="D215">
        <v>2023</v>
      </c>
      <c r="E215" t="s">
        <v>184</v>
      </c>
      <c r="F215" t="s">
        <v>1678</v>
      </c>
      <c r="G215" t="s">
        <v>122</v>
      </c>
      <c r="H215" t="s">
        <v>123</v>
      </c>
      <c r="I215" t="s">
        <v>115</v>
      </c>
      <c r="J215" t="s">
        <v>124</v>
      </c>
      <c r="K215" t="s">
        <v>209</v>
      </c>
      <c r="L215" t="s">
        <v>174</v>
      </c>
      <c r="M215">
        <v>2</v>
      </c>
      <c r="N215">
        <v>93.88</v>
      </c>
      <c r="O215">
        <v>187.76</v>
      </c>
      <c r="P215">
        <v>15</v>
      </c>
      <c r="Q215">
        <v>28.16</v>
      </c>
      <c r="R215">
        <v>159.6</v>
      </c>
      <c r="S215">
        <v>106.22</v>
      </c>
      <c r="T215">
        <v>53.38</v>
      </c>
      <c r="U215" t="s">
        <v>190</v>
      </c>
      <c r="V215" t="s">
        <v>186</v>
      </c>
    </row>
    <row r="216" spans="1:22">
      <c r="A216" t="s">
        <v>1518</v>
      </c>
      <c r="B216" s="1">
        <v>45223</v>
      </c>
      <c r="C216" t="s">
        <v>183</v>
      </c>
      <c r="D216">
        <v>2023</v>
      </c>
      <c r="E216" t="s">
        <v>184</v>
      </c>
      <c r="F216" t="s">
        <v>1519</v>
      </c>
      <c r="G216" t="s">
        <v>103</v>
      </c>
      <c r="H216" t="s">
        <v>104</v>
      </c>
      <c r="I216" t="s">
        <v>90</v>
      </c>
      <c r="J216" t="s">
        <v>94</v>
      </c>
      <c r="K216" t="s">
        <v>209</v>
      </c>
      <c r="L216" t="s">
        <v>174</v>
      </c>
      <c r="M216">
        <v>2</v>
      </c>
      <c r="N216">
        <v>98.58</v>
      </c>
      <c r="O216">
        <v>197.16</v>
      </c>
      <c r="P216">
        <v>5</v>
      </c>
      <c r="Q216">
        <v>9.86</v>
      </c>
      <c r="R216">
        <v>187.3</v>
      </c>
      <c r="S216">
        <v>105.14</v>
      </c>
      <c r="T216">
        <v>82.16</v>
      </c>
      <c r="U216" t="s">
        <v>195</v>
      </c>
      <c r="V216" t="s">
        <v>159</v>
      </c>
    </row>
    <row r="217" spans="1:22">
      <c r="A217" t="s">
        <v>1514</v>
      </c>
      <c r="B217" s="1">
        <v>45222</v>
      </c>
      <c r="C217" t="s">
        <v>183</v>
      </c>
      <c r="D217">
        <v>2023</v>
      </c>
      <c r="E217" t="s">
        <v>184</v>
      </c>
      <c r="F217" t="s">
        <v>1515</v>
      </c>
      <c r="G217" t="s">
        <v>37</v>
      </c>
      <c r="H217" t="s">
        <v>38</v>
      </c>
      <c r="I217" t="s">
        <v>14</v>
      </c>
      <c r="J217" t="s">
        <v>27</v>
      </c>
      <c r="K217" t="s">
        <v>178</v>
      </c>
      <c r="L217" t="s">
        <v>194</v>
      </c>
      <c r="M217">
        <v>1</v>
      </c>
      <c r="N217">
        <v>133.99</v>
      </c>
      <c r="O217">
        <v>133.99</v>
      </c>
      <c r="P217">
        <v>15</v>
      </c>
      <c r="Q217">
        <v>20.100000000000001</v>
      </c>
      <c r="R217">
        <v>113.89</v>
      </c>
      <c r="S217">
        <v>73.489999999999995</v>
      </c>
      <c r="T217">
        <v>40.4</v>
      </c>
      <c r="U217" t="s">
        <v>158</v>
      </c>
      <c r="V217" t="s">
        <v>159</v>
      </c>
    </row>
    <row r="218" spans="1:22">
      <c r="A218" t="s">
        <v>1662</v>
      </c>
      <c r="B218" s="1">
        <v>45221</v>
      </c>
      <c r="C218" t="s">
        <v>183</v>
      </c>
      <c r="D218">
        <v>2023</v>
      </c>
      <c r="E218" t="s">
        <v>184</v>
      </c>
      <c r="F218" t="s">
        <v>966</v>
      </c>
      <c r="G218" t="s">
        <v>37</v>
      </c>
      <c r="H218" t="s">
        <v>38</v>
      </c>
      <c r="I218" t="s">
        <v>14</v>
      </c>
      <c r="J218" t="s">
        <v>27</v>
      </c>
      <c r="K218" t="s">
        <v>164</v>
      </c>
      <c r="L218" t="s">
        <v>204</v>
      </c>
      <c r="M218">
        <v>3</v>
      </c>
      <c r="N218">
        <v>133.99</v>
      </c>
      <c r="O218">
        <v>401.97</v>
      </c>
      <c r="P218">
        <v>5</v>
      </c>
      <c r="Q218">
        <v>20.100000000000001</v>
      </c>
      <c r="R218">
        <v>381.87</v>
      </c>
      <c r="S218">
        <v>220.47</v>
      </c>
      <c r="T218">
        <v>161.4</v>
      </c>
      <c r="U218" t="s">
        <v>180</v>
      </c>
      <c r="V218" t="s">
        <v>186</v>
      </c>
    </row>
    <row r="219" spans="1:22">
      <c r="A219" t="s">
        <v>1581</v>
      </c>
      <c r="B219" s="1">
        <v>45221</v>
      </c>
      <c r="C219" t="s">
        <v>183</v>
      </c>
      <c r="D219">
        <v>2023</v>
      </c>
      <c r="E219" t="s">
        <v>184</v>
      </c>
      <c r="F219" t="s">
        <v>1582</v>
      </c>
      <c r="G219" t="s">
        <v>60</v>
      </c>
      <c r="H219" t="s">
        <v>61</v>
      </c>
      <c r="I219" t="s">
        <v>41</v>
      </c>
      <c r="J219" t="s">
        <v>59</v>
      </c>
      <c r="K219" t="s">
        <v>209</v>
      </c>
      <c r="L219" t="s">
        <v>204</v>
      </c>
      <c r="M219">
        <v>3</v>
      </c>
      <c r="N219">
        <v>103.56</v>
      </c>
      <c r="O219">
        <v>310.68</v>
      </c>
      <c r="P219">
        <v>10</v>
      </c>
      <c r="Q219">
        <v>31.07</v>
      </c>
      <c r="R219">
        <v>279.61</v>
      </c>
      <c r="S219">
        <v>133.74</v>
      </c>
      <c r="T219">
        <v>145.87</v>
      </c>
      <c r="U219" t="s">
        <v>158</v>
      </c>
      <c r="V219" t="s">
        <v>159</v>
      </c>
    </row>
    <row r="220" spans="1:22">
      <c r="A220" t="s">
        <v>200</v>
      </c>
      <c r="B220" s="1">
        <v>45221</v>
      </c>
      <c r="C220" t="s">
        <v>183</v>
      </c>
      <c r="D220">
        <v>2023</v>
      </c>
      <c r="E220" t="s">
        <v>184</v>
      </c>
      <c r="F220" t="s">
        <v>201</v>
      </c>
      <c r="G220" t="s">
        <v>76</v>
      </c>
      <c r="H220" t="s">
        <v>77</v>
      </c>
      <c r="I220" t="s">
        <v>66</v>
      </c>
      <c r="J220" t="s">
        <v>67</v>
      </c>
      <c r="K220" t="s">
        <v>164</v>
      </c>
      <c r="L220" t="s">
        <v>174</v>
      </c>
      <c r="M220">
        <v>1</v>
      </c>
      <c r="N220">
        <v>118.07</v>
      </c>
      <c r="O220">
        <v>118.07</v>
      </c>
      <c r="P220">
        <v>20</v>
      </c>
      <c r="Q220">
        <v>23.61</v>
      </c>
      <c r="R220">
        <v>94.46</v>
      </c>
      <c r="S220">
        <v>39.700000000000003</v>
      </c>
      <c r="T220">
        <v>54.76</v>
      </c>
      <c r="U220" t="s">
        <v>195</v>
      </c>
      <c r="V220" t="s">
        <v>159</v>
      </c>
    </row>
    <row r="221" spans="1:22">
      <c r="A221" t="s">
        <v>1101</v>
      </c>
      <c r="B221" s="1">
        <v>45220</v>
      </c>
      <c r="C221" t="s">
        <v>183</v>
      </c>
      <c r="D221">
        <v>2023</v>
      </c>
      <c r="E221" t="s">
        <v>184</v>
      </c>
      <c r="F221" t="s">
        <v>1102</v>
      </c>
      <c r="G221" t="s">
        <v>86</v>
      </c>
      <c r="H221" t="s">
        <v>87</v>
      </c>
      <c r="I221" t="s">
        <v>66</v>
      </c>
      <c r="J221" t="s">
        <v>67</v>
      </c>
      <c r="K221" t="s">
        <v>209</v>
      </c>
      <c r="L221" t="s">
        <v>179</v>
      </c>
      <c r="M221">
        <v>4</v>
      </c>
      <c r="N221">
        <v>124.77</v>
      </c>
      <c r="O221">
        <v>499.08</v>
      </c>
      <c r="P221">
        <v>20</v>
      </c>
      <c r="Q221">
        <v>99.82</v>
      </c>
      <c r="R221">
        <v>399.26</v>
      </c>
      <c r="S221">
        <v>278.56</v>
      </c>
      <c r="T221">
        <v>120.7</v>
      </c>
      <c r="U221" t="s">
        <v>180</v>
      </c>
      <c r="V221" t="s">
        <v>186</v>
      </c>
    </row>
    <row r="222" spans="1:22">
      <c r="A222" t="s">
        <v>607</v>
      </c>
      <c r="B222" s="1">
        <v>45220</v>
      </c>
      <c r="C222" t="s">
        <v>183</v>
      </c>
      <c r="D222">
        <v>2023</v>
      </c>
      <c r="E222" t="s">
        <v>184</v>
      </c>
      <c r="F222" t="s">
        <v>608</v>
      </c>
      <c r="G222" t="s">
        <v>135</v>
      </c>
      <c r="H222" t="s">
        <v>136</v>
      </c>
      <c r="I222" t="s">
        <v>115</v>
      </c>
      <c r="J222" t="s">
        <v>119</v>
      </c>
      <c r="K222" t="s">
        <v>209</v>
      </c>
      <c r="L222" t="s">
        <v>157</v>
      </c>
      <c r="M222">
        <v>1</v>
      </c>
      <c r="N222">
        <v>89.62</v>
      </c>
      <c r="O222">
        <v>89.62</v>
      </c>
      <c r="P222">
        <v>15</v>
      </c>
      <c r="Q222">
        <v>13.44</v>
      </c>
      <c r="R222">
        <v>76.180000000000007</v>
      </c>
      <c r="S222">
        <v>38.130000000000003</v>
      </c>
      <c r="T222">
        <v>38.049999999999997</v>
      </c>
      <c r="U222" t="s">
        <v>180</v>
      </c>
      <c r="V222" t="s">
        <v>159</v>
      </c>
    </row>
    <row r="223" spans="1:22">
      <c r="A223" t="s">
        <v>1875</v>
      </c>
      <c r="B223" s="1">
        <v>45220</v>
      </c>
      <c r="C223" t="s">
        <v>183</v>
      </c>
      <c r="D223">
        <v>2023</v>
      </c>
      <c r="E223" t="s">
        <v>184</v>
      </c>
      <c r="F223" t="s">
        <v>1876</v>
      </c>
      <c r="G223" t="s">
        <v>76</v>
      </c>
      <c r="H223" t="s">
        <v>77</v>
      </c>
      <c r="I223" t="s">
        <v>66</v>
      </c>
      <c r="J223" t="s">
        <v>67</v>
      </c>
      <c r="K223" t="s">
        <v>164</v>
      </c>
      <c r="L223" t="s">
        <v>174</v>
      </c>
      <c r="M223">
        <v>4</v>
      </c>
      <c r="N223">
        <v>118.07</v>
      </c>
      <c r="O223">
        <v>472.28</v>
      </c>
      <c r="P223">
        <v>0</v>
      </c>
      <c r="Q223">
        <v>0</v>
      </c>
      <c r="R223">
        <v>472.28</v>
      </c>
      <c r="S223">
        <v>158.80000000000001</v>
      </c>
      <c r="T223">
        <v>313.48</v>
      </c>
      <c r="U223" t="s">
        <v>190</v>
      </c>
      <c r="V223" t="s">
        <v>159</v>
      </c>
    </row>
    <row r="224" spans="1:22">
      <c r="A224" t="s">
        <v>1438</v>
      </c>
      <c r="B224" s="1">
        <v>45219</v>
      </c>
      <c r="C224" t="s">
        <v>183</v>
      </c>
      <c r="D224">
        <v>2023</v>
      </c>
      <c r="E224" t="s">
        <v>184</v>
      </c>
      <c r="F224" t="s">
        <v>1310</v>
      </c>
      <c r="G224" t="s">
        <v>92</v>
      </c>
      <c r="H224" t="s">
        <v>93</v>
      </c>
      <c r="I224" t="s">
        <v>90</v>
      </c>
      <c r="J224" t="s">
        <v>94</v>
      </c>
      <c r="K224" t="s">
        <v>156</v>
      </c>
      <c r="L224" t="s">
        <v>157</v>
      </c>
      <c r="M224">
        <v>4</v>
      </c>
      <c r="N224">
        <v>230.34</v>
      </c>
      <c r="O224">
        <v>921.36</v>
      </c>
      <c r="P224">
        <v>15</v>
      </c>
      <c r="Q224">
        <v>138.19999999999999</v>
      </c>
      <c r="R224">
        <v>783.16</v>
      </c>
      <c r="S224">
        <v>298.72000000000003</v>
      </c>
      <c r="T224">
        <v>484.44</v>
      </c>
      <c r="U224" t="s">
        <v>158</v>
      </c>
      <c r="V224" t="s">
        <v>159</v>
      </c>
    </row>
    <row r="225" spans="1:22">
      <c r="A225" t="s">
        <v>1728</v>
      </c>
      <c r="B225" s="1">
        <v>45219</v>
      </c>
      <c r="C225" t="s">
        <v>183</v>
      </c>
      <c r="D225">
        <v>2023</v>
      </c>
      <c r="E225" t="s">
        <v>184</v>
      </c>
      <c r="F225" t="s">
        <v>1710</v>
      </c>
      <c r="G225" t="s">
        <v>39</v>
      </c>
      <c r="H225" t="s">
        <v>40</v>
      </c>
      <c r="I225" t="s">
        <v>41</v>
      </c>
      <c r="J225" t="s">
        <v>42</v>
      </c>
      <c r="K225" t="s">
        <v>209</v>
      </c>
      <c r="L225" t="s">
        <v>204</v>
      </c>
      <c r="M225">
        <v>4</v>
      </c>
      <c r="N225">
        <v>35.11</v>
      </c>
      <c r="O225">
        <v>140.44</v>
      </c>
      <c r="P225">
        <v>20</v>
      </c>
      <c r="Q225">
        <v>28.09</v>
      </c>
      <c r="R225">
        <v>112.35</v>
      </c>
      <c r="S225">
        <v>99.48</v>
      </c>
      <c r="T225">
        <v>12.87</v>
      </c>
      <c r="U225" t="s">
        <v>180</v>
      </c>
      <c r="V225" t="s">
        <v>159</v>
      </c>
    </row>
    <row r="226" spans="1:22">
      <c r="A226" t="s">
        <v>545</v>
      </c>
      <c r="B226" s="1">
        <v>45219</v>
      </c>
      <c r="C226" t="s">
        <v>183</v>
      </c>
      <c r="D226">
        <v>2023</v>
      </c>
      <c r="E226" t="s">
        <v>184</v>
      </c>
      <c r="F226" t="s">
        <v>546</v>
      </c>
      <c r="G226" t="s">
        <v>117</v>
      </c>
      <c r="H226" t="s">
        <v>118</v>
      </c>
      <c r="I226" t="s">
        <v>115</v>
      </c>
      <c r="J226" t="s">
        <v>119</v>
      </c>
      <c r="K226" t="s">
        <v>209</v>
      </c>
      <c r="L226" t="s">
        <v>204</v>
      </c>
      <c r="M226">
        <v>2</v>
      </c>
      <c r="N226">
        <v>93.41</v>
      </c>
      <c r="O226">
        <v>186.82</v>
      </c>
      <c r="P226">
        <v>20</v>
      </c>
      <c r="Q226">
        <v>37.36</v>
      </c>
      <c r="R226">
        <v>149.46</v>
      </c>
      <c r="S226">
        <v>128.1</v>
      </c>
      <c r="T226">
        <v>21.36</v>
      </c>
      <c r="U226" t="s">
        <v>166</v>
      </c>
      <c r="V226" t="s">
        <v>159</v>
      </c>
    </row>
    <row r="227" spans="1:22">
      <c r="A227" t="s">
        <v>1658</v>
      </c>
      <c r="B227" s="1">
        <v>45219</v>
      </c>
      <c r="C227" t="s">
        <v>183</v>
      </c>
      <c r="D227">
        <v>2023</v>
      </c>
      <c r="E227" t="s">
        <v>184</v>
      </c>
      <c r="F227" t="s">
        <v>1659</v>
      </c>
      <c r="G227" t="s">
        <v>21</v>
      </c>
      <c r="H227" t="s">
        <v>22</v>
      </c>
      <c r="I227" t="s">
        <v>14</v>
      </c>
      <c r="J227" t="s">
        <v>15</v>
      </c>
      <c r="K227" t="s">
        <v>178</v>
      </c>
      <c r="L227" t="s">
        <v>179</v>
      </c>
      <c r="M227">
        <v>1</v>
      </c>
      <c r="N227">
        <v>65.430000000000007</v>
      </c>
      <c r="O227">
        <v>65.430000000000007</v>
      </c>
      <c r="P227">
        <v>0</v>
      </c>
      <c r="Q227">
        <v>0</v>
      </c>
      <c r="R227">
        <v>65.430000000000007</v>
      </c>
      <c r="S227">
        <v>38.69</v>
      </c>
      <c r="T227">
        <v>26.74</v>
      </c>
      <c r="U227" t="s">
        <v>180</v>
      </c>
      <c r="V227" t="s">
        <v>159</v>
      </c>
    </row>
    <row r="228" spans="1:22">
      <c r="A228" t="s">
        <v>1089</v>
      </c>
      <c r="B228" s="1">
        <v>45218</v>
      </c>
      <c r="C228" t="s">
        <v>183</v>
      </c>
      <c r="D228">
        <v>2023</v>
      </c>
      <c r="E228" t="s">
        <v>184</v>
      </c>
      <c r="F228" t="s">
        <v>1090</v>
      </c>
      <c r="G228" t="s">
        <v>80</v>
      </c>
      <c r="H228" t="s">
        <v>81</v>
      </c>
      <c r="I228" t="s">
        <v>66</v>
      </c>
      <c r="J228" t="s">
        <v>70</v>
      </c>
      <c r="K228" t="s">
        <v>164</v>
      </c>
      <c r="L228" t="s">
        <v>157</v>
      </c>
      <c r="M228">
        <v>4</v>
      </c>
      <c r="N228">
        <v>106.06</v>
      </c>
      <c r="O228">
        <v>424.24</v>
      </c>
      <c r="P228">
        <v>20</v>
      </c>
      <c r="Q228">
        <v>84.85</v>
      </c>
      <c r="R228">
        <v>339.39</v>
      </c>
      <c r="S228">
        <v>133.68</v>
      </c>
      <c r="T228">
        <v>205.71</v>
      </c>
      <c r="U228" t="s">
        <v>166</v>
      </c>
      <c r="V228" t="s">
        <v>186</v>
      </c>
    </row>
    <row r="229" spans="1:22">
      <c r="A229" t="s">
        <v>683</v>
      </c>
      <c r="B229" s="1">
        <v>45218</v>
      </c>
      <c r="C229" t="s">
        <v>183</v>
      </c>
      <c r="D229">
        <v>2023</v>
      </c>
      <c r="E229" t="s">
        <v>184</v>
      </c>
      <c r="F229" t="s">
        <v>684</v>
      </c>
      <c r="G229" t="s">
        <v>68</v>
      </c>
      <c r="H229" t="s">
        <v>69</v>
      </c>
      <c r="I229" t="s">
        <v>66</v>
      </c>
      <c r="J229" t="s">
        <v>70</v>
      </c>
      <c r="K229" t="s">
        <v>156</v>
      </c>
      <c r="L229" t="s">
        <v>204</v>
      </c>
      <c r="M229">
        <v>2</v>
      </c>
      <c r="N229">
        <v>98.51</v>
      </c>
      <c r="O229">
        <v>197.02</v>
      </c>
      <c r="P229">
        <v>5</v>
      </c>
      <c r="Q229">
        <v>9.85</v>
      </c>
      <c r="R229">
        <v>187.17</v>
      </c>
      <c r="S229">
        <v>110.34</v>
      </c>
      <c r="T229">
        <v>76.83</v>
      </c>
      <c r="U229" t="s">
        <v>166</v>
      </c>
      <c r="V229" t="s">
        <v>159</v>
      </c>
    </row>
    <row r="230" spans="1:22">
      <c r="A230" t="s">
        <v>847</v>
      </c>
      <c r="B230" s="1">
        <v>45218</v>
      </c>
      <c r="C230" t="s">
        <v>183</v>
      </c>
      <c r="D230">
        <v>2023</v>
      </c>
      <c r="E230" t="s">
        <v>184</v>
      </c>
      <c r="F230" t="s">
        <v>848</v>
      </c>
      <c r="G230" t="s">
        <v>64</v>
      </c>
      <c r="H230" t="s">
        <v>65</v>
      </c>
      <c r="I230" t="s">
        <v>66</v>
      </c>
      <c r="J230" t="s">
        <v>67</v>
      </c>
      <c r="K230" t="s">
        <v>178</v>
      </c>
      <c r="L230" t="s">
        <v>232</v>
      </c>
      <c r="M230">
        <v>2</v>
      </c>
      <c r="N230">
        <v>24.9</v>
      </c>
      <c r="O230">
        <v>49.8</v>
      </c>
      <c r="P230">
        <v>5</v>
      </c>
      <c r="Q230">
        <v>2.4900000000000002</v>
      </c>
      <c r="R230">
        <v>47.31</v>
      </c>
      <c r="S230">
        <v>43.04</v>
      </c>
      <c r="T230">
        <v>4.2699999999999996</v>
      </c>
      <c r="U230" t="s">
        <v>190</v>
      </c>
      <c r="V230" t="s">
        <v>186</v>
      </c>
    </row>
    <row r="231" spans="1:22">
      <c r="A231" t="s">
        <v>1938</v>
      </c>
      <c r="B231" s="1">
        <v>45217</v>
      </c>
      <c r="C231" t="s">
        <v>183</v>
      </c>
      <c r="D231">
        <v>2023</v>
      </c>
      <c r="E231" t="s">
        <v>184</v>
      </c>
      <c r="F231" t="s">
        <v>1939</v>
      </c>
      <c r="G231" t="s">
        <v>28</v>
      </c>
      <c r="H231" t="s">
        <v>29</v>
      </c>
      <c r="I231" t="s">
        <v>14</v>
      </c>
      <c r="J231" t="s">
        <v>19</v>
      </c>
      <c r="K231" t="s">
        <v>209</v>
      </c>
      <c r="L231" t="s">
        <v>165</v>
      </c>
      <c r="M231">
        <v>3</v>
      </c>
      <c r="N231">
        <v>26.46</v>
      </c>
      <c r="O231">
        <v>79.38</v>
      </c>
      <c r="P231">
        <v>0</v>
      </c>
      <c r="Q231">
        <v>0</v>
      </c>
      <c r="R231">
        <v>79.38</v>
      </c>
      <c r="S231">
        <v>58.26</v>
      </c>
      <c r="T231">
        <v>21.12</v>
      </c>
      <c r="U231" t="s">
        <v>166</v>
      </c>
      <c r="V231" t="s">
        <v>186</v>
      </c>
    </row>
    <row r="232" spans="1:22">
      <c r="A232" t="s">
        <v>1381</v>
      </c>
      <c r="B232" s="1">
        <v>45217</v>
      </c>
      <c r="C232" t="s">
        <v>183</v>
      </c>
      <c r="D232">
        <v>2023</v>
      </c>
      <c r="E232" t="s">
        <v>184</v>
      </c>
      <c r="F232" t="s">
        <v>1382</v>
      </c>
      <c r="G232" t="s">
        <v>60</v>
      </c>
      <c r="H232" t="s">
        <v>61</v>
      </c>
      <c r="I232" t="s">
        <v>41</v>
      </c>
      <c r="J232" t="s">
        <v>59</v>
      </c>
      <c r="K232" t="s">
        <v>178</v>
      </c>
      <c r="L232" t="s">
        <v>194</v>
      </c>
      <c r="M232">
        <v>4</v>
      </c>
      <c r="N232">
        <v>103.56</v>
      </c>
      <c r="O232">
        <v>414.24</v>
      </c>
      <c r="P232">
        <v>0</v>
      </c>
      <c r="Q232">
        <v>0</v>
      </c>
      <c r="R232">
        <v>414.24</v>
      </c>
      <c r="S232">
        <v>178.32</v>
      </c>
      <c r="T232">
        <v>235.92</v>
      </c>
      <c r="U232" t="s">
        <v>180</v>
      </c>
      <c r="V232" t="s">
        <v>159</v>
      </c>
    </row>
    <row r="233" spans="1:22">
      <c r="A233" t="s">
        <v>867</v>
      </c>
      <c r="B233" s="1">
        <v>45217</v>
      </c>
      <c r="C233" t="s">
        <v>183</v>
      </c>
      <c r="D233">
        <v>2023</v>
      </c>
      <c r="E233" t="s">
        <v>184</v>
      </c>
      <c r="F233" t="s">
        <v>868</v>
      </c>
      <c r="G233" t="s">
        <v>73</v>
      </c>
      <c r="H233" t="s">
        <v>74</v>
      </c>
      <c r="I233" t="s">
        <v>66</v>
      </c>
      <c r="J233" t="s">
        <v>75</v>
      </c>
      <c r="K233" t="s">
        <v>178</v>
      </c>
      <c r="L233" t="s">
        <v>157</v>
      </c>
      <c r="M233">
        <v>1</v>
      </c>
      <c r="N233">
        <v>53.95</v>
      </c>
      <c r="O233">
        <v>53.95</v>
      </c>
      <c r="P233">
        <v>5</v>
      </c>
      <c r="Q233">
        <v>2.7</v>
      </c>
      <c r="R233">
        <v>51.25</v>
      </c>
      <c r="S233">
        <v>35.200000000000003</v>
      </c>
      <c r="T233">
        <v>16.05</v>
      </c>
      <c r="U233" t="s">
        <v>195</v>
      </c>
      <c r="V233" t="s">
        <v>159</v>
      </c>
    </row>
    <row r="234" spans="1:22">
      <c r="A234" t="s">
        <v>1503</v>
      </c>
      <c r="B234" s="1">
        <v>45216</v>
      </c>
      <c r="C234" t="s">
        <v>183</v>
      </c>
      <c r="D234">
        <v>2023</v>
      </c>
      <c r="E234" t="s">
        <v>184</v>
      </c>
      <c r="F234" t="s">
        <v>1504</v>
      </c>
      <c r="G234" t="s">
        <v>21</v>
      </c>
      <c r="H234" t="s">
        <v>22</v>
      </c>
      <c r="I234" t="s">
        <v>14</v>
      </c>
      <c r="J234" t="s">
        <v>15</v>
      </c>
      <c r="K234" t="s">
        <v>156</v>
      </c>
      <c r="L234" t="s">
        <v>157</v>
      </c>
      <c r="M234">
        <v>2</v>
      </c>
      <c r="N234">
        <v>65.430000000000007</v>
      </c>
      <c r="O234">
        <v>130.86000000000001</v>
      </c>
      <c r="P234">
        <v>0</v>
      </c>
      <c r="Q234">
        <v>0</v>
      </c>
      <c r="R234">
        <v>130.86000000000001</v>
      </c>
      <c r="S234">
        <v>77.38</v>
      </c>
      <c r="T234">
        <v>53.48</v>
      </c>
      <c r="U234" t="s">
        <v>190</v>
      </c>
      <c r="V234" t="s">
        <v>159</v>
      </c>
    </row>
    <row r="235" spans="1:22">
      <c r="A235" t="s">
        <v>922</v>
      </c>
      <c r="B235" s="1">
        <v>45216</v>
      </c>
      <c r="C235" t="s">
        <v>183</v>
      </c>
      <c r="D235">
        <v>2023</v>
      </c>
      <c r="E235" t="s">
        <v>184</v>
      </c>
      <c r="F235" t="s">
        <v>923</v>
      </c>
      <c r="G235" t="s">
        <v>101</v>
      </c>
      <c r="H235" t="s">
        <v>102</v>
      </c>
      <c r="I235" t="s">
        <v>90</v>
      </c>
      <c r="J235" t="s">
        <v>100</v>
      </c>
      <c r="K235" t="s">
        <v>178</v>
      </c>
      <c r="L235" t="s">
        <v>204</v>
      </c>
      <c r="M235">
        <v>4</v>
      </c>
      <c r="N235">
        <v>196.28</v>
      </c>
      <c r="O235">
        <v>785.12</v>
      </c>
      <c r="P235">
        <v>0</v>
      </c>
      <c r="Q235">
        <v>0</v>
      </c>
      <c r="R235">
        <v>785.12</v>
      </c>
      <c r="S235">
        <v>286.92</v>
      </c>
      <c r="T235">
        <v>498.2</v>
      </c>
      <c r="U235" t="s">
        <v>195</v>
      </c>
      <c r="V235" t="s">
        <v>159</v>
      </c>
    </row>
    <row r="236" spans="1:22">
      <c r="A236" t="s">
        <v>1767</v>
      </c>
      <c r="B236" s="1">
        <v>45216</v>
      </c>
      <c r="C236" t="s">
        <v>183</v>
      </c>
      <c r="D236">
        <v>2023</v>
      </c>
      <c r="E236" t="s">
        <v>184</v>
      </c>
      <c r="F236" t="s">
        <v>1768</v>
      </c>
      <c r="G236" t="s">
        <v>60</v>
      </c>
      <c r="H236" t="s">
        <v>61</v>
      </c>
      <c r="I236" t="s">
        <v>41</v>
      </c>
      <c r="J236" t="s">
        <v>59</v>
      </c>
      <c r="K236" t="s">
        <v>164</v>
      </c>
      <c r="L236" t="s">
        <v>194</v>
      </c>
      <c r="M236">
        <v>2</v>
      </c>
      <c r="N236">
        <v>103.56</v>
      </c>
      <c r="O236">
        <v>207.12</v>
      </c>
      <c r="P236">
        <v>20</v>
      </c>
      <c r="Q236">
        <v>41.42</v>
      </c>
      <c r="R236">
        <v>165.7</v>
      </c>
      <c r="S236">
        <v>89.16</v>
      </c>
      <c r="T236">
        <v>76.540000000000006</v>
      </c>
      <c r="U236" t="s">
        <v>158</v>
      </c>
      <c r="V236" t="s">
        <v>186</v>
      </c>
    </row>
    <row r="237" spans="1:22">
      <c r="A237" t="s">
        <v>1211</v>
      </c>
      <c r="B237" s="1">
        <v>45216</v>
      </c>
      <c r="C237" t="s">
        <v>183</v>
      </c>
      <c r="D237">
        <v>2023</v>
      </c>
      <c r="E237" t="s">
        <v>184</v>
      </c>
      <c r="F237" t="s">
        <v>1212</v>
      </c>
      <c r="G237" t="s">
        <v>84</v>
      </c>
      <c r="H237" t="s">
        <v>85</v>
      </c>
      <c r="I237" t="s">
        <v>66</v>
      </c>
      <c r="J237" t="s">
        <v>67</v>
      </c>
      <c r="K237" t="s">
        <v>156</v>
      </c>
      <c r="L237" t="s">
        <v>165</v>
      </c>
      <c r="M237">
        <v>2</v>
      </c>
      <c r="N237">
        <v>174.23</v>
      </c>
      <c r="O237">
        <v>348.46</v>
      </c>
      <c r="P237">
        <v>0</v>
      </c>
      <c r="Q237">
        <v>0</v>
      </c>
      <c r="R237">
        <v>348.46</v>
      </c>
      <c r="S237">
        <v>147.9</v>
      </c>
      <c r="T237">
        <v>200.56</v>
      </c>
      <c r="U237" t="s">
        <v>180</v>
      </c>
      <c r="V237" t="s">
        <v>159</v>
      </c>
    </row>
    <row r="238" spans="1:22">
      <c r="A238" t="s">
        <v>990</v>
      </c>
      <c r="B238" s="1">
        <v>45215</v>
      </c>
      <c r="C238" t="s">
        <v>183</v>
      </c>
      <c r="D238">
        <v>2023</v>
      </c>
      <c r="E238" t="s">
        <v>184</v>
      </c>
      <c r="F238" t="s">
        <v>991</v>
      </c>
      <c r="G238" t="s">
        <v>133</v>
      </c>
      <c r="H238" t="s">
        <v>134</v>
      </c>
      <c r="I238" t="s">
        <v>115</v>
      </c>
      <c r="J238" t="s">
        <v>119</v>
      </c>
      <c r="K238" t="s">
        <v>209</v>
      </c>
      <c r="L238" t="s">
        <v>179</v>
      </c>
      <c r="M238">
        <v>1</v>
      </c>
      <c r="N238">
        <v>78.84</v>
      </c>
      <c r="O238">
        <v>78.84</v>
      </c>
      <c r="P238">
        <v>0</v>
      </c>
      <c r="Q238">
        <v>0</v>
      </c>
      <c r="R238">
        <v>78.84</v>
      </c>
      <c r="S238">
        <v>47.68</v>
      </c>
      <c r="T238">
        <v>31.16</v>
      </c>
      <c r="U238" t="s">
        <v>195</v>
      </c>
      <c r="V238" t="s">
        <v>181</v>
      </c>
    </row>
    <row r="239" spans="1:22">
      <c r="A239" t="s">
        <v>431</v>
      </c>
      <c r="B239" s="1">
        <v>45215</v>
      </c>
      <c r="C239" t="s">
        <v>183</v>
      </c>
      <c r="D239">
        <v>2023</v>
      </c>
      <c r="E239" t="s">
        <v>184</v>
      </c>
      <c r="F239" t="s">
        <v>432</v>
      </c>
      <c r="G239" t="s">
        <v>135</v>
      </c>
      <c r="H239" t="s">
        <v>136</v>
      </c>
      <c r="I239" t="s">
        <v>115</v>
      </c>
      <c r="J239" t="s">
        <v>119</v>
      </c>
      <c r="K239" t="s">
        <v>164</v>
      </c>
      <c r="L239" t="s">
        <v>165</v>
      </c>
      <c r="M239">
        <v>4</v>
      </c>
      <c r="N239">
        <v>89.62</v>
      </c>
      <c r="O239">
        <v>358.48</v>
      </c>
      <c r="P239">
        <v>5</v>
      </c>
      <c r="Q239">
        <v>17.920000000000002</v>
      </c>
      <c r="R239">
        <v>340.56</v>
      </c>
      <c r="S239">
        <v>152.52000000000001</v>
      </c>
      <c r="T239">
        <v>188.04</v>
      </c>
      <c r="U239" t="s">
        <v>166</v>
      </c>
      <c r="V239" t="s">
        <v>181</v>
      </c>
    </row>
    <row r="240" spans="1:22">
      <c r="A240" t="s">
        <v>709</v>
      </c>
      <c r="B240" s="1">
        <v>45215</v>
      </c>
      <c r="C240" t="s">
        <v>183</v>
      </c>
      <c r="D240">
        <v>2023</v>
      </c>
      <c r="E240" t="s">
        <v>184</v>
      </c>
      <c r="F240" t="s">
        <v>710</v>
      </c>
      <c r="G240" t="s">
        <v>122</v>
      </c>
      <c r="H240" t="s">
        <v>123</v>
      </c>
      <c r="I240" t="s">
        <v>115</v>
      </c>
      <c r="J240" t="s">
        <v>124</v>
      </c>
      <c r="K240" t="s">
        <v>209</v>
      </c>
      <c r="L240" t="s">
        <v>157</v>
      </c>
      <c r="M240">
        <v>3</v>
      </c>
      <c r="N240">
        <v>93.88</v>
      </c>
      <c r="O240">
        <v>281.64</v>
      </c>
      <c r="P240">
        <v>10</v>
      </c>
      <c r="Q240">
        <v>28.16</v>
      </c>
      <c r="R240">
        <v>253.48</v>
      </c>
      <c r="S240">
        <v>159.33000000000001</v>
      </c>
      <c r="T240">
        <v>94.15</v>
      </c>
      <c r="U240" t="s">
        <v>195</v>
      </c>
      <c r="V240" t="s">
        <v>159</v>
      </c>
    </row>
    <row r="241" spans="1:22">
      <c r="A241" t="s">
        <v>1862</v>
      </c>
      <c r="B241" s="1">
        <v>45214</v>
      </c>
      <c r="C241" t="s">
        <v>183</v>
      </c>
      <c r="D241">
        <v>2023</v>
      </c>
      <c r="E241" t="s">
        <v>184</v>
      </c>
      <c r="F241" t="s">
        <v>1863</v>
      </c>
      <c r="G241" t="s">
        <v>122</v>
      </c>
      <c r="H241" t="s">
        <v>123</v>
      </c>
      <c r="I241" t="s">
        <v>115</v>
      </c>
      <c r="J241" t="s">
        <v>124</v>
      </c>
      <c r="K241" t="s">
        <v>156</v>
      </c>
      <c r="L241" t="s">
        <v>232</v>
      </c>
      <c r="M241">
        <v>4</v>
      </c>
      <c r="N241">
        <v>93.88</v>
      </c>
      <c r="O241">
        <v>375.52</v>
      </c>
      <c r="P241">
        <v>5</v>
      </c>
      <c r="Q241">
        <v>18.78</v>
      </c>
      <c r="R241">
        <v>356.74</v>
      </c>
      <c r="S241">
        <v>212.44</v>
      </c>
      <c r="T241">
        <v>144.30000000000001</v>
      </c>
      <c r="U241" t="s">
        <v>158</v>
      </c>
      <c r="V241" t="s">
        <v>186</v>
      </c>
    </row>
    <row r="242" spans="1:22">
      <c r="A242" t="s">
        <v>1348</v>
      </c>
      <c r="B242" s="1">
        <v>45214</v>
      </c>
      <c r="C242" t="s">
        <v>183</v>
      </c>
      <c r="D242">
        <v>2023</v>
      </c>
      <c r="E242" t="s">
        <v>184</v>
      </c>
      <c r="F242" t="s">
        <v>716</v>
      </c>
      <c r="G242" t="s">
        <v>73</v>
      </c>
      <c r="H242" t="s">
        <v>74</v>
      </c>
      <c r="I242" t="s">
        <v>66</v>
      </c>
      <c r="J242" t="s">
        <v>75</v>
      </c>
      <c r="K242" t="s">
        <v>164</v>
      </c>
      <c r="L242" t="s">
        <v>157</v>
      </c>
      <c r="M242">
        <v>2</v>
      </c>
      <c r="N242">
        <v>53.95</v>
      </c>
      <c r="O242">
        <v>107.9</v>
      </c>
      <c r="P242">
        <v>5</v>
      </c>
      <c r="Q242">
        <v>5.39</v>
      </c>
      <c r="R242">
        <v>102.51</v>
      </c>
      <c r="S242">
        <v>70.400000000000006</v>
      </c>
      <c r="T242">
        <v>32.11</v>
      </c>
      <c r="U242" t="s">
        <v>190</v>
      </c>
      <c r="V242" t="s">
        <v>186</v>
      </c>
    </row>
    <row r="243" spans="1:22">
      <c r="A243" t="s">
        <v>400</v>
      </c>
      <c r="B243" s="1">
        <v>45214</v>
      </c>
      <c r="C243" t="s">
        <v>183</v>
      </c>
      <c r="D243">
        <v>2023</v>
      </c>
      <c r="E243" t="s">
        <v>184</v>
      </c>
      <c r="F243" t="s">
        <v>401</v>
      </c>
      <c r="G243" t="s">
        <v>50</v>
      </c>
      <c r="H243" t="s">
        <v>51</v>
      </c>
      <c r="I243" t="s">
        <v>41</v>
      </c>
      <c r="J243" t="s">
        <v>52</v>
      </c>
      <c r="K243" t="s">
        <v>209</v>
      </c>
      <c r="L243" t="s">
        <v>232</v>
      </c>
      <c r="M243">
        <v>4</v>
      </c>
      <c r="N243">
        <v>143.80000000000001</v>
      </c>
      <c r="O243">
        <v>575.20000000000005</v>
      </c>
      <c r="P243">
        <v>20</v>
      </c>
      <c r="Q243">
        <v>115.04</v>
      </c>
      <c r="R243">
        <v>460.16</v>
      </c>
      <c r="S243">
        <v>248.6</v>
      </c>
      <c r="T243">
        <v>211.56</v>
      </c>
      <c r="U243" t="s">
        <v>195</v>
      </c>
      <c r="V243" t="s">
        <v>159</v>
      </c>
    </row>
    <row r="244" spans="1:22">
      <c r="A244" t="s">
        <v>2040</v>
      </c>
      <c r="B244" s="1">
        <v>45214</v>
      </c>
      <c r="C244" t="s">
        <v>183</v>
      </c>
      <c r="D244">
        <v>2023</v>
      </c>
      <c r="E244" t="s">
        <v>184</v>
      </c>
      <c r="F244" t="s">
        <v>2041</v>
      </c>
      <c r="G244" t="s">
        <v>30</v>
      </c>
      <c r="H244" t="s">
        <v>31</v>
      </c>
      <c r="I244" t="s">
        <v>14</v>
      </c>
      <c r="J244" t="s">
        <v>32</v>
      </c>
      <c r="K244" t="s">
        <v>209</v>
      </c>
      <c r="L244" t="s">
        <v>157</v>
      </c>
      <c r="M244">
        <v>1</v>
      </c>
      <c r="N244">
        <v>113.18</v>
      </c>
      <c r="O244">
        <v>113.18</v>
      </c>
      <c r="P244">
        <v>20</v>
      </c>
      <c r="Q244">
        <v>22.64</v>
      </c>
      <c r="R244">
        <v>90.54</v>
      </c>
      <c r="S244">
        <v>39.01</v>
      </c>
      <c r="T244">
        <v>51.53</v>
      </c>
      <c r="U244" t="s">
        <v>158</v>
      </c>
      <c r="V244" t="s">
        <v>159</v>
      </c>
    </row>
    <row r="245" spans="1:22">
      <c r="A245" t="s">
        <v>2034</v>
      </c>
      <c r="B245" s="1">
        <v>45214</v>
      </c>
      <c r="C245" t="s">
        <v>183</v>
      </c>
      <c r="D245">
        <v>2023</v>
      </c>
      <c r="E245" t="s">
        <v>184</v>
      </c>
      <c r="F245" t="s">
        <v>2035</v>
      </c>
      <c r="G245" t="s">
        <v>111</v>
      </c>
      <c r="H245" t="s">
        <v>112</v>
      </c>
      <c r="I245" t="s">
        <v>90</v>
      </c>
      <c r="J245" t="s">
        <v>97</v>
      </c>
      <c r="K245" t="s">
        <v>164</v>
      </c>
      <c r="L245" t="s">
        <v>194</v>
      </c>
      <c r="M245">
        <v>2</v>
      </c>
      <c r="N245">
        <v>189.99</v>
      </c>
      <c r="O245">
        <v>379.98</v>
      </c>
      <c r="P245">
        <v>0</v>
      </c>
      <c r="Q245">
        <v>0</v>
      </c>
      <c r="R245">
        <v>379.98</v>
      </c>
      <c r="S245">
        <v>127.02</v>
      </c>
      <c r="T245">
        <v>252.96</v>
      </c>
      <c r="U245" t="s">
        <v>195</v>
      </c>
      <c r="V245" t="s">
        <v>159</v>
      </c>
    </row>
    <row r="246" spans="1:22">
      <c r="A246" t="s">
        <v>1034</v>
      </c>
      <c r="B246" s="1">
        <v>45213</v>
      </c>
      <c r="C246" t="s">
        <v>183</v>
      </c>
      <c r="D246">
        <v>2023</v>
      </c>
      <c r="E246" t="s">
        <v>184</v>
      </c>
      <c r="F246" t="s">
        <v>1035</v>
      </c>
      <c r="G246" t="s">
        <v>35</v>
      </c>
      <c r="H246" t="s">
        <v>36</v>
      </c>
      <c r="I246" t="s">
        <v>14</v>
      </c>
      <c r="J246" t="s">
        <v>19</v>
      </c>
      <c r="K246" t="s">
        <v>156</v>
      </c>
      <c r="L246" t="s">
        <v>165</v>
      </c>
      <c r="M246">
        <v>3</v>
      </c>
      <c r="N246">
        <v>81.599999999999994</v>
      </c>
      <c r="O246">
        <v>244.79999999999998</v>
      </c>
      <c r="P246">
        <v>15</v>
      </c>
      <c r="Q246">
        <v>36.72</v>
      </c>
      <c r="R246">
        <v>208.08</v>
      </c>
      <c r="S246">
        <v>87.96</v>
      </c>
      <c r="T246">
        <v>120.12</v>
      </c>
      <c r="U246" t="s">
        <v>195</v>
      </c>
      <c r="V246" t="s">
        <v>159</v>
      </c>
    </row>
    <row r="247" spans="1:22">
      <c r="A247" t="s">
        <v>1897</v>
      </c>
      <c r="B247" s="1">
        <v>45213</v>
      </c>
      <c r="C247" t="s">
        <v>183</v>
      </c>
      <c r="D247">
        <v>2023</v>
      </c>
      <c r="E247" t="s">
        <v>184</v>
      </c>
      <c r="F247" t="s">
        <v>1197</v>
      </c>
      <c r="G247" t="s">
        <v>62</v>
      </c>
      <c r="H247" t="s">
        <v>63</v>
      </c>
      <c r="I247" t="s">
        <v>41</v>
      </c>
      <c r="J247" t="s">
        <v>45</v>
      </c>
      <c r="K247" t="s">
        <v>164</v>
      </c>
      <c r="L247" t="s">
        <v>165</v>
      </c>
      <c r="M247">
        <v>4</v>
      </c>
      <c r="N247">
        <v>160.35</v>
      </c>
      <c r="O247">
        <v>641.4</v>
      </c>
      <c r="P247">
        <v>5</v>
      </c>
      <c r="Q247">
        <v>32.07</v>
      </c>
      <c r="R247">
        <v>609.33000000000004</v>
      </c>
      <c r="S247">
        <v>289.88</v>
      </c>
      <c r="T247">
        <v>319.45</v>
      </c>
      <c r="U247" t="s">
        <v>158</v>
      </c>
      <c r="V247" t="s">
        <v>159</v>
      </c>
    </row>
    <row r="248" spans="1:22">
      <c r="A248" t="s">
        <v>1276</v>
      </c>
      <c r="B248" s="1">
        <v>45213</v>
      </c>
      <c r="C248" t="s">
        <v>183</v>
      </c>
      <c r="D248">
        <v>2023</v>
      </c>
      <c r="E248" t="s">
        <v>184</v>
      </c>
      <c r="F248" t="s">
        <v>1277</v>
      </c>
      <c r="G248" t="s">
        <v>103</v>
      </c>
      <c r="H248" t="s">
        <v>104</v>
      </c>
      <c r="I248" t="s">
        <v>90</v>
      </c>
      <c r="J248" t="s">
        <v>94</v>
      </c>
      <c r="K248" t="s">
        <v>178</v>
      </c>
      <c r="L248" t="s">
        <v>194</v>
      </c>
      <c r="M248">
        <v>3</v>
      </c>
      <c r="N248">
        <v>98.58</v>
      </c>
      <c r="O248">
        <v>295.74</v>
      </c>
      <c r="P248">
        <v>15</v>
      </c>
      <c r="Q248">
        <v>44.36</v>
      </c>
      <c r="R248">
        <v>251.38</v>
      </c>
      <c r="S248">
        <v>157.71</v>
      </c>
      <c r="T248">
        <v>93.67</v>
      </c>
      <c r="U248" t="s">
        <v>195</v>
      </c>
      <c r="V248" t="s">
        <v>159</v>
      </c>
    </row>
    <row r="249" spans="1:22">
      <c r="A249" t="s">
        <v>1934</v>
      </c>
      <c r="B249" s="1">
        <v>45212</v>
      </c>
      <c r="C249" t="s">
        <v>183</v>
      </c>
      <c r="D249">
        <v>2023</v>
      </c>
      <c r="E249" t="s">
        <v>184</v>
      </c>
      <c r="F249" t="s">
        <v>1935</v>
      </c>
      <c r="G249" t="s">
        <v>50</v>
      </c>
      <c r="H249" t="s">
        <v>51</v>
      </c>
      <c r="I249" t="s">
        <v>41</v>
      </c>
      <c r="J249" t="s">
        <v>52</v>
      </c>
      <c r="K249" t="s">
        <v>156</v>
      </c>
      <c r="L249" t="s">
        <v>174</v>
      </c>
      <c r="M249">
        <v>1</v>
      </c>
      <c r="N249">
        <v>143.80000000000001</v>
      </c>
      <c r="O249">
        <v>143.80000000000001</v>
      </c>
      <c r="P249">
        <v>0</v>
      </c>
      <c r="Q249">
        <v>0</v>
      </c>
      <c r="R249">
        <v>143.80000000000001</v>
      </c>
      <c r="S249">
        <v>62.15</v>
      </c>
      <c r="T249">
        <v>81.650000000000006</v>
      </c>
      <c r="U249" t="s">
        <v>180</v>
      </c>
      <c r="V249" t="s">
        <v>159</v>
      </c>
    </row>
    <row r="250" spans="1:22">
      <c r="A250" t="s">
        <v>2036</v>
      </c>
      <c r="B250" s="1">
        <v>45212</v>
      </c>
      <c r="C250" t="s">
        <v>183</v>
      </c>
      <c r="D250">
        <v>2023</v>
      </c>
      <c r="E250" t="s">
        <v>184</v>
      </c>
      <c r="F250" t="s">
        <v>2037</v>
      </c>
      <c r="G250" t="s">
        <v>135</v>
      </c>
      <c r="H250" t="s">
        <v>136</v>
      </c>
      <c r="I250" t="s">
        <v>115</v>
      </c>
      <c r="J250" t="s">
        <v>119</v>
      </c>
      <c r="K250" t="s">
        <v>156</v>
      </c>
      <c r="L250" t="s">
        <v>179</v>
      </c>
      <c r="M250">
        <v>1</v>
      </c>
      <c r="N250">
        <v>89.62</v>
      </c>
      <c r="O250">
        <v>89.62</v>
      </c>
      <c r="P250">
        <v>20</v>
      </c>
      <c r="Q250">
        <v>17.920000000000002</v>
      </c>
      <c r="R250">
        <v>71.7</v>
      </c>
      <c r="S250">
        <v>38.130000000000003</v>
      </c>
      <c r="T250">
        <v>33.57</v>
      </c>
      <c r="U250" t="s">
        <v>166</v>
      </c>
      <c r="V250" t="s">
        <v>181</v>
      </c>
    </row>
    <row r="251" spans="1:22">
      <c r="A251" t="s">
        <v>1697</v>
      </c>
      <c r="B251" s="1">
        <v>45212</v>
      </c>
      <c r="C251" t="s">
        <v>183</v>
      </c>
      <c r="D251">
        <v>2023</v>
      </c>
      <c r="E251" t="s">
        <v>184</v>
      </c>
      <c r="F251" t="s">
        <v>1698</v>
      </c>
      <c r="G251" t="s">
        <v>71</v>
      </c>
      <c r="H251" t="s">
        <v>72</v>
      </c>
      <c r="I251" t="s">
        <v>66</v>
      </c>
      <c r="J251" t="s">
        <v>70</v>
      </c>
      <c r="K251" t="s">
        <v>156</v>
      </c>
      <c r="L251" t="s">
        <v>174</v>
      </c>
      <c r="M251">
        <v>4</v>
      </c>
      <c r="N251">
        <v>26.7</v>
      </c>
      <c r="O251">
        <v>106.8</v>
      </c>
      <c r="P251">
        <v>0</v>
      </c>
      <c r="Q251">
        <v>0</v>
      </c>
      <c r="R251">
        <v>106.8</v>
      </c>
      <c r="S251">
        <v>49.08</v>
      </c>
      <c r="T251">
        <v>57.72</v>
      </c>
      <c r="U251" t="s">
        <v>166</v>
      </c>
      <c r="V251" t="s">
        <v>159</v>
      </c>
    </row>
    <row r="252" spans="1:22">
      <c r="A252" t="s">
        <v>2031</v>
      </c>
      <c r="B252" s="1">
        <v>45212</v>
      </c>
      <c r="C252" t="s">
        <v>183</v>
      </c>
      <c r="D252">
        <v>2023</v>
      </c>
      <c r="E252" t="s">
        <v>184</v>
      </c>
      <c r="F252" t="s">
        <v>662</v>
      </c>
      <c r="G252" t="s">
        <v>62</v>
      </c>
      <c r="H252" t="s">
        <v>63</v>
      </c>
      <c r="I252" t="s">
        <v>41</v>
      </c>
      <c r="J252" t="s">
        <v>45</v>
      </c>
      <c r="K252" t="s">
        <v>209</v>
      </c>
      <c r="L252" t="s">
        <v>194</v>
      </c>
      <c r="M252">
        <v>2</v>
      </c>
      <c r="N252">
        <v>160.35</v>
      </c>
      <c r="O252">
        <v>320.7</v>
      </c>
      <c r="P252">
        <v>0</v>
      </c>
      <c r="Q252">
        <v>0</v>
      </c>
      <c r="R252">
        <v>320.7</v>
      </c>
      <c r="S252">
        <v>144.94</v>
      </c>
      <c r="T252">
        <v>175.76</v>
      </c>
      <c r="U252" t="s">
        <v>195</v>
      </c>
      <c r="V252" t="s">
        <v>159</v>
      </c>
    </row>
    <row r="253" spans="1:22">
      <c r="A253" t="s">
        <v>1398</v>
      </c>
      <c r="B253" s="1">
        <v>45212</v>
      </c>
      <c r="C253" t="s">
        <v>183</v>
      </c>
      <c r="D253">
        <v>2023</v>
      </c>
      <c r="E253" t="s">
        <v>184</v>
      </c>
      <c r="F253" t="s">
        <v>1399</v>
      </c>
      <c r="G253" t="s">
        <v>113</v>
      </c>
      <c r="H253" t="s">
        <v>114</v>
      </c>
      <c r="I253" t="s">
        <v>115</v>
      </c>
      <c r="J253" t="s">
        <v>116</v>
      </c>
      <c r="K253" t="s">
        <v>164</v>
      </c>
      <c r="L253" t="s">
        <v>179</v>
      </c>
      <c r="M253">
        <v>1</v>
      </c>
      <c r="N253">
        <v>18.7</v>
      </c>
      <c r="O253">
        <v>18.7</v>
      </c>
      <c r="P253">
        <v>0</v>
      </c>
      <c r="Q253">
        <v>0</v>
      </c>
      <c r="R253">
        <v>18.7</v>
      </c>
      <c r="S253">
        <v>6.86</v>
      </c>
      <c r="T253">
        <v>11.84</v>
      </c>
      <c r="U253" t="s">
        <v>195</v>
      </c>
      <c r="V253" t="s">
        <v>159</v>
      </c>
    </row>
    <row r="254" spans="1:22">
      <c r="A254" t="s">
        <v>1096</v>
      </c>
      <c r="B254" s="1">
        <v>45212</v>
      </c>
      <c r="C254" t="s">
        <v>183</v>
      </c>
      <c r="D254">
        <v>2023</v>
      </c>
      <c r="E254" t="s">
        <v>184</v>
      </c>
      <c r="F254" t="s">
        <v>1097</v>
      </c>
      <c r="G254" t="s">
        <v>71</v>
      </c>
      <c r="H254" t="s">
        <v>72</v>
      </c>
      <c r="I254" t="s">
        <v>66</v>
      </c>
      <c r="J254" t="s">
        <v>70</v>
      </c>
      <c r="K254" t="s">
        <v>209</v>
      </c>
      <c r="L254" t="s">
        <v>174</v>
      </c>
      <c r="M254">
        <v>4</v>
      </c>
      <c r="N254">
        <v>26.7</v>
      </c>
      <c r="O254">
        <v>106.8</v>
      </c>
      <c r="P254">
        <v>0</v>
      </c>
      <c r="Q254">
        <v>0</v>
      </c>
      <c r="R254">
        <v>106.8</v>
      </c>
      <c r="S254">
        <v>49.08</v>
      </c>
      <c r="T254">
        <v>57.72</v>
      </c>
      <c r="U254" t="s">
        <v>190</v>
      </c>
      <c r="V254" t="s">
        <v>181</v>
      </c>
    </row>
    <row r="255" spans="1:22">
      <c r="A255" t="s">
        <v>398</v>
      </c>
      <c r="B255" s="1">
        <v>45211</v>
      </c>
      <c r="C255" t="s">
        <v>183</v>
      </c>
      <c r="D255">
        <v>2023</v>
      </c>
      <c r="E255" t="s">
        <v>184</v>
      </c>
      <c r="F255" t="s">
        <v>399</v>
      </c>
      <c r="G255" t="s">
        <v>30</v>
      </c>
      <c r="H255" t="s">
        <v>31</v>
      </c>
      <c r="I255" t="s">
        <v>14</v>
      </c>
      <c r="J255" t="s">
        <v>32</v>
      </c>
      <c r="K255" t="s">
        <v>209</v>
      </c>
      <c r="L255" t="s">
        <v>179</v>
      </c>
      <c r="M255">
        <v>3</v>
      </c>
      <c r="N255">
        <v>113.18</v>
      </c>
      <c r="O255">
        <v>339.54</v>
      </c>
      <c r="P255">
        <v>20</v>
      </c>
      <c r="Q255">
        <v>67.91</v>
      </c>
      <c r="R255">
        <v>271.63</v>
      </c>
      <c r="S255">
        <v>117.03</v>
      </c>
      <c r="T255">
        <v>154.6</v>
      </c>
      <c r="U255" t="s">
        <v>195</v>
      </c>
      <c r="V255" t="s">
        <v>181</v>
      </c>
    </row>
    <row r="256" spans="1:22">
      <c r="A256" t="s">
        <v>1720</v>
      </c>
      <c r="B256" s="1">
        <v>45210</v>
      </c>
      <c r="C256" t="s">
        <v>183</v>
      </c>
      <c r="D256">
        <v>2023</v>
      </c>
      <c r="E256" t="s">
        <v>184</v>
      </c>
      <c r="F256" t="s">
        <v>1261</v>
      </c>
      <c r="G256" t="s">
        <v>39</v>
      </c>
      <c r="H256" t="s">
        <v>40</v>
      </c>
      <c r="I256" t="s">
        <v>41</v>
      </c>
      <c r="J256" t="s">
        <v>42</v>
      </c>
      <c r="K256" t="s">
        <v>156</v>
      </c>
      <c r="L256" t="s">
        <v>174</v>
      </c>
      <c r="M256">
        <v>2</v>
      </c>
      <c r="N256">
        <v>35.11</v>
      </c>
      <c r="O256">
        <v>70.22</v>
      </c>
      <c r="P256">
        <v>10</v>
      </c>
      <c r="Q256">
        <v>7.02</v>
      </c>
      <c r="R256">
        <v>63.2</v>
      </c>
      <c r="S256">
        <v>49.74</v>
      </c>
      <c r="T256">
        <v>13.46</v>
      </c>
      <c r="U256" t="s">
        <v>180</v>
      </c>
      <c r="V256" t="s">
        <v>181</v>
      </c>
    </row>
    <row r="257" spans="1:22">
      <c r="A257" t="s">
        <v>566</v>
      </c>
      <c r="B257" s="1">
        <v>45210</v>
      </c>
      <c r="C257" t="s">
        <v>183</v>
      </c>
      <c r="D257">
        <v>2023</v>
      </c>
      <c r="E257" t="s">
        <v>184</v>
      </c>
      <c r="F257" t="s">
        <v>567</v>
      </c>
      <c r="G257" t="s">
        <v>103</v>
      </c>
      <c r="H257" t="s">
        <v>104</v>
      </c>
      <c r="I257" t="s">
        <v>90</v>
      </c>
      <c r="J257" t="s">
        <v>94</v>
      </c>
      <c r="K257" t="s">
        <v>209</v>
      </c>
      <c r="L257" t="s">
        <v>204</v>
      </c>
      <c r="M257">
        <v>2</v>
      </c>
      <c r="N257">
        <v>98.58</v>
      </c>
      <c r="O257">
        <v>197.16</v>
      </c>
      <c r="P257">
        <v>0</v>
      </c>
      <c r="Q257">
        <v>0</v>
      </c>
      <c r="R257">
        <v>197.16</v>
      </c>
      <c r="S257">
        <v>105.14</v>
      </c>
      <c r="T257">
        <v>92.02</v>
      </c>
      <c r="U257" t="s">
        <v>166</v>
      </c>
      <c r="V257" t="s">
        <v>186</v>
      </c>
    </row>
    <row r="258" spans="1:22">
      <c r="A258" t="s">
        <v>1180</v>
      </c>
      <c r="B258" s="1">
        <v>45210</v>
      </c>
      <c r="C258" t="s">
        <v>183</v>
      </c>
      <c r="D258">
        <v>2023</v>
      </c>
      <c r="E258" t="s">
        <v>184</v>
      </c>
      <c r="F258" t="s">
        <v>1181</v>
      </c>
      <c r="G258" t="s">
        <v>122</v>
      </c>
      <c r="H258" t="s">
        <v>123</v>
      </c>
      <c r="I258" t="s">
        <v>115</v>
      </c>
      <c r="J258" t="s">
        <v>124</v>
      </c>
      <c r="K258" t="s">
        <v>156</v>
      </c>
      <c r="L258" t="s">
        <v>174</v>
      </c>
      <c r="M258">
        <v>3</v>
      </c>
      <c r="N258">
        <v>93.88</v>
      </c>
      <c r="O258">
        <v>281.64</v>
      </c>
      <c r="P258">
        <v>0</v>
      </c>
      <c r="Q258">
        <v>0</v>
      </c>
      <c r="R258">
        <v>281.64</v>
      </c>
      <c r="S258">
        <v>159.33000000000001</v>
      </c>
      <c r="T258">
        <v>122.31</v>
      </c>
      <c r="U258" t="s">
        <v>158</v>
      </c>
      <c r="V258" t="s">
        <v>159</v>
      </c>
    </row>
    <row r="259" spans="1:22">
      <c r="A259" t="s">
        <v>439</v>
      </c>
      <c r="B259" s="1">
        <v>45210</v>
      </c>
      <c r="C259" t="s">
        <v>183</v>
      </c>
      <c r="D259">
        <v>2023</v>
      </c>
      <c r="E259" t="s">
        <v>184</v>
      </c>
      <c r="F259" t="s">
        <v>440</v>
      </c>
      <c r="G259" t="s">
        <v>76</v>
      </c>
      <c r="H259" t="s">
        <v>77</v>
      </c>
      <c r="I259" t="s">
        <v>66</v>
      </c>
      <c r="J259" t="s">
        <v>67</v>
      </c>
      <c r="K259" t="s">
        <v>209</v>
      </c>
      <c r="L259" t="s">
        <v>204</v>
      </c>
      <c r="M259">
        <v>4</v>
      </c>
      <c r="N259">
        <v>118.07</v>
      </c>
      <c r="O259">
        <v>472.28</v>
      </c>
      <c r="P259">
        <v>10</v>
      </c>
      <c r="Q259">
        <v>47.23</v>
      </c>
      <c r="R259">
        <v>425.05</v>
      </c>
      <c r="S259">
        <v>158.80000000000001</v>
      </c>
      <c r="T259">
        <v>266.25</v>
      </c>
      <c r="U259" t="s">
        <v>166</v>
      </c>
      <c r="V259" t="s">
        <v>159</v>
      </c>
    </row>
    <row r="260" spans="1:22">
      <c r="A260" t="s">
        <v>1289</v>
      </c>
      <c r="B260" s="1">
        <v>45210</v>
      </c>
      <c r="C260" t="s">
        <v>183</v>
      </c>
      <c r="D260">
        <v>2023</v>
      </c>
      <c r="E260" t="s">
        <v>184</v>
      </c>
      <c r="F260" t="s">
        <v>1290</v>
      </c>
      <c r="G260" t="s">
        <v>78</v>
      </c>
      <c r="H260" t="s">
        <v>79</v>
      </c>
      <c r="I260" t="s">
        <v>66</v>
      </c>
      <c r="J260" t="s">
        <v>70</v>
      </c>
      <c r="K260" t="s">
        <v>156</v>
      </c>
      <c r="L260" t="s">
        <v>204</v>
      </c>
      <c r="M260">
        <v>3</v>
      </c>
      <c r="N260">
        <v>218.05</v>
      </c>
      <c r="O260">
        <v>654.15000000000009</v>
      </c>
      <c r="P260">
        <v>0</v>
      </c>
      <c r="Q260">
        <v>0</v>
      </c>
      <c r="R260">
        <v>654.15</v>
      </c>
      <c r="S260">
        <v>223.44</v>
      </c>
      <c r="T260">
        <v>430.71</v>
      </c>
      <c r="U260" t="s">
        <v>195</v>
      </c>
      <c r="V260" t="s">
        <v>159</v>
      </c>
    </row>
    <row r="261" spans="1:22">
      <c r="A261" t="s">
        <v>1127</v>
      </c>
      <c r="B261" s="1">
        <v>45210</v>
      </c>
      <c r="C261" t="s">
        <v>183</v>
      </c>
      <c r="D261">
        <v>2023</v>
      </c>
      <c r="E261" t="s">
        <v>184</v>
      </c>
      <c r="F261" t="s">
        <v>1128</v>
      </c>
      <c r="G261" t="s">
        <v>125</v>
      </c>
      <c r="H261" t="s">
        <v>126</v>
      </c>
      <c r="I261" t="s">
        <v>115</v>
      </c>
      <c r="J261" t="s">
        <v>116</v>
      </c>
      <c r="K261" t="s">
        <v>156</v>
      </c>
      <c r="L261" t="s">
        <v>157</v>
      </c>
      <c r="M261">
        <v>3</v>
      </c>
      <c r="N261">
        <v>144.94999999999999</v>
      </c>
      <c r="O261">
        <v>434.84999999999997</v>
      </c>
      <c r="P261">
        <v>15</v>
      </c>
      <c r="Q261">
        <v>65.23</v>
      </c>
      <c r="R261">
        <v>369.62</v>
      </c>
      <c r="S261">
        <v>231.57</v>
      </c>
      <c r="T261">
        <v>138.05000000000001</v>
      </c>
      <c r="U261" t="s">
        <v>190</v>
      </c>
      <c r="V261" t="s">
        <v>181</v>
      </c>
    </row>
    <row r="262" spans="1:22">
      <c r="A262" t="s">
        <v>368</v>
      </c>
      <c r="B262" s="1">
        <v>45210</v>
      </c>
      <c r="C262" t="s">
        <v>183</v>
      </c>
      <c r="D262">
        <v>2023</v>
      </c>
      <c r="E262" t="s">
        <v>184</v>
      </c>
      <c r="F262" t="s">
        <v>369</v>
      </c>
      <c r="G262" t="s">
        <v>35</v>
      </c>
      <c r="H262" t="s">
        <v>36</v>
      </c>
      <c r="I262" t="s">
        <v>14</v>
      </c>
      <c r="J262" t="s">
        <v>19</v>
      </c>
      <c r="K262" t="s">
        <v>156</v>
      </c>
      <c r="L262" t="s">
        <v>179</v>
      </c>
      <c r="M262">
        <v>2</v>
      </c>
      <c r="N262">
        <v>81.599999999999994</v>
      </c>
      <c r="O262">
        <v>163.19999999999999</v>
      </c>
      <c r="P262">
        <v>0</v>
      </c>
      <c r="Q262">
        <v>0</v>
      </c>
      <c r="R262">
        <v>163.19999999999999</v>
      </c>
      <c r="S262">
        <v>58.64</v>
      </c>
      <c r="T262">
        <v>104.56</v>
      </c>
      <c r="U262" t="s">
        <v>190</v>
      </c>
      <c r="V262" t="s">
        <v>159</v>
      </c>
    </row>
    <row r="263" spans="1:22">
      <c r="A263" t="s">
        <v>1769</v>
      </c>
      <c r="B263" s="1">
        <v>45209</v>
      </c>
      <c r="C263" t="s">
        <v>183</v>
      </c>
      <c r="D263">
        <v>2023</v>
      </c>
      <c r="E263" t="s">
        <v>184</v>
      </c>
      <c r="F263" t="s">
        <v>1548</v>
      </c>
      <c r="G263" t="s">
        <v>21</v>
      </c>
      <c r="H263" t="s">
        <v>22</v>
      </c>
      <c r="I263" t="s">
        <v>14</v>
      </c>
      <c r="J263" t="s">
        <v>15</v>
      </c>
      <c r="K263" t="s">
        <v>178</v>
      </c>
      <c r="L263" t="s">
        <v>174</v>
      </c>
      <c r="M263">
        <v>2</v>
      </c>
      <c r="N263">
        <v>65.430000000000007</v>
      </c>
      <c r="O263">
        <v>130.86000000000001</v>
      </c>
      <c r="P263">
        <v>15</v>
      </c>
      <c r="Q263">
        <v>19.63</v>
      </c>
      <c r="R263">
        <v>111.23</v>
      </c>
      <c r="S263">
        <v>77.38</v>
      </c>
      <c r="T263">
        <v>33.85</v>
      </c>
      <c r="U263" t="s">
        <v>180</v>
      </c>
      <c r="V263" t="s">
        <v>181</v>
      </c>
    </row>
    <row r="264" spans="1:22">
      <c r="A264" t="s">
        <v>1011</v>
      </c>
      <c r="B264" s="1">
        <v>45209</v>
      </c>
      <c r="C264" t="s">
        <v>183</v>
      </c>
      <c r="D264">
        <v>2023</v>
      </c>
      <c r="E264" t="s">
        <v>184</v>
      </c>
      <c r="F264" t="s">
        <v>1012</v>
      </c>
      <c r="G264" t="s">
        <v>43</v>
      </c>
      <c r="H264" t="s">
        <v>44</v>
      </c>
      <c r="I264" t="s">
        <v>41</v>
      </c>
      <c r="J264" t="s">
        <v>45</v>
      </c>
      <c r="K264" t="s">
        <v>178</v>
      </c>
      <c r="L264" t="s">
        <v>157</v>
      </c>
      <c r="M264">
        <v>4</v>
      </c>
      <c r="N264">
        <v>67.56</v>
      </c>
      <c r="O264">
        <v>270.24</v>
      </c>
      <c r="P264">
        <v>10</v>
      </c>
      <c r="Q264">
        <v>27.02</v>
      </c>
      <c r="R264">
        <v>243.22</v>
      </c>
      <c r="S264">
        <v>172.84</v>
      </c>
      <c r="T264">
        <v>70.38</v>
      </c>
      <c r="U264" t="s">
        <v>195</v>
      </c>
      <c r="V264" t="s">
        <v>159</v>
      </c>
    </row>
    <row r="265" spans="1:22">
      <c r="A265" t="s">
        <v>529</v>
      </c>
      <c r="B265" s="1">
        <v>45209</v>
      </c>
      <c r="C265" t="s">
        <v>183</v>
      </c>
      <c r="D265">
        <v>2023</v>
      </c>
      <c r="E265" t="s">
        <v>184</v>
      </c>
      <c r="F265" t="s">
        <v>530</v>
      </c>
      <c r="G265" t="s">
        <v>105</v>
      </c>
      <c r="H265" t="s">
        <v>106</v>
      </c>
      <c r="I265" t="s">
        <v>90</v>
      </c>
      <c r="J265" t="s">
        <v>91</v>
      </c>
      <c r="K265" t="s">
        <v>209</v>
      </c>
      <c r="L265" t="s">
        <v>174</v>
      </c>
      <c r="M265">
        <v>3</v>
      </c>
      <c r="N265">
        <v>36.35</v>
      </c>
      <c r="O265">
        <v>109.05000000000001</v>
      </c>
      <c r="P265">
        <v>5</v>
      </c>
      <c r="Q265">
        <v>5.45</v>
      </c>
      <c r="R265">
        <v>103.6</v>
      </c>
      <c r="S265">
        <v>90.06</v>
      </c>
      <c r="T265">
        <v>13.54</v>
      </c>
      <c r="U265" t="s">
        <v>195</v>
      </c>
      <c r="V265" t="s">
        <v>186</v>
      </c>
    </row>
    <row r="266" spans="1:22">
      <c r="A266" t="s">
        <v>703</v>
      </c>
      <c r="B266" s="1">
        <v>45209</v>
      </c>
      <c r="C266" t="s">
        <v>183</v>
      </c>
      <c r="D266">
        <v>2023</v>
      </c>
      <c r="E266" t="s">
        <v>184</v>
      </c>
      <c r="F266" t="s">
        <v>704</v>
      </c>
      <c r="G266" t="s">
        <v>78</v>
      </c>
      <c r="H266" t="s">
        <v>79</v>
      </c>
      <c r="I266" t="s">
        <v>66</v>
      </c>
      <c r="J266" t="s">
        <v>70</v>
      </c>
      <c r="K266" t="s">
        <v>209</v>
      </c>
      <c r="L266" t="s">
        <v>165</v>
      </c>
      <c r="M266">
        <v>4</v>
      </c>
      <c r="N266">
        <v>218.05</v>
      </c>
      <c r="O266">
        <v>872.2</v>
      </c>
      <c r="P266">
        <v>5</v>
      </c>
      <c r="Q266">
        <v>43.61</v>
      </c>
      <c r="R266">
        <v>828.59</v>
      </c>
      <c r="S266">
        <v>297.92</v>
      </c>
      <c r="T266">
        <v>530.66999999999996</v>
      </c>
      <c r="U266" t="s">
        <v>158</v>
      </c>
      <c r="V266" t="s">
        <v>159</v>
      </c>
    </row>
    <row r="267" spans="1:22">
      <c r="A267" t="s">
        <v>747</v>
      </c>
      <c r="B267" s="1">
        <v>45208</v>
      </c>
      <c r="C267" t="s">
        <v>183</v>
      </c>
      <c r="D267">
        <v>2023</v>
      </c>
      <c r="E267" t="s">
        <v>184</v>
      </c>
      <c r="F267" t="s">
        <v>748</v>
      </c>
      <c r="G267" t="s">
        <v>101</v>
      </c>
      <c r="H267" t="s">
        <v>102</v>
      </c>
      <c r="I267" t="s">
        <v>90</v>
      </c>
      <c r="J267" t="s">
        <v>100</v>
      </c>
      <c r="K267" t="s">
        <v>164</v>
      </c>
      <c r="L267" t="s">
        <v>165</v>
      </c>
      <c r="M267">
        <v>2</v>
      </c>
      <c r="N267">
        <v>196.28</v>
      </c>
      <c r="O267">
        <v>392.56</v>
      </c>
      <c r="P267">
        <v>15</v>
      </c>
      <c r="Q267">
        <v>58.88</v>
      </c>
      <c r="R267">
        <v>333.68</v>
      </c>
      <c r="S267">
        <v>143.46</v>
      </c>
      <c r="T267">
        <v>190.22</v>
      </c>
      <c r="U267" t="s">
        <v>190</v>
      </c>
      <c r="V267" t="s">
        <v>186</v>
      </c>
    </row>
    <row r="268" spans="1:22">
      <c r="A268" t="s">
        <v>247</v>
      </c>
      <c r="B268" s="1">
        <v>45208</v>
      </c>
      <c r="C268" t="s">
        <v>183</v>
      </c>
      <c r="D268">
        <v>2023</v>
      </c>
      <c r="E268" t="s">
        <v>184</v>
      </c>
      <c r="F268" t="s">
        <v>248</v>
      </c>
      <c r="G268" t="s">
        <v>88</v>
      </c>
      <c r="H268" t="s">
        <v>89</v>
      </c>
      <c r="I268" t="s">
        <v>90</v>
      </c>
      <c r="J268" t="s">
        <v>91</v>
      </c>
      <c r="K268" t="s">
        <v>178</v>
      </c>
      <c r="L268" t="s">
        <v>165</v>
      </c>
      <c r="M268">
        <v>3</v>
      </c>
      <c r="N268">
        <v>54.64</v>
      </c>
      <c r="O268">
        <v>163.92000000000002</v>
      </c>
      <c r="P268">
        <v>5</v>
      </c>
      <c r="Q268">
        <v>8.1999999999999993</v>
      </c>
      <c r="R268">
        <v>155.72</v>
      </c>
      <c r="S268">
        <v>60.96</v>
      </c>
      <c r="T268">
        <v>94.76</v>
      </c>
      <c r="U268" t="s">
        <v>180</v>
      </c>
      <c r="V268" t="s">
        <v>159</v>
      </c>
    </row>
    <row r="269" spans="1:22">
      <c r="A269" t="s">
        <v>1182</v>
      </c>
      <c r="B269" s="1">
        <v>45207</v>
      </c>
      <c r="C269" t="s">
        <v>183</v>
      </c>
      <c r="D269">
        <v>2023</v>
      </c>
      <c r="E269" t="s">
        <v>184</v>
      </c>
      <c r="F269" t="s">
        <v>1183</v>
      </c>
      <c r="G269" t="s">
        <v>105</v>
      </c>
      <c r="H269" t="s">
        <v>106</v>
      </c>
      <c r="I269" t="s">
        <v>90</v>
      </c>
      <c r="J269" t="s">
        <v>91</v>
      </c>
      <c r="K269" t="s">
        <v>209</v>
      </c>
      <c r="L269" t="s">
        <v>194</v>
      </c>
      <c r="M269">
        <v>4</v>
      </c>
      <c r="N269">
        <v>36.35</v>
      </c>
      <c r="O269">
        <v>145.4</v>
      </c>
      <c r="P269">
        <v>10</v>
      </c>
      <c r="Q269">
        <v>14.54</v>
      </c>
      <c r="R269">
        <v>130.86000000000001</v>
      </c>
      <c r="S269">
        <v>120.08</v>
      </c>
      <c r="T269">
        <v>10.78</v>
      </c>
      <c r="U269" t="s">
        <v>190</v>
      </c>
      <c r="V269" t="s">
        <v>159</v>
      </c>
    </row>
    <row r="270" spans="1:22">
      <c r="A270" t="s">
        <v>1887</v>
      </c>
      <c r="B270" s="1">
        <v>45207</v>
      </c>
      <c r="C270" t="s">
        <v>183</v>
      </c>
      <c r="D270">
        <v>2023</v>
      </c>
      <c r="E270" t="s">
        <v>184</v>
      </c>
      <c r="F270" t="s">
        <v>1888</v>
      </c>
      <c r="G270" t="s">
        <v>55</v>
      </c>
      <c r="H270" t="s">
        <v>56</v>
      </c>
      <c r="I270" t="s">
        <v>41</v>
      </c>
      <c r="J270" t="s">
        <v>45</v>
      </c>
      <c r="K270" t="s">
        <v>209</v>
      </c>
      <c r="L270" t="s">
        <v>165</v>
      </c>
      <c r="M270">
        <v>4</v>
      </c>
      <c r="N270">
        <v>205.4</v>
      </c>
      <c r="O270">
        <v>821.6</v>
      </c>
      <c r="P270">
        <v>15</v>
      </c>
      <c r="Q270">
        <v>123.24</v>
      </c>
      <c r="R270">
        <v>698.36</v>
      </c>
      <c r="S270">
        <v>283.60000000000002</v>
      </c>
      <c r="T270">
        <v>414.76</v>
      </c>
      <c r="U270" t="s">
        <v>166</v>
      </c>
      <c r="V270" t="s">
        <v>159</v>
      </c>
    </row>
    <row r="271" spans="1:22">
      <c r="A271" t="s">
        <v>182</v>
      </c>
      <c r="B271" s="1">
        <v>45207</v>
      </c>
      <c r="C271" t="s">
        <v>183</v>
      </c>
      <c r="D271">
        <v>2023</v>
      </c>
      <c r="E271" t="s">
        <v>184</v>
      </c>
      <c r="F271" t="s">
        <v>185</v>
      </c>
      <c r="G271" t="s">
        <v>129</v>
      </c>
      <c r="H271" t="s">
        <v>130</v>
      </c>
      <c r="I271" t="s">
        <v>115</v>
      </c>
      <c r="J271" t="s">
        <v>124</v>
      </c>
      <c r="K271" t="s">
        <v>156</v>
      </c>
      <c r="L271" t="s">
        <v>165</v>
      </c>
      <c r="M271">
        <v>4</v>
      </c>
      <c r="N271">
        <v>99.34</v>
      </c>
      <c r="O271">
        <v>397.36</v>
      </c>
      <c r="P271">
        <v>20</v>
      </c>
      <c r="Q271">
        <v>79.47</v>
      </c>
      <c r="R271">
        <v>317.89</v>
      </c>
      <c r="S271">
        <v>149.4</v>
      </c>
      <c r="T271">
        <v>168.49</v>
      </c>
      <c r="U271" t="s">
        <v>180</v>
      </c>
      <c r="V271" t="s">
        <v>186</v>
      </c>
    </row>
    <row r="272" spans="1:22">
      <c r="A272" t="s">
        <v>687</v>
      </c>
      <c r="B272" s="1">
        <v>45206</v>
      </c>
      <c r="C272" t="s">
        <v>183</v>
      </c>
      <c r="D272">
        <v>2023</v>
      </c>
      <c r="E272" t="s">
        <v>184</v>
      </c>
      <c r="F272" t="s">
        <v>688</v>
      </c>
      <c r="G272" t="s">
        <v>39</v>
      </c>
      <c r="H272" t="s">
        <v>40</v>
      </c>
      <c r="I272" t="s">
        <v>41</v>
      </c>
      <c r="J272" t="s">
        <v>42</v>
      </c>
      <c r="K272" t="s">
        <v>156</v>
      </c>
      <c r="L272" t="s">
        <v>232</v>
      </c>
      <c r="M272">
        <v>2</v>
      </c>
      <c r="N272">
        <v>35.11</v>
      </c>
      <c r="O272">
        <v>70.22</v>
      </c>
      <c r="P272">
        <v>15</v>
      </c>
      <c r="Q272">
        <v>10.53</v>
      </c>
      <c r="R272">
        <v>59.69</v>
      </c>
      <c r="S272">
        <v>49.74</v>
      </c>
      <c r="T272">
        <v>9.9499999999999993</v>
      </c>
      <c r="U272" t="s">
        <v>158</v>
      </c>
      <c r="V272" t="s">
        <v>181</v>
      </c>
    </row>
    <row r="273" spans="1:22">
      <c r="A273" t="s">
        <v>1766</v>
      </c>
      <c r="B273" s="1">
        <v>45206</v>
      </c>
      <c r="C273" t="s">
        <v>183</v>
      </c>
      <c r="D273">
        <v>2023</v>
      </c>
      <c r="E273" t="s">
        <v>184</v>
      </c>
      <c r="F273" t="s">
        <v>1273</v>
      </c>
      <c r="G273" t="s">
        <v>64</v>
      </c>
      <c r="H273" t="s">
        <v>65</v>
      </c>
      <c r="I273" t="s">
        <v>66</v>
      </c>
      <c r="J273" t="s">
        <v>67</v>
      </c>
      <c r="K273" t="s">
        <v>178</v>
      </c>
      <c r="L273" t="s">
        <v>165</v>
      </c>
      <c r="M273">
        <v>2</v>
      </c>
      <c r="N273">
        <v>24.9</v>
      </c>
      <c r="O273">
        <v>49.8</v>
      </c>
      <c r="P273">
        <v>0</v>
      </c>
      <c r="Q273">
        <v>0</v>
      </c>
      <c r="R273">
        <v>49.8</v>
      </c>
      <c r="S273">
        <v>43.04</v>
      </c>
      <c r="T273">
        <v>6.76</v>
      </c>
      <c r="U273" t="s">
        <v>195</v>
      </c>
      <c r="V273" t="s">
        <v>186</v>
      </c>
    </row>
    <row r="274" spans="1:22">
      <c r="A274" t="s">
        <v>1611</v>
      </c>
      <c r="B274" s="1">
        <v>45206</v>
      </c>
      <c r="C274" t="s">
        <v>183</v>
      </c>
      <c r="D274">
        <v>2023</v>
      </c>
      <c r="E274" t="s">
        <v>184</v>
      </c>
      <c r="F274" t="s">
        <v>1612</v>
      </c>
      <c r="G274" t="s">
        <v>127</v>
      </c>
      <c r="H274" t="s">
        <v>128</v>
      </c>
      <c r="I274" t="s">
        <v>115</v>
      </c>
      <c r="J274" t="s">
        <v>124</v>
      </c>
      <c r="K274" t="s">
        <v>178</v>
      </c>
      <c r="L274" t="s">
        <v>174</v>
      </c>
      <c r="M274">
        <v>3</v>
      </c>
      <c r="N274">
        <v>94.76</v>
      </c>
      <c r="O274">
        <v>284.28000000000003</v>
      </c>
      <c r="P274">
        <v>5</v>
      </c>
      <c r="Q274">
        <v>14.21</v>
      </c>
      <c r="R274">
        <v>270.07</v>
      </c>
      <c r="S274">
        <v>236.46</v>
      </c>
      <c r="T274">
        <v>33.61</v>
      </c>
      <c r="U274" t="s">
        <v>158</v>
      </c>
      <c r="V274" t="s">
        <v>181</v>
      </c>
    </row>
    <row r="275" spans="1:22">
      <c r="A275" t="s">
        <v>491</v>
      </c>
      <c r="B275" s="1">
        <v>45206</v>
      </c>
      <c r="C275" t="s">
        <v>183</v>
      </c>
      <c r="D275">
        <v>2023</v>
      </c>
      <c r="E275" t="s">
        <v>184</v>
      </c>
      <c r="F275" t="s">
        <v>492</v>
      </c>
      <c r="G275" t="s">
        <v>35</v>
      </c>
      <c r="H275" t="s">
        <v>36</v>
      </c>
      <c r="I275" t="s">
        <v>14</v>
      </c>
      <c r="J275" t="s">
        <v>19</v>
      </c>
      <c r="K275" t="s">
        <v>156</v>
      </c>
      <c r="L275" t="s">
        <v>179</v>
      </c>
      <c r="M275">
        <v>1</v>
      </c>
      <c r="N275">
        <v>81.599999999999994</v>
      </c>
      <c r="O275">
        <v>81.599999999999994</v>
      </c>
      <c r="P275">
        <v>0</v>
      </c>
      <c r="Q275">
        <v>0</v>
      </c>
      <c r="R275">
        <v>81.599999999999994</v>
      </c>
      <c r="S275">
        <v>29.32</v>
      </c>
      <c r="T275">
        <v>52.28</v>
      </c>
      <c r="U275" t="s">
        <v>180</v>
      </c>
      <c r="V275" t="s">
        <v>186</v>
      </c>
    </row>
    <row r="276" spans="1:22">
      <c r="A276" t="s">
        <v>920</v>
      </c>
      <c r="B276" s="1">
        <v>45205</v>
      </c>
      <c r="C276" t="s">
        <v>183</v>
      </c>
      <c r="D276">
        <v>2023</v>
      </c>
      <c r="E276" t="s">
        <v>184</v>
      </c>
      <c r="F276" t="s">
        <v>921</v>
      </c>
      <c r="G276" t="s">
        <v>117</v>
      </c>
      <c r="H276" t="s">
        <v>118</v>
      </c>
      <c r="I276" t="s">
        <v>115</v>
      </c>
      <c r="J276" t="s">
        <v>119</v>
      </c>
      <c r="K276" t="s">
        <v>209</v>
      </c>
      <c r="L276" t="s">
        <v>204</v>
      </c>
      <c r="M276">
        <v>2</v>
      </c>
      <c r="N276">
        <v>93.41</v>
      </c>
      <c r="O276">
        <v>186.82</v>
      </c>
      <c r="P276">
        <v>15</v>
      </c>
      <c r="Q276">
        <v>28.02</v>
      </c>
      <c r="R276">
        <v>158.80000000000001</v>
      </c>
      <c r="S276">
        <v>128.1</v>
      </c>
      <c r="T276">
        <v>30.7</v>
      </c>
      <c r="U276" t="s">
        <v>195</v>
      </c>
      <c r="V276" t="s">
        <v>186</v>
      </c>
    </row>
    <row r="277" spans="1:22">
      <c r="A277" t="s">
        <v>795</v>
      </c>
      <c r="B277" s="1">
        <v>45205</v>
      </c>
      <c r="C277" t="s">
        <v>183</v>
      </c>
      <c r="D277">
        <v>2023</v>
      </c>
      <c r="E277" t="s">
        <v>184</v>
      </c>
      <c r="F277" t="s">
        <v>796</v>
      </c>
      <c r="G277" t="s">
        <v>105</v>
      </c>
      <c r="H277" t="s">
        <v>106</v>
      </c>
      <c r="I277" t="s">
        <v>90</v>
      </c>
      <c r="J277" t="s">
        <v>91</v>
      </c>
      <c r="K277" t="s">
        <v>178</v>
      </c>
      <c r="L277" t="s">
        <v>232</v>
      </c>
      <c r="M277">
        <v>1</v>
      </c>
      <c r="N277">
        <v>36.35</v>
      </c>
      <c r="O277">
        <v>36.35</v>
      </c>
      <c r="P277">
        <v>0</v>
      </c>
      <c r="Q277">
        <v>0</v>
      </c>
      <c r="R277">
        <v>36.35</v>
      </c>
      <c r="S277">
        <v>30.02</v>
      </c>
      <c r="T277">
        <v>6.33</v>
      </c>
      <c r="U277" t="s">
        <v>158</v>
      </c>
      <c r="V277" t="s">
        <v>186</v>
      </c>
    </row>
    <row r="278" spans="1:22">
      <c r="A278" t="s">
        <v>1153</v>
      </c>
      <c r="B278" s="1">
        <v>45205</v>
      </c>
      <c r="C278" t="s">
        <v>183</v>
      </c>
      <c r="D278">
        <v>2023</v>
      </c>
      <c r="E278" t="s">
        <v>184</v>
      </c>
      <c r="F278" t="s">
        <v>1154</v>
      </c>
      <c r="G278" t="s">
        <v>95</v>
      </c>
      <c r="H278" t="s">
        <v>96</v>
      </c>
      <c r="I278" t="s">
        <v>90</v>
      </c>
      <c r="J278" t="s">
        <v>97</v>
      </c>
      <c r="K278" t="s">
        <v>164</v>
      </c>
      <c r="L278" t="s">
        <v>174</v>
      </c>
      <c r="M278">
        <v>2</v>
      </c>
      <c r="N278">
        <v>177.41</v>
      </c>
      <c r="O278">
        <v>354.82</v>
      </c>
      <c r="P278">
        <v>5</v>
      </c>
      <c r="Q278">
        <v>17.739999999999998</v>
      </c>
      <c r="R278">
        <v>337.08</v>
      </c>
      <c r="S278">
        <v>149.97999999999999</v>
      </c>
      <c r="T278">
        <v>187.1</v>
      </c>
      <c r="U278" t="s">
        <v>195</v>
      </c>
      <c r="V278" t="s">
        <v>159</v>
      </c>
    </row>
    <row r="279" spans="1:22">
      <c r="A279" t="s">
        <v>1470</v>
      </c>
      <c r="B279" s="1">
        <v>45204</v>
      </c>
      <c r="C279" t="s">
        <v>183</v>
      </c>
      <c r="D279">
        <v>2023</v>
      </c>
      <c r="E279" t="s">
        <v>184</v>
      </c>
      <c r="F279" t="s">
        <v>1471</v>
      </c>
      <c r="G279" t="s">
        <v>117</v>
      </c>
      <c r="H279" t="s">
        <v>118</v>
      </c>
      <c r="I279" t="s">
        <v>115</v>
      </c>
      <c r="J279" t="s">
        <v>119</v>
      </c>
      <c r="K279" t="s">
        <v>156</v>
      </c>
      <c r="L279" t="s">
        <v>179</v>
      </c>
      <c r="M279">
        <v>2</v>
      </c>
      <c r="N279">
        <v>93.41</v>
      </c>
      <c r="O279">
        <v>186.82</v>
      </c>
      <c r="P279">
        <v>10</v>
      </c>
      <c r="Q279">
        <v>18.68</v>
      </c>
      <c r="R279">
        <v>168.14</v>
      </c>
      <c r="S279">
        <v>128.1</v>
      </c>
      <c r="T279">
        <v>40.04</v>
      </c>
      <c r="U279" t="s">
        <v>190</v>
      </c>
      <c r="V279" t="s">
        <v>159</v>
      </c>
    </row>
    <row r="280" spans="1:22">
      <c r="A280" t="s">
        <v>198</v>
      </c>
      <c r="B280" s="1">
        <v>45204</v>
      </c>
      <c r="C280" t="s">
        <v>183</v>
      </c>
      <c r="D280">
        <v>2023</v>
      </c>
      <c r="E280" t="s">
        <v>184</v>
      </c>
      <c r="F280" t="s">
        <v>199</v>
      </c>
      <c r="G280" t="s">
        <v>80</v>
      </c>
      <c r="H280" t="s">
        <v>81</v>
      </c>
      <c r="I280" t="s">
        <v>66</v>
      </c>
      <c r="J280" t="s">
        <v>70</v>
      </c>
      <c r="K280" t="s">
        <v>164</v>
      </c>
      <c r="L280" t="s">
        <v>174</v>
      </c>
      <c r="M280">
        <v>4</v>
      </c>
      <c r="N280">
        <v>106.06</v>
      </c>
      <c r="O280">
        <v>424.24</v>
      </c>
      <c r="P280">
        <v>0</v>
      </c>
      <c r="Q280">
        <v>0</v>
      </c>
      <c r="R280">
        <v>424.24</v>
      </c>
      <c r="S280">
        <v>133.68</v>
      </c>
      <c r="T280">
        <v>290.56</v>
      </c>
      <c r="U280" t="s">
        <v>190</v>
      </c>
      <c r="V280" t="s">
        <v>186</v>
      </c>
    </row>
    <row r="281" spans="1:22">
      <c r="A281" t="s">
        <v>318</v>
      </c>
      <c r="B281" s="1">
        <v>45204</v>
      </c>
      <c r="C281" t="s">
        <v>183</v>
      </c>
      <c r="D281">
        <v>2023</v>
      </c>
      <c r="E281" t="s">
        <v>184</v>
      </c>
      <c r="F281" t="s">
        <v>319</v>
      </c>
      <c r="G281" t="s">
        <v>64</v>
      </c>
      <c r="H281" t="s">
        <v>65</v>
      </c>
      <c r="I281" t="s">
        <v>66</v>
      </c>
      <c r="J281" t="s">
        <v>67</v>
      </c>
      <c r="K281" t="s">
        <v>209</v>
      </c>
      <c r="L281" t="s">
        <v>157</v>
      </c>
      <c r="M281">
        <v>4</v>
      </c>
      <c r="N281">
        <v>24.9</v>
      </c>
      <c r="O281">
        <v>99.6</v>
      </c>
      <c r="P281">
        <v>20</v>
      </c>
      <c r="Q281">
        <v>19.920000000000002</v>
      </c>
      <c r="R281">
        <v>79.680000000000007</v>
      </c>
      <c r="S281">
        <v>86.08</v>
      </c>
      <c r="T281">
        <v>-6.4</v>
      </c>
      <c r="U281" t="s">
        <v>195</v>
      </c>
      <c r="V281" t="s">
        <v>159</v>
      </c>
    </row>
    <row r="282" spans="1:22">
      <c r="A282" t="s">
        <v>1337</v>
      </c>
      <c r="B282" s="1">
        <v>45203</v>
      </c>
      <c r="C282" t="s">
        <v>183</v>
      </c>
      <c r="D282">
        <v>2023</v>
      </c>
      <c r="E282" t="s">
        <v>184</v>
      </c>
      <c r="F282" t="s">
        <v>1338</v>
      </c>
      <c r="G282" t="s">
        <v>64</v>
      </c>
      <c r="H282" t="s">
        <v>65</v>
      </c>
      <c r="I282" t="s">
        <v>66</v>
      </c>
      <c r="J282" t="s">
        <v>67</v>
      </c>
      <c r="K282" t="s">
        <v>178</v>
      </c>
      <c r="L282" t="s">
        <v>232</v>
      </c>
      <c r="M282">
        <v>4</v>
      </c>
      <c r="N282">
        <v>24.9</v>
      </c>
      <c r="O282">
        <v>99.6</v>
      </c>
      <c r="P282">
        <v>5</v>
      </c>
      <c r="Q282">
        <v>4.9800000000000004</v>
      </c>
      <c r="R282">
        <v>94.62</v>
      </c>
      <c r="S282">
        <v>86.08</v>
      </c>
      <c r="T282">
        <v>8.5399999999999991</v>
      </c>
      <c r="U282" t="s">
        <v>180</v>
      </c>
      <c r="V282" t="s">
        <v>159</v>
      </c>
    </row>
    <row r="283" spans="1:22">
      <c r="A283" t="s">
        <v>1299</v>
      </c>
      <c r="B283" s="1">
        <v>45203</v>
      </c>
      <c r="C283" t="s">
        <v>183</v>
      </c>
      <c r="D283">
        <v>2023</v>
      </c>
      <c r="E283" t="s">
        <v>184</v>
      </c>
      <c r="F283" t="s">
        <v>1300</v>
      </c>
      <c r="G283" t="s">
        <v>23</v>
      </c>
      <c r="H283" t="s">
        <v>24</v>
      </c>
      <c r="I283" t="s">
        <v>14</v>
      </c>
      <c r="J283" t="s">
        <v>19</v>
      </c>
      <c r="K283" t="s">
        <v>178</v>
      </c>
      <c r="L283" t="s">
        <v>204</v>
      </c>
      <c r="M283">
        <v>4</v>
      </c>
      <c r="N283">
        <v>154.03</v>
      </c>
      <c r="O283">
        <v>616.12</v>
      </c>
      <c r="P283">
        <v>5</v>
      </c>
      <c r="Q283">
        <v>30.81</v>
      </c>
      <c r="R283">
        <v>585.30999999999995</v>
      </c>
      <c r="S283">
        <v>307.16000000000003</v>
      </c>
      <c r="T283">
        <v>278.14999999999998</v>
      </c>
      <c r="U283" t="s">
        <v>190</v>
      </c>
      <c r="V283" t="s">
        <v>186</v>
      </c>
    </row>
    <row r="284" spans="1:22">
      <c r="A284" t="s">
        <v>1699</v>
      </c>
      <c r="B284" s="1">
        <v>45203</v>
      </c>
      <c r="C284" t="s">
        <v>183</v>
      </c>
      <c r="D284">
        <v>2023</v>
      </c>
      <c r="E284" t="s">
        <v>184</v>
      </c>
      <c r="F284" t="s">
        <v>1700</v>
      </c>
      <c r="G284" t="s">
        <v>111</v>
      </c>
      <c r="H284" t="s">
        <v>112</v>
      </c>
      <c r="I284" t="s">
        <v>90</v>
      </c>
      <c r="J284" t="s">
        <v>97</v>
      </c>
      <c r="K284" t="s">
        <v>156</v>
      </c>
      <c r="L284" t="s">
        <v>204</v>
      </c>
      <c r="M284">
        <v>3</v>
      </c>
      <c r="N284">
        <v>189.99</v>
      </c>
      <c r="O284">
        <v>569.97</v>
      </c>
      <c r="P284">
        <v>20</v>
      </c>
      <c r="Q284">
        <v>113.99</v>
      </c>
      <c r="R284">
        <v>455.98</v>
      </c>
      <c r="S284">
        <v>190.53</v>
      </c>
      <c r="T284">
        <v>265.45</v>
      </c>
      <c r="U284" t="s">
        <v>190</v>
      </c>
      <c r="V284" t="s">
        <v>159</v>
      </c>
    </row>
    <row r="285" spans="1:22">
      <c r="A285" t="s">
        <v>2067</v>
      </c>
      <c r="B285" s="1">
        <v>45203</v>
      </c>
      <c r="C285" t="s">
        <v>183</v>
      </c>
      <c r="D285">
        <v>2023</v>
      </c>
      <c r="E285" t="s">
        <v>184</v>
      </c>
      <c r="F285" t="s">
        <v>2068</v>
      </c>
      <c r="G285" t="s">
        <v>17</v>
      </c>
      <c r="H285" t="s">
        <v>18</v>
      </c>
      <c r="I285" t="s">
        <v>14</v>
      </c>
      <c r="J285" t="s">
        <v>19</v>
      </c>
      <c r="K285" t="s">
        <v>178</v>
      </c>
      <c r="L285" t="s">
        <v>157</v>
      </c>
      <c r="M285">
        <v>1</v>
      </c>
      <c r="N285">
        <v>53.26</v>
      </c>
      <c r="O285">
        <v>53.26</v>
      </c>
      <c r="P285">
        <v>20</v>
      </c>
      <c r="Q285">
        <v>10.65</v>
      </c>
      <c r="R285">
        <v>42.61</v>
      </c>
      <c r="S285">
        <v>36.64</v>
      </c>
      <c r="T285">
        <v>5.97</v>
      </c>
      <c r="U285" t="s">
        <v>195</v>
      </c>
      <c r="V285" t="s">
        <v>186</v>
      </c>
    </row>
    <row r="286" spans="1:22">
      <c r="A286" t="s">
        <v>344</v>
      </c>
      <c r="B286" s="1">
        <v>45203</v>
      </c>
      <c r="C286" t="s">
        <v>183</v>
      </c>
      <c r="D286">
        <v>2023</v>
      </c>
      <c r="E286" t="s">
        <v>184</v>
      </c>
      <c r="F286" t="s">
        <v>345</v>
      </c>
      <c r="G286" t="s">
        <v>46</v>
      </c>
      <c r="H286" t="s">
        <v>47</v>
      </c>
      <c r="I286" t="s">
        <v>41</v>
      </c>
      <c r="J286" t="s">
        <v>45</v>
      </c>
      <c r="K286" t="s">
        <v>178</v>
      </c>
      <c r="L286" t="s">
        <v>232</v>
      </c>
      <c r="M286">
        <v>2</v>
      </c>
      <c r="N286">
        <v>16.95</v>
      </c>
      <c r="O286">
        <v>33.9</v>
      </c>
      <c r="P286">
        <v>20</v>
      </c>
      <c r="Q286">
        <v>6.78</v>
      </c>
      <c r="R286">
        <v>27.12</v>
      </c>
      <c r="S286">
        <v>19.52</v>
      </c>
      <c r="T286">
        <v>7.6</v>
      </c>
      <c r="U286" t="s">
        <v>166</v>
      </c>
      <c r="V286" t="s">
        <v>159</v>
      </c>
    </row>
    <row r="287" spans="1:22">
      <c r="A287" t="s">
        <v>1449</v>
      </c>
      <c r="B287" s="1">
        <v>45202</v>
      </c>
      <c r="C287" t="s">
        <v>183</v>
      </c>
      <c r="D287">
        <v>2023</v>
      </c>
      <c r="E287" t="s">
        <v>184</v>
      </c>
      <c r="F287" t="s">
        <v>1450</v>
      </c>
      <c r="G287" t="s">
        <v>17</v>
      </c>
      <c r="H287" t="s">
        <v>18</v>
      </c>
      <c r="I287" t="s">
        <v>14</v>
      </c>
      <c r="J287" t="s">
        <v>19</v>
      </c>
      <c r="K287" t="s">
        <v>156</v>
      </c>
      <c r="L287" t="s">
        <v>232</v>
      </c>
      <c r="M287">
        <v>3</v>
      </c>
      <c r="N287">
        <v>53.26</v>
      </c>
      <c r="O287">
        <v>159.78</v>
      </c>
      <c r="P287">
        <v>0</v>
      </c>
      <c r="Q287">
        <v>0</v>
      </c>
      <c r="R287">
        <v>159.78</v>
      </c>
      <c r="S287">
        <v>109.92</v>
      </c>
      <c r="T287">
        <v>49.86</v>
      </c>
      <c r="U287" t="s">
        <v>166</v>
      </c>
      <c r="V287" t="s">
        <v>159</v>
      </c>
    </row>
    <row r="288" spans="1:22">
      <c r="A288" t="s">
        <v>599</v>
      </c>
      <c r="B288" s="1">
        <v>45202</v>
      </c>
      <c r="C288" t="s">
        <v>183</v>
      </c>
      <c r="D288">
        <v>2023</v>
      </c>
      <c r="E288" t="s">
        <v>184</v>
      </c>
      <c r="F288" t="s">
        <v>600</v>
      </c>
      <c r="G288" t="s">
        <v>48</v>
      </c>
      <c r="H288" t="s">
        <v>49</v>
      </c>
      <c r="I288" t="s">
        <v>41</v>
      </c>
      <c r="J288" t="s">
        <v>42</v>
      </c>
      <c r="K288" t="s">
        <v>178</v>
      </c>
      <c r="L288" t="s">
        <v>157</v>
      </c>
      <c r="M288">
        <v>2</v>
      </c>
      <c r="N288">
        <v>84.95</v>
      </c>
      <c r="O288">
        <v>169.9</v>
      </c>
      <c r="P288">
        <v>20</v>
      </c>
      <c r="Q288">
        <v>33.979999999999997</v>
      </c>
      <c r="R288">
        <v>135.91999999999999</v>
      </c>
      <c r="S288">
        <v>106.14</v>
      </c>
      <c r="T288">
        <v>29.78</v>
      </c>
      <c r="U288" t="s">
        <v>158</v>
      </c>
      <c r="V288" t="s">
        <v>181</v>
      </c>
    </row>
    <row r="289" spans="1:22">
      <c r="A289" t="s">
        <v>628</v>
      </c>
      <c r="B289" s="1">
        <v>45202</v>
      </c>
      <c r="C289" t="s">
        <v>183</v>
      </c>
      <c r="D289">
        <v>2023</v>
      </c>
      <c r="E289" t="s">
        <v>184</v>
      </c>
      <c r="F289" t="s">
        <v>629</v>
      </c>
      <c r="G289" t="s">
        <v>80</v>
      </c>
      <c r="H289" t="s">
        <v>81</v>
      </c>
      <c r="I289" t="s">
        <v>66</v>
      </c>
      <c r="J289" t="s">
        <v>70</v>
      </c>
      <c r="K289" t="s">
        <v>156</v>
      </c>
      <c r="L289" t="s">
        <v>179</v>
      </c>
      <c r="M289">
        <v>4</v>
      </c>
      <c r="N289">
        <v>106.06</v>
      </c>
      <c r="O289">
        <v>424.24</v>
      </c>
      <c r="P289">
        <v>20</v>
      </c>
      <c r="Q289">
        <v>84.85</v>
      </c>
      <c r="R289">
        <v>339.39</v>
      </c>
      <c r="S289">
        <v>133.68</v>
      </c>
      <c r="T289">
        <v>205.71</v>
      </c>
      <c r="U289" t="s">
        <v>190</v>
      </c>
      <c r="V289" t="s">
        <v>181</v>
      </c>
    </row>
    <row r="290" spans="1:22">
      <c r="A290" t="s">
        <v>1287</v>
      </c>
      <c r="B290" s="1">
        <v>45201</v>
      </c>
      <c r="C290" t="s">
        <v>183</v>
      </c>
      <c r="D290">
        <v>2023</v>
      </c>
      <c r="E290" t="s">
        <v>184</v>
      </c>
      <c r="F290" t="s">
        <v>1288</v>
      </c>
      <c r="G290" t="s">
        <v>80</v>
      </c>
      <c r="H290" t="s">
        <v>81</v>
      </c>
      <c r="I290" t="s">
        <v>66</v>
      </c>
      <c r="J290" t="s">
        <v>70</v>
      </c>
      <c r="K290" t="s">
        <v>178</v>
      </c>
      <c r="L290" t="s">
        <v>157</v>
      </c>
      <c r="M290">
        <v>3</v>
      </c>
      <c r="N290">
        <v>106.06</v>
      </c>
      <c r="O290">
        <v>318.18</v>
      </c>
      <c r="P290">
        <v>10</v>
      </c>
      <c r="Q290">
        <v>31.82</v>
      </c>
      <c r="R290">
        <v>286.36</v>
      </c>
      <c r="S290">
        <v>100.26</v>
      </c>
      <c r="T290">
        <v>186.1</v>
      </c>
      <c r="U290" t="s">
        <v>195</v>
      </c>
      <c r="V290" t="s">
        <v>159</v>
      </c>
    </row>
    <row r="291" spans="1:22">
      <c r="A291" t="s">
        <v>1543</v>
      </c>
      <c r="B291" s="1">
        <v>45201</v>
      </c>
      <c r="C291" t="s">
        <v>183</v>
      </c>
      <c r="D291">
        <v>2023</v>
      </c>
      <c r="E291" t="s">
        <v>184</v>
      </c>
      <c r="F291" t="s">
        <v>1544</v>
      </c>
      <c r="G291" t="s">
        <v>105</v>
      </c>
      <c r="H291" t="s">
        <v>106</v>
      </c>
      <c r="I291" t="s">
        <v>90</v>
      </c>
      <c r="J291" t="s">
        <v>91</v>
      </c>
      <c r="K291" t="s">
        <v>156</v>
      </c>
      <c r="L291" t="s">
        <v>232</v>
      </c>
      <c r="M291">
        <v>3</v>
      </c>
      <c r="N291">
        <v>36.35</v>
      </c>
      <c r="O291">
        <v>109.05000000000001</v>
      </c>
      <c r="P291">
        <v>10</v>
      </c>
      <c r="Q291">
        <v>10.9</v>
      </c>
      <c r="R291">
        <v>98.15</v>
      </c>
      <c r="S291">
        <v>90.06</v>
      </c>
      <c r="T291">
        <v>8.09</v>
      </c>
      <c r="U291" t="s">
        <v>195</v>
      </c>
      <c r="V291" t="s">
        <v>159</v>
      </c>
    </row>
    <row r="292" spans="1:22">
      <c r="A292" t="s">
        <v>1879</v>
      </c>
      <c r="B292" s="1">
        <v>45201</v>
      </c>
      <c r="C292" t="s">
        <v>183</v>
      </c>
      <c r="D292">
        <v>2023</v>
      </c>
      <c r="E292" t="s">
        <v>184</v>
      </c>
      <c r="F292" t="s">
        <v>1880</v>
      </c>
      <c r="G292" t="s">
        <v>113</v>
      </c>
      <c r="H292" t="s">
        <v>114</v>
      </c>
      <c r="I292" t="s">
        <v>115</v>
      </c>
      <c r="J292" t="s">
        <v>116</v>
      </c>
      <c r="K292" t="s">
        <v>178</v>
      </c>
      <c r="L292" t="s">
        <v>194</v>
      </c>
      <c r="M292">
        <v>1</v>
      </c>
      <c r="N292">
        <v>18.7</v>
      </c>
      <c r="O292">
        <v>18.7</v>
      </c>
      <c r="P292">
        <v>20</v>
      </c>
      <c r="Q292">
        <v>3.74</v>
      </c>
      <c r="R292">
        <v>14.96</v>
      </c>
      <c r="S292">
        <v>6.86</v>
      </c>
      <c r="T292">
        <v>8.1</v>
      </c>
      <c r="U292" t="s">
        <v>158</v>
      </c>
      <c r="V292" t="s">
        <v>159</v>
      </c>
    </row>
    <row r="293" spans="1:22">
      <c r="A293" t="s">
        <v>632</v>
      </c>
      <c r="B293" s="1">
        <v>45201</v>
      </c>
      <c r="C293" t="s">
        <v>183</v>
      </c>
      <c r="D293">
        <v>2023</v>
      </c>
      <c r="E293" t="s">
        <v>184</v>
      </c>
      <c r="F293" t="s">
        <v>633</v>
      </c>
      <c r="G293" t="s">
        <v>103</v>
      </c>
      <c r="H293" t="s">
        <v>104</v>
      </c>
      <c r="I293" t="s">
        <v>90</v>
      </c>
      <c r="J293" t="s">
        <v>94</v>
      </c>
      <c r="K293" t="s">
        <v>156</v>
      </c>
      <c r="L293" t="s">
        <v>194</v>
      </c>
      <c r="M293">
        <v>2</v>
      </c>
      <c r="N293">
        <v>98.58</v>
      </c>
      <c r="O293">
        <v>197.16</v>
      </c>
      <c r="P293">
        <v>10</v>
      </c>
      <c r="Q293">
        <v>19.72</v>
      </c>
      <c r="R293">
        <v>177.44</v>
      </c>
      <c r="S293">
        <v>105.14</v>
      </c>
      <c r="T293">
        <v>72.3</v>
      </c>
      <c r="U293" t="s">
        <v>166</v>
      </c>
      <c r="V293" t="s">
        <v>186</v>
      </c>
    </row>
    <row r="294" spans="1:22">
      <c r="A294" t="s">
        <v>562</v>
      </c>
      <c r="B294" s="1">
        <v>45201</v>
      </c>
      <c r="C294" t="s">
        <v>183</v>
      </c>
      <c r="D294">
        <v>2023</v>
      </c>
      <c r="E294" t="s">
        <v>184</v>
      </c>
      <c r="F294" t="s">
        <v>563</v>
      </c>
      <c r="G294" t="s">
        <v>109</v>
      </c>
      <c r="H294" t="s">
        <v>110</v>
      </c>
      <c r="I294" t="s">
        <v>90</v>
      </c>
      <c r="J294" t="s">
        <v>100</v>
      </c>
      <c r="K294" t="s">
        <v>209</v>
      </c>
      <c r="L294" t="s">
        <v>204</v>
      </c>
      <c r="M294">
        <v>4</v>
      </c>
      <c r="N294">
        <v>77.67</v>
      </c>
      <c r="O294">
        <v>310.68</v>
      </c>
      <c r="P294">
        <v>0</v>
      </c>
      <c r="Q294">
        <v>0</v>
      </c>
      <c r="R294">
        <v>310.68</v>
      </c>
      <c r="S294">
        <v>112.48</v>
      </c>
      <c r="T294">
        <v>198.2</v>
      </c>
      <c r="U294" t="s">
        <v>190</v>
      </c>
      <c r="V294" t="s">
        <v>159</v>
      </c>
    </row>
    <row r="295" spans="1:22">
      <c r="A295" t="s">
        <v>1133</v>
      </c>
      <c r="B295" s="1">
        <v>45200</v>
      </c>
      <c r="C295" t="s">
        <v>183</v>
      </c>
      <c r="D295">
        <v>2023</v>
      </c>
      <c r="E295" t="s">
        <v>184</v>
      </c>
      <c r="F295" t="s">
        <v>1134</v>
      </c>
      <c r="G295" t="s">
        <v>105</v>
      </c>
      <c r="H295" t="s">
        <v>106</v>
      </c>
      <c r="I295" t="s">
        <v>90</v>
      </c>
      <c r="J295" t="s">
        <v>91</v>
      </c>
      <c r="K295" t="s">
        <v>164</v>
      </c>
      <c r="L295" t="s">
        <v>179</v>
      </c>
      <c r="M295">
        <v>4</v>
      </c>
      <c r="N295">
        <v>36.35</v>
      </c>
      <c r="O295">
        <v>145.4</v>
      </c>
      <c r="P295">
        <v>15</v>
      </c>
      <c r="Q295">
        <v>21.81</v>
      </c>
      <c r="R295">
        <v>123.59</v>
      </c>
      <c r="S295">
        <v>120.08</v>
      </c>
      <c r="T295">
        <v>3.51</v>
      </c>
      <c r="U295" t="s">
        <v>158</v>
      </c>
      <c r="V295" t="s">
        <v>181</v>
      </c>
    </row>
    <row r="296" spans="1:22">
      <c r="A296" t="s">
        <v>1061</v>
      </c>
      <c r="B296" s="1">
        <v>45200</v>
      </c>
      <c r="C296" t="s">
        <v>183</v>
      </c>
      <c r="D296">
        <v>2023</v>
      </c>
      <c r="E296" t="s">
        <v>184</v>
      </c>
      <c r="F296" t="s">
        <v>1062</v>
      </c>
      <c r="G296" t="s">
        <v>76</v>
      </c>
      <c r="H296" t="s">
        <v>77</v>
      </c>
      <c r="I296" t="s">
        <v>66</v>
      </c>
      <c r="J296" t="s">
        <v>67</v>
      </c>
      <c r="K296" t="s">
        <v>209</v>
      </c>
      <c r="L296" t="s">
        <v>232</v>
      </c>
      <c r="M296">
        <v>3</v>
      </c>
      <c r="N296">
        <v>118.07</v>
      </c>
      <c r="O296">
        <v>354.21</v>
      </c>
      <c r="P296">
        <v>20</v>
      </c>
      <c r="Q296">
        <v>70.84</v>
      </c>
      <c r="R296">
        <v>283.37</v>
      </c>
      <c r="S296">
        <v>119.1</v>
      </c>
      <c r="T296">
        <v>164.27</v>
      </c>
      <c r="U296" t="s">
        <v>158</v>
      </c>
      <c r="V296" t="s">
        <v>159</v>
      </c>
    </row>
    <row r="297" spans="1:22">
      <c r="A297" t="s">
        <v>1673</v>
      </c>
      <c r="B297" s="1">
        <v>45200</v>
      </c>
      <c r="C297" t="s">
        <v>183</v>
      </c>
      <c r="D297">
        <v>2023</v>
      </c>
      <c r="E297" t="s">
        <v>184</v>
      </c>
      <c r="F297" t="s">
        <v>1674</v>
      </c>
      <c r="G297" t="s">
        <v>117</v>
      </c>
      <c r="H297" t="s">
        <v>118</v>
      </c>
      <c r="I297" t="s">
        <v>115</v>
      </c>
      <c r="J297" t="s">
        <v>119</v>
      </c>
      <c r="K297" t="s">
        <v>164</v>
      </c>
      <c r="L297" t="s">
        <v>174</v>
      </c>
      <c r="M297">
        <v>3</v>
      </c>
      <c r="N297">
        <v>93.41</v>
      </c>
      <c r="O297">
        <v>280.23</v>
      </c>
      <c r="P297">
        <v>5</v>
      </c>
      <c r="Q297">
        <v>14.01</v>
      </c>
      <c r="R297">
        <v>266.22000000000003</v>
      </c>
      <c r="S297">
        <v>192.15</v>
      </c>
      <c r="T297">
        <v>74.069999999999993</v>
      </c>
      <c r="U297" t="s">
        <v>158</v>
      </c>
      <c r="V297" t="s">
        <v>159</v>
      </c>
    </row>
    <row r="298" spans="1:22">
      <c r="A298" t="s">
        <v>2002</v>
      </c>
      <c r="B298" s="1">
        <v>45200</v>
      </c>
      <c r="C298" t="s">
        <v>183</v>
      </c>
      <c r="D298">
        <v>2023</v>
      </c>
      <c r="E298" t="s">
        <v>184</v>
      </c>
      <c r="F298" t="s">
        <v>2003</v>
      </c>
      <c r="G298" t="s">
        <v>122</v>
      </c>
      <c r="H298" t="s">
        <v>123</v>
      </c>
      <c r="I298" t="s">
        <v>115</v>
      </c>
      <c r="J298" t="s">
        <v>124</v>
      </c>
      <c r="K298" t="s">
        <v>209</v>
      </c>
      <c r="L298" t="s">
        <v>204</v>
      </c>
      <c r="M298">
        <v>1</v>
      </c>
      <c r="N298">
        <v>93.88</v>
      </c>
      <c r="O298">
        <v>93.88</v>
      </c>
      <c r="P298">
        <v>5</v>
      </c>
      <c r="Q298">
        <v>4.6900000000000004</v>
      </c>
      <c r="R298">
        <v>89.19</v>
      </c>
      <c r="S298">
        <v>53.11</v>
      </c>
      <c r="T298">
        <v>36.08</v>
      </c>
      <c r="U298" t="s">
        <v>158</v>
      </c>
      <c r="V298" t="s">
        <v>159</v>
      </c>
    </row>
    <row r="299" spans="1:22">
      <c r="A299" t="s">
        <v>1806</v>
      </c>
      <c r="B299" s="1">
        <v>45200</v>
      </c>
      <c r="C299" t="s">
        <v>183</v>
      </c>
      <c r="D299">
        <v>2023</v>
      </c>
      <c r="E299" t="s">
        <v>184</v>
      </c>
      <c r="F299" t="s">
        <v>305</v>
      </c>
      <c r="G299" t="s">
        <v>122</v>
      </c>
      <c r="H299" t="s">
        <v>123</v>
      </c>
      <c r="I299" t="s">
        <v>115</v>
      </c>
      <c r="J299" t="s">
        <v>124</v>
      </c>
      <c r="K299" t="s">
        <v>178</v>
      </c>
      <c r="L299" t="s">
        <v>179</v>
      </c>
      <c r="M299">
        <v>3</v>
      </c>
      <c r="N299">
        <v>93.88</v>
      </c>
      <c r="O299">
        <v>281.64</v>
      </c>
      <c r="P299">
        <v>0</v>
      </c>
      <c r="Q299">
        <v>0</v>
      </c>
      <c r="R299">
        <v>281.64</v>
      </c>
      <c r="S299">
        <v>159.33000000000001</v>
      </c>
      <c r="T299">
        <v>122.31</v>
      </c>
      <c r="U299" t="s">
        <v>190</v>
      </c>
      <c r="V299" t="s">
        <v>159</v>
      </c>
    </row>
    <row r="300" spans="1:22">
      <c r="A300" t="s">
        <v>225</v>
      </c>
      <c r="B300" s="1">
        <v>45199</v>
      </c>
      <c r="C300" t="s">
        <v>226</v>
      </c>
      <c r="D300">
        <v>2023</v>
      </c>
      <c r="E300" t="s">
        <v>169</v>
      </c>
      <c r="F300" t="s">
        <v>227</v>
      </c>
      <c r="G300" t="s">
        <v>33</v>
      </c>
      <c r="H300" t="s">
        <v>34</v>
      </c>
      <c r="I300" t="s">
        <v>14</v>
      </c>
      <c r="J300" t="s">
        <v>27</v>
      </c>
      <c r="K300" t="s">
        <v>178</v>
      </c>
      <c r="L300" t="s">
        <v>174</v>
      </c>
      <c r="M300">
        <v>1</v>
      </c>
      <c r="N300">
        <v>124.26</v>
      </c>
      <c r="O300">
        <v>124.26</v>
      </c>
      <c r="P300">
        <v>0</v>
      </c>
      <c r="Q300">
        <v>0</v>
      </c>
      <c r="R300">
        <v>124.26</v>
      </c>
      <c r="S300">
        <v>52.62</v>
      </c>
      <c r="T300">
        <v>71.64</v>
      </c>
      <c r="U300" t="s">
        <v>166</v>
      </c>
      <c r="V300" t="s">
        <v>159</v>
      </c>
    </row>
    <row r="301" spans="1:22">
      <c r="A301" t="s">
        <v>834</v>
      </c>
      <c r="B301" s="1">
        <v>45198</v>
      </c>
      <c r="C301" t="s">
        <v>226</v>
      </c>
      <c r="D301">
        <v>2023</v>
      </c>
      <c r="E301" t="s">
        <v>169</v>
      </c>
      <c r="F301" t="s">
        <v>835</v>
      </c>
      <c r="G301" t="s">
        <v>117</v>
      </c>
      <c r="H301" t="s">
        <v>118</v>
      </c>
      <c r="I301" t="s">
        <v>115</v>
      </c>
      <c r="J301" t="s">
        <v>119</v>
      </c>
      <c r="K301" t="s">
        <v>209</v>
      </c>
      <c r="L301" t="s">
        <v>232</v>
      </c>
      <c r="M301">
        <v>2</v>
      </c>
      <c r="N301">
        <v>93.41</v>
      </c>
      <c r="O301">
        <v>186.82</v>
      </c>
      <c r="P301">
        <v>0</v>
      </c>
      <c r="Q301">
        <v>0</v>
      </c>
      <c r="R301">
        <v>186.82</v>
      </c>
      <c r="S301">
        <v>128.1</v>
      </c>
      <c r="T301">
        <v>58.72</v>
      </c>
      <c r="U301" t="s">
        <v>190</v>
      </c>
      <c r="V301" t="s">
        <v>186</v>
      </c>
    </row>
    <row r="302" spans="1:22">
      <c r="A302" t="s">
        <v>1383</v>
      </c>
      <c r="B302" s="1">
        <v>45198</v>
      </c>
      <c r="C302" t="s">
        <v>226</v>
      </c>
      <c r="D302">
        <v>2023</v>
      </c>
      <c r="E302" t="s">
        <v>169</v>
      </c>
      <c r="F302" t="s">
        <v>1384</v>
      </c>
      <c r="G302" t="s">
        <v>109</v>
      </c>
      <c r="H302" t="s">
        <v>110</v>
      </c>
      <c r="I302" t="s">
        <v>90</v>
      </c>
      <c r="J302" t="s">
        <v>100</v>
      </c>
      <c r="K302" t="s">
        <v>164</v>
      </c>
      <c r="L302" t="s">
        <v>194</v>
      </c>
      <c r="M302">
        <v>2</v>
      </c>
      <c r="N302">
        <v>77.67</v>
      </c>
      <c r="O302">
        <v>155.34</v>
      </c>
      <c r="P302">
        <v>0</v>
      </c>
      <c r="Q302">
        <v>0</v>
      </c>
      <c r="R302">
        <v>155.34</v>
      </c>
      <c r="S302">
        <v>56.24</v>
      </c>
      <c r="T302">
        <v>99.1</v>
      </c>
      <c r="U302" t="s">
        <v>195</v>
      </c>
      <c r="V302" t="s">
        <v>181</v>
      </c>
    </row>
    <row r="303" spans="1:22">
      <c r="A303" t="s">
        <v>1335</v>
      </c>
      <c r="B303" s="1">
        <v>45196</v>
      </c>
      <c r="C303" t="s">
        <v>226</v>
      </c>
      <c r="D303">
        <v>2023</v>
      </c>
      <c r="E303" t="s">
        <v>169</v>
      </c>
      <c r="F303" t="s">
        <v>1336</v>
      </c>
      <c r="G303" t="s">
        <v>113</v>
      </c>
      <c r="H303" t="s">
        <v>114</v>
      </c>
      <c r="I303" t="s">
        <v>115</v>
      </c>
      <c r="J303" t="s">
        <v>116</v>
      </c>
      <c r="K303" t="s">
        <v>156</v>
      </c>
      <c r="L303" t="s">
        <v>174</v>
      </c>
      <c r="M303">
        <v>2</v>
      </c>
      <c r="N303">
        <v>18.7</v>
      </c>
      <c r="O303">
        <v>37.4</v>
      </c>
      <c r="P303">
        <v>0</v>
      </c>
      <c r="Q303">
        <v>0</v>
      </c>
      <c r="R303">
        <v>37.4</v>
      </c>
      <c r="S303">
        <v>13.72</v>
      </c>
      <c r="T303">
        <v>23.68</v>
      </c>
      <c r="U303" t="s">
        <v>158</v>
      </c>
      <c r="V303" t="s">
        <v>159</v>
      </c>
    </row>
    <row r="304" spans="1:22">
      <c r="A304" t="s">
        <v>697</v>
      </c>
      <c r="B304" s="1">
        <v>45195</v>
      </c>
      <c r="C304" t="s">
        <v>226</v>
      </c>
      <c r="D304">
        <v>2023</v>
      </c>
      <c r="E304" t="s">
        <v>169</v>
      </c>
      <c r="F304" t="s">
        <v>698</v>
      </c>
      <c r="G304" t="s">
        <v>43</v>
      </c>
      <c r="H304" t="s">
        <v>44</v>
      </c>
      <c r="I304" t="s">
        <v>41</v>
      </c>
      <c r="J304" t="s">
        <v>45</v>
      </c>
      <c r="K304" t="s">
        <v>156</v>
      </c>
      <c r="L304" t="s">
        <v>157</v>
      </c>
      <c r="M304">
        <v>1</v>
      </c>
      <c r="N304">
        <v>67.56</v>
      </c>
      <c r="O304">
        <v>67.56</v>
      </c>
      <c r="P304">
        <v>0</v>
      </c>
      <c r="Q304">
        <v>0</v>
      </c>
      <c r="R304">
        <v>67.56</v>
      </c>
      <c r="S304">
        <v>43.21</v>
      </c>
      <c r="T304">
        <v>24.35</v>
      </c>
      <c r="U304" t="s">
        <v>166</v>
      </c>
      <c r="V304" t="s">
        <v>181</v>
      </c>
    </row>
    <row r="305" spans="1:22">
      <c r="A305" t="s">
        <v>1252</v>
      </c>
      <c r="B305" s="1">
        <v>45194</v>
      </c>
      <c r="C305" t="s">
        <v>226</v>
      </c>
      <c r="D305">
        <v>2023</v>
      </c>
      <c r="E305" t="s">
        <v>169</v>
      </c>
      <c r="F305" t="s">
        <v>1253</v>
      </c>
      <c r="G305" t="s">
        <v>127</v>
      </c>
      <c r="H305" t="s">
        <v>128</v>
      </c>
      <c r="I305" t="s">
        <v>115</v>
      </c>
      <c r="J305" t="s">
        <v>124</v>
      </c>
      <c r="K305" t="s">
        <v>209</v>
      </c>
      <c r="L305" t="s">
        <v>204</v>
      </c>
      <c r="M305">
        <v>1</v>
      </c>
      <c r="N305">
        <v>94.76</v>
      </c>
      <c r="O305">
        <v>94.76</v>
      </c>
      <c r="P305">
        <v>10</v>
      </c>
      <c r="Q305">
        <v>9.48</v>
      </c>
      <c r="R305">
        <v>85.28</v>
      </c>
      <c r="S305">
        <v>78.819999999999993</v>
      </c>
      <c r="T305">
        <v>6.46</v>
      </c>
      <c r="U305" t="s">
        <v>190</v>
      </c>
      <c r="V305" t="s">
        <v>159</v>
      </c>
    </row>
    <row r="306" spans="1:22">
      <c r="A306" t="s">
        <v>1071</v>
      </c>
      <c r="B306" s="1">
        <v>45194</v>
      </c>
      <c r="C306" t="s">
        <v>226</v>
      </c>
      <c r="D306">
        <v>2023</v>
      </c>
      <c r="E306" t="s">
        <v>169</v>
      </c>
      <c r="F306" t="s">
        <v>1072</v>
      </c>
      <c r="G306" t="s">
        <v>46</v>
      </c>
      <c r="H306" t="s">
        <v>47</v>
      </c>
      <c r="I306" t="s">
        <v>41</v>
      </c>
      <c r="J306" t="s">
        <v>45</v>
      </c>
      <c r="K306" t="s">
        <v>156</v>
      </c>
      <c r="L306" t="s">
        <v>194</v>
      </c>
      <c r="M306">
        <v>3</v>
      </c>
      <c r="N306">
        <v>16.95</v>
      </c>
      <c r="O306">
        <v>50.849999999999994</v>
      </c>
      <c r="P306">
        <v>20</v>
      </c>
      <c r="Q306">
        <v>10.17</v>
      </c>
      <c r="R306">
        <v>40.68</v>
      </c>
      <c r="S306">
        <v>29.28</v>
      </c>
      <c r="T306">
        <v>11.4</v>
      </c>
      <c r="U306" t="s">
        <v>180</v>
      </c>
      <c r="V306" t="s">
        <v>159</v>
      </c>
    </row>
    <row r="307" spans="1:22">
      <c r="A307" t="s">
        <v>230</v>
      </c>
      <c r="B307" s="1">
        <v>45194</v>
      </c>
      <c r="C307" t="s">
        <v>226</v>
      </c>
      <c r="D307">
        <v>2023</v>
      </c>
      <c r="E307" t="s">
        <v>169</v>
      </c>
      <c r="F307" t="s">
        <v>231</v>
      </c>
      <c r="G307" t="s">
        <v>82</v>
      </c>
      <c r="H307" t="s">
        <v>83</v>
      </c>
      <c r="I307" t="s">
        <v>66</v>
      </c>
      <c r="J307" t="s">
        <v>67</v>
      </c>
      <c r="K307" t="s">
        <v>178</v>
      </c>
      <c r="L307" t="s">
        <v>232</v>
      </c>
      <c r="M307">
        <v>2</v>
      </c>
      <c r="N307">
        <v>34.479999999999997</v>
      </c>
      <c r="O307">
        <v>68.959999999999994</v>
      </c>
      <c r="P307">
        <v>15</v>
      </c>
      <c r="Q307">
        <v>10.34</v>
      </c>
      <c r="R307">
        <v>58.62</v>
      </c>
      <c r="S307">
        <v>38.479999999999997</v>
      </c>
      <c r="T307">
        <v>20.14</v>
      </c>
      <c r="U307" t="s">
        <v>166</v>
      </c>
      <c r="V307" t="s">
        <v>186</v>
      </c>
    </row>
    <row r="308" spans="1:22">
      <c r="A308" t="s">
        <v>1056</v>
      </c>
      <c r="B308" s="1">
        <v>45193</v>
      </c>
      <c r="C308" t="s">
        <v>226</v>
      </c>
      <c r="D308">
        <v>2023</v>
      </c>
      <c r="E308" t="s">
        <v>169</v>
      </c>
      <c r="F308" t="s">
        <v>1057</v>
      </c>
      <c r="G308" t="s">
        <v>62</v>
      </c>
      <c r="H308" t="s">
        <v>63</v>
      </c>
      <c r="I308" t="s">
        <v>41</v>
      </c>
      <c r="J308" t="s">
        <v>45</v>
      </c>
      <c r="K308" t="s">
        <v>178</v>
      </c>
      <c r="L308" t="s">
        <v>204</v>
      </c>
      <c r="M308">
        <v>3</v>
      </c>
      <c r="N308">
        <v>160.35</v>
      </c>
      <c r="O308">
        <v>481.04999999999995</v>
      </c>
      <c r="P308">
        <v>5</v>
      </c>
      <c r="Q308">
        <v>24.05</v>
      </c>
      <c r="R308">
        <v>457</v>
      </c>
      <c r="S308">
        <v>217.41</v>
      </c>
      <c r="T308">
        <v>239.59</v>
      </c>
      <c r="U308" t="s">
        <v>190</v>
      </c>
      <c r="V308" t="s">
        <v>159</v>
      </c>
    </row>
    <row r="309" spans="1:22">
      <c r="A309" t="s">
        <v>889</v>
      </c>
      <c r="B309" s="1">
        <v>45193</v>
      </c>
      <c r="C309" t="s">
        <v>226</v>
      </c>
      <c r="D309">
        <v>2023</v>
      </c>
      <c r="E309" t="s">
        <v>169</v>
      </c>
      <c r="F309" t="s">
        <v>890</v>
      </c>
      <c r="G309" t="s">
        <v>21</v>
      </c>
      <c r="H309" t="s">
        <v>22</v>
      </c>
      <c r="I309" t="s">
        <v>14</v>
      </c>
      <c r="J309" t="s">
        <v>15</v>
      </c>
      <c r="K309" t="s">
        <v>178</v>
      </c>
      <c r="L309" t="s">
        <v>204</v>
      </c>
      <c r="M309">
        <v>2</v>
      </c>
      <c r="N309">
        <v>65.430000000000007</v>
      </c>
      <c r="O309">
        <v>130.86000000000001</v>
      </c>
      <c r="P309">
        <v>20</v>
      </c>
      <c r="Q309">
        <v>26.17</v>
      </c>
      <c r="R309">
        <v>104.69</v>
      </c>
      <c r="S309">
        <v>77.38</v>
      </c>
      <c r="T309">
        <v>27.31</v>
      </c>
      <c r="U309" t="s">
        <v>158</v>
      </c>
      <c r="V309" t="s">
        <v>181</v>
      </c>
    </row>
    <row r="310" spans="1:22">
      <c r="A310" t="s">
        <v>731</v>
      </c>
      <c r="B310" s="1">
        <v>45193</v>
      </c>
      <c r="C310" t="s">
        <v>226</v>
      </c>
      <c r="D310">
        <v>2023</v>
      </c>
      <c r="E310" t="s">
        <v>169</v>
      </c>
      <c r="F310" t="s">
        <v>732</v>
      </c>
      <c r="G310" t="s">
        <v>129</v>
      </c>
      <c r="H310" t="s">
        <v>130</v>
      </c>
      <c r="I310" t="s">
        <v>115</v>
      </c>
      <c r="J310" t="s">
        <v>124</v>
      </c>
      <c r="K310" t="s">
        <v>164</v>
      </c>
      <c r="L310" t="s">
        <v>157</v>
      </c>
      <c r="M310">
        <v>2</v>
      </c>
      <c r="N310">
        <v>99.34</v>
      </c>
      <c r="O310">
        <v>198.68</v>
      </c>
      <c r="P310">
        <v>10</v>
      </c>
      <c r="Q310">
        <v>19.87</v>
      </c>
      <c r="R310">
        <v>178.81</v>
      </c>
      <c r="S310">
        <v>74.7</v>
      </c>
      <c r="T310">
        <v>104.11</v>
      </c>
      <c r="U310" t="s">
        <v>190</v>
      </c>
      <c r="V310" t="s">
        <v>159</v>
      </c>
    </row>
    <row r="311" spans="1:22">
      <c r="A311" t="s">
        <v>1067</v>
      </c>
      <c r="B311" s="1">
        <v>45193</v>
      </c>
      <c r="C311" t="s">
        <v>226</v>
      </c>
      <c r="D311">
        <v>2023</v>
      </c>
      <c r="E311" t="s">
        <v>169</v>
      </c>
      <c r="F311" t="s">
        <v>1068</v>
      </c>
      <c r="G311" t="s">
        <v>80</v>
      </c>
      <c r="H311" t="s">
        <v>81</v>
      </c>
      <c r="I311" t="s">
        <v>66</v>
      </c>
      <c r="J311" t="s">
        <v>70</v>
      </c>
      <c r="K311" t="s">
        <v>156</v>
      </c>
      <c r="L311" t="s">
        <v>204</v>
      </c>
      <c r="M311">
        <v>1</v>
      </c>
      <c r="N311">
        <v>106.06</v>
      </c>
      <c r="O311">
        <v>106.06</v>
      </c>
      <c r="P311">
        <v>15</v>
      </c>
      <c r="Q311">
        <v>15.91</v>
      </c>
      <c r="R311">
        <v>90.15</v>
      </c>
      <c r="S311">
        <v>33.42</v>
      </c>
      <c r="T311">
        <v>56.73</v>
      </c>
      <c r="U311" t="s">
        <v>158</v>
      </c>
      <c r="V311" t="s">
        <v>181</v>
      </c>
    </row>
    <row r="312" spans="1:22">
      <c r="A312" t="s">
        <v>283</v>
      </c>
      <c r="B312" s="1">
        <v>45192</v>
      </c>
      <c r="C312" t="s">
        <v>226</v>
      </c>
      <c r="D312">
        <v>2023</v>
      </c>
      <c r="E312" t="s">
        <v>169</v>
      </c>
      <c r="F312" t="s">
        <v>284</v>
      </c>
      <c r="G312" t="s">
        <v>21</v>
      </c>
      <c r="H312" t="s">
        <v>22</v>
      </c>
      <c r="I312" t="s">
        <v>14</v>
      </c>
      <c r="J312" t="s">
        <v>15</v>
      </c>
      <c r="K312" t="s">
        <v>164</v>
      </c>
      <c r="L312" t="s">
        <v>194</v>
      </c>
      <c r="M312">
        <v>2</v>
      </c>
      <c r="N312">
        <v>65.430000000000007</v>
      </c>
      <c r="O312">
        <v>130.86000000000001</v>
      </c>
      <c r="P312">
        <v>5</v>
      </c>
      <c r="Q312">
        <v>6.54</v>
      </c>
      <c r="R312">
        <v>124.32</v>
      </c>
      <c r="S312">
        <v>77.38</v>
      </c>
      <c r="T312">
        <v>46.94</v>
      </c>
      <c r="U312" t="s">
        <v>190</v>
      </c>
      <c r="V312" t="s">
        <v>181</v>
      </c>
    </row>
    <row r="313" spans="1:22">
      <c r="A313" t="s">
        <v>759</v>
      </c>
      <c r="B313" s="1">
        <v>45192</v>
      </c>
      <c r="C313" t="s">
        <v>226</v>
      </c>
      <c r="D313">
        <v>2023</v>
      </c>
      <c r="E313" t="s">
        <v>169</v>
      </c>
      <c r="F313" t="s">
        <v>264</v>
      </c>
      <c r="G313" t="s">
        <v>55</v>
      </c>
      <c r="H313" t="s">
        <v>56</v>
      </c>
      <c r="I313" t="s">
        <v>41</v>
      </c>
      <c r="J313" t="s">
        <v>45</v>
      </c>
      <c r="K313" t="s">
        <v>156</v>
      </c>
      <c r="L313" t="s">
        <v>204</v>
      </c>
      <c r="M313">
        <v>2</v>
      </c>
      <c r="N313">
        <v>205.4</v>
      </c>
      <c r="O313">
        <v>410.8</v>
      </c>
      <c r="P313">
        <v>10</v>
      </c>
      <c r="Q313">
        <v>41.08</v>
      </c>
      <c r="R313">
        <v>369.72</v>
      </c>
      <c r="S313">
        <v>141.80000000000001</v>
      </c>
      <c r="T313">
        <v>227.92</v>
      </c>
      <c r="U313" t="s">
        <v>195</v>
      </c>
      <c r="V313" t="s">
        <v>186</v>
      </c>
    </row>
    <row r="314" spans="1:22">
      <c r="A314" t="s">
        <v>1494</v>
      </c>
      <c r="B314" s="1">
        <v>45191</v>
      </c>
      <c r="C314" t="s">
        <v>226</v>
      </c>
      <c r="D314">
        <v>2023</v>
      </c>
      <c r="E314" t="s">
        <v>169</v>
      </c>
      <c r="F314" t="s">
        <v>1495</v>
      </c>
      <c r="G314" t="s">
        <v>60</v>
      </c>
      <c r="H314" t="s">
        <v>61</v>
      </c>
      <c r="I314" t="s">
        <v>41</v>
      </c>
      <c r="J314" t="s">
        <v>59</v>
      </c>
      <c r="K314" t="s">
        <v>156</v>
      </c>
      <c r="L314" t="s">
        <v>204</v>
      </c>
      <c r="M314">
        <v>1</v>
      </c>
      <c r="N314">
        <v>103.56</v>
      </c>
      <c r="O314">
        <v>103.56</v>
      </c>
      <c r="P314">
        <v>15</v>
      </c>
      <c r="Q314">
        <v>15.53</v>
      </c>
      <c r="R314">
        <v>88.03</v>
      </c>
      <c r="S314">
        <v>44.58</v>
      </c>
      <c r="T314">
        <v>43.45</v>
      </c>
      <c r="U314" t="s">
        <v>180</v>
      </c>
      <c r="V314" t="s">
        <v>159</v>
      </c>
    </row>
    <row r="315" spans="1:22">
      <c r="A315" t="s">
        <v>1233</v>
      </c>
      <c r="B315" s="1">
        <v>45191</v>
      </c>
      <c r="C315" t="s">
        <v>226</v>
      </c>
      <c r="D315">
        <v>2023</v>
      </c>
      <c r="E315" t="s">
        <v>169</v>
      </c>
      <c r="F315" t="s">
        <v>1234</v>
      </c>
      <c r="G315" t="s">
        <v>39</v>
      </c>
      <c r="H315" t="s">
        <v>40</v>
      </c>
      <c r="I315" t="s">
        <v>41</v>
      </c>
      <c r="J315" t="s">
        <v>42</v>
      </c>
      <c r="K315" t="s">
        <v>164</v>
      </c>
      <c r="L315" t="s">
        <v>232</v>
      </c>
      <c r="M315">
        <v>3</v>
      </c>
      <c r="N315">
        <v>35.11</v>
      </c>
      <c r="O315">
        <v>105.33</v>
      </c>
      <c r="P315">
        <v>0</v>
      </c>
      <c r="Q315">
        <v>0</v>
      </c>
      <c r="R315">
        <v>105.33</v>
      </c>
      <c r="S315">
        <v>74.61</v>
      </c>
      <c r="T315">
        <v>30.72</v>
      </c>
      <c r="U315" t="s">
        <v>166</v>
      </c>
      <c r="V315" t="s">
        <v>159</v>
      </c>
    </row>
    <row r="316" spans="1:22">
      <c r="A316" t="s">
        <v>1221</v>
      </c>
      <c r="B316" s="1">
        <v>45191</v>
      </c>
      <c r="C316" t="s">
        <v>226</v>
      </c>
      <c r="D316">
        <v>2023</v>
      </c>
      <c r="E316" t="s">
        <v>169</v>
      </c>
      <c r="F316" t="s">
        <v>1222</v>
      </c>
      <c r="G316" t="s">
        <v>55</v>
      </c>
      <c r="H316" t="s">
        <v>56</v>
      </c>
      <c r="I316" t="s">
        <v>41</v>
      </c>
      <c r="J316" t="s">
        <v>45</v>
      </c>
      <c r="K316" t="s">
        <v>178</v>
      </c>
      <c r="L316" t="s">
        <v>179</v>
      </c>
      <c r="M316">
        <v>4</v>
      </c>
      <c r="N316">
        <v>205.4</v>
      </c>
      <c r="O316">
        <v>821.6</v>
      </c>
      <c r="P316">
        <v>0</v>
      </c>
      <c r="Q316">
        <v>0</v>
      </c>
      <c r="R316">
        <v>821.6</v>
      </c>
      <c r="S316">
        <v>283.60000000000002</v>
      </c>
      <c r="T316">
        <v>538</v>
      </c>
      <c r="U316" t="s">
        <v>195</v>
      </c>
      <c r="V316" t="s">
        <v>186</v>
      </c>
    </row>
    <row r="317" spans="1:22">
      <c r="A317" t="s">
        <v>861</v>
      </c>
      <c r="B317" s="1">
        <v>45191</v>
      </c>
      <c r="C317" t="s">
        <v>226</v>
      </c>
      <c r="D317">
        <v>2023</v>
      </c>
      <c r="E317" t="s">
        <v>169</v>
      </c>
      <c r="F317" t="s">
        <v>862</v>
      </c>
      <c r="G317" t="s">
        <v>92</v>
      </c>
      <c r="H317" t="s">
        <v>93</v>
      </c>
      <c r="I317" t="s">
        <v>90</v>
      </c>
      <c r="J317" t="s">
        <v>94</v>
      </c>
      <c r="K317" t="s">
        <v>178</v>
      </c>
      <c r="L317" t="s">
        <v>157</v>
      </c>
      <c r="M317">
        <v>3</v>
      </c>
      <c r="N317">
        <v>230.34</v>
      </c>
      <c r="O317">
        <v>691.02</v>
      </c>
      <c r="P317">
        <v>10</v>
      </c>
      <c r="Q317">
        <v>69.099999999999994</v>
      </c>
      <c r="R317">
        <v>621.91999999999996</v>
      </c>
      <c r="S317">
        <v>224.04</v>
      </c>
      <c r="T317">
        <v>397.88</v>
      </c>
      <c r="U317" t="s">
        <v>195</v>
      </c>
      <c r="V317" t="s">
        <v>159</v>
      </c>
    </row>
    <row r="318" spans="1:22">
      <c r="A318" t="s">
        <v>1161</v>
      </c>
      <c r="B318" s="1">
        <v>45191</v>
      </c>
      <c r="C318" t="s">
        <v>226</v>
      </c>
      <c r="D318">
        <v>2023</v>
      </c>
      <c r="E318" t="s">
        <v>169</v>
      </c>
      <c r="F318" t="s">
        <v>1162</v>
      </c>
      <c r="G318" t="s">
        <v>129</v>
      </c>
      <c r="H318" t="s">
        <v>130</v>
      </c>
      <c r="I318" t="s">
        <v>115</v>
      </c>
      <c r="J318" t="s">
        <v>124</v>
      </c>
      <c r="K318" t="s">
        <v>178</v>
      </c>
      <c r="L318" t="s">
        <v>232</v>
      </c>
      <c r="M318">
        <v>3</v>
      </c>
      <c r="N318">
        <v>99.34</v>
      </c>
      <c r="O318">
        <v>298.02</v>
      </c>
      <c r="P318">
        <v>0</v>
      </c>
      <c r="Q318">
        <v>0</v>
      </c>
      <c r="R318">
        <v>298.02</v>
      </c>
      <c r="S318">
        <v>112.05</v>
      </c>
      <c r="T318">
        <v>185.97</v>
      </c>
      <c r="U318" t="s">
        <v>166</v>
      </c>
      <c r="V318" t="s">
        <v>186</v>
      </c>
    </row>
    <row r="319" spans="1:22">
      <c r="A319" t="s">
        <v>574</v>
      </c>
      <c r="B319" s="1">
        <v>45190</v>
      </c>
      <c r="C319" t="s">
        <v>226</v>
      </c>
      <c r="D319">
        <v>2023</v>
      </c>
      <c r="E319" t="s">
        <v>169</v>
      </c>
      <c r="F319" t="s">
        <v>575</v>
      </c>
      <c r="G319" t="s">
        <v>86</v>
      </c>
      <c r="H319" t="s">
        <v>87</v>
      </c>
      <c r="I319" t="s">
        <v>66</v>
      </c>
      <c r="J319" t="s">
        <v>67</v>
      </c>
      <c r="K319" t="s">
        <v>178</v>
      </c>
      <c r="L319" t="s">
        <v>232</v>
      </c>
      <c r="M319">
        <v>2</v>
      </c>
      <c r="N319">
        <v>124.77</v>
      </c>
      <c r="O319">
        <v>249.54</v>
      </c>
      <c r="P319">
        <v>10</v>
      </c>
      <c r="Q319">
        <v>24.95</v>
      </c>
      <c r="R319">
        <v>224.59</v>
      </c>
      <c r="S319">
        <v>139.28</v>
      </c>
      <c r="T319">
        <v>85.31</v>
      </c>
      <c r="U319" t="s">
        <v>195</v>
      </c>
      <c r="V319" t="s">
        <v>159</v>
      </c>
    </row>
    <row r="320" spans="1:22">
      <c r="A320" t="s">
        <v>1797</v>
      </c>
      <c r="B320" s="1">
        <v>45189</v>
      </c>
      <c r="C320" t="s">
        <v>226</v>
      </c>
      <c r="D320">
        <v>2023</v>
      </c>
      <c r="E320" t="s">
        <v>169</v>
      </c>
      <c r="F320" t="s">
        <v>490</v>
      </c>
      <c r="G320" t="s">
        <v>125</v>
      </c>
      <c r="H320" t="s">
        <v>126</v>
      </c>
      <c r="I320" t="s">
        <v>115</v>
      </c>
      <c r="J320" t="s">
        <v>116</v>
      </c>
      <c r="K320" t="s">
        <v>209</v>
      </c>
      <c r="L320" t="s">
        <v>179</v>
      </c>
      <c r="M320">
        <v>1</v>
      </c>
      <c r="N320">
        <v>144.94999999999999</v>
      </c>
      <c r="O320">
        <v>144.94999999999999</v>
      </c>
      <c r="P320">
        <v>0</v>
      </c>
      <c r="Q320">
        <v>0</v>
      </c>
      <c r="R320">
        <v>144.94999999999999</v>
      </c>
      <c r="S320">
        <v>77.19</v>
      </c>
      <c r="T320">
        <v>67.760000000000005</v>
      </c>
      <c r="U320" t="s">
        <v>195</v>
      </c>
      <c r="V320" t="s">
        <v>159</v>
      </c>
    </row>
    <row r="321" spans="1:22">
      <c r="A321" t="s">
        <v>1993</v>
      </c>
      <c r="B321" s="1">
        <v>45189</v>
      </c>
      <c r="C321" t="s">
        <v>226</v>
      </c>
      <c r="D321">
        <v>2023</v>
      </c>
      <c r="E321" t="s">
        <v>169</v>
      </c>
      <c r="F321" t="s">
        <v>1994</v>
      </c>
      <c r="G321" t="s">
        <v>103</v>
      </c>
      <c r="H321" t="s">
        <v>104</v>
      </c>
      <c r="I321" t="s">
        <v>90</v>
      </c>
      <c r="J321" t="s">
        <v>94</v>
      </c>
      <c r="K321" t="s">
        <v>164</v>
      </c>
      <c r="L321" t="s">
        <v>204</v>
      </c>
      <c r="M321">
        <v>1</v>
      </c>
      <c r="N321">
        <v>98.58</v>
      </c>
      <c r="O321">
        <v>98.58</v>
      </c>
      <c r="P321">
        <v>0</v>
      </c>
      <c r="Q321">
        <v>0</v>
      </c>
      <c r="R321">
        <v>98.58</v>
      </c>
      <c r="S321">
        <v>52.57</v>
      </c>
      <c r="T321">
        <v>46.01</v>
      </c>
      <c r="U321" t="s">
        <v>158</v>
      </c>
      <c r="V321" t="s">
        <v>186</v>
      </c>
    </row>
    <row r="322" spans="1:22">
      <c r="A322" t="s">
        <v>1184</v>
      </c>
      <c r="B322" s="1">
        <v>45189</v>
      </c>
      <c r="C322" t="s">
        <v>226</v>
      </c>
      <c r="D322">
        <v>2023</v>
      </c>
      <c r="E322" t="s">
        <v>169</v>
      </c>
      <c r="F322" t="s">
        <v>1185</v>
      </c>
      <c r="G322" t="s">
        <v>48</v>
      </c>
      <c r="H322" t="s">
        <v>49</v>
      </c>
      <c r="I322" t="s">
        <v>41</v>
      </c>
      <c r="J322" t="s">
        <v>42</v>
      </c>
      <c r="K322" t="s">
        <v>156</v>
      </c>
      <c r="L322" t="s">
        <v>157</v>
      </c>
      <c r="M322">
        <v>4</v>
      </c>
      <c r="N322">
        <v>84.95</v>
      </c>
      <c r="O322">
        <v>339.8</v>
      </c>
      <c r="P322">
        <v>15</v>
      </c>
      <c r="Q322">
        <v>50.97</v>
      </c>
      <c r="R322">
        <v>288.83</v>
      </c>
      <c r="S322">
        <v>212.28</v>
      </c>
      <c r="T322">
        <v>76.55</v>
      </c>
      <c r="U322" t="s">
        <v>190</v>
      </c>
      <c r="V322" t="s">
        <v>181</v>
      </c>
    </row>
    <row r="323" spans="1:22">
      <c r="A323" t="s">
        <v>1077</v>
      </c>
      <c r="B323" s="1">
        <v>45188</v>
      </c>
      <c r="C323" t="s">
        <v>226</v>
      </c>
      <c r="D323">
        <v>2023</v>
      </c>
      <c r="E323" t="s">
        <v>169</v>
      </c>
      <c r="F323" t="s">
        <v>1078</v>
      </c>
      <c r="G323" t="s">
        <v>37</v>
      </c>
      <c r="H323" t="s">
        <v>38</v>
      </c>
      <c r="I323" t="s">
        <v>14</v>
      </c>
      <c r="J323" t="s">
        <v>27</v>
      </c>
      <c r="K323" t="s">
        <v>209</v>
      </c>
      <c r="L323" t="s">
        <v>194</v>
      </c>
      <c r="M323">
        <v>1</v>
      </c>
      <c r="N323">
        <v>133.99</v>
      </c>
      <c r="O323">
        <v>133.99</v>
      </c>
      <c r="P323">
        <v>20</v>
      </c>
      <c r="Q323">
        <v>26.8</v>
      </c>
      <c r="R323">
        <v>107.19</v>
      </c>
      <c r="S323">
        <v>73.489999999999995</v>
      </c>
      <c r="T323">
        <v>33.700000000000003</v>
      </c>
      <c r="U323" t="s">
        <v>190</v>
      </c>
      <c r="V323" t="s">
        <v>186</v>
      </c>
    </row>
    <row r="324" spans="1:22">
      <c r="A324" t="s">
        <v>1297</v>
      </c>
      <c r="B324" s="1">
        <v>45188</v>
      </c>
      <c r="C324" t="s">
        <v>226</v>
      </c>
      <c r="D324">
        <v>2023</v>
      </c>
      <c r="E324" t="s">
        <v>169</v>
      </c>
      <c r="F324" t="s">
        <v>1298</v>
      </c>
      <c r="G324" t="s">
        <v>92</v>
      </c>
      <c r="H324" t="s">
        <v>93</v>
      </c>
      <c r="I324" t="s">
        <v>90</v>
      </c>
      <c r="J324" t="s">
        <v>94</v>
      </c>
      <c r="K324" t="s">
        <v>164</v>
      </c>
      <c r="L324" t="s">
        <v>157</v>
      </c>
      <c r="M324">
        <v>2</v>
      </c>
      <c r="N324">
        <v>230.34</v>
      </c>
      <c r="O324">
        <v>460.68</v>
      </c>
      <c r="P324">
        <v>20</v>
      </c>
      <c r="Q324">
        <v>92.14</v>
      </c>
      <c r="R324">
        <v>368.54</v>
      </c>
      <c r="S324">
        <v>149.36000000000001</v>
      </c>
      <c r="T324">
        <v>219.18</v>
      </c>
      <c r="U324" t="s">
        <v>166</v>
      </c>
      <c r="V324" t="s">
        <v>159</v>
      </c>
    </row>
    <row r="325" spans="1:22">
      <c r="A325" t="s">
        <v>1207</v>
      </c>
      <c r="B325" s="1">
        <v>45188</v>
      </c>
      <c r="C325" t="s">
        <v>226</v>
      </c>
      <c r="D325">
        <v>2023</v>
      </c>
      <c r="E325" t="s">
        <v>169</v>
      </c>
      <c r="F325" t="s">
        <v>1208</v>
      </c>
      <c r="G325" t="s">
        <v>35</v>
      </c>
      <c r="H325" t="s">
        <v>36</v>
      </c>
      <c r="I325" t="s">
        <v>14</v>
      </c>
      <c r="J325" t="s">
        <v>19</v>
      </c>
      <c r="K325" t="s">
        <v>164</v>
      </c>
      <c r="L325" t="s">
        <v>194</v>
      </c>
      <c r="M325">
        <v>4</v>
      </c>
      <c r="N325">
        <v>81.599999999999994</v>
      </c>
      <c r="O325">
        <v>326.39999999999998</v>
      </c>
      <c r="P325">
        <v>10</v>
      </c>
      <c r="Q325">
        <v>32.64</v>
      </c>
      <c r="R325">
        <v>293.76</v>
      </c>
      <c r="S325">
        <v>117.28</v>
      </c>
      <c r="T325">
        <v>176.48</v>
      </c>
      <c r="U325" t="s">
        <v>166</v>
      </c>
      <c r="V325" t="s">
        <v>159</v>
      </c>
    </row>
    <row r="326" spans="1:22">
      <c r="A326" t="s">
        <v>427</v>
      </c>
      <c r="B326" s="1">
        <v>45188</v>
      </c>
      <c r="C326" t="s">
        <v>226</v>
      </c>
      <c r="D326">
        <v>2023</v>
      </c>
      <c r="E326" t="s">
        <v>169</v>
      </c>
      <c r="F326" t="s">
        <v>428</v>
      </c>
      <c r="G326" t="s">
        <v>25</v>
      </c>
      <c r="H326" t="s">
        <v>26</v>
      </c>
      <c r="I326" t="s">
        <v>14</v>
      </c>
      <c r="J326" t="s">
        <v>27</v>
      </c>
      <c r="K326" t="s">
        <v>178</v>
      </c>
      <c r="L326" t="s">
        <v>194</v>
      </c>
      <c r="M326">
        <v>1</v>
      </c>
      <c r="N326">
        <v>18.39</v>
      </c>
      <c r="O326">
        <v>18.39</v>
      </c>
      <c r="P326">
        <v>10</v>
      </c>
      <c r="Q326">
        <v>1.84</v>
      </c>
      <c r="R326">
        <v>16.55</v>
      </c>
      <c r="S326">
        <v>8.26</v>
      </c>
      <c r="T326">
        <v>8.2899999999999991</v>
      </c>
      <c r="U326" t="s">
        <v>190</v>
      </c>
      <c r="V326" t="s">
        <v>159</v>
      </c>
    </row>
    <row r="327" spans="1:22">
      <c r="A327" t="s">
        <v>1501</v>
      </c>
      <c r="B327" s="1">
        <v>45188</v>
      </c>
      <c r="C327" t="s">
        <v>226</v>
      </c>
      <c r="D327">
        <v>2023</v>
      </c>
      <c r="E327" t="s">
        <v>169</v>
      </c>
      <c r="F327" t="s">
        <v>1502</v>
      </c>
      <c r="G327" t="s">
        <v>28</v>
      </c>
      <c r="H327" t="s">
        <v>29</v>
      </c>
      <c r="I327" t="s">
        <v>14</v>
      </c>
      <c r="J327" t="s">
        <v>19</v>
      </c>
      <c r="K327" t="s">
        <v>156</v>
      </c>
      <c r="L327" t="s">
        <v>204</v>
      </c>
      <c r="M327">
        <v>4</v>
      </c>
      <c r="N327">
        <v>26.46</v>
      </c>
      <c r="O327">
        <v>105.84</v>
      </c>
      <c r="P327">
        <v>15</v>
      </c>
      <c r="Q327">
        <v>15.88</v>
      </c>
      <c r="R327">
        <v>89.96</v>
      </c>
      <c r="S327">
        <v>77.680000000000007</v>
      </c>
      <c r="T327">
        <v>12.28</v>
      </c>
      <c r="U327" t="s">
        <v>166</v>
      </c>
      <c r="V327" t="s">
        <v>186</v>
      </c>
    </row>
    <row r="328" spans="1:22">
      <c r="A328" t="s">
        <v>869</v>
      </c>
      <c r="B328" s="1">
        <v>45187</v>
      </c>
      <c r="C328" t="s">
        <v>226</v>
      </c>
      <c r="D328">
        <v>2023</v>
      </c>
      <c r="E328" t="s">
        <v>169</v>
      </c>
      <c r="F328" t="s">
        <v>870</v>
      </c>
      <c r="G328" t="s">
        <v>105</v>
      </c>
      <c r="H328" t="s">
        <v>106</v>
      </c>
      <c r="I328" t="s">
        <v>90</v>
      </c>
      <c r="J328" t="s">
        <v>91</v>
      </c>
      <c r="K328" t="s">
        <v>209</v>
      </c>
      <c r="L328" t="s">
        <v>179</v>
      </c>
      <c r="M328">
        <v>1</v>
      </c>
      <c r="N328">
        <v>36.35</v>
      </c>
      <c r="O328">
        <v>36.35</v>
      </c>
      <c r="P328">
        <v>0</v>
      </c>
      <c r="Q328">
        <v>0</v>
      </c>
      <c r="R328">
        <v>36.35</v>
      </c>
      <c r="S328">
        <v>30.02</v>
      </c>
      <c r="T328">
        <v>6.33</v>
      </c>
      <c r="U328" t="s">
        <v>158</v>
      </c>
      <c r="V328" t="s">
        <v>159</v>
      </c>
    </row>
    <row r="329" spans="1:22">
      <c r="A329" t="s">
        <v>753</v>
      </c>
      <c r="B329" s="1">
        <v>45186</v>
      </c>
      <c r="C329" t="s">
        <v>226</v>
      </c>
      <c r="D329">
        <v>2023</v>
      </c>
      <c r="E329" t="s">
        <v>169</v>
      </c>
      <c r="F329" t="s">
        <v>754</v>
      </c>
      <c r="G329" t="s">
        <v>88</v>
      </c>
      <c r="H329" t="s">
        <v>89</v>
      </c>
      <c r="I329" t="s">
        <v>90</v>
      </c>
      <c r="J329" t="s">
        <v>91</v>
      </c>
      <c r="K329" t="s">
        <v>164</v>
      </c>
      <c r="L329" t="s">
        <v>232</v>
      </c>
      <c r="M329">
        <v>4</v>
      </c>
      <c r="N329">
        <v>54.64</v>
      </c>
      <c r="O329">
        <v>218.56</v>
      </c>
      <c r="P329">
        <v>10</v>
      </c>
      <c r="Q329">
        <v>21.86</v>
      </c>
      <c r="R329">
        <v>196.7</v>
      </c>
      <c r="S329">
        <v>81.28</v>
      </c>
      <c r="T329">
        <v>115.42</v>
      </c>
      <c r="U329" t="s">
        <v>158</v>
      </c>
      <c r="V329" t="s">
        <v>159</v>
      </c>
    </row>
    <row r="330" spans="1:22">
      <c r="A330" t="s">
        <v>435</v>
      </c>
      <c r="B330" s="1">
        <v>45186</v>
      </c>
      <c r="C330" t="s">
        <v>226</v>
      </c>
      <c r="D330">
        <v>2023</v>
      </c>
      <c r="E330" t="s">
        <v>169</v>
      </c>
      <c r="F330" t="s">
        <v>436</v>
      </c>
      <c r="G330" t="s">
        <v>107</v>
      </c>
      <c r="H330" t="s">
        <v>108</v>
      </c>
      <c r="I330" t="s">
        <v>90</v>
      </c>
      <c r="J330" t="s">
        <v>100</v>
      </c>
      <c r="K330" t="s">
        <v>178</v>
      </c>
      <c r="L330" t="s">
        <v>204</v>
      </c>
      <c r="M330">
        <v>1</v>
      </c>
      <c r="N330">
        <v>26.61</v>
      </c>
      <c r="O330">
        <v>26.61</v>
      </c>
      <c r="P330">
        <v>0</v>
      </c>
      <c r="Q330">
        <v>0</v>
      </c>
      <c r="R330">
        <v>26.61</v>
      </c>
      <c r="S330">
        <v>10.64</v>
      </c>
      <c r="T330">
        <v>15.97</v>
      </c>
      <c r="U330" t="s">
        <v>180</v>
      </c>
      <c r="V330" t="s">
        <v>159</v>
      </c>
    </row>
    <row r="331" spans="1:22">
      <c r="A331" t="s">
        <v>1826</v>
      </c>
      <c r="B331" s="1">
        <v>45185</v>
      </c>
      <c r="C331" t="s">
        <v>226</v>
      </c>
      <c r="D331">
        <v>2023</v>
      </c>
      <c r="E331" t="s">
        <v>169</v>
      </c>
      <c r="F331" t="s">
        <v>1827</v>
      </c>
      <c r="G331" t="s">
        <v>12</v>
      </c>
      <c r="H331" t="s">
        <v>13</v>
      </c>
      <c r="I331" t="s">
        <v>14</v>
      </c>
      <c r="J331" t="s">
        <v>15</v>
      </c>
      <c r="K331" t="s">
        <v>164</v>
      </c>
      <c r="L331" t="s">
        <v>194</v>
      </c>
      <c r="M331">
        <v>1</v>
      </c>
      <c r="N331">
        <v>76.53</v>
      </c>
      <c r="O331">
        <v>76.53</v>
      </c>
      <c r="P331">
        <v>0</v>
      </c>
      <c r="Q331">
        <v>0</v>
      </c>
      <c r="R331">
        <v>76.53</v>
      </c>
      <c r="S331">
        <v>52.96</v>
      </c>
      <c r="T331">
        <v>23.57</v>
      </c>
      <c r="U331" t="s">
        <v>166</v>
      </c>
      <c r="V331" t="s">
        <v>159</v>
      </c>
    </row>
    <row r="332" spans="1:22">
      <c r="A332" t="s">
        <v>1430</v>
      </c>
      <c r="B332" s="1">
        <v>45184</v>
      </c>
      <c r="C332" t="s">
        <v>226</v>
      </c>
      <c r="D332">
        <v>2023</v>
      </c>
      <c r="E332" t="s">
        <v>169</v>
      </c>
      <c r="F332" t="s">
        <v>1431</v>
      </c>
      <c r="G332" t="s">
        <v>64</v>
      </c>
      <c r="H332" t="s">
        <v>65</v>
      </c>
      <c r="I332" t="s">
        <v>66</v>
      </c>
      <c r="J332" t="s">
        <v>67</v>
      </c>
      <c r="K332" t="s">
        <v>156</v>
      </c>
      <c r="L332" t="s">
        <v>157</v>
      </c>
      <c r="M332">
        <v>2</v>
      </c>
      <c r="N332">
        <v>24.9</v>
      </c>
      <c r="O332">
        <v>49.8</v>
      </c>
      <c r="P332">
        <v>0</v>
      </c>
      <c r="Q332">
        <v>0</v>
      </c>
      <c r="R332">
        <v>49.8</v>
      </c>
      <c r="S332">
        <v>43.04</v>
      </c>
      <c r="T332">
        <v>6.76</v>
      </c>
      <c r="U332" t="s">
        <v>158</v>
      </c>
      <c r="V332" t="s">
        <v>186</v>
      </c>
    </row>
    <row r="333" spans="1:22">
      <c r="A333" t="s">
        <v>1175</v>
      </c>
      <c r="B333" s="1">
        <v>45184</v>
      </c>
      <c r="C333" t="s">
        <v>226</v>
      </c>
      <c r="D333">
        <v>2023</v>
      </c>
      <c r="E333" t="s">
        <v>169</v>
      </c>
      <c r="F333" t="s">
        <v>1176</v>
      </c>
      <c r="G333" t="s">
        <v>125</v>
      </c>
      <c r="H333" t="s">
        <v>126</v>
      </c>
      <c r="I333" t="s">
        <v>115</v>
      </c>
      <c r="J333" t="s">
        <v>116</v>
      </c>
      <c r="K333" t="s">
        <v>178</v>
      </c>
      <c r="L333" t="s">
        <v>179</v>
      </c>
      <c r="M333">
        <v>1</v>
      </c>
      <c r="N333">
        <v>144.94999999999999</v>
      </c>
      <c r="O333">
        <v>144.94999999999999</v>
      </c>
      <c r="P333">
        <v>0</v>
      </c>
      <c r="Q333">
        <v>0</v>
      </c>
      <c r="R333">
        <v>144.94999999999999</v>
      </c>
      <c r="S333">
        <v>77.19</v>
      </c>
      <c r="T333">
        <v>67.760000000000005</v>
      </c>
      <c r="U333" t="s">
        <v>195</v>
      </c>
      <c r="V333" t="s">
        <v>181</v>
      </c>
    </row>
    <row r="334" spans="1:22">
      <c r="A334" t="s">
        <v>875</v>
      </c>
      <c r="B334" s="1">
        <v>45184</v>
      </c>
      <c r="C334" t="s">
        <v>226</v>
      </c>
      <c r="D334">
        <v>2023</v>
      </c>
      <c r="E334" t="s">
        <v>169</v>
      </c>
      <c r="F334" t="s">
        <v>876</v>
      </c>
      <c r="G334" t="s">
        <v>25</v>
      </c>
      <c r="H334" t="s">
        <v>26</v>
      </c>
      <c r="I334" t="s">
        <v>14</v>
      </c>
      <c r="J334" t="s">
        <v>27</v>
      </c>
      <c r="K334" t="s">
        <v>209</v>
      </c>
      <c r="L334" t="s">
        <v>157</v>
      </c>
      <c r="M334">
        <v>3</v>
      </c>
      <c r="N334">
        <v>18.39</v>
      </c>
      <c r="O334">
        <v>55.17</v>
      </c>
      <c r="P334">
        <v>0</v>
      </c>
      <c r="Q334">
        <v>0</v>
      </c>
      <c r="R334">
        <v>55.17</v>
      </c>
      <c r="S334">
        <v>24.78</v>
      </c>
      <c r="T334">
        <v>30.39</v>
      </c>
      <c r="U334" t="s">
        <v>190</v>
      </c>
      <c r="V334" t="s">
        <v>181</v>
      </c>
    </row>
    <row r="335" spans="1:22">
      <c r="A335" t="s">
        <v>2032</v>
      </c>
      <c r="B335" s="1">
        <v>45184</v>
      </c>
      <c r="C335" t="s">
        <v>226</v>
      </c>
      <c r="D335">
        <v>2023</v>
      </c>
      <c r="E335" t="s">
        <v>169</v>
      </c>
      <c r="F335" t="s">
        <v>2033</v>
      </c>
      <c r="G335" t="s">
        <v>122</v>
      </c>
      <c r="H335" t="s">
        <v>123</v>
      </c>
      <c r="I335" t="s">
        <v>115</v>
      </c>
      <c r="J335" t="s">
        <v>124</v>
      </c>
      <c r="K335" t="s">
        <v>209</v>
      </c>
      <c r="L335" t="s">
        <v>194</v>
      </c>
      <c r="M335">
        <v>2</v>
      </c>
      <c r="N335">
        <v>93.88</v>
      </c>
      <c r="O335">
        <v>187.76</v>
      </c>
      <c r="P335">
        <v>0</v>
      </c>
      <c r="Q335">
        <v>0</v>
      </c>
      <c r="R335">
        <v>187.76</v>
      </c>
      <c r="S335">
        <v>106.22</v>
      </c>
      <c r="T335">
        <v>81.540000000000006</v>
      </c>
      <c r="U335" t="s">
        <v>180</v>
      </c>
      <c r="V335" t="s">
        <v>159</v>
      </c>
    </row>
    <row r="336" spans="1:22">
      <c r="A336" t="s">
        <v>1054</v>
      </c>
      <c r="B336" s="1">
        <v>45184</v>
      </c>
      <c r="C336" t="s">
        <v>226</v>
      </c>
      <c r="D336">
        <v>2023</v>
      </c>
      <c r="E336" t="s">
        <v>169</v>
      </c>
      <c r="F336" t="s">
        <v>1055</v>
      </c>
      <c r="G336" t="s">
        <v>35</v>
      </c>
      <c r="H336" t="s">
        <v>36</v>
      </c>
      <c r="I336" t="s">
        <v>14</v>
      </c>
      <c r="J336" t="s">
        <v>19</v>
      </c>
      <c r="K336" t="s">
        <v>178</v>
      </c>
      <c r="L336" t="s">
        <v>157</v>
      </c>
      <c r="M336">
        <v>1</v>
      </c>
      <c r="N336">
        <v>81.599999999999994</v>
      </c>
      <c r="O336">
        <v>81.599999999999994</v>
      </c>
      <c r="P336">
        <v>5</v>
      </c>
      <c r="Q336">
        <v>4.08</v>
      </c>
      <c r="R336">
        <v>77.52</v>
      </c>
      <c r="S336">
        <v>29.32</v>
      </c>
      <c r="T336">
        <v>48.2</v>
      </c>
      <c r="U336" t="s">
        <v>158</v>
      </c>
      <c r="V336" t="s">
        <v>159</v>
      </c>
    </row>
    <row r="337" spans="1:22">
      <c r="A337" t="s">
        <v>586</v>
      </c>
      <c r="B337" s="1">
        <v>45183</v>
      </c>
      <c r="C337" t="s">
        <v>226</v>
      </c>
      <c r="D337">
        <v>2023</v>
      </c>
      <c r="E337" t="s">
        <v>169</v>
      </c>
      <c r="F337" t="s">
        <v>587</v>
      </c>
      <c r="G337" t="s">
        <v>125</v>
      </c>
      <c r="H337" t="s">
        <v>126</v>
      </c>
      <c r="I337" t="s">
        <v>115</v>
      </c>
      <c r="J337" t="s">
        <v>116</v>
      </c>
      <c r="K337" t="s">
        <v>164</v>
      </c>
      <c r="L337" t="s">
        <v>179</v>
      </c>
      <c r="M337">
        <v>2</v>
      </c>
      <c r="N337">
        <v>144.94999999999999</v>
      </c>
      <c r="O337">
        <v>289.89999999999998</v>
      </c>
      <c r="P337">
        <v>5</v>
      </c>
      <c r="Q337">
        <v>14.49</v>
      </c>
      <c r="R337">
        <v>275.41000000000003</v>
      </c>
      <c r="S337">
        <v>154.38</v>
      </c>
      <c r="T337">
        <v>121.03</v>
      </c>
      <c r="U337" t="s">
        <v>158</v>
      </c>
      <c r="V337" t="s">
        <v>159</v>
      </c>
    </row>
    <row r="338" spans="1:22">
      <c r="A338" t="s">
        <v>845</v>
      </c>
      <c r="B338" s="1">
        <v>45182</v>
      </c>
      <c r="C338" t="s">
        <v>226</v>
      </c>
      <c r="D338">
        <v>2023</v>
      </c>
      <c r="E338" t="s">
        <v>169</v>
      </c>
      <c r="F338" t="s">
        <v>846</v>
      </c>
      <c r="G338" t="s">
        <v>76</v>
      </c>
      <c r="H338" t="s">
        <v>77</v>
      </c>
      <c r="I338" t="s">
        <v>66</v>
      </c>
      <c r="J338" t="s">
        <v>67</v>
      </c>
      <c r="K338" t="s">
        <v>209</v>
      </c>
      <c r="L338" t="s">
        <v>232</v>
      </c>
      <c r="M338">
        <v>1</v>
      </c>
      <c r="N338">
        <v>118.07</v>
      </c>
      <c r="O338">
        <v>118.07</v>
      </c>
      <c r="P338">
        <v>0</v>
      </c>
      <c r="Q338">
        <v>0</v>
      </c>
      <c r="R338">
        <v>118.07</v>
      </c>
      <c r="S338">
        <v>39.700000000000003</v>
      </c>
      <c r="T338">
        <v>78.37</v>
      </c>
      <c r="U338" t="s">
        <v>158</v>
      </c>
      <c r="V338" t="s">
        <v>159</v>
      </c>
    </row>
    <row r="339" spans="1:22">
      <c r="A339" t="s">
        <v>1311</v>
      </c>
      <c r="B339" s="1">
        <v>45182</v>
      </c>
      <c r="C339" t="s">
        <v>226</v>
      </c>
      <c r="D339">
        <v>2023</v>
      </c>
      <c r="E339" t="s">
        <v>169</v>
      </c>
      <c r="F339" t="s">
        <v>1312</v>
      </c>
      <c r="G339" t="s">
        <v>12</v>
      </c>
      <c r="H339" t="s">
        <v>13</v>
      </c>
      <c r="I339" t="s">
        <v>14</v>
      </c>
      <c r="J339" t="s">
        <v>15</v>
      </c>
      <c r="K339" t="s">
        <v>178</v>
      </c>
      <c r="L339" t="s">
        <v>179</v>
      </c>
      <c r="M339">
        <v>2</v>
      </c>
      <c r="N339">
        <v>76.53</v>
      </c>
      <c r="O339">
        <v>153.06</v>
      </c>
      <c r="P339">
        <v>5</v>
      </c>
      <c r="Q339">
        <v>7.65</v>
      </c>
      <c r="R339">
        <v>145.41</v>
      </c>
      <c r="S339">
        <v>105.92</v>
      </c>
      <c r="T339">
        <v>39.49</v>
      </c>
      <c r="U339" t="s">
        <v>180</v>
      </c>
      <c r="V339" t="s">
        <v>159</v>
      </c>
    </row>
    <row r="340" spans="1:22">
      <c r="A340" t="s">
        <v>1960</v>
      </c>
      <c r="B340" s="1">
        <v>45182</v>
      </c>
      <c r="C340" t="s">
        <v>226</v>
      </c>
      <c r="D340">
        <v>2023</v>
      </c>
      <c r="E340" t="s">
        <v>169</v>
      </c>
      <c r="F340" t="s">
        <v>1961</v>
      </c>
      <c r="G340" t="s">
        <v>64</v>
      </c>
      <c r="H340" t="s">
        <v>65</v>
      </c>
      <c r="I340" t="s">
        <v>66</v>
      </c>
      <c r="J340" t="s">
        <v>67</v>
      </c>
      <c r="K340" t="s">
        <v>178</v>
      </c>
      <c r="L340" t="s">
        <v>165</v>
      </c>
      <c r="M340">
        <v>1</v>
      </c>
      <c r="N340">
        <v>24.9</v>
      </c>
      <c r="O340">
        <v>24.9</v>
      </c>
      <c r="P340">
        <v>0</v>
      </c>
      <c r="Q340">
        <v>0</v>
      </c>
      <c r="R340">
        <v>24.9</v>
      </c>
      <c r="S340">
        <v>21.52</v>
      </c>
      <c r="T340">
        <v>3.38</v>
      </c>
      <c r="U340" t="s">
        <v>195</v>
      </c>
      <c r="V340" t="s">
        <v>186</v>
      </c>
    </row>
    <row r="341" spans="1:22">
      <c r="A341" t="s">
        <v>1073</v>
      </c>
      <c r="B341" s="1">
        <v>45181</v>
      </c>
      <c r="C341" t="s">
        <v>226</v>
      </c>
      <c r="D341">
        <v>2023</v>
      </c>
      <c r="E341" t="s">
        <v>169</v>
      </c>
      <c r="F341" t="s">
        <v>1074</v>
      </c>
      <c r="G341" t="s">
        <v>39</v>
      </c>
      <c r="H341" t="s">
        <v>40</v>
      </c>
      <c r="I341" t="s">
        <v>41</v>
      </c>
      <c r="J341" t="s">
        <v>42</v>
      </c>
      <c r="K341" t="s">
        <v>156</v>
      </c>
      <c r="L341" t="s">
        <v>165</v>
      </c>
      <c r="M341">
        <v>1</v>
      </c>
      <c r="N341">
        <v>35.11</v>
      </c>
      <c r="O341">
        <v>35.11</v>
      </c>
      <c r="P341">
        <v>10</v>
      </c>
      <c r="Q341">
        <v>3.51</v>
      </c>
      <c r="R341">
        <v>31.6</v>
      </c>
      <c r="S341">
        <v>24.87</v>
      </c>
      <c r="T341">
        <v>6.73</v>
      </c>
      <c r="U341" t="s">
        <v>180</v>
      </c>
      <c r="V341" t="s">
        <v>159</v>
      </c>
    </row>
    <row r="342" spans="1:22">
      <c r="A342" t="s">
        <v>1549</v>
      </c>
      <c r="B342" s="1">
        <v>45181</v>
      </c>
      <c r="C342" t="s">
        <v>226</v>
      </c>
      <c r="D342">
        <v>2023</v>
      </c>
      <c r="E342" t="s">
        <v>169</v>
      </c>
      <c r="F342" t="s">
        <v>1550</v>
      </c>
      <c r="G342" t="s">
        <v>57</v>
      </c>
      <c r="H342" t="s">
        <v>58</v>
      </c>
      <c r="I342" t="s">
        <v>41</v>
      </c>
      <c r="J342" t="s">
        <v>59</v>
      </c>
      <c r="K342" t="s">
        <v>156</v>
      </c>
      <c r="L342" t="s">
        <v>194</v>
      </c>
      <c r="M342">
        <v>4</v>
      </c>
      <c r="N342">
        <v>56.33</v>
      </c>
      <c r="O342">
        <v>225.32</v>
      </c>
      <c r="P342">
        <v>0</v>
      </c>
      <c r="Q342">
        <v>0</v>
      </c>
      <c r="R342">
        <v>225.32</v>
      </c>
      <c r="S342">
        <v>165.8</v>
      </c>
      <c r="T342">
        <v>59.52</v>
      </c>
      <c r="U342" t="s">
        <v>180</v>
      </c>
      <c r="V342" t="s">
        <v>159</v>
      </c>
    </row>
    <row r="343" spans="1:22">
      <c r="A343" t="s">
        <v>661</v>
      </c>
      <c r="B343" s="1">
        <v>45180</v>
      </c>
      <c r="C343" t="s">
        <v>226</v>
      </c>
      <c r="D343">
        <v>2023</v>
      </c>
      <c r="E343" t="s">
        <v>169</v>
      </c>
      <c r="F343" t="s">
        <v>662</v>
      </c>
      <c r="G343" t="s">
        <v>113</v>
      </c>
      <c r="H343" t="s">
        <v>114</v>
      </c>
      <c r="I343" t="s">
        <v>115</v>
      </c>
      <c r="J343" t="s">
        <v>116</v>
      </c>
      <c r="K343" t="s">
        <v>178</v>
      </c>
      <c r="L343" t="s">
        <v>165</v>
      </c>
      <c r="M343">
        <v>4</v>
      </c>
      <c r="N343">
        <v>18.7</v>
      </c>
      <c r="O343">
        <v>74.8</v>
      </c>
      <c r="P343">
        <v>10</v>
      </c>
      <c r="Q343">
        <v>7.48</v>
      </c>
      <c r="R343">
        <v>67.319999999999993</v>
      </c>
      <c r="S343">
        <v>27.44</v>
      </c>
      <c r="T343">
        <v>39.880000000000003</v>
      </c>
      <c r="U343" t="s">
        <v>180</v>
      </c>
      <c r="V343" t="s">
        <v>181</v>
      </c>
    </row>
    <row r="344" spans="1:22">
      <c r="A344" t="s">
        <v>609</v>
      </c>
      <c r="B344" s="1">
        <v>45180</v>
      </c>
      <c r="C344" t="s">
        <v>226</v>
      </c>
      <c r="D344">
        <v>2023</v>
      </c>
      <c r="E344" t="s">
        <v>169</v>
      </c>
      <c r="F344" t="s">
        <v>610</v>
      </c>
      <c r="G344" t="s">
        <v>21</v>
      </c>
      <c r="H344" t="s">
        <v>22</v>
      </c>
      <c r="I344" t="s">
        <v>14</v>
      </c>
      <c r="J344" t="s">
        <v>15</v>
      </c>
      <c r="K344" t="s">
        <v>178</v>
      </c>
      <c r="L344" t="s">
        <v>174</v>
      </c>
      <c r="M344">
        <v>4</v>
      </c>
      <c r="N344">
        <v>65.430000000000007</v>
      </c>
      <c r="O344">
        <v>261.72000000000003</v>
      </c>
      <c r="P344">
        <v>20</v>
      </c>
      <c r="Q344">
        <v>52.34</v>
      </c>
      <c r="R344">
        <v>209.38</v>
      </c>
      <c r="S344">
        <v>154.76</v>
      </c>
      <c r="T344">
        <v>54.62</v>
      </c>
      <c r="U344" t="s">
        <v>158</v>
      </c>
      <c r="V344" t="s">
        <v>159</v>
      </c>
    </row>
    <row r="345" spans="1:22">
      <c r="A345" t="s">
        <v>1725</v>
      </c>
      <c r="B345" s="1">
        <v>45180</v>
      </c>
      <c r="C345" t="s">
        <v>226</v>
      </c>
      <c r="D345">
        <v>2023</v>
      </c>
      <c r="E345" t="s">
        <v>169</v>
      </c>
      <c r="F345" t="s">
        <v>652</v>
      </c>
      <c r="G345" t="s">
        <v>88</v>
      </c>
      <c r="H345" t="s">
        <v>89</v>
      </c>
      <c r="I345" t="s">
        <v>90</v>
      </c>
      <c r="J345" t="s">
        <v>91</v>
      </c>
      <c r="K345" t="s">
        <v>209</v>
      </c>
      <c r="L345" t="s">
        <v>232</v>
      </c>
      <c r="M345">
        <v>1</v>
      </c>
      <c r="N345">
        <v>54.64</v>
      </c>
      <c r="O345">
        <v>54.64</v>
      </c>
      <c r="P345">
        <v>5</v>
      </c>
      <c r="Q345">
        <v>2.73</v>
      </c>
      <c r="R345">
        <v>51.91</v>
      </c>
      <c r="S345">
        <v>20.32</v>
      </c>
      <c r="T345">
        <v>31.59</v>
      </c>
      <c r="U345" t="s">
        <v>158</v>
      </c>
      <c r="V345" t="s">
        <v>186</v>
      </c>
    </row>
    <row r="346" spans="1:22">
      <c r="A346" t="s">
        <v>1269</v>
      </c>
      <c r="B346" s="1">
        <v>45180</v>
      </c>
      <c r="C346" t="s">
        <v>226</v>
      </c>
      <c r="D346">
        <v>2023</v>
      </c>
      <c r="E346" t="s">
        <v>169</v>
      </c>
      <c r="F346" t="s">
        <v>800</v>
      </c>
      <c r="G346" t="s">
        <v>135</v>
      </c>
      <c r="H346" t="s">
        <v>136</v>
      </c>
      <c r="I346" t="s">
        <v>115</v>
      </c>
      <c r="J346" t="s">
        <v>119</v>
      </c>
      <c r="K346" t="s">
        <v>209</v>
      </c>
      <c r="L346" t="s">
        <v>157</v>
      </c>
      <c r="M346">
        <v>2</v>
      </c>
      <c r="N346">
        <v>89.62</v>
      </c>
      <c r="O346">
        <v>179.24</v>
      </c>
      <c r="P346">
        <v>15</v>
      </c>
      <c r="Q346">
        <v>26.89</v>
      </c>
      <c r="R346">
        <v>152.35</v>
      </c>
      <c r="S346">
        <v>76.260000000000005</v>
      </c>
      <c r="T346">
        <v>76.09</v>
      </c>
      <c r="U346" t="s">
        <v>166</v>
      </c>
      <c r="V346" t="s">
        <v>159</v>
      </c>
    </row>
    <row r="347" spans="1:22">
      <c r="A347" t="s">
        <v>1942</v>
      </c>
      <c r="B347" s="1">
        <v>45180</v>
      </c>
      <c r="C347" t="s">
        <v>226</v>
      </c>
      <c r="D347">
        <v>2023</v>
      </c>
      <c r="E347" t="s">
        <v>169</v>
      </c>
      <c r="F347" t="s">
        <v>1943</v>
      </c>
      <c r="G347" t="s">
        <v>57</v>
      </c>
      <c r="H347" t="s">
        <v>58</v>
      </c>
      <c r="I347" t="s">
        <v>41</v>
      </c>
      <c r="J347" t="s">
        <v>59</v>
      </c>
      <c r="K347" t="s">
        <v>156</v>
      </c>
      <c r="L347" t="s">
        <v>204</v>
      </c>
      <c r="M347">
        <v>3</v>
      </c>
      <c r="N347">
        <v>56.33</v>
      </c>
      <c r="O347">
        <v>168.99</v>
      </c>
      <c r="P347">
        <v>15</v>
      </c>
      <c r="Q347">
        <v>25.35</v>
      </c>
      <c r="R347">
        <v>143.63999999999999</v>
      </c>
      <c r="S347">
        <v>124.35</v>
      </c>
      <c r="T347">
        <v>19.29</v>
      </c>
      <c r="U347" t="s">
        <v>190</v>
      </c>
      <c r="V347" t="s">
        <v>181</v>
      </c>
    </row>
    <row r="348" spans="1:22">
      <c r="A348" t="s">
        <v>931</v>
      </c>
      <c r="B348" s="1">
        <v>45179</v>
      </c>
      <c r="C348" t="s">
        <v>226</v>
      </c>
      <c r="D348">
        <v>2023</v>
      </c>
      <c r="E348" t="s">
        <v>169</v>
      </c>
      <c r="F348" t="s">
        <v>932</v>
      </c>
      <c r="G348" t="s">
        <v>105</v>
      </c>
      <c r="H348" t="s">
        <v>106</v>
      </c>
      <c r="I348" t="s">
        <v>90</v>
      </c>
      <c r="J348" t="s">
        <v>91</v>
      </c>
      <c r="K348" t="s">
        <v>178</v>
      </c>
      <c r="L348" t="s">
        <v>157</v>
      </c>
      <c r="M348">
        <v>2</v>
      </c>
      <c r="N348">
        <v>36.35</v>
      </c>
      <c r="O348">
        <v>72.7</v>
      </c>
      <c r="P348">
        <v>20</v>
      </c>
      <c r="Q348">
        <v>14.54</v>
      </c>
      <c r="R348">
        <v>58.16</v>
      </c>
      <c r="S348">
        <v>60.04</v>
      </c>
      <c r="T348">
        <v>-1.88</v>
      </c>
      <c r="U348" t="s">
        <v>180</v>
      </c>
      <c r="V348" t="s">
        <v>159</v>
      </c>
    </row>
    <row r="349" spans="1:22">
      <c r="A349" t="s">
        <v>1508</v>
      </c>
      <c r="B349" s="1">
        <v>45179</v>
      </c>
      <c r="C349" t="s">
        <v>226</v>
      </c>
      <c r="D349">
        <v>2023</v>
      </c>
      <c r="E349" t="s">
        <v>169</v>
      </c>
      <c r="F349" t="s">
        <v>1509</v>
      </c>
      <c r="G349" t="s">
        <v>92</v>
      </c>
      <c r="H349" t="s">
        <v>93</v>
      </c>
      <c r="I349" t="s">
        <v>90</v>
      </c>
      <c r="J349" t="s">
        <v>94</v>
      </c>
      <c r="K349" t="s">
        <v>156</v>
      </c>
      <c r="L349" t="s">
        <v>232</v>
      </c>
      <c r="M349">
        <v>1</v>
      </c>
      <c r="N349">
        <v>230.34</v>
      </c>
      <c r="O349">
        <v>230.34</v>
      </c>
      <c r="P349">
        <v>10</v>
      </c>
      <c r="Q349">
        <v>23.03</v>
      </c>
      <c r="R349">
        <v>207.31</v>
      </c>
      <c r="S349">
        <v>74.680000000000007</v>
      </c>
      <c r="T349">
        <v>132.63</v>
      </c>
      <c r="U349" t="s">
        <v>180</v>
      </c>
      <c r="V349" t="s">
        <v>186</v>
      </c>
    </row>
    <row r="350" spans="1:22">
      <c r="A350" t="s">
        <v>1838</v>
      </c>
      <c r="B350" s="1">
        <v>45178</v>
      </c>
      <c r="C350" t="s">
        <v>226</v>
      </c>
      <c r="D350">
        <v>2023</v>
      </c>
      <c r="E350" t="s">
        <v>169</v>
      </c>
      <c r="F350" t="s">
        <v>1517</v>
      </c>
      <c r="G350" t="s">
        <v>43</v>
      </c>
      <c r="H350" t="s">
        <v>44</v>
      </c>
      <c r="I350" t="s">
        <v>41</v>
      </c>
      <c r="J350" t="s">
        <v>45</v>
      </c>
      <c r="K350" t="s">
        <v>209</v>
      </c>
      <c r="L350" t="s">
        <v>204</v>
      </c>
      <c r="M350">
        <v>1</v>
      </c>
      <c r="N350">
        <v>67.56</v>
      </c>
      <c r="O350">
        <v>67.56</v>
      </c>
      <c r="P350">
        <v>15</v>
      </c>
      <c r="Q350">
        <v>10.130000000000001</v>
      </c>
      <c r="R350">
        <v>57.43</v>
      </c>
      <c r="S350">
        <v>43.21</v>
      </c>
      <c r="T350">
        <v>14.22</v>
      </c>
      <c r="U350" t="s">
        <v>180</v>
      </c>
      <c r="V350" t="s">
        <v>181</v>
      </c>
    </row>
    <row r="351" spans="1:22">
      <c r="A351" t="s">
        <v>998</v>
      </c>
      <c r="B351" s="1">
        <v>45178</v>
      </c>
      <c r="C351" t="s">
        <v>226</v>
      </c>
      <c r="D351">
        <v>2023</v>
      </c>
      <c r="E351" t="s">
        <v>169</v>
      </c>
      <c r="F351" t="s">
        <v>999</v>
      </c>
      <c r="G351" t="s">
        <v>62</v>
      </c>
      <c r="H351" t="s">
        <v>63</v>
      </c>
      <c r="I351" t="s">
        <v>41</v>
      </c>
      <c r="J351" t="s">
        <v>45</v>
      </c>
      <c r="K351" t="s">
        <v>209</v>
      </c>
      <c r="L351" t="s">
        <v>179</v>
      </c>
      <c r="M351">
        <v>3</v>
      </c>
      <c r="N351">
        <v>160.35</v>
      </c>
      <c r="O351">
        <v>481.04999999999995</v>
      </c>
      <c r="P351">
        <v>0</v>
      </c>
      <c r="Q351">
        <v>0</v>
      </c>
      <c r="R351">
        <v>481.05</v>
      </c>
      <c r="S351">
        <v>217.41</v>
      </c>
      <c r="T351">
        <v>263.64</v>
      </c>
      <c r="U351" t="s">
        <v>190</v>
      </c>
      <c r="V351" t="s">
        <v>159</v>
      </c>
    </row>
    <row r="352" spans="1:22">
      <c r="A352" t="s">
        <v>887</v>
      </c>
      <c r="B352" s="1">
        <v>45178</v>
      </c>
      <c r="C352" t="s">
        <v>226</v>
      </c>
      <c r="D352">
        <v>2023</v>
      </c>
      <c r="E352" t="s">
        <v>169</v>
      </c>
      <c r="F352" t="s">
        <v>888</v>
      </c>
      <c r="G352" t="s">
        <v>48</v>
      </c>
      <c r="H352" t="s">
        <v>49</v>
      </c>
      <c r="I352" t="s">
        <v>41</v>
      </c>
      <c r="J352" t="s">
        <v>42</v>
      </c>
      <c r="K352" t="s">
        <v>209</v>
      </c>
      <c r="L352" t="s">
        <v>157</v>
      </c>
      <c r="M352">
        <v>2</v>
      </c>
      <c r="N352">
        <v>84.95</v>
      </c>
      <c r="O352">
        <v>169.9</v>
      </c>
      <c r="P352">
        <v>5</v>
      </c>
      <c r="Q352">
        <v>8.49</v>
      </c>
      <c r="R352">
        <v>161.41</v>
      </c>
      <c r="S352">
        <v>106.14</v>
      </c>
      <c r="T352">
        <v>55.27</v>
      </c>
      <c r="U352" t="s">
        <v>195</v>
      </c>
      <c r="V352" t="s">
        <v>159</v>
      </c>
    </row>
    <row r="353" spans="1:22">
      <c r="A353" t="s">
        <v>228</v>
      </c>
      <c r="B353" s="1">
        <v>45177</v>
      </c>
      <c r="C353" t="s">
        <v>226</v>
      </c>
      <c r="D353">
        <v>2023</v>
      </c>
      <c r="E353" t="s">
        <v>169</v>
      </c>
      <c r="F353" t="s">
        <v>229</v>
      </c>
      <c r="G353" t="s">
        <v>12</v>
      </c>
      <c r="H353" t="s">
        <v>13</v>
      </c>
      <c r="I353" t="s">
        <v>14</v>
      </c>
      <c r="J353" t="s">
        <v>15</v>
      </c>
      <c r="K353" t="s">
        <v>164</v>
      </c>
      <c r="L353" t="s">
        <v>194</v>
      </c>
      <c r="M353">
        <v>4</v>
      </c>
      <c r="N353">
        <v>76.53</v>
      </c>
      <c r="O353">
        <v>306.12</v>
      </c>
      <c r="P353">
        <v>20</v>
      </c>
      <c r="Q353">
        <v>61.22</v>
      </c>
      <c r="R353">
        <v>244.9</v>
      </c>
      <c r="S353">
        <v>211.84</v>
      </c>
      <c r="T353">
        <v>33.06</v>
      </c>
      <c r="U353" t="s">
        <v>180</v>
      </c>
      <c r="V353" t="s">
        <v>159</v>
      </c>
    </row>
    <row r="354" spans="1:22">
      <c r="A354" t="s">
        <v>2016</v>
      </c>
      <c r="B354" s="1">
        <v>45176</v>
      </c>
      <c r="C354" t="s">
        <v>226</v>
      </c>
      <c r="D354">
        <v>2023</v>
      </c>
      <c r="E354" t="s">
        <v>169</v>
      </c>
      <c r="F354" t="s">
        <v>2017</v>
      </c>
      <c r="G354" t="s">
        <v>109</v>
      </c>
      <c r="H354" t="s">
        <v>110</v>
      </c>
      <c r="I354" t="s">
        <v>90</v>
      </c>
      <c r="J354" t="s">
        <v>100</v>
      </c>
      <c r="K354" t="s">
        <v>164</v>
      </c>
      <c r="L354" t="s">
        <v>232</v>
      </c>
      <c r="M354">
        <v>3</v>
      </c>
      <c r="N354">
        <v>77.67</v>
      </c>
      <c r="O354">
        <v>233.01</v>
      </c>
      <c r="P354">
        <v>0</v>
      </c>
      <c r="Q354">
        <v>0</v>
      </c>
      <c r="R354">
        <v>233.01</v>
      </c>
      <c r="S354">
        <v>84.36</v>
      </c>
      <c r="T354">
        <v>148.65</v>
      </c>
      <c r="U354" t="s">
        <v>166</v>
      </c>
      <c r="V354" t="s">
        <v>181</v>
      </c>
    </row>
    <row r="355" spans="1:22">
      <c r="A355" t="s">
        <v>693</v>
      </c>
      <c r="B355" s="1">
        <v>45176</v>
      </c>
      <c r="C355" t="s">
        <v>226</v>
      </c>
      <c r="D355">
        <v>2023</v>
      </c>
      <c r="E355" t="s">
        <v>169</v>
      </c>
      <c r="F355" t="s">
        <v>694</v>
      </c>
      <c r="G355" t="s">
        <v>113</v>
      </c>
      <c r="H355" t="s">
        <v>114</v>
      </c>
      <c r="I355" t="s">
        <v>115</v>
      </c>
      <c r="J355" t="s">
        <v>116</v>
      </c>
      <c r="K355" t="s">
        <v>209</v>
      </c>
      <c r="L355" t="s">
        <v>232</v>
      </c>
      <c r="M355">
        <v>4</v>
      </c>
      <c r="N355">
        <v>18.7</v>
      </c>
      <c r="O355">
        <v>74.8</v>
      </c>
      <c r="P355">
        <v>15</v>
      </c>
      <c r="Q355">
        <v>11.22</v>
      </c>
      <c r="R355">
        <v>63.58</v>
      </c>
      <c r="S355">
        <v>27.44</v>
      </c>
      <c r="T355">
        <v>36.14</v>
      </c>
      <c r="U355" t="s">
        <v>166</v>
      </c>
      <c r="V355" t="s">
        <v>186</v>
      </c>
    </row>
    <row r="356" spans="1:22">
      <c r="A356" t="s">
        <v>1213</v>
      </c>
      <c r="B356" s="1">
        <v>45176</v>
      </c>
      <c r="C356" t="s">
        <v>226</v>
      </c>
      <c r="D356">
        <v>2023</v>
      </c>
      <c r="E356" t="s">
        <v>169</v>
      </c>
      <c r="F356" t="s">
        <v>1214</v>
      </c>
      <c r="G356" t="s">
        <v>21</v>
      </c>
      <c r="H356" t="s">
        <v>22</v>
      </c>
      <c r="I356" t="s">
        <v>14</v>
      </c>
      <c r="J356" t="s">
        <v>15</v>
      </c>
      <c r="K356" t="s">
        <v>209</v>
      </c>
      <c r="L356" t="s">
        <v>194</v>
      </c>
      <c r="M356">
        <v>2</v>
      </c>
      <c r="N356">
        <v>65.430000000000007</v>
      </c>
      <c r="O356">
        <v>130.86000000000001</v>
      </c>
      <c r="P356">
        <v>20</v>
      </c>
      <c r="Q356">
        <v>26.17</v>
      </c>
      <c r="R356">
        <v>104.69</v>
      </c>
      <c r="S356">
        <v>77.38</v>
      </c>
      <c r="T356">
        <v>27.31</v>
      </c>
      <c r="U356" t="s">
        <v>195</v>
      </c>
      <c r="V356" t="s">
        <v>159</v>
      </c>
    </row>
    <row r="357" spans="1:22">
      <c r="A357" t="s">
        <v>1900</v>
      </c>
      <c r="B357" s="1">
        <v>45175</v>
      </c>
      <c r="C357" t="s">
        <v>226</v>
      </c>
      <c r="D357">
        <v>2023</v>
      </c>
      <c r="E357" t="s">
        <v>169</v>
      </c>
      <c r="F357" t="s">
        <v>1901</v>
      </c>
      <c r="G357" t="s">
        <v>117</v>
      </c>
      <c r="H357" t="s">
        <v>118</v>
      </c>
      <c r="I357" t="s">
        <v>115</v>
      </c>
      <c r="J357" t="s">
        <v>119</v>
      </c>
      <c r="K357" t="s">
        <v>209</v>
      </c>
      <c r="L357" t="s">
        <v>174</v>
      </c>
      <c r="M357">
        <v>1</v>
      </c>
      <c r="N357">
        <v>93.41</v>
      </c>
      <c r="O357">
        <v>93.41</v>
      </c>
      <c r="P357">
        <v>15</v>
      </c>
      <c r="Q357">
        <v>14.01</v>
      </c>
      <c r="R357">
        <v>79.400000000000006</v>
      </c>
      <c r="S357">
        <v>64.05</v>
      </c>
      <c r="T357">
        <v>15.35</v>
      </c>
      <c r="U357" t="s">
        <v>158</v>
      </c>
      <c r="V357" t="s">
        <v>159</v>
      </c>
    </row>
    <row r="358" spans="1:22">
      <c r="A358" t="s">
        <v>787</v>
      </c>
      <c r="B358" s="1">
        <v>45175</v>
      </c>
      <c r="C358" t="s">
        <v>226</v>
      </c>
      <c r="D358">
        <v>2023</v>
      </c>
      <c r="E358" t="s">
        <v>169</v>
      </c>
      <c r="F358" t="s">
        <v>788</v>
      </c>
      <c r="G358" t="s">
        <v>23</v>
      </c>
      <c r="H358" t="s">
        <v>24</v>
      </c>
      <c r="I358" t="s">
        <v>14</v>
      </c>
      <c r="J358" t="s">
        <v>19</v>
      </c>
      <c r="K358" t="s">
        <v>156</v>
      </c>
      <c r="L358" t="s">
        <v>179</v>
      </c>
      <c r="M358">
        <v>3</v>
      </c>
      <c r="N358">
        <v>154.03</v>
      </c>
      <c r="O358">
        <v>462.09000000000003</v>
      </c>
      <c r="P358">
        <v>0</v>
      </c>
      <c r="Q358">
        <v>0</v>
      </c>
      <c r="R358">
        <v>462.09</v>
      </c>
      <c r="S358">
        <v>230.37</v>
      </c>
      <c r="T358">
        <v>231.72</v>
      </c>
      <c r="U358" t="s">
        <v>180</v>
      </c>
      <c r="V358" t="s">
        <v>181</v>
      </c>
    </row>
    <row r="359" spans="1:22">
      <c r="A359" t="s">
        <v>1192</v>
      </c>
      <c r="B359" s="1">
        <v>45175</v>
      </c>
      <c r="C359" t="s">
        <v>226</v>
      </c>
      <c r="D359">
        <v>2023</v>
      </c>
      <c r="E359" t="s">
        <v>169</v>
      </c>
      <c r="F359" t="s">
        <v>1193</v>
      </c>
      <c r="G359" t="s">
        <v>25</v>
      </c>
      <c r="H359" t="s">
        <v>26</v>
      </c>
      <c r="I359" t="s">
        <v>14</v>
      </c>
      <c r="J359" t="s">
        <v>27</v>
      </c>
      <c r="K359" t="s">
        <v>178</v>
      </c>
      <c r="L359" t="s">
        <v>232</v>
      </c>
      <c r="M359">
        <v>2</v>
      </c>
      <c r="N359">
        <v>18.39</v>
      </c>
      <c r="O359">
        <v>36.78</v>
      </c>
      <c r="P359">
        <v>0</v>
      </c>
      <c r="Q359">
        <v>0</v>
      </c>
      <c r="R359">
        <v>36.78</v>
      </c>
      <c r="S359">
        <v>16.52</v>
      </c>
      <c r="T359">
        <v>20.260000000000002</v>
      </c>
      <c r="U359" t="s">
        <v>195</v>
      </c>
      <c r="V359" t="s">
        <v>181</v>
      </c>
    </row>
    <row r="360" spans="1:22">
      <c r="A360" t="s">
        <v>1392</v>
      </c>
      <c r="B360" s="1">
        <v>45175</v>
      </c>
      <c r="C360" t="s">
        <v>226</v>
      </c>
      <c r="D360">
        <v>2023</v>
      </c>
      <c r="E360" t="s">
        <v>169</v>
      </c>
      <c r="F360" t="s">
        <v>1393</v>
      </c>
      <c r="G360" t="s">
        <v>21</v>
      </c>
      <c r="H360" t="s">
        <v>22</v>
      </c>
      <c r="I360" t="s">
        <v>14</v>
      </c>
      <c r="J360" t="s">
        <v>15</v>
      </c>
      <c r="K360" t="s">
        <v>209</v>
      </c>
      <c r="L360" t="s">
        <v>174</v>
      </c>
      <c r="M360">
        <v>2</v>
      </c>
      <c r="N360">
        <v>65.430000000000007</v>
      </c>
      <c r="O360">
        <v>130.86000000000001</v>
      </c>
      <c r="P360">
        <v>0</v>
      </c>
      <c r="Q360">
        <v>0</v>
      </c>
      <c r="R360">
        <v>130.86000000000001</v>
      </c>
      <c r="S360">
        <v>77.38</v>
      </c>
      <c r="T360">
        <v>53.48</v>
      </c>
      <c r="U360" t="s">
        <v>166</v>
      </c>
      <c r="V360" t="s">
        <v>186</v>
      </c>
    </row>
    <row r="361" spans="1:22">
      <c r="A361" t="s">
        <v>819</v>
      </c>
      <c r="B361" s="1">
        <v>45175</v>
      </c>
      <c r="C361" t="s">
        <v>226</v>
      </c>
      <c r="D361">
        <v>2023</v>
      </c>
      <c r="E361" t="s">
        <v>169</v>
      </c>
      <c r="F361" t="s">
        <v>820</v>
      </c>
      <c r="G361" t="s">
        <v>103</v>
      </c>
      <c r="H361" t="s">
        <v>104</v>
      </c>
      <c r="I361" t="s">
        <v>90</v>
      </c>
      <c r="J361" t="s">
        <v>94</v>
      </c>
      <c r="K361" t="s">
        <v>178</v>
      </c>
      <c r="L361" t="s">
        <v>165</v>
      </c>
      <c r="M361">
        <v>2</v>
      </c>
      <c r="N361">
        <v>98.58</v>
      </c>
      <c r="O361">
        <v>197.16</v>
      </c>
      <c r="P361">
        <v>10</v>
      </c>
      <c r="Q361">
        <v>19.72</v>
      </c>
      <c r="R361">
        <v>177.44</v>
      </c>
      <c r="S361">
        <v>105.14</v>
      </c>
      <c r="T361">
        <v>72.3</v>
      </c>
      <c r="U361" t="s">
        <v>158</v>
      </c>
      <c r="V361" t="s">
        <v>159</v>
      </c>
    </row>
    <row r="362" spans="1:22">
      <c r="A362" t="s">
        <v>1807</v>
      </c>
      <c r="B362" s="1">
        <v>45175</v>
      </c>
      <c r="C362" t="s">
        <v>226</v>
      </c>
      <c r="D362">
        <v>2023</v>
      </c>
      <c r="E362" t="s">
        <v>169</v>
      </c>
      <c r="F362" t="s">
        <v>1808</v>
      </c>
      <c r="G362" t="s">
        <v>35</v>
      </c>
      <c r="H362" t="s">
        <v>36</v>
      </c>
      <c r="I362" t="s">
        <v>14</v>
      </c>
      <c r="J362" t="s">
        <v>19</v>
      </c>
      <c r="K362" t="s">
        <v>178</v>
      </c>
      <c r="L362" t="s">
        <v>157</v>
      </c>
      <c r="M362">
        <v>3</v>
      </c>
      <c r="N362">
        <v>81.599999999999994</v>
      </c>
      <c r="O362">
        <v>244.79999999999998</v>
      </c>
      <c r="P362">
        <v>0</v>
      </c>
      <c r="Q362">
        <v>0</v>
      </c>
      <c r="R362">
        <v>244.8</v>
      </c>
      <c r="S362">
        <v>87.96</v>
      </c>
      <c r="T362">
        <v>156.84</v>
      </c>
      <c r="U362" t="s">
        <v>158</v>
      </c>
      <c r="V362" t="s">
        <v>159</v>
      </c>
    </row>
    <row r="363" spans="1:22">
      <c r="A363" t="s">
        <v>1553</v>
      </c>
      <c r="B363" s="1">
        <v>45174</v>
      </c>
      <c r="C363" t="s">
        <v>226</v>
      </c>
      <c r="D363">
        <v>2023</v>
      </c>
      <c r="E363" t="s">
        <v>169</v>
      </c>
      <c r="F363" t="s">
        <v>1554</v>
      </c>
      <c r="G363" t="s">
        <v>84</v>
      </c>
      <c r="H363" t="s">
        <v>85</v>
      </c>
      <c r="I363" t="s">
        <v>66</v>
      </c>
      <c r="J363" t="s">
        <v>67</v>
      </c>
      <c r="K363" t="s">
        <v>156</v>
      </c>
      <c r="L363" t="s">
        <v>157</v>
      </c>
      <c r="M363">
        <v>1</v>
      </c>
      <c r="N363">
        <v>174.23</v>
      </c>
      <c r="O363">
        <v>174.23</v>
      </c>
      <c r="P363">
        <v>20</v>
      </c>
      <c r="Q363">
        <v>34.85</v>
      </c>
      <c r="R363">
        <v>139.38</v>
      </c>
      <c r="S363">
        <v>73.95</v>
      </c>
      <c r="T363">
        <v>65.430000000000007</v>
      </c>
      <c r="U363" t="s">
        <v>195</v>
      </c>
      <c r="V363" t="s">
        <v>186</v>
      </c>
    </row>
    <row r="364" spans="1:22">
      <c r="A364" t="s">
        <v>1796</v>
      </c>
      <c r="B364" s="1">
        <v>45173</v>
      </c>
      <c r="C364" t="s">
        <v>226</v>
      </c>
      <c r="D364">
        <v>2023</v>
      </c>
      <c r="E364" t="s">
        <v>169</v>
      </c>
      <c r="F364" t="s">
        <v>794</v>
      </c>
      <c r="G364" t="s">
        <v>25</v>
      </c>
      <c r="H364" t="s">
        <v>26</v>
      </c>
      <c r="I364" t="s">
        <v>14</v>
      </c>
      <c r="J364" t="s">
        <v>27</v>
      </c>
      <c r="K364" t="s">
        <v>164</v>
      </c>
      <c r="L364" t="s">
        <v>179</v>
      </c>
      <c r="M364">
        <v>3</v>
      </c>
      <c r="N364">
        <v>18.39</v>
      </c>
      <c r="O364">
        <v>55.17</v>
      </c>
      <c r="P364">
        <v>10</v>
      </c>
      <c r="Q364">
        <v>5.52</v>
      </c>
      <c r="R364">
        <v>49.65</v>
      </c>
      <c r="S364">
        <v>24.78</v>
      </c>
      <c r="T364">
        <v>24.87</v>
      </c>
      <c r="U364" t="s">
        <v>195</v>
      </c>
      <c r="V364" t="s">
        <v>186</v>
      </c>
    </row>
    <row r="365" spans="1:22">
      <c r="A365" t="s">
        <v>346</v>
      </c>
      <c r="B365" s="1">
        <v>45173</v>
      </c>
      <c r="C365" t="s">
        <v>226</v>
      </c>
      <c r="D365">
        <v>2023</v>
      </c>
      <c r="E365" t="s">
        <v>169</v>
      </c>
      <c r="F365" t="s">
        <v>347</v>
      </c>
      <c r="G365" t="s">
        <v>39</v>
      </c>
      <c r="H365" t="s">
        <v>40</v>
      </c>
      <c r="I365" t="s">
        <v>41</v>
      </c>
      <c r="J365" t="s">
        <v>42</v>
      </c>
      <c r="K365" t="s">
        <v>178</v>
      </c>
      <c r="L365" t="s">
        <v>165</v>
      </c>
      <c r="M365">
        <v>3</v>
      </c>
      <c r="N365">
        <v>35.11</v>
      </c>
      <c r="O365">
        <v>105.33</v>
      </c>
      <c r="P365">
        <v>20</v>
      </c>
      <c r="Q365">
        <v>21.07</v>
      </c>
      <c r="R365">
        <v>84.26</v>
      </c>
      <c r="S365">
        <v>74.61</v>
      </c>
      <c r="T365">
        <v>9.65</v>
      </c>
      <c r="U365" t="s">
        <v>195</v>
      </c>
      <c r="V365" t="s">
        <v>159</v>
      </c>
    </row>
    <row r="366" spans="1:22">
      <c r="A366" t="s">
        <v>1295</v>
      </c>
      <c r="B366" s="1">
        <v>45173</v>
      </c>
      <c r="C366" t="s">
        <v>226</v>
      </c>
      <c r="D366">
        <v>2023</v>
      </c>
      <c r="E366" t="s">
        <v>169</v>
      </c>
      <c r="F366" t="s">
        <v>1296</v>
      </c>
      <c r="G366" t="s">
        <v>12</v>
      </c>
      <c r="H366" t="s">
        <v>13</v>
      </c>
      <c r="I366" t="s">
        <v>14</v>
      </c>
      <c r="J366" t="s">
        <v>15</v>
      </c>
      <c r="K366" t="s">
        <v>178</v>
      </c>
      <c r="L366" t="s">
        <v>204</v>
      </c>
      <c r="M366">
        <v>1</v>
      </c>
      <c r="N366">
        <v>76.53</v>
      </c>
      <c r="O366">
        <v>76.53</v>
      </c>
      <c r="P366">
        <v>20</v>
      </c>
      <c r="Q366">
        <v>15.31</v>
      </c>
      <c r="R366">
        <v>61.22</v>
      </c>
      <c r="S366">
        <v>52.96</v>
      </c>
      <c r="T366">
        <v>8.26</v>
      </c>
      <c r="U366" t="s">
        <v>166</v>
      </c>
      <c r="V366" t="s">
        <v>159</v>
      </c>
    </row>
    <row r="367" spans="1:22">
      <c r="A367" t="s">
        <v>1245</v>
      </c>
      <c r="B367" s="1">
        <v>45173</v>
      </c>
      <c r="C367" t="s">
        <v>226</v>
      </c>
      <c r="D367">
        <v>2023</v>
      </c>
      <c r="E367" t="s">
        <v>169</v>
      </c>
      <c r="F367" t="s">
        <v>1246</v>
      </c>
      <c r="G367" t="s">
        <v>133</v>
      </c>
      <c r="H367" t="s">
        <v>134</v>
      </c>
      <c r="I367" t="s">
        <v>115</v>
      </c>
      <c r="J367" t="s">
        <v>119</v>
      </c>
      <c r="K367" t="s">
        <v>156</v>
      </c>
      <c r="L367" t="s">
        <v>232</v>
      </c>
      <c r="M367">
        <v>1</v>
      </c>
      <c r="N367">
        <v>78.84</v>
      </c>
      <c r="O367">
        <v>78.84</v>
      </c>
      <c r="P367">
        <v>0</v>
      </c>
      <c r="Q367">
        <v>0</v>
      </c>
      <c r="R367">
        <v>78.84</v>
      </c>
      <c r="S367">
        <v>47.68</v>
      </c>
      <c r="T367">
        <v>31.16</v>
      </c>
      <c r="U367" t="s">
        <v>166</v>
      </c>
      <c r="V367" t="s">
        <v>159</v>
      </c>
    </row>
    <row r="368" spans="1:22">
      <c r="A368" t="s">
        <v>1368</v>
      </c>
      <c r="B368" s="1">
        <v>45173</v>
      </c>
      <c r="C368" t="s">
        <v>226</v>
      </c>
      <c r="D368">
        <v>2023</v>
      </c>
      <c r="E368" t="s">
        <v>169</v>
      </c>
      <c r="F368" t="s">
        <v>1369</v>
      </c>
      <c r="G368" t="s">
        <v>131</v>
      </c>
      <c r="H368" t="s">
        <v>132</v>
      </c>
      <c r="I368" t="s">
        <v>115</v>
      </c>
      <c r="J368" t="s">
        <v>119</v>
      </c>
      <c r="K368" t="s">
        <v>178</v>
      </c>
      <c r="L368" t="s">
        <v>157</v>
      </c>
      <c r="M368">
        <v>1</v>
      </c>
      <c r="N368">
        <v>75.69</v>
      </c>
      <c r="O368">
        <v>75.69</v>
      </c>
      <c r="P368">
        <v>0</v>
      </c>
      <c r="Q368">
        <v>0</v>
      </c>
      <c r="R368">
        <v>75.69</v>
      </c>
      <c r="S368">
        <v>35.630000000000003</v>
      </c>
      <c r="T368">
        <v>40.06</v>
      </c>
      <c r="U368" t="s">
        <v>195</v>
      </c>
      <c r="V368" t="s">
        <v>159</v>
      </c>
    </row>
    <row r="369" spans="1:22">
      <c r="A369" t="s">
        <v>1811</v>
      </c>
      <c r="B369" s="1">
        <v>45172</v>
      </c>
      <c r="C369" t="s">
        <v>226</v>
      </c>
      <c r="D369">
        <v>2023</v>
      </c>
      <c r="E369" t="s">
        <v>169</v>
      </c>
      <c r="F369" t="s">
        <v>1812</v>
      </c>
      <c r="G369" t="s">
        <v>33</v>
      </c>
      <c r="H369" t="s">
        <v>34</v>
      </c>
      <c r="I369" t="s">
        <v>14</v>
      </c>
      <c r="J369" t="s">
        <v>27</v>
      </c>
      <c r="K369" t="s">
        <v>178</v>
      </c>
      <c r="L369" t="s">
        <v>165</v>
      </c>
      <c r="M369">
        <v>2</v>
      </c>
      <c r="N369">
        <v>124.26</v>
      </c>
      <c r="O369">
        <v>248.52</v>
      </c>
      <c r="P369">
        <v>0</v>
      </c>
      <c r="Q369">
        <v>0</v>
      </c>
      <c r="R369">
        <v>248.52</v>
      </c>
      <c r="S369">
        <v>105.24</v>
      </c>
      <c r="T369">
        <v>143.28</v>
      </c>
      <c r="U369" t="s">
        <v>195</v>
      </c>
      <c r="V369" t="s">
        <v>159</v>
      </c>
    </row>
    <row r="370" spans="1:22">
      <c r="A370" t="s">
        <v>1579</v>
      </c>
      <c r="B370" s="1">
        <v>45170</v>
      </c>
      <c r="C370" t="s">
        <v>226</v>
      </c>
      <c r="D370">
        <v>2023</v>
      </c>
      <c r="E370" t="s">
        <v>169</v>
      </c>
      <c r="F370" t="s">
        <v>1580</v>
      </c>
      <c r="G370" t="s">
        <v>92</v>
      </c>
      <c r="H370" t="s">
        <v>93</v>
      </c>
      <c r="I370" t="s">
        <v>90</v>
      </c>
      <c r="J370" t="s">
        <v>94</v>
      </c>
      <c r="K370" t="s">
        <v>178</v>
      </c>
      <c r="L370" t="s">
        <v>204</v>
      </c>
      <c r="M370">
        <v>1</v>
      </c>
      <c r="N370">
        <v>230.34</v>
      </c>
      <c r="O370">
        <v>230.34</v>
      </c>
      <c r="P370">
        <v>0</v>
      </c>
      <c r="Q370">
        <v>0</v>
      </c>
      <c r="R370">
        <v>230.34</v>
      </c>
      <c r="S370">
        <v>74.680000000000007</v>
      </c>
      <c r="T370">
        <v>155.66</v>
      </c>
      <c r="U370" t="s">
        <v>180</v>
      </c>
      <c r="V370" t="s">
        <v>159</v>
      </c>
    </row>
    <row r="371" spans="1:22">
      <c r="A371" t="s">
        <v>996</v>
      </c>
      <c r="B371" s="1">
        <v>45170</v>
      </c>
      <c r="C371" t="s">
        <v>226</v>
      </c>
      <c r="D371">
        <v>2023</v>
      </c>
      <c r="E371" t="s">
        <v>169</v>
      </c>
      <c r="F371" t="s">
        <v>997</v>
      </c>
      <c r="G371" t="s">
        <v>125</v>
      </c>
      <c r="H371" t="s">
        <v>126</v>
      </c>
      <c r="I371" t="s">
        <v>115</v>
      </c>
      <c r="J371" t="s">
        <v>116</v>
      </c>
      <c r="K371" t="s">
        <v>178</v>
      </c>
      <c r="L371" t="s">
        <v>194</v>
      </c>
      <c r="M371">
        <v>2</v>
      </c>
      <c r="N371">
        <v>144.94999999999999</v>
      </c>
      <c r="O371">
        <v>289.89999999999998</v>
      </c>
      <c r="P371">
        <v>0</v>
      </c>
      <c r="Q371">
        <v>0</v>
      </c>
      <c r="R371">
        <v>289.89999999999998</v>
      </c>
      <c r="S371">
        <v>154.38</v>
      </c>
      <c r="T371">
        <v>135.52000000000001</v>
      </c>
      <c r="U371" t="s">
        <v>158</v>
      </c>
      <c r="V371" t="s">
        <v>159</v>
      </c>
    </row>
    <row r="372" spans="1:22">
      <c r="A372" t="s">
        <v>1845</v>
      </c>
      <c r="B372" s="1">
        <v>45170</v>
      </c>
      <c r="C372" t="s">
        <v>226</v>
      </c>
      <c r="D372">
        <v>2023</v>
      </c>
      <c r="E372" t="s">
        <v>169</v>
      </c>
      <c r="F372" t="s">
        <v>1846</v>
      </c>
      <c r="G372" t="s">
        <v>57</v>
      </c>
      <c r="H372" t="s">
        <v>58</v>
      </c>
      <c r="I372" t="s">
        <v>41</v>
      </c>
      <c r="J372" t="s">
        <v>59</v>
      </c>
      <c r="K372" t="s">
        <v>164</v>
      </c>
      <c r="L372" t="s">
        <v>204</v>
      </c>
      <c r="M372">
        <v>4</v>
      </c>
      <c r="N372">
        <v>56.33</v>
      </c>
      <c r="O372">
        <v>225.32</v>
      </c>
      <c r="P372">
        <v>0</v>
      </c>
      <c r="Q372">
        <v>0</v>
      </c>
      <c r="R372">
        <v>225.32</v>
      </c>
      <c r="S372">
        <v>165.8</v>
      </c>
      <c r="T372">
        <v>59.52</v>
      </c>
      <c r="U372" t="s">
        <v>166</v>
      </c>
      <c r="V372" t="s">
        <v>159</v>
      </c>
    </row>
    <row r="373" spans="1:22">
      <c r="A373" t="s">
        <v>1633</v>
      </c>
      <c r="B373" s="1">
        <v>45170</v>
      </c>
      <c r="C373" t="s">
        <v>226</v>
      </c>
      <c r="D373">
        <v>2023</v>
      </c>
      <c r="E373" t="s">
        <v>169</v>
      </c>
      <c r="F373" t="s">
        <v>1634</v>
      </c>
      <c r="G373" t="s">
        <v>78</v>
      </c>
      <c r="H373" t="s">
        <v>79</v>
      </c>
      <c r="I373" t="s">
        <v>66</v>
      </c>
      <c r="J373" t="s">
        <v>70</v>
      </c>
      <c r="K373" t="s">
        <v>156</v>
      </c>
      <c r="L373" t="s">
        <v>204</v>
      </c>
      <c r="M373">
        <v>4</v>
      </c>
      <c r="N373">
        <v>218.05</v>
      </c>
      <c r="O373">
        <v>872.2</v>
      </c>
      <c r="P373">
        <v>0</v>
      </c>
      <c r="Q373">
        <v>0</v>
      </c>
      <c r="R373">
        <v>872.2</v>
      </c>
      <c r="S373">
        <v>297.92</v>
      </c>
      <c r="T373">
        <v>574.28</v>
      </c>
      <c r="U373" t="s">
        <v>180</v>
      </c>
      <c r="V373" t="s">
        <v>186</v>
      </c>
    </row>
    <row r="374" spans="1:22">
      <c r="A374" t="s">
        <v>242</v>
      </c>
      <c r="B374" s="1">
        <v>45170</v>
      </c>
      <c r="C374" t="s">
        <v>226</v>
      </c>
      <c r="D374">
        <v>2023</v>
      </c>
      <c r="E374" t="s">
        <v>169</v>
      </c>
      <c r="F374" t="s">
        <v>243</v>
      </c>
      <c r="G374" t="s">
        <v>92</v>
      </c>
      <c r="H374" t="s">
        <v>93</v>
      </c>
      <c r="I374" t="s">
        <v>90</v>
      </c>
      <c r="J374" t="s">
        <v>94</v>
      </c>
      <c r="K374" t="s">
        <v>164</v>
      </c>
      <c r="L374" t="s">
        <v>204</v>
      </c>
      <c r="M374">
        <v>2</v>
      </c>
      <c r="N374">
        <v>230.34</v>
      </c>
      <c r="O374">
        <v>460.68</v>
      </c>
      <c r="P374">
        <v>15</v>
      </c>
      <c r="Q374">
        <v>69.099999999999994</v>
      </c>
      <c r="R374">
        <v>391.58</v>
      </c>
      <c r="S374">
        <v>149.36000000000001</v>
      </c>
      <c r="T374">
        <v>242.22</v>
      </c>
      <c r="U374" t="s">
        <v>158</v>
      </c>
      <c r="V374" t="s">
        <v>159</v>
      </c>
    </row>
    <row r="375" spans="1:22">
      <c r="A375" t="s">
        <v>1721</v>
      </c>
      <c r="B375" s="1">
        <v>45169</v>
      </c>
      <c r="C375" t="s">
        <v>176</v>
      </c>
      <c r="D375">
        <v>2023</v>
      </c>
      <c r="E375" t="s">
        <v>169</v>
      </c>
      <c r="F375" t="s">
        <v>1006</v>
      </c>
      <c r="G375" t="s">
        <v>92</v>
      </c>
      <c r="H375" t="s">
        <v>93</v>
      </c>
      <c r="I375" t="s">
        <v>90</v>
      </c>
      <c r="J375" t="s">
        <v>94</v>
      </c>
      <c r="K375" t="s">
        <v>164</v>
      </c>
      <c r="L375" t="s">
        <v>194</v>
      </c>
      <c r="M375">
        <v>2</v>
      </c>
      <c r="N375">
        <v>230.34</v>
      </c>
      <c r="O375">
        <v>460.68</v>
      </c>
      <c r="P375">
        <v>10</v>
      </c>
      <c r="Q375">
        <v>46.07</v>
      </c>
      <c r="R375">
        <v>414.61</v>
      </c>
      <c r="S375">
        <v>149.36000000000001</v>
      </c>
      <c r="T375">
        <v>265.25</v>
      </c>
      <c r="U375" t="s">
        <v>158</v>
      </c>
      <c r="V375" t="s">
        <v>186</v>
      </c>
    </row>
    <row r="376" spans="1:22">
      <c r="A376" t="s">
        <v>580</v>
      </c>
      <c r="B376" s="1">
        <v>45169</v>
      </c>
      <c r="C376" t="s">
        <v>176</v>
      </c>
      <c r="D376">
        <v>2023</v>
      </c>
      <c r="E376" t="s">
        <v>169</v>
      </c>
      <c r="F376" t="s">
        <v>581</v>
      </c>
      <c r="G376" t="s">
        <v>129</v>
      </c>
      <c r="H376" t="s">
        <v>130</v>
      </c>
      <c r="I376" t="s">
        <v>115</v>
      </c>
      <c r="J376" t="s">
        <v>124</v>
      </c>
      <c r="K376" t="s">
        <v>156</v>
      </c>
      <c r="L376" t="s">
        <v>165</v>
      </c>
      <c r="M376">
        <v>1</v>
      </c>
      <c r="N376">
        <v>99.34</v>
      </c>
      <c r="O376">
        <v>99.34</v>
      </c>
      <c r="P376">
        <v>10</v>
      </c>
      <c r="Q376">
        <v>9.93</v>
      </c>
      <c r="R376">
        <v>89.41</v>
      </c>
      <c r="S376">
        <v>37.35</v>
      </c>
      <c r="T376">
        <v>52.06</v>
      </c>
      <c r="U376" t="s">
        <v>158</v>
      </c>
      <c r="V376" t="s">
        <v>181</v>
      </c>
    </row>
    <row r="377" spans="1:22">
      <c r="A377" t="s">
        <v>603</v>
      </c>
      <c r="B377" s="1">
        <v>45168</v>
      </c>
      <c r="C377" t="s">
        <v>176</v>
      </c>
      <c r="D377">
        <v>2023</v>
      </c>
      <c r="E377" t="s">
        <v>169</v>
      </c>
      <c r="F377" t="s">
        <v>604</v>
      </c>
      <c r="G377" t="s">
        <v>30</v>
      </c>
      <c r="H377" t="s">
        <v>31</v>
      </c>
      <c r="I377" t="s">
        <v>14</v>
      </c>
      <c r="J377" t="s">
        <v>32</v>
      </c>
      <c r="K377" t="s">
        <v>156</v>
      </c>
      <c r="L377" t="s">
        <v>174</v>
      </c>
      <c r="M377">
        <v>4</v>
      </c>
      <c r="N377">
        <v>113.18</v>
      </c>
      <c r="O377">
        <v>452.72</v>
      </c>
      <c r="P377">
        <v>0</v>
      </c>
      <c r="Q377">
        <v>0</v>
      </c>
      <c r="R377">
        <v>452.72</v>
      </c>
      <c r="S377">
        <v>156.04</v>
      </c>
      <c r="T377">
        <v>296.68</v>
      </c>
      <c r="U377" t="s">
        <v>166</v>
      </c>
      <c r="V377" t="s">
        <v>159</v>
      </c>
    </row>
    <row r="378" spans="1:22">
      <c r="A378" t="s">
        <v>285</v>
      </c>
      <c r="B378" s="1">
        <v>45167</v>
      </c>
      <c r="C378" t="s">
        <v>176</v>
      </c>
      <c r="D378">
        <v>2023</v>
      </c>
      <c r="E378" t="s">
        <v>169</v>
      </c>
      <c r="F378" t="s">
        <v>286</v>
      </c>
      <c r="G378" t="s">
        <v>82</v>
      </c>
      <c r="H378" t="s">
        <v>83</v>
      </c>
      <c r="I378" t="s">
        <v>66</v>
      </c>
      <c r="J378" t="s">
        <v>67</v>
      </c>
      <c r="K378" t="s">
        <v>164</v>
      </c>
      <c r="L378" t="s">
        <v>194</v>
      </c>
      <c r="M378">
        <v>4</v>
      </c>
      <c r="N378">
        <v>34.479999999999997</v>
      </c>
      <c r="O378">
        <v>137.91999999999999</v>
      </c>
      <c r="P378">
        <v>0</v>
      </c>
      <c r="Q378">
        <v>0</v>
      </c>
      <c r="R378">
        <v>137.91999999999999</v>
      </c>
      <c r="S378">
        <v>76.959999999999994</v>
      </c>
      <c r="T378">
        <v>60.96</v>
      </c>
      <c r="U378" t="s">
        <v>195</v>
      </c>
      <c r="V378" t="s">
        <v>159</v>
      </c>
    </row>
    <row r="379" spans="1:22">
      <c r="A379" t="s">
        <v>487</v>
      </c>
      <c r="B379" s="1">
        <v>45167</v>
      </c>
      <c r="C379" t="s">
        <v>176</v>
      </c>
      <c r="D379">
        <v>2023</v>
      </c>
      <c r="E379" t="s">
        <v>169</v>
      </c>
      <c r="F379" t="s">
        <v>488</v>
      </c>
      <c r="G379" t="s">
        <v>98</v>
      </c>
      <c r="H379" t="s">
        <v>99</v>
      </c>
      <c r="I379" t="s">
        <v>90</v>
      </c>
      <c r="J379" t="s">
        <v>100</v>
      </c>
      <c r="K379" t="s">
        <v>164</v>
      </c>
      <c r="L379" t="s">
        <v>194</v>
      </c>
      <c r="M379">
        <v>1</v>
      </c>
      <c r="N379">
        <v>194.87</v>
      </c>
      <c r="O379">
        <v>194.87</v>
      </c>
      <c r="P379">
        <v>5</v>
      </c>
      <c r="Q379">
        <v>9.74</v>
      </c>
      <c r="R379">
        <v>185.13</v>
      </c>
      <c r="S379">
        <v>78.790000000000006</v>
      </c>
      <c r="T379">
        <v>106.34</v>
      </c>
      <c r="U379" t="s">
        <v>195</v>
      </c>
      <c r="V379" t="s">
        <v>159</v>
      </c>
    </row>
    <row r="380" spans="1:22">
      <c r="A380" t="s">
        <v>464</v>
      </c>
      <c r="B380" s="1">
        <v>45167</v>
      </c>
      <c r="C380" t="s">
        <v>176</v>
      </c>
      <c r="D380">
        <v>2023</v>
      </c>
      <c r="E380" t="s">
        <v>169</v>
      </c>
      <c r="F380" t="s">
        <v>465</v>
      </c>
      <c r="G380" t="s">
        <v>50</v>
      </c>
      <c r="H380" t="s">
        <v>51</v>
      </c>
      <c r="I380" t="s">
        <v>41</v>
      </c>
      <c r="J380" t="s">
        <v>52</v>
      </c>
      <c r="K380" t="s">
        <v>156</v>
      </c>
      <c r="L380" t="s">
        <v>194</v>
      </c>
      <c r="M380">
        <v>2</v>
      </c>
      <c r="N380">
        <v>143.80000000000001</v>
      </c>
      <c r="O380">
        <v>287.60000000000002</v>
      </c>
      <c r="P380">
        <v>0</v>
      </c>
      <c r="Q380">
        <v>0</v>
      </c>
      <c r="R380">
        <v>287.60000000000002</v>
      </c>
      <c r="S380">
        <v>124.3</v>
      </c>
      <c r="T380">
        <v>163.30000000000001</v>
      </c>
      <c r="U380" t="s">
        <v>166</v>
      </c>
      <c r="V380" t="s">
        <v>186</v>
      </c>
    </row>
    <row r="381" spans="1:22">
      <c r="A381" t="s">
        <v>1559</v>
      </c>
      <c r="B381" s="1">
        <v>45166</v>
      </c>
      <c r="C381" t="s">
        <v>176</v>
      </c>
      <c r="D381">
        <v>2023</v>
      </c>
      <c r="E381" t="s">
        <v>169</v>
      </c>
      <c r="F381" t="s">
        <v>1560</v>
      </c>
      <c r="G381" t="s">
        <v>122</v>
      </c>
      <c r="H381" t="s">
        <v>123</v>
      </c>
      <c r="I381" t="s">
        <v>115</v>
      </c>
      <c r="J381" t="s">
        <v>124</v>
      </c>
      <c r="K381" t="s">
        <v>209</v>
      </c>
      <c r="L381" t="s">
        <v>174</v>
      </c>
      <c r="M381">
        <v>1</v>
      </c>
      <c r="N381">
        <v>93.88</v>
      </c>
      <c r="O381">
        <v>93.88</v>
      </c>
      <c r="P381">
        <v>0</v>
      </c>
      <c r="Q381">
        <v>0</v>
      </c>
      <c r="R381">
        <v>93.88</v>
      </c>
      <c r="S381">
        <v>53.11</v>
      </c>
      <c r="T381">
        <v>40.770000000000003</v>
      </c>
      <c r="U381" t="s">
        <v>166</v>
      </c>
      <c r="V381" t="s">
        <v>159</v>
      </c>
    </row>
    <row r="382" spans="1:22">
      <c r="A382" t="s">
        <v>973</v>
      </c>
      <c r="B382" s="1">
        <v>45165</v>
      </c>
      <c r="C382" t="s">
        <v>176</v>
      </c>
      <c r="D382">
        <v>2023</v>
      </c>
      <c r="E382" t="s">
        <v>169</v>
      </c>
      <c r="F382" t="s">
        <v>974</v>
      </c>
      <c r="G382" t="s">
        <v>21</v>
      </c>
      <c r="H382" t="s">
        <v>22</v>
      </c>
      <c r="I382" t="s">
        <v>14</v>
      </c>
      <c r="J382" t="s">
        <v>15</v>
      </c>
      <c r="K382" t="s">
        <v>156</v>
      </c>
      <c r="L382" t="s">
        <v>179</v>
      </c>
      <c r="M382">
        <v>3</v>
      </c>
      <c r="N382">
        <v>65.430000000000007</v>
      </c>
      <c r="O382">
        <v>196.29000000000002</v>
      </c>
      <c r="P382">
        <v>5</v>
      </c>
      <c r="Q382">
        <v>9.81</v>
      </c>
      <c r="R382">
        <v>186.48</v>
      </c>
      <c r="S382">
        <v>116.07</v>
      </c>
      <c r="T382">
        <v>70.41</v>
      </c>
      <c r="U382" t="s">
        <v>195</v>
      </c>
      <c r="V382" t="s">
        <v>181</v>
      </c>
    </row>
    <row r="383" spans="1:22">
      <c r="A383" t="s">
        <v>1852</v>
      </c>
      <c r="B383" s="1">
        <v>45165</v>
      </c>
      <c r="C383" t="s">
        <v>176</v>
      </c>
      <c r="D383">
        <v>2023</v>
      </c>
      <c r="E383" t="s">
        <v>169</v>
      </c>
      <c r="F383" t="s">
        <v>1853</v>
      </c>
      <c r="G383" t="s">
        <v>135</v>
      </c>
      <c r="H383" t="s">
        <v>136</v>
      </c>
      <c r="I383" t="s">
        <v>115</v>
      </c>
      <c r="J383" t="s">
        <v>119</v>
      </c>
      <c r="K383" t="s">
        <v>178</v>
      </c>
      <c r="L383" t="s">
        <v>165</v>
      </c>
      <c r="M383">
        <v>4</v>
      </c>
      <c r="N383">
        <v>89.62</v>
      </c>
      <c r="O383">
        <v>358.48</v>
      </c>
      <c r="P383">
        <v>20</v>
      </c>
      <c r="Q383">
        <v>71.7</v>
      </c>
      <c r="R383">
        <v>286.77999999999997</v>
      </c>
      <c r="S383">
        <v>152.52000000000001</v>
      </c>
      <c r="T383">
        <v>134.26</v>
      </c>
      <c r="U383" t="s">
        <v>180</v>
      </c>
      <c r="V383" t="s">
        <v>186</v>
      </c>
    </row>
    <row r="384" spans="1:22">
      <c r="A384" t="s">
        <v>877</v>
      </c>
      <c r="B384" s="1">
        <v>45165</v>
      </c>
      <c r="C384" t="s">
        <v>176</v>
      </c>
      <c r="D384">
        <v>2023</v>
      </c>
      <c r="E384" t="s">
        <v>169</v>
      </c>
      <c r="F384" t="s">
        <v>878</v>
      </c>
      <c r="G384" t="s">
        <v>21</v>
      </c>
      <c r="H384" t="s">
        <v>22</v>
      </c>
      <c r="I384" t="s">
        <v>14</v>
      </c>
      <c r="J384" t="s">
        <v>15</v>
      </c>
      <c r="K384" t="s">
        <v>178</v>
      </c>
      <c r="L384" t="s">
        <v>179</v>
      </c>
      <c r="M384">
        <v>4</v>
      </c>
      <c r="N384">
        <v>65.430000000000007</v>
      </c>
      <c r="O384">
        <v>261.72000000000003</v>
      </c>
      <c r="P384">
        <v>0</v>
      </c>
      <c r="Q384">
        <v>0</v>
      </c>
      <c r="R384">
        <v>261.72000000000003</v>
      </c>
      <c r="S384">
        <v>154.76</v>
      </c>
      <c r="T384">
        <v>106.96</v>
      </c>
      <c r="U384" t="s">
        <v>195</v>
      </c>
      <c r="V384" t="s">
        <v>159</v>
      </c>
    </row>
    <row r="385" spans="1:22">
      <c r="A385" t="s">
        <v>235</v>
      </c>
      <c r="B385" s="1">
        <v>45164</v>
      </c>
      <c r="C385" t="s">
        <v>176</v>
      </c>
      <c r="D385">
        <v>2023</v>
      </c>
      <c r="E385" t="s">
        <v>169</v>
      </c>
      <c r="F385" t="s">
        <v>236</v>
      </c>
      <c r="G385" t="s">
        <v>57</v>
      </c>
      <c r="H385" t="s">
        <v>58</v>
      </c>
      <c r="I385" t="s">
        <v>41</v>
      </c>
      <c r="J385" t="s">
        <v>59</v>
      </c>
      <c r="K385" t="s">
        <v>164</v>
      </c>
      <c r="L385" t="s">
        <v>194</v>
      </c>
      <c r="M385">
        <v>4</v>
      </c>
      <c r="N385">
        <v>56.33</v>
      </c>
      <c r="O385">
        <v>225.32</v>
      </c>
      <c r="P385">
        <v>0</v>
      </c>
      <c r="Q385">
        <v>0</v>
      </c>
      <c r="R385">
        <v>225.32</v>
      </c>
      <c r="S385">
        <v>165.8</v>
      </c>
      <c r="T385">
        <v>59.52</v>
      </c>
      <c r="U385" t="s">
        <v>158</v>
      </c>
      <c r="V385" t="s">
        <v>186</v>
      </c>
    </row>
    <row r="386" spans="1:22">
      <c r="A386" t="s">
        <v>1790</v>
      </c>
      <c r="B386" s="1">
        <v>45164</v>
      </c>
      <c r="C386" t="s">
        <v>176</v>
      </c>
      <c r="D386">
        <v>2023</v>
      </c>
      <c r="E386" t="s">
        <v>169</v>
      </c>
      <c r="F386" t="s">
        <v>1791</v>
      </c>
      <c r="G386" t="s">
        <v>62</v>
      </c>
      <c r="H386" t="s">
        <v>63</v>
      </c>
      <c r="I386" t="s">
        <v>41</v>
      </c>
      <c r="J386" t="s">
        <v>45</v>
      </c>
      <c r="K386" t="s">
        <v>209</v>
      </c>
      <c r="L386" t="s">
        <v>179</v>
      </c>
      <c r="M386">
        <v>4</v>
      </c>
      <c r="N386">
        <v>160.35</v>
      </c>
      <c r="O386">
        <v>641.4</v>
      </c>
      <c r="P386">
        <v>10</v>
      </c>
      <c r="Q386">
        <v>64.14</v>
      </c>
      <c r="R386">
        <v>577.26</v>
      </c>
      <c r="S386">
        <v>289.88</v>
      </c>
      <c r="T386">
        <v>287.38</v>
      </c>
      <c r="U386" t="s">
        <v>158</v>
      </c>
      <c r="V386" t="s">
        <v>159</v>
      </c>
    </row>
    <row r="387" spans="1:22">
      <c r="A387" t="s">
        <v>175</v>
      </c>
      <c r="B387" s="1">
        <v>45164</v>
      </c>
      <c r="C387" t="s">
        <v>176</v>
      </c>
      <c r="D387">
        <v>2023</v>
      </c>
      <c r="E387" t="s">
        <v>169</v>
      </c>
      <c r="F387" t="s">
        <v>177</v>
      </c>
      <c r="G387" t="s">
        <v>33</v>
      </c>
      <c r="H387" t="s">
        <v>34</v>
      </c>
      <c r="I387" t="s">
        <v>14</v>
      </c>
      <c r="J387" t="s">
        <v>27</v>
      </c>
      <c r="K387" t="s">
        <v>178</v>
      </c>
      <c r="L387" t="s">
        <v>179</v>
      </c>
      <c r="M387">
        <v>4</v>
      </c>
      <c r="N387">
        <v>124.26</v>
      </c>
      <c r="O387">
        <v>497.04</v>
      </c>
      <c r="P387">
        <v>0</v>
      </c>
      <c r="Q387">
        <v>0</v>
      </c>
      <c r="R387">
        <v>497.04</v>
      </c>
      <c r="S387">
        <v>210.48</v>
      </c>
      <c r="T387">
        <v>286.56</v>
      </c>
      <c r="U387" t="s">
        <v>180</v>
      </c>
      <c r="V387" t="s">
        <v>181</v>
      </c>
    </row>
    <row r="388" spans="1:22">
      <c r="A388" t="s">
        <v>647</v>
      </c>
      <c r="B388" s="1">
        <v>45164</v>
      </c>
      <c r="C388" t="s">
        <v>176</v>
      </c>
      <c r="D388">
        <v>2023</v>
      </c>
      <c r="E388" t="s">
        <v>169</v>
      </c>
      <c r="F388" t="s">
        <v>648</v>
      </c>
      <c r="G388" t="s">
        <v>12</v>
      </c>
      <c r="H388" t="s">
        <v>13</v>
      </c>
      <c r="I388" t="s">
        <v>14</v>
      </c>
      <c r="J388" t="s">
        <v>15</v>
      </c>
      <c r="K388" t="s">
        <v>164</v>
      </c>
      <c r="L388" t="s">
        <v>232</v>
      </c>
      <c r="M388">
        <v>1</v>
      </c>
      <c r="N388">
        <v>76.53</v>
      </c>
      <c r="O388">
        <v>76.53</v>
      </c>
      <c r="P388">
        <v>0</v>
      </c>
      <c r="Q388">
        <v>0</v>
      </c>
      <c r="R388">
        <v>76.53</v>
      </c>
      <c r="S388">
        <v>52.96</v>
      </c>
      <c r="T388">
        <v>23.57</v>
      </c>
      <c r="U388" t="s">
        <v>180</v>
      </c>
      <c r="V388" t="s">
        <v>159</v>
      </c>
    </row>
    <row r="389" spans="1:22">
      <c r="A389" t="s">
        <v>1198</v>
      </c>
      <c r="B389" s="1">
        <v>45163</v>
      </c>
      <c r="C389" t="s">
        <v>176</v>
      </c>
      <c r="D389">
        <v>2023</v>
      </c>
      <c r="E389" t="s">
        <v>169</v>
      </c>
      <c r="F389" t="s">
        <v>1199</v>
      </c>
      <c r="G389" t="s">
        <v>122</v>
      </c>
      <c r="H389" t="s">
        <v>123</v>
      </c>
      <c r="I389" t="s">
        <v>115</v>
      </c>
      <c r="J389" t="s">
        <v>124</v>
      </c>
      <c r="K389" t="s">
        <v>178</v>
      </c>
      <c r="L389" t="s">
        <v>179</v>
      </c>
      <c r="M389">
        <v>3</v>
      </c>
      <c r="N389">
        <v>93.88</v>
      </c>
      <c r="O389">
        <v>281.64</v>
      </c>
      <c r="P389">
        <v>5</v>
      </c>
      <c r="Q389">
        <v>14.08</v>
      </c>
      <c r="R389">
        <v>267.56</v>
      </c>
      <c r="S389">
        <v>159.33000000000001</v>
      </c>
      <c r="T389">
        <v>108.23</v>
      </c>
      <c r="U389" t="s">
        <v>195</v>
      </c>
      <c r="V389" t="s">
        <v>186</v>
      </c>
    </row>
    <row r="390" spans="1:22">
      <c r="A390" t="s">
        <v>1667</v>
      </c>
      <c r="B390" s="1">
        <v>45162</v>
      </c>
      <c r="C390" t="s">
        <v>176</v>
      </c>
      <c r="D390">
        <v>2023</v>
      </c>
      <c r="E390" t="s">
        <v>169</v>
      </c>
      <c r="F390" t="s">
        <v>321</v>
      </c>
      <c r="G390" t="s">
        <v>101</v>
      </c>
      <c r="H390" t="s">
        <v>102</v>
      </c>
      <c r="I390" t="s">
        <v>90</v>
      </c>
      <c r="J390" t="s">
        <v>100</v>
      </c>
      <c r="K390" t="s">
        <v>178</v>
      </c>
      <c r="L390" t="s">
        <v>165</v>
      </c>
      <c r="M390">
        <v>3</v>
      </c>
      <c r="N390">
        <v>196.28</v>
      </c>
      <c r="O390">
        <v>588.84</v>
      </c>
      <c r="P390">
        <v>0</v>
      </c>
      <c r="Q390">
        <v>0</v>
      </c>
      <c r="R390">
        <v>588.84</v>
      </c>
      <c r="S390">
        <v>215.19</v>
      </c>
      <c r="T390">
        <v>373.65</v>
      </c>
      <c r="U390" t="s">
        <v>190</v>
      </c>
      <c r="V390" t="s">
        <v>159</v>
      </c>
    </row>
    <row r="391" spans="1:22">
      <c r="A391" t="s">
        <v>815</v>
      </c>
      <c r="B391" s="1">
        <v>45161</v>
      </c>
      <c r="C391" t="s">
        <v>176</v>
      </c>
      <c r="D391">
        <v>2023</v>
      </c>
      <c r="E391" t="s">
        <v>169</v>
      </c>
      <c r="F391" t="s">
        <v>816</v>
      </c>
      <c r="G391" t="s">
        <v>135</v>
      </c>
      <c r="H391" t="s">
        <v>136</v>
      </c>
      <c r="I391" t="s">
        <v>115</v>
      </c>
      <c r="J391" t="s">
        <v>119</v>
      </c>
      <c r="K391" t="s">
        <v>178</v>
      </c>
      <c r="L391" t="s">
        <v>179</v>
      </c>
      <c r="M391">
        <v>1</v>
      </c>
      <c r="N391">
        <v>89.62</v>
      </c>
      <c r="O391">
        <v>89.62</v>
      </c>
      <c r="P391">
        <v>15</v>
      </c>
      <c r="Q391">
        <v>13.44</v>
      </c>
      <c r="R391">
        <v>76.180000000000007</v>
      </c>
      <c r="S391">
        <v>38.130000000000003</v>
      </c>
      <c r="T391">
        <v>38.049999999999997</v>
      </c>
      <c r="U391" t="s">
        <v>158</v>
      </c>
      <c r="V391" t="s">
        <v>181</v>
      </c>
    </row>
    <row r="392" spans="1:22">
      <c r="A392" t="s">
        <v>793</v>
      </c>
      <c r="B392" s="1">
        <v>45161</v>
      </c>
      <c r="C392" t="s">
        <v>176</v>
      </c>
      <c r="D392">
        <v>2023</v>
      </c>
      <c r="E392" t="s">
        <v>169</v>
      </c>
      <c r="F392" t="s">
        <v>794</v>
      </c>
      <c r="G392" t="s">
        <v>50</v>
      </c>
      <c r="H392" t="s">
        <v>51</v>
      </c>
      <c r="I392" t="s">
        <v>41</v>
      </c>
      <c r="J392" t="s">
        <v>52</v>
      </c>
      <c r="K392" t="s">
        <v>164</v>
      </c>
      <c r="L392" t="s">
        <v>232</v>
      </c>
      <c r="M392">
        <v>3</v>
      </c>
      <c r="N392">
        <v>143.80000000000001</v>
      </c>
      <c r="O392">
        <v>431.40000000000003</v>
      </c>
      <c r="P392">
        <v>0</v>
      </c>
      <c r="Q392">
        <v>0</v>
      </c>
      <c r="R392">
        <v>431.4</v>
      </c>
      <c r="S392">
        <v>186.45</v>
      </c>
      <c r="T392">
        <v>244.95</v>
      </c>
      <c r="U392" t="s">
        <v>166</v>
      </c>
      <c r="V392" t="s">
        <v>159</v>
      </c>
    </row>
    <row r="393" spans="1:22">
      <c r="A393" t="s">
        <v>1283</v>
      </c>
      <c r="B393" s="1">
        <v>45161</v>
      </c>
      <c r="C393" t="s">
        <v>176</v>
      </c>
      <c r="D393">
        <v>2023</v>
      </c>
      <c r="E393" t="s">
        <v>169</v>
      </c>
      <c r="F393" t="s">
        <v>1284</v>
      </c>
      <c r="G393" t="s">
        <v>133</v>
      </c>
      <c r="H393" t="s">
        <v>134</v>
      </c>
      <c r="I393" t="s">
        <v>115</v>
      </c>
      <c r="J393" t="s">
        <v>119</v>
      </c>
      <c r="K393" t="s">
        <v>164</v>
      </c>
      <c r="L393" t="s">
        <v>232</v>
      </c>
      <c r="M393">
        <v>3</v>
      </c>
      <c r="N393">
        <v>78.84</v>
      </c>
      <c r="O393">
        <v>236.52</v>
      </c>
      <c r="P393">
        <v>20</v>
      </c>
      <c r="Q393">
        <v>47.3</v>
      </c>
      <c r="R393">
        <v>189.22</v>
      </c>
      <c r="S393">
        <v>143.04</v>
      </c>
      <c r="T393">
        <v>46.18</v>
      </c>
      <c r="U393" t="s">
        <v>158</v>
      </c>
      <c r="V393" t="s">
        <v>186</v>
      </c>
    </row>
    <row r="394" spans="1:22">
      <c r="A394" t="s">
        <v>987</v>
      </c>
      <c r="B394" s="1">
        <v>45161</v>
      </c>
      <c r="C394" t="s">
        <v>176</v>
      </c>
      <c r="D394">
        <v>2023</v>
      </c>
      <c r="E394" t="s">
        <v>169</v>
      </c>
      <c r="F394" t="s">
        <v>938</v>
      </c>
      <c r="G394" t="s">
        <v>64</v>
      </c>
      <c r="H394" t="s">
        <v>65</v>
      </c>
      <c r="I394" t="s">
        <v>66</v>
      </c>
      <c r="J394" t="s">
        <v>67</v>
      </c>
      <c r="K394" t="s">
        <v>209</v>
      </c>
      <c r="L394" t="s">
        <v>179</v>
      </c>
      <c r="M394">
        <v>3</v>
      </c>
      <c r="N394">
        <v>24.9</v>
      </c>
      <c r="O394">
        <v>74.699999999999989</v>
      </c>
      <c r="P394">
        <v>10</v>
      </c>
      <c r="Q394">
        <v>7.47</v>
      </c>
      <c r="R394">
        <v>67.23</v>
      </c>
      <c r="S394">
        <v>64.56</v>
      </c>
      <c r="T394">
        <v>2.67</v>
      </c>
      <c r="U394" t="s">
        <v>166</v>
      </c>
      <c r="V394" t="s">
        <v>181</v>
      </c>
    </row>
    <row r="395" spans="1:22">
      <c r="A395" t="s">
        <v>1715</v>
      </c>
      <c r="B395" s="1">
        <v>45161</v>
      </c>
      <c r="C395" t="s">
        <v>176</v>
      </c>
      <c r="D395">
        <v>2023</v>
      </c>
      <c r="E395" t="s">
        <v>169</v>
      </c>
      <c r="F395" t="s">
        <v>1716</v>
      </c>
      <c r="G395" t="s">
        <v>76</v>
      </c>
      <c r="H395" t="s">
        <v>77</v>
      </c>
      <c r="I395" t="s">
        <v>66</v>
      </c>
      <c r="J395" t="s">
        <v>67</v>
      </c>
      <c r="K395" t="s">
        <v>156</v>
      </c>
      <c r="L395" t="s">
        <v>165</v>
      </c>
      <c r="M395">
        <v>3</v>
      </c>
      <c r="N395">
        <v>118.07</v>
      </c>
      <c r="O395">
        <v>354.21</v>
      </c>
      <c r="P395">
        <v>0</v>
      </c>
      <c r="Q395">
        <v>0</v>
      </c>
      <c r="R395">
        <v>354.21</v>
      </c>
      <c r="S395">
        <v>119.1</v>
      </c>
      <c r="T395">
        <v>235.11</v>
      </c>
      <c r="U395" t="s">
        <v>195</v>
      </c>
      <c r="V395" t="s">
        <v>159</v>
      </c>
    </row>
    <row r="396" spans="1:22">
      <c r="A396" t="s">
        <v>1757</v>
      </c>
      <c r="B396" s="1">
        <v>45160</v>
      </c>
      <c r="C396" t="s">
        <v>176</v>
      </c>
      <c r="D396">
        <v>2023</v>
      </c>
      <c r="E396" t="s">
        <v>169</v>
      </c>
      <c r="F396" t="s">
        <v>1758</v>
      </c>
      <c r="G396" t="s">
        <v>37</v>
      </c>
      <c r="H396" t="s">
        <v>38</v>
      </c>
      <c r="I396" t="s">
        <v>14</v>
      </c>
      <c r="J396" t="s">
        <v>27</v>
      </c>
      <c r="K396" t="s">
        <v>156</v>
      </c>
      <c r="L396" t="s">
        <v>232</v>
      </c>
      <c r="M396">
        <v>3</v>
      </c>
      <c r="N396">
        <v>133.99</v>
      </c>
      <c r="O396">
        <v>401.97</v>
      </c>
      <c r="P396">
        <v>0</v>
      </c>
      <c r="Q396">
        <v>0</v>
      </c>
      <c r="R396">
        <v>401.97</v>
      </c>
      <c r="S396">
        <v>220.47</v>
      </c>
      <c r="T396">
        <v>181.5</v>
      </c>
      <c r="U396" t="s">
        <v>190</v>
      </c>
      <c r="V396" t="s">
        <v>181</v>
      </c>
    </row>
    <row r="397" spans="1:22">
      <c r="A397" t="s">
        <v>1834</v>
      </c>
      <c r="B397" s="1">
        <v>45160</v>
      </c>
      <c r="C397" t="s">
        <v>176</v>
      </c>
      <c r="D397">
        <v>2023</v>
      </c>
      <c r="E397" t="s">
        <v>169</v>
      </c>
      <c r="F397" t="s">
        <v>1835</v>
      </c>
      <c r="G397" t="s">
        <v>33</v>
      </c>
      <c r="H397" t="s">
        <v>34</v>
      </c>
      <c r="I397" t="s">
        <v>14</v>
      </c>
      <c r="J397" t="s">
        <v>27</v>
      </c>
      <c r="K397" t="s">
        <v>178</v>
      </c>
      <c r="L397" t="s">
        <v>165</v>
      </c>
      <c r="M397">
        <v>4</v>
      </c>
      <c r="N397">
        <v>124.26</v>
      </c>
      <c r="O397">
        <v>497.04</v>
      </c>
      <c r="P397">
        <v>0</v>
      </c>
      <c r="Q397">
        <v>0</v>
      </c>
      <c r="R397">
        <v>497.04</v>
      </c>
      <c r="S397">
        <v>210.48</v>
      </c>
      <c r="T397">
        <v>286.56</v>
      </c>
      <c r="U397" t="s">
        <v>180</v>
      </c>
      <c r="V397" t="s">
        <v>159</v>
      </c>
    </row>
    <row r="398" spans="1:22">
      <c r="A398" t="s">
        <v>1085</v>
      </c>
      <c r="B398" s="1">
        <v>45160</v>
      </c>
      <c r="C398" t="s">
        <v>176</v>
      </c>
      <c r="D398">
        <v>2023</v>
      </c>
      <c r="E398" t="s">
        <v>169</v>
      </c>
      <c r="F398" t="s">
        <v>1086</v>
      </c>
      <c r="G398" t="s">
        <v>33</v>
      </c>
      <c r="H398" t="s">
        <v>34</v>
      </c>
      <c r="I398" t="s">
        <v>14</v>
      </c>
      <c r="J398" t="s">
        <v>27</v>
      </c>
      <c r="K398" t="s">
        <v>164</v>
      </c>
      <c r="L398" t="s">
        <v>165</v>
      </c>
      <c r="M398">
        <v>4</v>
      </c>
      <c r="N398">
        <v>124.26</v>
      </c>
      <c r="O398">
        <v>497.04</v>
      </c>
      <c r="P398">
        <v>5</v>
      </c>
      <c r="Q398">
        <v>24.85</v>
      </c>
      <c r="R398">
        <v>472.19</v>
      </c>
      <c r="S398">
        <v>210.48</v>
      </c>
      <c r="T398">
        <v>261.70999999999998</v>
      </c>
      <c r="U398" t="s">
        <v>180</v>
      </c>
      <c r="V398" t="s">
        <v>186</v>
      </c>
    </row>
    <row r="399" spans="1:22">
      <c r="A399" t="s">
        <v>388</v>
      </c>
      <c r="B399" s="1">
        <v>45159</v>
      </c>
      <c r="C399" t="s">
        <v>176</v>
      </c>
      <c r="D399">
        <v>2023</v>
      </c>
      <c r="E399" t="s">
        <v>169</v>
      </c>
      <c r="F399" t="s">
        <v>389</v>
      </c>
      <c r="G399" t="s">
        <v>80</v>
      </c>
      <c r="H399" t="s">
        <v>81</v>
      </c>
      <c r="I399" t="s">
        <v>66</v>
      </c>
      <c r="J399" t="s">
        <v>70</v>
      </c>
      <c r="K399" t="s">
        <v>164</v>
      </c>
      <c r="L399" t="s">
        <v>165</v>
      </c>
      <c r="M399">
        <v>3</v>
      </c>
      <c r="N399">
        <v>106.06</v>
      </c>
      <c r="O399">
        <v>318.18</v>
      </c>
      <c r="P399">
        <v>20</v>
      </c>
      <c r="Q399">
        <v>63.64</v>
      </c>
      <c r="R399">
        <v>254.54</v>
      </c>
      <c r="S399">
        <v>100.26</v>
      </c>
      <c r="T399">
        <v>154.28</v>
      </c>
      <c r="U399" t="s">
        <v>158</v>
      </c>
      <c r="V399" t="s">
        <v>159</v>
      </c>
    </row>
    <row r="400" spans="1:22">
      <c r="A400" t="s">
        <v>1498</v>
      </c>
      <c r="B400" s="1">
        <v>45159</v>
      </c>
      <c r="C400" t="s">
        <v>176</v>
      </c>
      <c r="D400">
        <v>2023</v>
      </c>
      <c r="E400" t="s">
        <v>169</v>
      </c>
      <c r="F400" t="s">
        <v>1499</v>
      </c>
      <c r="G400" t="s">
        <v>84</v>
      </c>
      <c r="H400" t="s">
        <v>85</v>
      </c>
      <c r="I400" t="s">
        <v>66</v>
      </c>
      <c r="J400" t="s">
        <v>67</v>
      </c>
      <c r="K400" t="s">
        <v>156</v>
      </c>
      <c r="L400" t="s">
        <v>204</v>
      </c>
      <c r="M400">
        <v>1</v>
      </c>
      <c r="N400">
        <v>174.23</v>
      </c>
      <c r="O400">
        <v>174.23</v>
      </c>
      <c r="P400">
        <v>0</v>
      </c>
      <c r="Q400">
        <v>0</v>
      </c>
      <c r="R400">
        <v>174.23</v>
      </c>
      <c r="S400">
        <v>73.95</v>
      </c>
      <c r="T400">
        <v>100.28</v>
      </c>
      <c r="U400" t="s">
        <v>158</v>
      </c>
      <c r="V400" t="s">
        <v>159</v>
      </c>
    </row>
    <row r="401" spans="1:22">
      <c r="A401" t="s">
        <v>1046</v>
      </c>
      <c r="B401" s="1">
        <v>45158</v>
      </c>
      <c r="C401" t="s">
        <v>176</v>
      </c>
      <c r="D401">
        <v>2023</v>
      </c>
      <c r="E401" t="s">
        <v>169</v>
      </c>
      <c r="F401" t="s">
        <v>1047</v>
      </c>
      <c r="G401" t="s">
        <v>64</v>
      </c>
      <c r="H401" t="s">
        <v>65</v>
      </c>
      <c r="I401" t="s">
        <v>66</v>
      </c>
      <c r="J401" t="s">
        <v>67</v>
      </c>
      <c r="K401" t="s">
        <v>156</v>
      </c>
      <c r="L401" t="s">
        <v>179</v>
      </c>
      <c r="M401">
        <v>1</v>
      </c>
      <c r="N401">
        <v>24.9</v>
      </c>
      <c r="O401">
        <v>24.9</v>
      </c>
      <c r="P401">
        <v>0</v>
      </c>
      <c r="Q401">
        <v>0</v>
      </c>
      <c r="R401">
        <v>24.9</v>
      </c>
      <c r="S401">
        <v>21.52</v>
      </c>
      <c r="T401">
        <v>3.38</v>
      </c>
      <c r="U401" t="s">
        <v>190</v>
      </c>
      <c r="V401" t="s">
        <v>181</v>
      </c>
    </row>
    <row r="402" spans="1:22">
      <c r="A402" t="s">
        <v>1353</v>
      </c>
      <c r="B402" s="1">
        <v>45158</v>
      </c>
      <c r="C402" t="s">
        <v>176</v>
      </c>
      <c r="D402">
        <v>2023</v>
      </c>
      <c r="E402" t="s">
        <v>169</v>
      </c>
      <c r="F402" t="s">
        <v>1354</v>
      </c>
      <c r="G402" t="s">
        <v>33</v>
      </c>
      <c r="H402" t="s">
        <v>34</v>
      </c>
      <c r="I402" t="s">
        <v>14</v>
      </c>
      <c r="J402" t="s">
        <v>27</v>
      </c>
      <c r="K402" t="s">
        <v>164</v>
      </c>
      <c r="L402" t="s">
        <v>157</v>
      </c>
      <c r="M402">
        <v>4</v>
      </c>
      <c r="N402">
        <v>124.26</v>
      </c>
      <c r="O402">
        <v>497.04</v>
      </c>
      <c r="P402">
        <v>10</v>
      </c>
      <c r="Q402">
        <v>49.7</v>
      </c>
      <c r="R402">
        <v>447.34</v>
      </c>
      <c r="S402">
        <v>210.48</v>
      </c>
      <c r="T402">
        <v>236.86</v>
      </c>
      <c r="U402" t="s">
        <v>195</v>
      </c>
      <c r="V402" t="s">
        <v>159</v>
      </c>
    </row>
    <row r="403" spans="1:22">
      <c r="A403" t="s">
        <v>1413</v>
      </c>
      <c r="B403" s="1">
        <v>45158</v>
      </c>
      <c r="C403" t="s">
        <v>176</v>
      </c>
      <c r="D403">
        <v>2023</v>
      </c>
      <c r="E403" t="s">
        <v>169</v>
      </c>
      <c r="F403" t="s">
        <v>1414</v>
      </c>
      <c r="G403" t="s">
        <v>76</v>
      </c>
      <c r="H403" t="s">
        <v>77</v>
      </c>
      <c r="I403" t="s">
        <v>66</v>
      </c>
      <c r="J403" t="s">
        <v>67</v>
      </c>
      <c r="K403" t="s">
        <v>164</v>
      </c>
      <c r="L403" t="s">
        <v>174</v>
      </c>
      <c r="M403">
        <v>3</v>
      </c>
      <c r="N403">
        <v>118.07</v>
      </c>
      <c r="O403">
        <v>354.21</v>
      </c>
      <c r="P403">
        <v>0</v>
      </c>
      <c r="Q403">
        <v>0</v>
      </c>
      <c r="R403">
        <v>354.21</v>
      </c>
      <c r="S403">
        <v>119.1</v>
      </c>
      <c r="T403">
        <v>235.11</v>
      </c>
      <c r="U403" t="s">
        <v>158</v>
      </c>
      <c r="V403" t="s">
        <v>159</v>
      </c>
    </row>
    <row r="404" spans="1:22">
      <c r="A404" t="s">
        <v>904</v>
      </c>
      <c r="B404" s="1">
        <v>45158</v>
      </c>
      <c r="C404" t="s">
        <v>176</v>
      </c>
      <c r="D404">
        <v>2023</v>
      </c>
      <c r="E404" t="s">
        <v>169</v>
      </c>
      <c r="F404" t="s">
        <v>905</v>
      </c>
      <c r="G404" t="s">
        <v>43</v>
      </c>
      <c r="H404" t="s">
        <v>44</v>
      </c>
      <c r="I404" t="s">
        <v>41</v>
      </c>
      <c r="J404" t="s">
        <v>45</v>
      </c>
      <c r="K404" t="s">
        <v>156</v>
      </c>
      <c r="L404" t="s">
        <v>174</v>
      </c>
      <c r="M404">
        <v>1</v>
      </c>
      <c r="N404">
        <v>67.56</v>
      </c>
      <c r="O404">
        <v>67.56</v>
      </c>
      <c r="P404">
        <v>5</v>
      </c>
      <c r="Q404">
        <v>3.38</v>
      </c>
      <c r="R404">
        <v>64.180000000000007</v>
      </c>
      <c r="S404">
        <v>43.21</v>
      </c>
      <c r="T404">
        <v>20.97</v>
      </c>
      <c r="U404" t="s">
        <v>180</v>
      </c>
      <c r="V404" t="s">
        <v>159</v>
      </c>
    </row>
    <row r="405" spans="1:22">
      <c r="A405" t="s">
        <v>472</v>
      </c>
      <c r="B405" s="1">
        <v>45157</v>
      </c>
      <c r="C405" t="s">
        <v>176</v>
      </c>
      <c r="D405">
        <v>2023</v>
      </c>
      <c r="E405" t="s">
        <v>169</v>
      </c>
      <c r="F405" t="s">
        <v>473</v>
      </c>
      <c r="G405" t="s">
        <v>28</v>
      </c>
      <c r="H405" t="s">
        <v>29</v>
      </c>
      <c r="I405" t="s">
        <v>14</v>
      </c>
      <c r="J405" t="s">
        <v>19</v>
      </c>
      <c r="K405" t="s">
        <v>178</v>
      </c>
      <c r="L405" t="s">
        <v>174</v>
      </c>
      <c r="M405">
        <v>2</v>
      </c>
      <c r="N405">
        <v>26.46</v>
      </c>
      <c r="O405">
        <v>52.92</v>
      </c>
      <c r="P405">
        <v>20</v>
      </c>
      <c r="Q405">
        <v>10.58</v>
      </c>
      <c r="R405">
        <v>42.34</v>
      </c>
      <c r="S405">
        <v>38.840000000000003</v>
      </c>
      <c r="T405">
        <v>3.5</v>
      </c>
      <c r="U405" t="s">
        <v>180</v>
      </c>
      <c r="V405" t="s">
        <v>159</v>
      </c>
    </row>
    <row r="406" spans="1:22">
      <c r="A406" t="s">
        <v>2012</v>
      </c>
      <c r="B406" s="1">
        <v>45157</v>
      </c>
      <c r="C406" t="s">
        <v>176</v>
      </c>
      <c r="D406">
        <v>2023</v>
      </c>
      <c r="E406" t="s">
        <v>169</v>
      </c>
      <c r="F406" t="s">
        <v>2013</v>
      </c>
      <c r="G406" t="s">
        <v>88</v>
      </c>
      <c r="H406" t="s">
        <v>89</v>
      </c>
      <c r="I406" t="s">
        <v>90</v>
      </c>
      <c r="J406" t="s">
        <v>91</v>
      </c>
      <c r="K406" t="s">
        <v>156</v>
      </c>
      <c r="L406" t="s">
        <v>157</v>
      </c>
      <c r="M406">
        <v>1</v>
      </c>
      <c r="N406">
        <v>54.64</v>
      </c>
      <c r="O406">
        <v>54.64</v>
      </c>
      <c r="P406">
        <v>20</v>
      </c>
      <c r="Q406">
        <v>10.93</v>
      </c>
      <c r="R406">
        <v>43.71</v>
      </c>
      <c r="S406">
        <v>20.32</v>
      </c>
      <c r="T406">
        <v>23.39</v>
      </c>
      <c r="U406" t="s">
        <v>195</v>
      </c>
      <c r="V406" t="s">
        <v>181</v>
      </c>
    </row>
    <row r="407" spans="1:22">
      <c r="A407" t="s">
        <v>897</v>
      </c>
      <c r="B407" s="1">
        <v>45157</v>
      </c>
      <c r="C407" t="s">
        <v>176</v>
      </c>
      <c r="D407">
        <v>2023</v>
      </c>
      <c r="E407" t="s">
        <v>169</v>
      </c>
      <c r="F407" t="s">
        <v>199</v>
      </c>
      <c r="G407" t="s">
        <v>37</v>
      </c>
      <c r="H407" t="s">
        <v>38</v>
      </c>
      <c r="I407" t="s">
        <v>14</v>
      </c>
      <c r="J407" t="s">
        <v>27</v>
      </c>
      <c r="K407" t="s">
        <v>178</v>
      </c>
      <c r="L407" t="s">
        <v>204</v>
      </c>
      <c r="M407">
        <v>1</v>
      </c>
      <c r="N407">
        <v>133.99</v>
      </c>
      <c r="O407">
        <v>133.99</v>
      </c>
      <c r="P407">
        <v>0</v>
      </c>
      <c r="Q407">
        <v>0</v>
      </c>
      <c r="R407">
        <v>133.99</v>
      </c>
      <c r="S407">
        <v>73.489999999999995</v>
      </c>
      <c r="T407">
        <v>60.5</v>
      </c>
      <c r="U407" t="s">
        <v>158</v>
      </c>
      <c r="V407" t="s">
        <v>181</v>
      </c>
    </row>
    <row r="408" spans="1:22">
      <c r="A408" t="s">
        <v>981</v>
      </c>
      <c r="B408" s="1">
        <v>45156</v>
      </c>
      <c r="C408" t="s">
        <v>176</v>
      </c>
      <c r="D408">
        <v>2023</v>
      </c>
      <c r="E408" t="s">
        <v>169</v>
      </c>
      <c r="F408" t="s">
        <v>982</v>
      </c>
      <c r="G408" t="s">
        <v>95</v>
      </c>
      <c r="H408" t="s">
        <v>96</v>
      </c>
      <c r="I408" t="s">
        <v>90</v>
      </c>
      <c r="J408" t="s">
        <v>97</v>
      </c>
      <c r="K408" t="s">
        <v>156</v>
      </c>
      <c r="L408" t="s">
        <v>157</v>
      </c>
      <c r="M408">
        <v>2</v>
      </c>
      <c r="N408">
        <v>177.41</v>
      </c>
      <c r="O408">
        <v>354.82</v>
      </c>
      <c r="P408">
        <v>0</v>
      </c>
      <c r="Q408">
        <v>0</v>
      </c>
      <c r="R408">
        <v>354.82</v>
      </c>
      <c r="S408">
        <v>149.97999999999999</v>
      </c>
      <c r="T408">
        <v>204.84</v>
      </c>
      <c r="U408" t="s">
        <v>190</v>
      </c>
      <c r="V408" t="s">
        <v>159</v>
      </c>
    </row>
    <row r="409" spans="1:22">
      <c r="A409" t="s">
        <v>376</v>
      </c>
      <c r="B409" s="1">
        <v>45156</v>
      </c>
      <c r="C409" t="s">
        <v>176</v>
      </c>
      <c r="D409">
        <v>2023</v>
      </c>
      <c r="E409" t="s">
        <v>169</v>
      </c>
      <c r="F409" t="s">
        <v>377</v>
      </c>
      <c r="G409" t="s">
        <v>33</v>
      </c>
      <c r="H409" t="s">
        <v>34</v>
      </c>
      <c r="I409" t="s">
        <v>14</v>
      </c>
      <c r="J409" t="s">
        <v>27</v>
      </c>
      <c r="K409" t="s">
        <v>178</v>
      </c>
      <c r="L409" t="s">
        <v>232</v>
      </c>
      <c r="M409">
        <v>1</v>
      </c>
      <c r="N409">
        <v>124.26</v>
      </c>
      <c r="O409">
        <v>124.26</v>
      </c>
      <c r="P409">
        <v>5</v>
      </c>
      <c r="Q409">
        <v>6.21</v>
      </c>
      <c r="R409">
        <v>118.05</v>
      </c>
      <c r="S409">
        <v>52.62</v>
      </c>
      <c r="T409">
        <v>65.430000000000007</v>
      </c>
      <c r="U409" t="s">
        <v>166</v>
      </c>
      <c r="V409" t="s">
        <v>159</v>
      </c>
    </row>
    <row r="410" spans="1:22">
      <c r="A410" t="s">
        <v>507</v>
      </c>
      <c r="B410" s="1">
        <v>45155</v>
      </c>
      <c r="C410" t="s">
        <v>176</v>
      </c>
      <c r="D410">
        <v>2023</v>
      </c>
      <c r="E410" t="s">
        <v>169</v>
      </c>
      <c r="F410" t="s">
        <v>508</v>
      </c>
      <c r="G410" t="s">
        <v>39</v>
      </c>
      <c r="H410" t="s">
        <v>40</v>
      </c>
      <c r="I410" t="s">
        <v>41</v>
      </c>
      <c r="J410" t="s">
        <v>42</v>
      </c>
      <c r="K410" t="s">
        <v>178</v>
      </c>
      <c r="L410" t="s">
        <v>232</v>
      </c>
      <c r="M410">
        <v>4</v>
      </c>
      <c r="N410">
        <v>35.11</v>
      </c>
      <c r="O410">
        <v>140.44</v>
      </c>
      <c r="P410">
        <v>0</v>
      </c>
      <c r="Q410">
        <v>0</v>
      </c>
      <c r="R410">
        <v>140.44</v>
      </c>
      <c r="S410">
        <v>99.48</v>
      </c>
      <c r="T410">
        <v>40.96</v>
      </c>
      <c r="U410" t="s">
        <v>180</v>
      </c>
      <c r="V410" t="s">
        <v>159</v>
      </c>
    </row>
    <row r="411" spans="1:22">
      <c r="A411" t="s">
        <v>1644</v>
      </c>
      <c r="B411" s="1">
        <v>45155</v>
      </c>
      <c r="C411" t="s">
        <v>176</v>
      </c>
      <c r="D411">
        <v>2023</v>
      </c>
      <c r="E411" t="s">
        <v>169</v>
      </c>
      <c r="F411" t="s">
        <v>1645</v>
      </c>
      <c r="G411" t="s">
        <v>98</v>
      </c>
      <c r="H411" t="s">
        <v>99</v>
      </c>
      <c r="I411" t="s">
        <v>90</v>
      </c>
      <c r="J411" t="s">
        <v>100</v>
      </c>
      <c r="K411" t="s">
        <v>156</v>
      </c>
      <c r="L411" t="s">
        <v>165</v>
      </c>
      <c r="M411">
        <v>1</v>
      </c>
      <c r="N411">
        <v>194.87</v>
      </c>
      <c r="O411">
        <v>194.87</v>
      </c>
      <c r="P411">
        <v>15</v>
      </c>
      <c r="Q411">
        <v>29.23</v>
      </c>
      <c r="R411">
        <v>165.64</v>
      </c>
      <c r="S411">
        <v>78.790000000000006</v>
      </c>
      <c r="T411">
        <v>86.85</v>
      </c>
      <c r="U411" t="s">
        <v>195</v>
      </c>
      <c r="V411" t="s">
        <v>159</v>
      </c>
    </row>
    <row r="412" spans="1:22">
      <c r="A412" t="s">
        <v>1627</v>
      </c>
      <c r="B412" s="1">
        <v>45155</v>
      </c>
      <c r="C412" t="s">
        <v>176</v>
      </c>
      <c r="D412">
        <v>2023</v>
      </c>
      <c r="E412" t="s">
        <v>169</v>
      </c>
      <c r="F412" t="s">
        <v>1628</v>
      </c>
      <c r="G412" t="s">
        <v>131</v>
      </c>
      <c r="H412" t="s">
        <v>132</v>
      </c>
      <c r="I412" t="s">
        <v>115</v>
      </c>
      <c r="J412" t="s">
        <v>119</v>
      </c>
      <c r="K412" t="s">
        <v>156</v>
      </c>
      <c r="L412" t="s">
        <v>194</v>
      </c>
      <c r="M412">
        <v>2</v>
      </c>
      <c r="N412">
        <v>75.69</v>
      </c>
      <c r="O412">
        <v>151.38</v>
      </c>
      <c r="P412">
        <v>15</v>
      </c>
      <c r="Q412">
        <v>22.71</v>
      </c>
      <c r="R412">
        <v>128.66999999999999</v>
      </c>
      <c r="S412">
        <v>71.260000000000005</v>
      </c>
      <c r="T412">
        <v>57.41</v>
      </c>
      <c r="U412" t="s">
        <v>190</v>
      </c>
      <c r="V412" t="s">
        <v>186</v>
      </c>
    </row>
    <row r="413" spans="1:22">
      <c r="A413" t="s">
        <v>1780</v>
      </c>
      <c r="B413" s="1">
        <v>45154</v>
      </c>
      <c r="C413" t="s">
        <v>176</v>
      </c>
      <c r="D413">
        <v>2023</v>
      </c>
      <c r="E413" t="s">
        <v>169</v>
      </c>
      <c r="F413" t="s">
        <v>1781</v>
      </c>
      <c r="G413" t="s">
        <v>28</v>
      </c>
      <c r="H413" t="s">
        <v>29</v>
      </c>
      <c r="I413" t="s">
        <v>14</v>
      </c>
      <c r="J413" t="s">
        <v>19</v>
      </c>
      <c r="K413" t="s">
        <v>164</v>
      </c>
      <c r="L413" t="s">
        <v>179</v>
      </c>
      <c r="M413">
        <v>2</v>
      </c>
      <c r="N413">
        <v>26.46</v>
      </c>
      <c r="O413">
        <v>52.92</v>
      </c>
      <c r="P413">
        <v>15</v>
      </c>
      <c r="Q413">
        <v>7.94</v>
      </c>
      <c r="R413">
        <v>44.98</v>
      </c>
      <c r="S413">
        <v>38.840000000000003</v>
      </c>
      <c r="T413">
        <v>6.14</v>
      </c>
      <c r="U413" t="s">
        <v>180</v>
      </c>
      <c r="V413" t="s">
        <v>159</v>
      </c>
    </row>
    <row r="414" spans="1:22">
      <c r="A414" t="s">
        <v>362</v>
      </c>
      <c r="B414" s="1">
        <v>45154</v>
      </c>
      <c r="C414" t="s">
        <v>176</v>
      </c>
      <c r="D414">
        <v>2023</v>
      </c>
      <c r="E414" t="s">
        <v>169</v>
      </c>
      <c r="F414" t="s">
        <v>363</v>
      </c>
      <c r="G414" t="s">
        <v>21</v>
      </c>
      <c r="H414" t="s">
        <v>22</v>
      </c>
      <c r="I414" t="s">
        <v>14</v>
      </c>
      <c r="J414" t="s">
        <v>15</v>
      </c>
      <c r="K414" t="s">
        <v>156</v>
      </c>
      <c r="L414" t="s">
        <v>179</v>
      </c>
      <c r="M414">
        <v>3</v>
      </c>
      <c r="N414">
        <v>65.430000000000007</v>
      </c>
      <c r="O414">
        <v>196.29000000000002</v>
      </c>
      <c r="P414">
        <v>0</v>
      </c>
      <c r="Q414">
        <v>0</v>
      </c>
      <c r="R414">
        <v>196.29</v>
      </c>
      <c r="S414">
        <v>116.07</v>
      </c>
      <c r="T414">
        <v>80.22</v>
      </c>
      <c r="U414" t="s">
        <v>195</v>
      </c>
      <c r="V414" t="s">
        <v>159</v>
      </c>
    </row>
    <row r="415" spans="1:22">
      <c r="A415" t="s">
        <v>1325</v>
      </c>
      <c r="B415" s="1">
        <v>45154</v>
      </c>
      <c r="C415" t="s">
        <v>176</v>
      </c>
      <c r="D415">
        <v>2023</v>
      </c>
      <c r="E415" t="s">
        <v>169</v>
      </c>
      <c r="F415" t="s">
        <v>1326</v>
      </c>
      <c r="G415" t="s">
        <v>117</v>
      </c>
      <c r="H415" t="s">
        <v>118</v>
      </c>
      <c r="I415" t="s">
        <v>115</v>
      </c>
      <c r="J415" t="s">
        <v>119</v>
      </c>
      <c r="K415" t="s">
        <v>178</v>
      </c>
      <c r="L415" t="s">
        <v>165</v>
      </c>
      <c r="M415">
        <v>4</v>
      </c>
      <c r="N415">
        <v>93.41</v>
      </c>
      <c r="O415">
        <v>373.64</v>
      </c>
      <c r="P415">
        <v>0</v>
      </c>
      <c r="Q415">
        <v>0</v>
      </c>
      <c r="R415">
        <v>373.64</v>
      </c>
      <c r="S415">
        <v>256.2</v>
      </c>
      <c r="T415">
        <v>117.44</v>
      </c>
      <c r="U415" t="s">
        <v>166</v>
      </c>
      <c r="V415" t="s">
        <v>181</v>
      </c>
    </row>
    <row r="416" spans="1:22">
      <c r="A416" t="s">
        <v>1281</v>
      </c>
      <c r="B416" s="1">
        <v>45153</v>
      </c>
      <c r="C416" t="s">
        <v>176</v>
      </c>
      <c r="D416">
        <v>2023</v>
      </c>
      <c r="E416" t="s">
        <v>169</v>
      </c>
      <c r="F416" t="s">
        <v>1282</v>
      </c>
      <c r="G416" t="s">
        <v>55</v>
      </c>
      <c r="H416" t="s">
        <v>56</v>
      </c>
      <c r="I416" t="s">
        <v>41</v>
      </c>
      <c r="J416" t="s">
        <v>45</v>
      </c>
      <c r="K416" t="s">
        <v>164</v>
      </c>
      <c r="L416" t="s">
        <v>232</v>
      </c>
      <c r="M416">
        <v>3</v>
      </c>
      <c r="N416">
        <v>205.4</v>
      </c>
      <c r="O416">
        <v>616.20000000000005</v>
      </c>
      <c r="P416">
        <v>15</v>
      </c>
      <c r="Q416">
        <v>92.43</v>
      </c>
      <c r="R416">
        <v>523.77</v>
      </c>
      <c r="S416">
        <v>212.7</v>
      </c>
      <c r="T416">
        <v>311.07</v>
      </c>
      <c r="U416" t="s">
        <v>180</v>
      </c>
      <c r="V416" t="s">
        <v>159</v>
      </c>
    </row>
    <row r="417" spans="1:22">
      <c r="A417" t="s">
        <v>265</v>
      </c>
      <c r="B417" s="1">
        <v>45153</v>
      </c>
      <c r="C417" t="s">
        <v>176</v>
      </c>
      <c r="D417">
        <v>2023</v>
      </c>
      <c r="E417" t="s">
        <v>169</v>
      </c>
      <c r="F417" t="s">
        <v>266</v>
      </c>
      <c r="G417" t="s">
        <v>50</v>
      </c>
      <c r="H417" t="s">
        <v>51</v>
      </c>
      <c r="I417" t="s">
        <v>41</v>
      </c>
      <c r="J417" t="s">
        <v>52</v>
      </c>
      <c r="K417" t="s">
        <v>164</v>
      </c>
      <c r="L417" t="s">
        <v>194</v>
      </c>
      <c r="M417">
        <v>4</v>
      </c>
      <c r="N417">
        <v>143.80000000000001</v>
      </c>
      <c r="O417">
        <v>575.20000000000005</v>
      </c>
      <c r="P417">
        <v>5</v>
      </c>
      <c r="Q417">
        <v>28.76</v>
      </c>
      <c r="R417">
        <v>546.44000000000005</v>
      </c>
      <c r="S417">
        <v>248.6</v>
      </c>
      <c r="T417">
        <v>297.83999999999997</v>
      </c>
      <c r="U417" t="s">
        <v>166</v>
      </c>
      <c r="V417" t="s">
        <v>181</v>
      </c>
    </row>
    <row r="418" spans="1:22">
      <c r="A418" t="s">
        <v>1967</v>
      </c>
      <c r="B418" s="1">
        <v>45153</v>
      </c>
      <c r="C418" t="s">
        <v>176</v>
      </c>
      <c r="D418">
        <v>2023</v>
      </c>
      <c r="E418" t="s">
        <v>169</v>
      </c>
      <c r="F418" t="s">
        <v>1968</v>
      </c>
      <c r="G418" t="s">
        <v>33</v>
      </c>
      <c r="H418" t="s">
        <v>34</v>
      </c>
      <c r="I418" t="s">
        <v>14</v>
      </c>
      <c r="J418" t="s">
        <v>27</v>
      </c>
      <c r="K418" t="s">
        <v>164</v>
      </c>
      <c r="L418" t="s">
        <v>204</v>
      </c>
      <c r="M418">
        <v>4</v>
      </c>
      <c r="N418">
        <v>124.26</v>
      </c>
      <c r="O418">
        <v>497.04</v>
      </c>
      <c r="P418">
        <v>0</v>
      </c>
      <c r="Q418">
        <v>0</v>
      </c>
      <c r="R418">
        <v>497.04</v>
      </c>
      <c r="S418">
        <v>210.48</v>
      </c>
      <c r="T418">
        <v>286.56</v>
      </c>
      <c r="U418" t="s">
        <v>180</v>
      </c>
      <c r="V418" t="s">
        <v>159</v>
      </c>
    </row>
    <row r="419" spans="1:22">
      <c r="A419" t="s">
        <v>1365</v>
      </c>
      <c r="B419" s="1">
        <v>45153</v>
      </c>
      <c r="C419" t="s">
        <v>176</v>
      </c>
      <c r="D419">
        <v>2023</v>
      </c>
      <c r="E419" t="s">
        <v>169</v>
      </c>
      <c r="F419" t="s">
        <v>1366</v>
      </c>
      <c r="G419" t="s">
        <v>33</v>
      </c>
      <c r="H419" t="s">
        <v>34</v>
      </c>
      <c r="I419" t="s">
        <v>14</v>
      </c>
      <c r="J419" t="s">
        <v>27</v>
      </c>
      <c r="K419" t="s">
        <v>209</v>
      </c>
      <c r="L419" t="s">
        <v>157</v>
      </c>
      <c r="M419">
        <v>2</v>
      </c>
      <c r="N419">
        <v>124.26</v>
      </c>
      <c r="O419">
        <v>248.52</v>
      </c>
      <c r="P419">
        <v>5</v>
      </c>
      <c r="Q419">
        <v>12.43</v>
      </c>
      <c r="R419">
        <v>236.09</v>
      </c>
      <c r="S419">
        <v>105.24</v>
      </c>
      <c r="T419">
        <v>130.85</v>
      </c>
      <c r="U419" t="s">
        <v>180</v>
      </c>
      <c r="V419" t="s">
        <v>159</v>
      </c>
    </row>
    <row r="420" spans="1:22">
      <c r="A420" t="s">
        <v>330</v>
      </c>
      <c r="B420" s="1">
        <v>45153</v>
      </c>
      <c r="C420" t="s">
        <v>176</v>
      </c>
      <c r="D420">
        <v>2023</v>
      </c>
      <c r="E420" t="s">
        <v>169</v>
      </c>
      <c r="F420" t="s">
        <v>331</v>
      </c>
      <c r="G420" t="s">
        <v>122</v>
      </c>
      <c r="H420" t="s">
        <v>123</v>
      </c>
      <c r="I420" t="s">
        <v>115</v>
      </c>
      <c r="J420" t="s">
        <v>124</v>
      </c>
      <c r="K420" t="s">
        <v>178</v>
      </c>
      <c r="L420" t="s">
        <v>232</v>
      </c>
      <c r="M420">
        <v>2</v>
      </c>
      <c r="N420">
        <v>93.88</v>
      </c>
      <c r="O420">
        <v>187.76</v>
      </c>
      <c r="P420">
        <v>0</v>
      </c>
      <c r="Q420">
        <v>0</v>
      </c>
      <c r="R420">
        <v>187.76</v>
      </c>
      <c r="S420">
        <v>106.22</v>
      </c>
      <c r="T420">
        <v>81.540000000000006</v>
      </c>
      <c r="U420" t="s">
        <v>195</v>
      </c>
      <c r="V420" t="s">
        <v>186</v>
      </c>
    </row>
    <row r="421" spans="1:22">
      <c r="A421" t="s">
        <v>1475</v>
      </c>
      <c r="B421" s="1">
        <v>45153</v>
      </c>
      <c r="C421" t="s">
        <v>176</v>
      </c>
      <c r="D421">
        <v>2023</v>
      </c>
      <c r="E421" t="s">
        <v>169</v>
      </c>
      <c r="F421" t="s">
        <v>426</v>
      </c>
      <c r="G421" t="s">
        <v>80</v>
      </c>
      <c r="H421" t="s">
        <v>81</v>
      </c>
      <c r="I421" t="s">
        <v>66</v>
      </c>
      <c r="J421" t="s">
        <v>70</v>
      </c>
      <c r="K421" t="s">
        <v>178</v>
      </c>
      <c r="L421" t="s">
        <v>157</v>
      </c>
      <c r="M421">
        <v>4</v>
      </c>
      <c r="N421">
        <v>106.06</v>
      </c>
      <c r="O421">
        <v>424.24</v>
      </c>
      <c r="P421">
        <v>0</v>
      </c>
      <c r="Q421">
        <v>0</v>
      </c>
      <c r="R421">
        <v>424.24</v>
      </c>
      <c r="S421">
        <v>133.68</v>
      </c>
      <c r="T421">
        <v>290.56</v>
      </c>
      <c r="U421" t="s">
        <v>190</v>
      </c>
      <c r="V421" t="s">
        <v>159</v>
      </c>
    </row>
    <row r="422" spans="1:22">
      <c r="A422" t="s">
        <v>2051</v>
      </c>
      <c r="B422" s="1">
        <v>45153</v>
      </c>
      <c r="C422" t="s">
        <v>176</v>
      </c>
      <c r="D422">
        <v>2023</v>
      </c>
      <c r="E422" t="s">
        <v>169</v>
      </c>
      <c r="F422" t="s">
        <v>2052</v>
      </c>
      <c r="G422" t="s">
        <v>98</v>
      </c>
      <c r="H422" t="s">
        <v>99</v>
      </c>
      <c r="I422" t="s">
        <v>90</v>
      </c>
      <c r="J422" t="s">
        <v>100</v>
      </c>
      <c r="K422" t="s">
        <v>209</v>
      </c>
      <c r="L422" t="s">
        <v>165</v>
      </c>
      <c r="M422">
        <v>3</v>
      </c>
      <c r="N422">
        <v>194.87</v>
      </c>
      <c r="O422">
        <v>584.61</v>
      </c>
      <c r="P422">
        <v>0</v>
      </c>
      <c r="Q422">
        <v>0</v>
      </c>
      <c r="R422">
        <v>584.61</v>
      </c>
      <c r="S422">
        <v>236.37</v>
      </c>
      <c r="T422">
        <v>348.24</v>
      </c>
      <c r="U422" t="s">
        <v>166</v>
      </c>
      <c r="V422" t="s">
        <v>159</v>
      </c>
    </row>
    <row r="423" spans="1:22">
      <c r="A423" t="s">
        <v>1909</v>
      </c>
      <c r="B423" s="1">
        <v>45152</v>
      </c>
      <c r="C423" t="s">
        <v>176</v>
      </c>
      <c r="D423">
        <v>2023</v>
      </c>
      <c r="E423" t="s">
        <v>169</v>
      </c>
      <c r="F423" t="s">
        <v>1910</v>
      </c>
      <c r="G423" t="s">
        <v>43</v>
      </c>
      <c r="H423" t="s">
        <v>44</v>
      </c>
      <c r="I423" t="s">
        <v>41</v>
      </c>
      <c r="J423" t="s">
        <v>45</v>
      </c>
      <c r="K423" t="s">
        <v>178</v>
      </c>
      <c r="L423" t="s">
        <v>179</v>
      </c>
      <c r="M423">
        <v>2</v>
      </c>
      <c r="N423">
        <v>67.56</v>
      </c>
      <c r="O423">
        <v>135.12</v>
      </c>
      <c r="P423">
        <v>0</v>
      </c>
      <c r="Q423">
        <v>0</v>
      </c>
      <c r="R423">
        <v>135.12</v>
      </c>
      <c r="S423">
        <v>86.42</v>
      </c>
      <c r="T423">
        <v>48.7</v>
      </c>
      <c r="U423" t="s">
        <v>166</v>
      </c>
      <c r="V423" t="s">
        <v>159</v>
      </c>
    </row>
    <row r="424" spans="1:22">
      <c r="A424" t="s">
        <v>1563</v>
      </c>
      <c r="B424" s="1">
        <v>45152</v>
      </c>
      <c r="C424" t="s">
        <v>176</v>
      </c>
      <c r="D424">
        <v>2023</v>
      </c>
      <c r="E424" t="s">
        <v>169</v>
      </c>
      <c r="F424" t="s">
        <v>1187</v>
      </c>
      <c r="G424" t="s">
        <v>101</v>
      </c>
      <c r="H424" t="s">
        <v>102</v>
      </c>
      <c r="I424" t="s">
        <v>90</v>
      </c>
      <c r="J424" t="s">
        <v>100</v>
      </c>
      <c r="K424" t="s">
        <v>209</v>
      </c>
      <c r="L424" t="s">
        <v>194</v>
      </c>
      <c r="M424">
        <v>3</v>
      </c>
      <c r="N424">
        <v>196.28</v>
      </c>
      <c r="O424">
        <v>588.84</v>
      </c>
      <c r="P424">
        <v>20</v>
      </c>
      <c r="Q424">
        <v>117.77</v>
      </c>
      <c r="R424">
        <v>471.07</v>
      </c>
      <c r="S424">
        <v>215.19</v>
      </c>
      <c r="T424">
        <v>255.88</v>
      </c>
      <c r="U424" t="s">
        <v>190</v>
      </c>
      <c r="V424" t="s">
        <v>159</v>
      </c>
    </row>
    <row r="425" spans="1:22">
      <c r="A425" t="s">
        <v>549</v>
      </c>
      <c r="B425" s="1">
        <v>45152</v>
      </c>
      <c r="C425" t="s">
        <v>176</v>
      </c>
      <c r="D425">
        <v>2023</v>
      </c>
      <c r="E425" t="s">
        <v>169</v>
      </c>
      <c r="F425" t="s">
        <v>550</v>
      </c>
      <c r="G425" t="s">
        <v>125</v>
      </c>
      <c r="H425" t="s">
        <v>126</v>
      </c>
      <c r="I425" t="s">
        <v>115</v>
      </c>
      <c r="J425" t="s">
        <v>116</v>
      </c>
      <c r="K425" t="s">
        <v>164</v>
      </c>
      <c r="L425" t="s">
        <v>204</v>
      </c>
      <c r="M425">
        <v>1</v>
      </c>
      <c r="N425">
        <v>144.94999999999999</v>
      </c>
      <c r="O425">
        <v>144.94999999999999</v>
      </c>
      <c r="P425">
        <v>0</v>
      </c>
      <c r="Q425">
        <v>0</v>
      </c>
      <c r="R425">
        <v>144.94999999999999</v>
      </c>
      <c r="S425">
        <v>77.19</v>
      </c>
      <c r="T425">
        <v>67.760000000000005</v>
      </c>
      <c r="U425" t="s">
        <v>190</v>
      </c>
      <c r="V425" t="s">
        <v>159</v>
      </c>
    </row>
    <row r="426" spans="1:22">
      <c r="A426" t="s">
        <v>433</v>
      </c>
      <c r="B426" s="1">
        <v>45152</v>
      </c>
      <c r="C426" t="s">
        <v>176</v>
      </c>
      <c r="D426">
        <v>2023</v>
      </c>
      <c r="E426" t="s">
        <v>169</v>
      </c>
      <c r="F426" t="s">
        <v>434</v>
      </c>
      <c r="G426" t="s">
        <v>64</v>
      </c>
      <c r="H426" t="s">
        <v>65</v>
      </c>
      <c r="I426" t="s">
        <v>66</v>
      </c>
      <c r="J426" t="s">
        <v>67</v>
      </c>
      <c r="K426" t="s">
        <v>164</v>
      </c>
      <c r="L426" t="s">
        <v>204</v>
      </c>
      <c r="M426">
        <v>3</v>
      </c>
      <c r="N426">
        <v>24.9</v>
      </c>
      <c r="O426">
        <v>74.699999999999989</v>
      </c>
      <c r="P426">
        <v>0</v>
      </c>
      <c r="Q426">
        <v>0</v>
      </c>
      <c r="R426">
        <v>74.7</v>
      </c>
      <c r="S426">
        <v>64.56</v>
      </c>
      <c r="T426">
        <v>10.14</v>
      </c>
      <c r="U426" t="s">
        <v>195</v>
      </c>
      <c r="V426" t="s">
        <v>159</v>
      </c>
    </row>
    <row r="427" spans="1:22">
      <c r="A427" t="s">
        <v>1177</v>
      </c>
      <c r="B427" s="1">
        <v>45151</v>
      </c>
      <c r="C427" t="s">
        <v>176</v>
      </c>
      <c r="D427">
        <v>2023</v>
      </c>
      <c r="E427" t="s">
        <v>169</v>
      </c>
      <c r="F427" t="s">
        <v>1160</v>
      </c>
      <c r="G427" t="s">
        <v>28</v>
      </c>
      <c r="H427" t="s">
        <v>29</v>
      </c>
      <c r="I427" t="s">
        <v>14</v>
      </c>
      <c r="J427" t="s">
        <v>19</v>
      </c>
      <c r="K427" t="s">
        <v>164</v>
      </c>
      <c r="L427" t="s">
        <v>179</v>
      </c>
      <c r="M427">
        <v>3</v>
      </c>
      <c r="N427">
        <v>26.46</v>
      </c>
      <c r="O427">
        <v>79.38</v>
      </c>
      <c r="P427">
        <v>20</v>
      </c>
      <c r="Q427">
        <v>15.88</v>
      </c>
      <c r="R427">
        <v>63.5</v>
      </c>
      <c r="S427">
        <v>58.26</v>
      </c>
      <c r="T427">
        <v>5.24</v>
      </c>
      <c r="U427" t="s">
        <v>158</v>
      </c>
      <c r="V427" t="s">
        <v>186</v>
      </c>
    </row>
    <row r="428" spans="1:22">
      <c r="A428" t="s">
        <v>423</v>
      </c>
      <c r="B428" s="1">
        <v>45150</v>
      </c>
      <c r="C428" t="s">
        <v>176</v>
      </c>
      <c r="D428">
        <v>2023</v>
      </c>
      <c r="E428" t="s">
        <v>169</v>
      </c>
      <c r="F428" t="s">
        <v>424</v>
      </c>
      <c r="G428" t="s">
        <v>86</v>
      </c>
      <c r="H428" t="s">
        <v>87</v>
      </c>
      <c r="I428" t="s">
        <v>66</v>
      </c>
      <c r="J428" t="s">
        <v>67</v>
      </c>
      <c r="K428" t="s">
        <v>209</v>
      </c>
      <c r="L428" t="s">
        <v>157</v>
      </c>
      <c r="M428">
        <v>3</v>
      </c>
      <c r="N428">
        <v>124.77</v>
      </c>
      <c r="O428">
        <v>374.31</v>
      </c>
      <c r="P428">
        <v>0</v>
      </c>
      <c r="Q428">
        <v>0</v>
      </c>
      <c r="R428">
        <v>374.31</v>
      </c>
      <c r="S428">
        <v>208.92</v>
      </c>
      <c r="T428">
        <v>165.39</v>
      </c>
      <c r="U428" t="s">
        <v>180</v>
      </c>
      <c r="V428" t="s">
        <v>181</v>
      </c>
    </row>
    <row r="429" spans="1:22">
      <c r="A429" t="s">
        <v>1607</v>
      </c>
      <c r="B429" s="1">
        <v>45150</v>
      </c>
      <c r="C429" t="s">
        <v>176</v>
      </c>
      <c r="D429">
        <v>2023</v>
      </c>
      <c r="E429" t="s">
        <v>169</v>
      </c>
      <c r="F429" t="s">
        <v>866</v>
      </c>
      <c r="G429" t="s">
        <v>37</v>
      </c>
      <c r="H429" t="s">
        <v>38</v>
      </c>
      <c r="I429" t="s">
        <v>14</v>
      </c>
      <c r="J429" t="s">
        <v>27</v>
      </c>
      <c r="K429" t="s">
        <v>156</v>
      </c>
      <c r="L429" t="s">
        <v>174</v>
      </c>
      <c r="M429">
        <v>4</v>
      </c>
      <c r="N429">
        <v>133.99</v>
      </c>
      <c r="O429">
        <v>535.96</v>
      </c>
      <c r="P429">
        <v>15</v>
      </c>
      <c r="Q429">
        <v>80.39</v>
      </c>
      <c r="R429">
        <v>455.57</v>
      </c>
      <c r="S429">
        <v>293.95999999999998</v>
      </c>
      <c r="T429">
        <v>161.61000000000001</v>
      </c>
      <c r="U429" t="s">
        <v>190</v>
      </c>
      <c r="V429" t="s">
        <v>186</v>
      </c>
    </row>
    <row r="430" spans="1:22">
      <c r="A430" t="s">
        <v>1990</v>
      </c>
      <c r="B430" s="1">
        <v>45150</v>
      </c>
      <c r="C430" t="s">
        <v>176</v>
      </c>
      <c r="D430">
        <v>2023</v>
      </c>
      <c r="E430" t="s">
        <v>169</v>
      </c>
      <c r="F430" t="s">
        <v>1991</v>
      </c>
      <c r="G430" t="s">
        <v>28</v>
      </c>
      <c r="H430" t="s">
        <v>29</v>
      </c>
      <c r="I430" t="s">
        <v>14</v>
      </c>
      <c r="J430" t="s">
        <v>19</v>
      </c>
      <c r="K430" t="s">
        <v>164</v>
      </c>
      <c r="L430" t="s">
        <v>194</v>
      </c>
      <c r="M430">
        <v>3</v>
      </c>
      <c r="N430">
        <v>26.46</v>
      </c>
      <c r="O430">
        <v>79.38</v>
      </c>
      <c r="P430">
        <v>5</v>
      </c>
      <c r="Q430">
        <v>3.97</v>
      </c>
      <c r="R430">
        <v>75.41</v>
      </c>
      <c r="S430">
        <v>58.26</v>
      </c>
      <c r="T430">
        <v>17.149999999999999</v>
      </c>
      <c r="U430" t="s">
        <v>190</v>
      </c>
      <c r="V430" t="s">
        <v>159</v>
      </c>
    </row>
    <row r="431" spans="1:22">
      <c r="A431" t="s">
        <v>1713</v>
      </c>
      <c r="B431" s="1">
        <v>45150</v>
      </c>
      <c r="C431" t="s">
        <v>176</v>
      </c>
      <c r="D431">
        <v>2023</v>
      </c>
      <c r="E431" t="s">
        <v>169</v>
      </c>
      <c r="F431" t="s">
        <v>1714</v>
      </c>
      <c r="G431" t="s">
        <v>88</v>
      </c>
      <c r="H431" t="s">
        <v>89</v>
      </c>
      <c r="I431" t="s">
        <v>90</v>
      </c>
      <c r="J431" t="s">
        <v>91</v>
      </c>
      <c r="K431" t="s">
        <v>156</v>
      </c>
      <c r="L431" t="s">
        <v>232</v>
      </c>
      <c r="M431">
        <v>4</v>
      </c>
      <c r="N431">
        <v>54.64</v>
      </c>
      <c r="O431">
        <v>218.56</v>
      </c>
      <c r="P431">
        <v>0</v>
      </c>
      <c r="Q431">
        <v>0</v>
      </c>
      <c r="R431">
        <v>218.56</v>
      </c>
      <c r="S431">
        <v>81.28</v>
      </c>
      <c r="T431">
        <v>137.28</v>
      </c>
      <c r="U431" t="s">
        <v>180</v>
      </c>
      <c r="V431" t="s">
        <v>159</v>
      </c>
    </row>
    <row r="432" spans="1:22">
      <c r="A432" t="s">
        <v>705</v>
      </c>
      <c r="B432" s="1">
        <v>45149</v>
      </c>
      <c r="C432" t="s">
        <v>176</v>
      </c>
      <c r="D432">
        <v>2023</v>
      </c>
      <c r="E432" t="s">
        <v>169</v>
      </c>
      <c r="F432" t="s">
        <v>706</v>
      </c>
      <c r="G432" t="s">
        <v>28</v>
      </c>
      <c r="H432" t="s">
        <v>29</v>
      </c>
      <c r="I432" t="s">
        <v>14</v>
      </c>
      <c r="J432" t="s">
        <v>19</v>
      </c>
      <c r="K432" t="s">
        <v>178</v>
      </c>
      <c r="L432" t="s">
        <v>232</v>
      </c>
      <c r="M432">
        <v>4</v>
      </c>
      <c r="N432">
        <v>26.46</v>
      </c>
      <c r="O432">
        <v>105.84</v>
      </c>
      <c r="P432">
        <v>20</v>
      </c>
      <c r="Q432">
        <v>21.17</v>
      </c>
      <c r="R432">
        <v>84.67</v>
      </c>
      <c r="S432">
        <v>77.680000000000007</v>
      </c>
      <c r="T432">
        <v>6.99</v>
      </c>
      <c r="U432" t="s">
        <v>158</v>
      </c>
      <c r="V432" t="s">
        <v>181</v>
      </c>
    </row>
    <row r="433" spans="1:22">
      <c r="A433" t="s">
        <v>1635</v>
      </c>
      <c r="B433" s="1">
        <v>45149</v>
      </c>
      <c r="C433" t="s">
        <v>176</v>
      </c>
      <c r="D433">
        <v>2023</v>
      </c>
      <c r="E433" t="s">
        <v>169</v>
      </c>
      <c r="F433" t="s">
        <v>1636</v>
      </c>
      <c r="G433" t="s">
        <v>55</v>
      </c>
      <c r="H433" t="s">
        <v>56</v>
      </c>
      <c r="I433" t="s">
        <v>41</v>
      </c>
      <c r="J433" t="s">
        <v>45</v>
      </c>
      <c r="K433" t="s">
        <v>178</v>
      </c>
      <c r="L433" t="s">
        <v>179</v>
      </c>
      <c r="M433">
        <v>2</v>
      </c>
      <c r="N433">
        <v>205.4</v>
      </c>
      <c r="O433">
        <v>410.8</v>
      </c>
      <c r="P433">
        <v>10</v>
      </c>
      <c r="Q433">
        <v>41.08</v>
      </c>
      <c r="R433">
        <v>369.72</v>
      </c>
      <c r="S433">
        <v>141.80000000000001</v>
      </c>
      <c r="T433">
        <v>227.92</v>
      </c>
      <c r="U433" t="s">
        <v>180</v>
      </c>
      <c r="V433" t="s">
        <v>186</v>
      </c>
    </row>
    <row r="434" spans="1:22">
      <c r="A434" t="s">
        <v>857</v>
      </c>
      <c r="B434" s="1">
        <v>45149</v>
      </c>
      <c r="C434" t="s">
        <v>176</v>
      </c>
      <c r="D434">
        <v>2023</v>
      </c>
      <c r="E434" t="s">
        <v>169</v>
      </c>
      <c r="F434" t="s">
        <v>858</v>
      </c>
      <c r="G434" t="s">
        <v>23</v>
      </c>
      <c r="H434" t="s">
        <v>24</v>
      </c>
      <c r="I434" t="s">
        <v>14</v>
      </c>
      <c r="J434" t="s">
        <v>19</v>
      </c>
      <c r="K434" t="s">
        <v>164</v>
      </c>
      <c r="L434" t="s">
        <v>232</v>
      </c>
      <c r="M434">
        <v>2</v>
      </c>
      <c r="N434">
        <v>154.03</v>
      </c>
      <c r="O434">
        <v>308.06</v>
      </c>
      <c r="P434">
        <v>0</v>
      </c>
      <c r="Q434">
        <v>0</v>
      </c>
      <c r="R434">
        <v>308.06</v>
      </c>
      <c r="S434">
        <v>153.58000000000001</v>
      </c>
      <c r="T434">
        <v>154.47999999999999</v>
      </c>
      <c r="U434" t="s">
        <v>166</v>
      </c>
      <c r="V434" t="s">
        <v>159</v>
      </c>
    </row>
    <row r="435" spans="1:22">
      <c r="A435" t="s">
        <v>1587</v>
      </c>
      <c r="B435" s="1">
        <v>45149</v>
      </c>
      <c r="C435" t="s">
        <v>176</v>
      </c>
      <c r="D435">
        <v>2023</v>
      </c>
      <c r="E435" t="s">
        <v>169</v>
      </c>
      <c r="F435" t="s">
        <v>1588</v>
      </c>
      <c r="G435" t="s">
        <v>48</v>
      </c>
      <c r="H435" t="s">
        <v>49</v>
      </c>
      <c r="I435" t="s">
        <v>41</v>
      </c>
      <c r="J435" t="s">
        <v>42</v>
      </c>
      <c r="K435" t="s">
        <v>178</v>
      </c>
      <c r="L435" t="s">
        <v>232</v>
      </c>
      <c r="M435">
        <v>4</v>
      </c>
      <c r="N435">
        <v>84.95</v>
      </c>
      <c r="O435">
        <v>339.8</v>
      </c>
      <c r="P435">
        <v>20</v>
      </c>
      <c r="Q435">
        <v>67.959999999999994</v>
      </c>
      <c r="R435">
        <v>271.83999999999997</v>
      </c>
      <c r="S435">
        <v>212.28</v>
      </c>
      <c r="T435">
        <v>59.56</v>
      </c>
      <c r="U435" t="s">
        <v>190</v>
      </c>
      <c r="V435" t="s">
        <v>159</v>
      </c>
    </row>
    <row r="436" spans="1:22">
      <c r="A436" t="s">
        <v>1432</v>
      </c>
      <c r="B436" s="1">
        <v>45148</v>
      </c>
      <c r="C436" t="s">
        <v>176</v>
      </c>
      <c r="D436">
        <v>2023</v>
      </c>
      <c r="E436" t="s">
        <v>169</v>
      </c>
      <c r="F436" t="s">
        <v>1433</v>
      </c>
      <c r="G436" t="s">
        <v>84</v>
      </c>
      <c r="H436" t="s">
        <v>85</v>
      </c>
      <c r="I436" t="s">
        <v>66</v>
      </c>
      <c r="J436" t="s">
        <v>67</v>
      </c>
      <c r="K436" t="s">
        <v>164</v>
      </c>
      <c r="L436" t="s">
        <v>157</v>
      </c>
      <c r="M436">
        <v>1</v>
      </c>
      <c r="N436">
        <v>174.23</v>
      </c>
      <c r="O436">
        <v>174.23</v>
      </c>
      <c r="P436">
        <v>0</v>
      </c>
      <c r="Q436">
        <v>0</v>
      </c>
      <c r="R436">
        <v>174.23</v>
      </c>
      <c r="S436">
        <v>73.95</v>
      </c>
      <c r="T436">
        <v>100.28</v>
      </c>
      <c r="U436" t="s">
        <v>190</v>
      </c>
      <c r="V436" t="s">
        <v>159</v>
      </c>
    </row>
    <row r="437" spans="1:22">
      <c r="A437" t="s">
        <v>392</v>
      </c>
      <c r="B437" s="1">
        <v>45148</v>
      </c>
      <c r="C437" t="s">
        <v>176</v>
      </c>
      <c r="D437">
        <v>2023</v>
      </c>
      <c r="E437" t="s">
        <v>169</v>
      </c>
      <c r="F437" t="s">
        <v>393</v>
      </c>
      <c r="G437" t="s">
        <v>28</v>
      </c>
      <c r="H437" t="s">
        <v>29</v>
      </c>
      <c r="I437" t="s">
        <v>14</v>
      </c>
      <c r="J437" t="s">
        <v>19</v>
      </c>
      <c r="K437" t="s">
        <v>178</v>
      </c>
      <c r="L437" t="s">
        <v>179</v>
      </c>
      <c r="M437">
        <v>1</v>
      </c>
      <c r="N437">
        <v>26.46</v>
      </c>
      <c r="O437">
        <v>26.46</v>
      </c>
      <c r="P437">
        <v>0</v>
      </c>
      <c r="Q437">
        <v>0</v>
      </c>
      <c r="R437">
        <v>26.46</v>
      </c>
      <c r="S437">
        <v>19.420000000000002</v>
      </c>
      <c r="T437">
        <v>7.04</v>
      </c>
      <c r="U437" t="s">
        <v>190</v>
      </c>
      <c r="V437" t="s">
        <v>181</v>
      </c>
    </row>
    <row r="438" spans="1:22">
      <c r="A438" t="s">
        <v>1984</v>
      </c>
      <c r="B438" s="1">
        <v>45148</v>
      </c>
      <c r="C438" t="s">
        <v>176</v>
      </c>
      <c r="D438">
        <v>2023</v>
      </c>
      <c r="E438" t="s">
        <v>169</v>
      </c>
      <c r="F438" t="s">
        <v>798</v>
      </c>
      <c r="G438" t="s">
        <v>62</v>
      </c>
      <c r="H438" t="s">
        <v>63</v>
      </c>
      <c r="I438" t="s">
        <v>41</v>
      </c>
      <c r="J438" t="s">
        <v>45</v>
      </c>
      <c r="K438" t="s">
        <v>178</v>
      </c>
      <c r="L438" t="s">
        <v>165</v>
      </c>
      <c r="M438">
        <v>4</v>
      </c>
      <c r="N438">
        <v>160.35</v>
      </c>
      <c r="O438">
        <v>641.4</v>
      </c>
      <c r="P438">
        <v>20</v>
      </c>
      <c r="Q438">
        <v>128.28</v>
      </c>
      <c r="R438">
        <v>513.12</v>
      </c>
      <c r="S438">
        <v>289.88</v>
      </c>
      <c r="T438">
        <v>223.24</v>
      </c>
      <c r="U438" t="s">
        <v>166</v>
      </c>
      <c r="V438" t="s">
        <v>159</v>
      </c>
    </row>
    <row r="439" spans="1:22">
      <c r="A439" t="s">
        <v>912</v>
      </c>
      <c r="B439" s="1">
        <v>45148</v>
      </c>
      <c r="C439" t="s">
        <v>176</v>
      </c>
      <c r="D439">
        <v>2023</v>
      </c>
      <c r="E439" t="s">
        <v>169</v>
      </c>
      <c r="F439" t="s">
        <v>913</v>
      </c>
      <c r="G439" t="s">
        <v>23</v>
      </c>
      <c r="H439" t="s">
        <v>24</v>
      </c>
      <c r="I439" t="s">
        <v>14</v>
      </c>
      <c r="J439" t="s">
        <v>19</v>
      </c>
      <c r="K439" t="s">
        <v>164</v>
      </c>
      <c r="L439" t="s">
        <v>204</v>
      </c>
      <c r="M439">
        <v>2</v>
      </c>
      <c r="N439">
        <v>154.03</v>
      </c>
      <c r="O439">
        <v>308.06</v>
      </c>
      <c r="P439">
        <v>10</v>
      </c>
      <c r="Q439">
        <v>30.81</v>
      </c>
      <c r="R439">
        <v>277.25</v>
      </c>
      <c r="S439">
        <v>153.58000000000001</v>
      </c>
      <c r="T439">
        <v>123.67</v>
      </c>
      <c r="U439" t="s">
        <v>158</v>
      </c>
      <c r="V439" t="s">
        <v>186</v>
      </c>
    </row>
    <row r="440" spans="1:22">
      <c r="A440" t="s">
        <v>503</v>
      </c>
      <c r="B440" s="1">
        <v>45147</v>
      </c>
      <c r="C440" t="s">
        <v>176</v>
      </c>
      <c r="D440">
        <v>2023</v>
      </c>
      <c r="E440" t="s">
        <v>169</v>
      </c>
      <c r="F440" t="s">
        <v>504</v>
      </c>
      <c r="G440" t="s">
        <v>28</v>
      </c>
      <c r="H440" t="s">
        <v>29</v>
      </c>
      <c r="I440" t="s">
        <v>14</v>
      </c>
      <c r="J440" t="s">
        <v>19</v>
      </c>
      <c r="K440" t="s">
        <v>156</v>
      </c>
      <c r="L440" t="s">
        <v>232</v>
      </c>
      <c r="M440">
        <v>4</v>
      </c>
      <c r="N440">
        <v>26.46</v>
      </c>
      <c r="O440">
        <v>105.84</v>
      </c>
      <c r="P440">
        <v>0</v>
      </c>
      <c r="Q440">
        <v>0</v>
      </c>
      <c r="R440">
        <v>105.84</v>
      </c>
      <c r="S440">
        <v>77.680000000000007</v>
      </c>
      <c r="T440">
        <v>28.16</v>
      </c>
      <c r="U440" t="s">
        <v>195</v>
      </c>
      <c r="V440" t="s">
        <v>159</v>
      </c>
    </row>
    <row r="441" spans="1:22">
      <c r="A441" t="s">
        <v>1836</v>
      </c>
      <c r="B441" s="1">
        <v>45146</v>
      </c>
      <c r="C441" t="s">
        <v>176</v>
      </c>
      <c r="D441">
        <v>2023</v>
      </c>
      <c r="E441" t="s">
        <v>169</v>
      </c>
      <c r="F441" t="s">
        <v>1837</v>
      </c>
      <c r="G441" t="s">
        <v>103</v>
      </c>
      <c r="H441" t="s">
        <v>104</v>
      </c>
      <c r="I441" t="s">
        <v>90</v>
      </c>
      <c r="J441" t="s">
        <v>94</v>
      </c>
      <c r="K441" t="s">
        <v>209</v>
      </c>
      <c r="L441" t="s">
        <v>179</v>
      </c>
      <c r="M441">
        <v>4</v>
      </c>
      <c r="N441">
        <v>98.58</v>
      </c>
      <c r="O441">
        <v>394.32</v>
      </c>
      <c r="P441">
        <v>0</v>
      </c>
      <c r="Q441">
        <v>0</v>
      </c>
      <c r="R441">
        <v>394.32</v>
      </c>
      <c r="S441">
        <v>210.28</v>
      </c>
      <c r="T441">
        <v>184.04</v>
      </c>
      <c r="U441" t="s">
        <v>180</v>
      </c>
      <c r="V441" t="s">
        <v>159</v>
      </c>
    </row>
    <row r="442" spans="1:22">
      <c r="A442" t="s">
        <v>772</v>
      </c>
      <c r="B442" s="1">
        <v>45146</v>
      </c>
      <c r="C442" t="s">
        <v>176</v>
      </c>
      <c r="D442">
        <v>2023</v>
      </c>
      <c r="E442" t="s">
        <v>169</v>
      </c>
      <c r="F442" t="s">
        <v>773</v>
      </c>
      <c r="G442" t="s">
        <v>46</v>
      </c>
      <c r="H442" t="s">
        <v>47</v>
      </c>
      <c r="I442" t="s">
        <v>41</v>
      </c>
      <c r="J442" t="s">
        <v>45</v>
      </c>
      <c r="K442" t="s">
        <v>209</v>
      </c>
      <c r="L442" t="s">
        <v>165</v>
      </c>
      <c r="M442">
        <v>4</v>
      </c>
      <c r="N442">
        <v>16.95</v>
      </c>
      <c r="O442">
        <v>67.8</v>
      </c>
      <c r="P442">
        <v>10</v>
      </c>
      <c r="Q442">
        <v>6.78</v>
      </c>
      <c r="R442">
        <v>61.02</v>
      </c>
      <c r="S442">
        <v>39.04</v>
      </c>
      <c r="T442">
        <v>21.98</v>
      </c>
      <c r="U442" t="s">
        <v>190</v>
      </c>
      <c r="V442" t="s">
        <v>159</v>
      </c>
    </row>
    <row r="443" spans="1:22">
      <c r="A443" t="s">
        <v>616</v>
      </c>
      <c r="B443" s="1">
        <v>45145</v>
      </c>
      <c r="C443" t="s">
        <v>176</v>
      </c>
      <c r="D443">
        <v>2023</v>
      </c>
      <c r="E443" t="s">
        <v>169</v>
      </c>
      <c r="F443" t="s">
        <v>617</v>
      </c>
      <c r="G443" t="s">
        <v>111</v>
      </c>
      <c r="H443" t="s">
        <v>112</v>
      </c>
      <c r="I443" t="s">
        <v>90</v>
      </c>
      <c r="J443" t="s">
        <v>97</v>
      </c>
      <c r="K443" t="s">
        <v>178</v>
      </c>
      <c r="L443" t="s">
        <v>174</v>
      </c>
      <c r="M443">
        <v>4</v>
      </c>
      <c r="N443">
        <v>189.99</v>
      </c>
      <c r="O443">
        <v>759.96</v>
      </c>
      <c r="P443">
        <v>20</v>
      </c>
      <c r="Q443">
        <v>151.99</v>
      </c>
      <c r="R443">
        <v>607.97</v>
      </c>
      <c r="S443">
        <v>254.04</v>
      </c>
      <c r="T443">
        <v>353.93</v>
      </c>
      <c r="U443" t="s">
        <v>180</v>
      </c>
      <c r="V443" t="s">
        <v>159</v>
      </c>
    </row>
    <row r="444" spans="1:22">
      <c r="A444" t="s">
        <v>1843</v>
      </c>
      <c r="B444" s="1">
        <v>45144</v>
      </c>
      <c r="C444" t="s">
        <v>176</v>
      </c>
      <c r="D444">
        <v>2023</v>
      </c>
      <c r="E444" t="s">
        <v>169</v>
      </c>
      <c r="F444" t="s">
        <v>1844</v>
      </c>
      <c r="G444" t="s">
        <v>78</v>
      </c>
      <c r="H444" t="s">
        <v>79</v>
      </c>
      <c r="I444" t="s">
        <v>66</v>
      </c>
      <c r="J444" t="s">
        <v>70</v>
      </c>
      <c r="K444" t="s">
        <v>164</v>
      </c>
      <c r="L444" t="s">
        <v>194</v>
      </c>
      <c r="M444">
        <v>1</v>
      </c>
      <c r="N444">
        <v>218.05</v>
      </c>
      <c r="O444">
        <v>218.05</v>
      </c>
      <c r="P444">
        <v>0</v>
      </c>
      <c r="Q444">
        <v>0</v>
      </c>
      <c r="R444">
        <v>218.05</v>
      </c>
      <c r="S444">
        <v>74.48</v>
      </c>
      <c r="T444">
        <v>143.57</v>
      </c>
      <c r="U444" t="s">
        <v>166</v>
      </c>
      <c r="V444" t="s">
        <v>181</v>
      </c>
    </row>
    <row r="445" spans="1:22">
      <c r="A445" t="s">
        <v>1609</v>
      </c>
      <c r="B445" s="1">
        <v>45144</v>
      </c>
      <c r="C445" t="s">
        <v>176</v>
      </c>
      <c r="D445">
        <v>2023</v>
      </c>
      <c r="E445" t="s">
        <v>169</v>
      </c>
      <c r="F445" t="s">
        <v>1610</v>
      </c>
      <c r="G445" t="s">
        <v>71</v>
      </c>
      <c r="H445" t="s">
        <v>72</v>
      </c>
      <c r="I445" t="s">
        <v>66</v>
      </c>
      <c r="J445" t="s">
        <v>70</v>
      </c>
      <c r="K445" t="s">
        <v>209</v>
      </c>
      <c r="L445" t="s">
        <v>232</v>
      </c>
      <c r="M445">
        <v>2</v>
      </c>
      <c r="N445">
        <v>26.7</v>
      </c>
      <c r="O445">
        <v>53.4</v>
      </c>
      <c r="P445">
        <v>0</v>
      </c>
      <c r="Q445">
        <v>0</v>
      </c>
      <c r="R445">
        <v>53.4</v>
      </c>
      <c r="S445">
        <v>24.54</v>
      </c>
      <c r="T445">
        <v>28.86</v>
      </c>
      <c r="U445" t="s">
        <v>180</v>
      </c>
      <c r="V445" t="s">
        <v>159</v>
      </c>
    </row>
    <row r="446" spans="1:22">
      <c r="A446" t="s">
        <v>751</v>
      </c>
      <c r="B446" s="1">
        <v>45143</v>
      </c>
      <c r="C446" t="s">
        <v>176</v>
      </c>
      <c r="D446">
        <v>2023</v>
      </c>
      <c r="E446" t="s">
        <v>169</v>
      </c>
      <c r="F446" t="s">
        <v>752</v>
      </c>
      <c r="G446" t="s">
        <v>55</v>
      </c>
      <c r="H446" t="s">
        <v>56</v>
      </c>
      <c r="I446" t="s">
        <v>41</v>
      </c>
      <c r="J446" t="s">
        <v>45</v>
      </c>
      <c r="K446" t="s">
        <v>164</v>
      </c>
      <c r="L446" t="s">
        <v>174</v>
      </c>
      <c r="M446">
        <v>2</v>
      </c>
      <c r="N446">
        <v>205.4</v>
      </c>
      <c r="O446">
        <v>410.8</v>
      </c>
      <c r="P446">
        <v>15</v>
      </c>
      <c r="Q446">
        <v>61.62</v>
      </c>
      <c r="R446">
        <v>349.18</v>
      </c>
      <c r="S446">
        <v>141.80000000000001</v>
      </c>
      <c r="T446">
        <v>207.38</v>
      </c>
      <c r="U446" t="s">
        <v>180</v>
      </c>
      <c r="V446" t="s">
        <v>181</v>
      </c>
    </row>
    <row r="447" spans="1:22">
      <c r="A447" t="s">
        <v>1247</v>
      </c>
      <c r="B447" s="1">
        <v>45142</v>
      </c>
      <c r="C447" t="s">
        <v>176</v>
      </c>
      <c r="D447">
        <v>2023</v>
      </c>
      <c r="E447" t="s">
        <v>169</v>
      </c>
      <c r="F447" t="s">
        <v>1248</v>
      </c>
      <c r="G447" t="s">
        <v>135</v>
      </c>
      <c r="H447" t="s">
        <v>136</v>
      </c>
      <c r="I447" t="s">
        <v>115</v>
      </c>
      <c r="J447" t="s">
        <v>119</v>
      </c>
      <c r="K447" t="s">
        <v>209</v>
      </c>
      <c r="L447" t="s">
        <v>165</v>
      </c>
      <c r="M447">
        <v>4</v>
      </c>
      <c r="N447">
        <v>89.62</v>
      </c>
      <c r="O447">
        <v>358.48</v>
      </c>
      <c r="P447">
        <v>10</v>
      </c>
      <c r="Q447">
        <v>35.85</v>
      </c>
      <c r="R447">
        <v>322.63</v>
      </c>
      <c r="S447">
        <v>152.52000000000001</v>
      </c>
      <c r="T447">
        <v>170.11</v>
      </c>
      <c r="U447" t="s">
        <v>166</v>
      </c>
      <c r="V447" t="s">
        <v>186</v>
      </c>
    </row>
    <row r="448" spans="1:22">
      <c r="A448" t="s">
        <v>212</v>
      </c>
      <c r="B448" s="1">
        <v>45142</v>
      </c>
      <c r="C448" t="s">
        <v>176</v>
      </c>
      <c r="D448">
        <v>2023</v>
      </c>
      <c r="E448" t="s">
        <v>169</v>
      </c>
      <c r="F448" t="s">
        <v>213</v>
      </c>
      <c r="G448" t="s">
        <v>68</v>
      </c>
      <c r="H448" t="s">
        <v>69</v>
      </c>
      <c r="I448" t="s">
        <v>66</v>
      </c>
      <c r="J448" t="s">
        <v>70</v>
      </c>
      <c r="K448" t="s">
        <v>209</v>
      </c>
      <c r="L448" t="s">
        <v>204</v>
      </c>
      <c r="M448">
        <v>4</v>
      </c>
      <c r="N448">
        <v>98.51</v>
      </c>
      <c r="O448">
        <v>394.04</v>
      </c>
      <c r="P448">
        <v>0</v>
      </c>
      <c r="Q448">
        <v>0</v>
      </c>
      <c r="R448">
        <v>394.04</v>
      </c>
      <c r="S448">
        <v>220.68</v>
      </c>
      <c r="T448">
        <v>173.36</v>
      </c>
      <c r="U448" t="s">
        <v>158</v>
      </c>
      <c r="V448" t="s">
        <v>181</v>
      </c>
    </row>
    <row r="449" spans="1:22">
      <c r="A449" t="s">
        <v>202</v>
      </c>
      <c r="B449" s="1">
        <v>45141</v>
      </c>
      <c r="C449" t="s">
        <v>176</v>
      </c>
      <c r="D449">
        <v>2023</v>
      </c>
      <c r="E449" t="s">
        <v>169</v>
      </c>
      <c r="F449" t="s">
        <v>203</v>
      </c>
      <c r="G449" t="s">
        <v>133</v>
      </c>
      <c r="H449" t="s">
        <v>134</v>
      </c>
      <c r="I449" t="s">
        <v>115</v>
      </c>
      <c r="J449" t="s">
        <v>119</v>
      </c>
      <c r="K449" t="s">
        <v>156</v>
      </c>
      <c r="L449" t="s">
        <v>204</v>
      </c>
      <c r="M449">
        <v>4</v>
      </c>
      <c r="N449">
        <v>78.84</v>
      </c>
      <c r="O449">
        <v>315.36</v>
      </c>
      <c r="P449">
        <v>20</v>
      </c>
      <c r="Q449">
        <v>63.07</v>
      </c>
      <c r="R449">
        <v>252.29</v>
      </c>
      <c r="S449">
        <v>190.72</v>
      </c>
      <c r="T449">
        <v>61.57</v>
      </c>
      <c r="U449" t="s">
        <v>190</v>
      </c>
      <c r="V449" t="s">
        <v>159</v>
      </c>
    </row>
    <row r="450" spans="1:22">
      <c r="A450" t="s">
        <v>302</v>
      </c>
      <c r="B450" s="1">
        <v>45139</v>
      </c>
      <c r="C450" t="s">
        <v>176</v>
      </c>
      <c r="D450">
        <v>2023</v>
      </c>
      <c r="E450" t="s">
        <v>169</v>
      </c>
      <c r="F450" t="s">
        <v>303</v>
      </c>
      <c r="G450" t="s">
        <v>25</v>
      </c>
      <c r="H450" t="s">
        <v>26</v>
      </c>
      <c r="I450" t="s">
        <v>14</v>
      </c>
      <c r="J450" t="s">
        <v>27</v>
      </c>
      <c r="K450" t="s">
        <v>178</v>
      </c>
      <c r="L450" t="s">
        <v>179</v>
      </c>
      <c r="M450">
        <v>3</v>
      </c>
      <c r="N450">
        <v>18.39</v>
      </c>
      <c r="O450">
        <v>55.17</v>
      </c>
      <c r="P450">
        <v>20</v>
      </c>
      <c r="Q450">
        <v>11.03</v>
      </c>
      <c r="R450">
        <v>44.14</v>
      </c>
      <c r="S450">
        <v>24.78</v>
      </c>
      <c r="T450">
        <v>19.36</v>
      </c>
      <c r="U450" t="s">
        <v>158</v>
      </c>
      <c r="V450" t="s">
        <v>159</v>
      </c>
    </row>
    <row r="451" spans="1:22">
      <c r="A451" t="s">
        <v>1117</v>
      </c>
      <c r="B451" s="1">
        <v>45139</v>
      </c>
      <c r="C451" t="s">
        <v>176</v>
      </c>
      <c r="D451">
        <v>2023</v>
      </c>
      <c r="E451" t="s">
        <v>169</v>
      </c>
      <c r="F451" t="s">
        <v>1118</v>
      </c>
      <c r="G451" t="s">
        <v>127</v>
      </c>
      <c r="H451" t="s">
        <v>128</v>
      </c>
      <c r="I451" t="s">
        <v>115</v>
      </c>
      <c r="J451" t="s">
        <v>124</v>
      </c>
      <c r="K451" t="s">
        <v>209</v>
      </c>
      <c r="L451" t="s">
        <v>179</v>
      </c>
      <c r="M451">
        <v>3</v>
      </c>
      <c r="N451">
        <v>94.76</v>
      </c>
      <c r="O451">
        <v>284.28000000000003</v>
      </c>
      <c r="P451">
        <v>0</v>
      </c>
      <c r="Q451">
        <v>0</v>
      </c>
      <c r="R451">
        <v>284.27999999999997</v>
      </c>
      <c r="S451">
        <v>236.46</v>
      </c>
      <c r="T451">
        <v>47.82</v>
      </c>
      <c r="U451" t="s">
        <v>180</v>
      </c>
      <c r="V451" t="s">
        <v>186</v>
      </c>
    </row>
    <row r="452" spans="1:22">
      <c r="A452" t="s">
        <v>811</v>
      </c>
      <c r="B452" s="1">
        <v>45139</v>
      </c>
      <c r="C452" t="s">
        <v>176</v>
      </c>
      <c r="D452">
        <v>2023</v>
      </c>
      <c r="E452" t="s">
        <v>169</v>
      </c>
      <c r="F452" t="s">
        <v>812</v>
      </c>
      <c r="G452" t="s">
        <v>37</v>
      </c>
      <c r="H452" t="s">
        <v>38</v>
      </c>
      <c r="I452" t="s">
        <v>14</v>
      </c>
      <c r="J452" t="s">
        <v>27</v>
      </c>
      <c r="K452" t="s">
        <v>164</v>
      </c>
      <c r="L452" t="s">
        <v>174</v>
      </c>
      <c r="M452">
        <v>3</v>
      </c>
      <c r="N452">
        <v>133.99</v>
      </c>
      <c r="O452">
        <v>401.97</v>
      </c>
      <c r="P452">
        <v>15</v>
      </c>
      <c r="Q452">
        <v>60.3</v>
      </c>
      <c r="R452">
        <v>341.67</v>
      </c>
      <c r="S452">
        <v>220.47</v>
      </c>
      <c r="T452">
        <v>121.2</v>
      </c>
      <c r="U452" t="s">
        <v>158</v>
      </c>
      <c r="V452" t="s">
        <v>186</v>
      </c>
    </row>
    <row r="453" spans="1:22">
      <c r="A453" t="s">
        <v>1782</v>
      </c>
      <c r="B453" s="1">
        <v>45139</v>
      </c>
      <c r="C453" t="s">
        <v>176</v>
      </c>
      <c r="D453">
        <v>2023</v>
      </c>
      <c r="E453" t="s">
        <v>169</v>
      </c>
      <c r="F453" t="s">
        <v>1783</v>
      </c>
      <c r="G453" t="s">
        <v>39</v>
      </c>
      <c r="H453" t="s">
        <v>40</v>
      </c>
      <c r="I453" t="s">
        <v>41</v>
      </c>
      <c r="J453" t="s">
        <v>42</v>
      </c>
      <c r="K453" t="s">
        <v>209</v>
      </c>
      <c r="L453" t="s">
        <v>157</v>
      </c>
      <c r="M453">
        <v>4</v>
      </c>
      <c r="N453">
        <v>35.11</v>
      </c>
      <c r="O453">
        <v>140.44</v>
      </c>
      <c r="P453">
        <v>15</v>
      </c>
      <c r="Q453">
        <v>21.07</v>
      </c>
      <c r="R453">
        <v>119.37</v>
      </c>
      <c r="S453">
        <v>99.48</v>
      </c>
      <c r="T453">
        <v>19.89</v>
      </c>
      <c r="U453" t="s">
        <v>190</v>
      </c>
      <c r="V453" t="s">
        <v>159</v>
      </c>
    </row>
    <row r="454" spans="1:22">
      <c r="A454" t="s">
        <v>988</v>
      </c>
      <c r="B454" s="1">
        <v>45139</v>
      </c>
      <c r="C454" t="s">
        <v>176</v>
      </c>
      <c r="D454">
        <v>2023</v>
      </c>
      <c r="E454" t="s">
        <v>169</v>
      </c>
      <c r="F454" t="s">
        <v>989</v>
      </c>
      <c r="G454" t="s">
        <v>98</v>
      </c>
      <c r="H454" t="s">
        <v>99</v>
      </c>
      <c r="I454" t="s">
        <v>90</v>
      </c>
      <c r="J454" t="s">
        <v>100</v>
      </c>
      <c r="K454" t="s">
        <v>156</v>
      </c>
      <c r="L454" t="s">
        <v>232</v>
      </c>
      <c r="M454">
        <v>4</v>
      </c>
      <c r="N454">
        <v>194.87</v>
      </c>
      <c r="O454">
        <v>779.48</v>
      </c>
      <c r="P454">
        <v>0</v>
      </c>
      <c r="Q454">
        <v>0</v>
      </c>
      <c r="R454">
        <v>779.48</v>
      </c>
      <c r="S454">
        <v>315.16000000000003</v>
      </c>
      <c r="T454">
        <v>464.32</v>
      </c>
      <c r="U454" t="s">
        <v>166</v>
      </c>
      <c r="V454" t="s">
        <v>181</v>
      </c>
    </row>
    <row r="455" spans="1:22">
      <c r="A455" t="s">
        <v>635</v>
      </c>
      <c r="B455" s="1">
        <v>45139</v>
      </c>
      <c r="C455" t="s">
        <v>176</v>
      </c>
      <c r="D455">
        <v>2023</v>
      </c>
      <c r="E455" t="s">
        <v>169</v>
      </c>
      <c r="F455" t="s">
        <v>636</v>
      </c>
      <c r="G455" t="s">
        <v>86</v>
      </c>
      <c r="H455" t="s">
        <v>87</v>
      </c>
      <c r="I455" t="s">
        <v>66</v>
      </c>
      <c r="J455" t="s">
        <v>67</v>
      </c>
      <c r="K455" t="s">
        <v>209</v>
      </c>
      <c r="L455" t="s">
        <v>232</v>
      </c>
      <c r="M455">
        <v>2</v>
      </c>
      <c r="N455">
        <v>124.77</v>
      </c>
      <c r="O455">
        <v>249.54</v>
      </c>
      <c r="P455">
        <v>10</v>
      </c>
      <c r="Q455">
        <v>24.95</v>
      </c>
      <c r="R455">
        <v>224.59</v>
      </c>
      <c r="S455">
        <v>139.28</v>
      </c>
      <c r="T455">
        <v>85.31</v>
      </c>
      <c r="U455" t="s">
        <v>180</v>
      </c>
      <c r="V455" t="s">
        <v>159</v>
      </c>
    </row>
    <row r="456" spans="1:22">
      <c r="A456" t="s">
        <v>1933</v>
      </c>
      <c r="B456" s="1">
        <v>45139</v>
      </c>
      <c r="C456" t="s">
        <v>176</v>
      </c>
      <c r="D456">
        <v>2023</v>
      </c>
      <c r="E456" t="s">
        <v>169</v>
      </c>
      <c r="F456" t="s">
        <v>399</v>
      </c>
      <c r="G456" t="s">
        <v>60</v>
      </c>
      <c r="H456" t="s">
        <v>61</v>
      </c>
      <c r="I456" t="s">
        <v>41</v>
      </c>
      <c r="J456" t="s">
        <v>59</v>
      </c>
      <c r="K456" t="s">
        <v>156</v>
      </c>
      <c r="L456" t="s">
        <v>204</v>
      </c>
      <c r="M456">
        <v>2</v>
      </c>
      <c r="N456">
        <v>103.56</v>
      </c>
      <c r="O456">
        <v>207.12</v>
      </c>
      <c r="P456">
        <v>0</v>
      </c>
      <c r="Q456">
        <v>0</v>
      </c>
      <c r="R456">
        <v>207.12</v>
      </c>
      <c r="S456">
        <v>89.16</v>
      </c>
      <c r="T456">
        <v>117.96</v>
      </c>
      <c r="U456" t="s">
        <v>180</v>
      </c>
      <c r="V456" t="s">
        <v>181</v>
      </c>
    </row>
    <row r="457" spans="1:22">
      <c r="A457" t="s">
        <v>1711</v>
      </c>
      <c r="B457" s="1">
        <v>45138</v>
      </c>
      <c r="C457" t="s">
        <v>168</v>
      </c>
      <c r="D457">
        <v>2023</v>
      </c>
      <c r="E457" t="s">
        <v>169</v>
      </c>
      <c r="F457" t="s">
        <v>1712</v>
      </c>
      <c r="G457" t="s">
        <v>50</v>
      </c>
      <c r="H457" t="s">
        <v>51</v>
      </c>
      <c r="I457" t="s">
        <v>41</v>
      </c>
      <c r="J457" t="s">
        <v>52</v>
      </c>
      <c r="K457" t="s">
        <v>156</v>
      </c>
      <c r="L457" t="s">
        <v>204</v>
      </c>
      <c r="M457">
        <v>1</v>
      </c>
      <c r="N457">
        <v>143.80000000000001</v>
      </c>
      <c r="O457">
        <v>143.80000000000001</v>
      </c>
      <c r="P457">
        <v>0</v>
      </c>
      <c r="Q457">
        <v>0</v>
      </c>
      <c r="R457">
        <v>143.80000000000001</v>
      </c>
      <c r="S457">
        <v>62.15</v>
      </c>
      <c r="T457">
        <v>81.650000000000006</v>
      </c>
      <c r="U457" t="s">
        <v>190</v>
      </c>
      <c r="V457" t="s">
        <v>159</v>
      </c>
    </row>
    <row r="458" spans="1:22">
      <c r="A458" t="s">
        <v>1541</v>
      </c>
      <c r="B458" s="1">
        <v>45138</v>
      </c>
      <c r="C458" t="s">
        <v>168</v>
      </c>
      <c r="D458">
        <v>2023</v>
      </c>
      <c r="E458" t="s">
        <v>169</v>
      </c>
      <c r="F458" t="s">
        <v>1542</v>
      </c>
      <c r="G458" t="s">
        <v>68</v>
      </c>
      <c r="H458" t="s">
        <v>69</v>
      </c>
      <c r="I458" t="s">
        <v>66</v>
      </c>
      <c r="J458" t="s">
        <v>70</v>
      </c>
      <c r="K458" t="s">
        <v>209</v>
      </c>
      <c r="L458" t="s">
        <v>179</v>
      </c>
      <c r="M458">
        <v>4</v>
      </c>
      <c r="N458">
        <v>98.51</v>
      </c>
      <c r="O458">
        <v>394.04</v>
      </c>
      <c r="P458">
        <v>20</v>
      </c>
      <c r="Q458">
        <v>78.81</v>
      </c>
      <c r="R458">
        <v>315.23</v>
      </c>
      <c r="S458">
        <v>220.68</v>
      </c>
      <c r="T458">
        <v>94.55</v>
      </c>
      <c r="U458" t="s">
        <v>166</v>
      </c>
      <c r="V458" t="s">
        <v>159</v>
      </c>
    </row>
    <row r="459" spans="1:22">
      <c r="A459" t="s">
        <v>1229</v>
      </c>
      <c r="B459" s="1">
        <v>45137</v>
      </c>
      <c r="C459" t="s">
        <v>168</v>
      </c>
      <c r="D459">
        <v>2023</v>
      </c>
      <c r="E459" t="s">
        <v>169</v>
      </c>
      <c r="F459" t="s">
        <v>1230</v>
      </c>
      <c r="G459" t="s">
        <v>48</v>
      </c>
      <c r="H459" t="s">
        <v>49</v>
      </c>
      <c r="I459" t="s">
        <v>41</v>
      </c>
      <c r="J459" t="s">
        <v>42</v>
      </c>
      <c r="K459" t="s">
        <v>156</v>
      </c>
      <c r="L459" t="s">
        <v>174</v>
      </c>
      <c r="M459">
        <v>2</v>
      </c>
      <c r="N459">
        <v>84.95</v>
      </c>
      <c r="O459">
        <v>169.9</v>
      </c>
      <c r="P459">
        <v>15</v>
      </c>
      <c r="Q459">
        <v>25.48</v>
      </c>
      <c r="R459">
        <v>144.41999999999999</v>
      </c>
      <c r="S459">
        <v>106.14</v>
      </c>
      <c r="T459">
        <v>38.28</v>
      </c>
      <c r="U459" t="s">
        <v>190</v>
      </c>
      <c r="V459" t="s">
        <v>181</v>
      </c>
    </row>
    <row r="460" spans="1:22">
      <c r="A460" t="s">
        <v>807</v>
      </c>
      <c r="B460" s="1">
        <v>45137</v>
      </c>
      <c r="C460" t="s">
        <v>168</v>
      </c>
      <c r="D460">
        <v>2023</v>
      </c>
      <c r="E460" t="s">
        <v>169</v>
      </c>
      <c r="F460" t="s">
        <v>808</v>
      </c>
      <c r="G460" t="s">
        <v>122</v>
      </c>
      <c r="H460" t="s">
        <v>123</v>
      </c>
      <c r="I460" t="s">
        <v>115</v>
      </c>
      <c r="J460" t="s">
        <v>124</v>
      </c>
      <c r="K460" t="s">
        <v>209</v>
      </c>
      <c r="L460" t="s">
        <v>194</v>
      </c>
      <c r="M460">
        <v>1</v>
      </c>
      <c r="N460">
        <v>93.88</v>
      </c>
      <c r="O460">
        <v>93.88</v>
      </c>
      <c r="P460">
        <v>0</v>
      </c>
      <c r="Q460">
        <v>0</v>
      </c>
      <c r="R460">
        <v>93.88</v>
      </c>
      <c r="S460">
        <v>53.11</v>
      </c>
      <c r="T460">
        <v>40.770000000000003</v>
      </c>
      <c r="U460" t="s">
        <v>190</v>
      </c>
      <c r="V460" t="s">
        <v>159</v>
      </c>
    </row>
    <row r="461" spans="1:22">
      <c r="A461" t="s">
        <v>531</v>
      </c>
      <c r="B461" s="1">
        <v>45137</v>
      </c>
      <c r="C461" t="s">
        <v>168</v>
      </c>
      <c r="D461">
        <v>2023</v>
      </c>
      <c r="E461" t="s">
        <v>169</v>
      </c>
      <c r="F461" t="s">
        <v>532</v>
      </c>
      <c r="G461" t="s">
        <v>127</v>
      </c>
      <c r="H461" t="s">
        <v>128</v>
      </c>
      <c r="I461" t="s">
        <v>115</v>
      </c>
      <c r="J461" t="s">
        <v>124</v>
      </c>
      <c r="K461" t="s">
        <v>164</v>
      </c>
      <c r="L461" t="s">
        <v>179</v>
      </c>
      <c r="M461">
        <v>4</v>
      </c>
      <c r="N461">
        <v>94.76</v>
      </c>
      <c r="O461">
        <v>379.04</v>
      </c>
      <c r="P461">
        <v>10</v>
      </c>
      <c r="Q461">
        <v>37.9</v>
      </c>
      <c r="R461">
        <v>341.14</v>
      </c>
      <c r="S461">
        <v>315.27999999999997</v>
      </c>
      <c r="T461">
        <v>25.86</v>
      </c>
      <c r="U461" t="s">
        <v>166</v>
      </c>
      <c r="V461" t="s">
        <v>159</v>
      </c>
    </row>
    <row r="462" spans="1:22">
      <c r="A462" t="s">
        <v>1316</v>
      </c>
      <c r="B462" s="1">
        <v>45137</v>
      </c>
      <c r="C462" t="s">
        <v>168</v>
      </c>
      <c r="D462">
        <v>2023</v>
      </c>
      <c r="E462" t="s">
        <v>169</v>
      </c>
      <c r="F462" t="s">
        <v>1317</v>
      </c>
      <c r="G462" t="s">
        <v>55</v>
      </c>
      <c r="H462" t="s">
        <v>56</v>
      </c>
      <c r="I462" t="s">
        <v>41</v>
      </c>
      <c r="J462" t="s">
        <v>45</v>
      </c>
      <c r="K462" t="s">
        <v>178</v>
      </c>
      <c r="L462" t="s">
        <v>179</v>
      </c>
      <c r="M462">
        <v>3</v>
      </c>
      <c r="N462">
        <v>205.4</v>
      </c>
      <c r="O462">
        <v>616.20000000000005</v>
      </c>
      <c r="P462">
        <v>0</v>
      </c>
      <c r="Q462">
        <v>0</v>
      </c>
      <c r="R462">
        <v>616.20000000000005</v>
      </c>
      <c r="S462">
        <v>212.7</v>
      </c>
      <c r="T462">
        <v>403.5</v>
      </c>
      <c r="U462" t="s">
        <v>166</v>
      </c>
      <c r="V462" t="s">
        <v>159</v>
      </c>
    </row>
    <row r="463" spans="1:22">
      <c r="A463" t="s">
        <v>749</v>
      </c>
      <c r="B463" s="1">
        <v>45136</v>
      </c>
      <c r="C463" t="s">
        <v>168</v>
      </c>
      <c r="D463">
        <v>2023</v>
      </c>
      <c r="E463" t="s">
        <v>169</v>
      </c>
      <c r="F463" t="s">
        <v>750</v>
      </c>
      <c r="G463" t="s">
        <v>60</v>
      </c>
      <c r="H463" t="s">
        <v>61</v>
      </c>
      <c r="I463" t="s">
        <v>41</v>
      </c>
      <c r="J463" t="s">
        <v>59</v>
      </c>
      <c r="K463" t="s">
        <v>164</v>
      </c>
      <c r="L463" t="s">
        <v>157</v>
      </c>
      <c r="M463">
        <v>1</v>
      </c>
      <c r="N463">
        <v>103.56</v>
      </c>
      <c r="O463">
        <v>103.56</v>
      </c>
      <c r="P463">
        <v>20</v>
      </c>
      <c r="Q463">
        <v>20.71</v>
      </c>
      <c r="R463">
        <v>82.85</v>
      </c>
      <c r="S463">
        <v>44.58</v>
      </c>
      <c r="T463">
        <v>38.270000000000003</v>
      </c>
      <c r="U463" t="s">
        <v>195</v>
      </c>
      <c r="V463" t="s">
        <v>159</v>
      </c>
    </row>
    <row r="464" spans="1:22">
      <c r="A464" t="s">
        <v>641</v>
      </c>
      <c r="B464" s="1">
        <v>45136</v>
      </c>
      <c r="C464" t="s">
        <v>168</v>
      </c>
      <c r="D464">
        <v>2023</v>
      </c>
      <c r="E464" t="s">
        <v>169</v>
      </c>
      <c r="F464" t="s">
        <v>642</v>
      </c>
      <c r="G464" t="s">
        <v>88</v>
      </c>
      <c r="H464" t="s">
        <v>89</v>
      </c>
      <c r="I464" t="s">
        <v>90</v>
      </c>
      <c r="J464" t="s">
        <v>91</v>
      </c>
      <c r="K464" t="s">
        <v>156</v>
      </c>
      <c r="L464" t="s">
        <v>179</v>
      </c>
      <c r="M464">
        <v>1</v>
      </c>
      <c r="N464">
        <v>54.64</v>
      </c>
      <c r="O464">
        <v>54.64</v>
      </c>
      <c r="P464">
        <v>0</v>
      </c>
      <c r="Q464">
        <v>0</v>
      </c>
      <c r="R464">
        <v>54.64</v>
      </c>
      <c r="S464">
        <v>20.32</v>
      </c>
      <c r="T464">
        <v>34.32</v>
      </c>
      <c r="U464" t="s">
        <v>180</v>
      </c>
      <c r="V464" t="s">
        <v>159</v>
      </c>
    </row>
    <row r="465" spans="1:22">
      <c r="A465" t="s">
        <v>296</v>
      </c>
      <c r="B465" s="1">
        <v>45135</v>
      </c>
      <c r="C465" t="s">
        <v>168</v>
      </c>
      <c r="D465">
        <v>2023</v>
      </c>
      <c r="E465" t="s">
        <v>169</v>
      </c>
      <c r="F465" t="s">
        <v>297</v>
      </c>
      <c r="G465" t="s">
        <v>103</v>
      </c>
      <c r="H465" t="s">
        <v>104</v>
      </c>
      <c r="I465" t="s">
        <v>90</v>
      </c>
      <c r="J465" t="s">
        <v>94</v>
      </c>
      <c r="K465" t="s">
        <v>156</v>
      </c>
      <c r="L465" t="s">
        <v>179</v>
      </c>
      <c r="M465">
        <v>1</v>
      </c>
      <c r="N465">
        <v>98.58</v>
      </c>
      <c r="O465">
        <v>98.58</v>
      </c>
      <c r="P465">
        <v>10</v>
      </c>
      <c r="Q465">
        <v>9.86</v>
      </c>
      <c r="R465">
        <v>88.72</v>
      </c>
      <c r="S465">
        <v>52.57</v>
      </c>
      <c r="T465">
        <v>36.15</v>
      </c>
      <c r="U465" t="s">
        <v>158</v>
      </c>
      <c r="V465" t="s">
        <v>186</v>
      </c>
    </row>
    <row r="466" spans="1:22">
      <c r="A466" t="s">
        <v>1002</v>
      </c>
      <c r="B466" s="1">
        <v>45135</v>
      </c>
      <c r="C466" t="s">
        <v>168</v>
      </c>
      <c r="D466">
        <v>2023</v>
      </c>
      <c r="E466" t="s">
        <v>169</v>
      </c>
      <c r="F466" t="s">
        <v>1003</v>
      </c>
      <c r="G466" t="s">
        <v>84</v>
      </c>
      <c r="H466" t="s">
        <v>85</v>
      </c>
      <c r="I466" t="s">
        <v>66</v>
      </c>
      <c r="J466" t="s">
        <v>67</v>
      </c>
      <c r="K466" t="s">
        <v>164</v>
      </c>
      <c r="L466" t="s">
        <v>179</v>
      </c>
      <c r="M466">
        <v>2</v>
      </c>
      <c r="N466">
        <v>174.23</v>
      </c>
      <c r="O466">
        <v>348.46</v>
      </c>
      <c r="P466">
        <v>20</v>
      </c>
      <c r="Q466">
        <v>69.69</v>
      </c>
      <c r="R466">
        <v>278.77</v>
      </c>
      <c r="S466">
        <v>147.9</v>
      </c>
      <c r="T466">
        <v>130.87</v>
      </c>
      <c r="U466" t="s">
        <v>166</v>
      </c>
      <c r="V466" t="s">
        <v>159</v>
      </c>
    </row>
    <row r="467" spans="1:22">
      <c r="A467" t="s">
        <v>1278</v>
      </c>
      <c r="B467" s="1">
        <v>45133</v>
      </c>
      <c r="C467" t="s">
        <v>168</v>
      </c>
      <c r="D467">
        <v>2023</v>
      </c>
      <c r="E467" t="s">
        <v>169</v>
      </c>
      <c r="F467" t="s">
        <v>335</v>
      </c>
      <c r="G467" t="s">
        <v>109</v>
      </c>
      <c r="H467" t="s">
        <v>110</v>
      </c>
      <c r="I467" t="s">
        <v>90</v>
      </c>
      <c r="J467" t="s">
        <v>100</v>
      </c>
      <c r="K467" t="s">
        <v>209</v>
      </c>
      <c r="L467" t="s">
        <v>194</v>
      </c>
      <c r="M467">
        <v>2</v>
      </c>
      <c r="N467">
        <v>77.67</v>
      </c>
      <c r="O467">
        <v>155.34</v>
      </c>
      <c r="P467">
        <v>5</v>
      </c>
      <c r="Q467">
        <v>7.77</v>
      </c>
      <c r="R467">
        <v>147.57</v>
      </c>
      <c r="S467">
        <v>56.24</v>
      </c>
      <c r="T467">
        <v>91.33</v>
      </c>
      <c r="U467" t="s">
        <v>190</v>
      </c>
      <c r="V467" t="s">
        <v>186</v>
      </c>
    </row>
    <row r="468" spans="1:22">
      <c r="A468" t="s">
        <v>994</v>
      </c>
      <c r="B468" s="1">
        <v>45133</v>
      </c>
      <c r="C468" t="s">
        <v>168</v>
      </c>
      <c r="D468">
        <v>2023</v>
      </c>
      <c r="E468" t="s">
        <v>169</v>
      </c>
      <c r="F468" t="s">
        <v>995</v>
      </c>
      <c r="G468" t="s">
        <v>21</v>
      </c>
      <c r="H468" t="s">
        <v>22</v>
      </c>
      <c r="I468" t="s">
        <v>14</v>
      </c>
      <c r="J468" t="s">
        <v>15</v>
      </c>
      <c r="K468" t="s">
        <v>164</v>
      </c>
      <c r="L468" t="s">
        <v>174</v>
      </c>
      <c r="M468">
        <v>2</v>
      </c>
      <c r="N468">
        <v>65.430000000000007</v>
      </c>
      <c r="O468">
        <v>130.86000000000001</v>
      </c>
      <c r="P468">
        <v>0</v>
      </c>
      <c r="Q468">
        <v>0</v>
      </c>
      <c r="R468">
        <v>130.86000000000001</v>
      </c>
      <c r="S468">
        <v>77.38</v>
      </c>
      <c r="T468">
        <v>53.48</v>
      </c>
      <c r="U468" t="s">
        <v>180</v>
      </c>
      <c r="V468" t="s">
        <v>159</v>
      </c>
    </row>
    <row r="469" spans="1:22">
      <c r="A469" t="s">
        <v>564</v>
      </c>
      <c r="B469" s="1">
        <v>45133</v>
      </c>
      <c r="C469" t="s">
        <v>168</v>
      </c>
      <c r="D469">
        <v>2023</v>
      </c>
      <c r="E469" t="s">
        <v>169</v>
      </c>
      <c r="F469" t="s">
        <v>565</v>
      </c>
      <c r="G469" t="s">
        <v>129</v>
      </c>
      <c r="H469" t="s">
        <v>130</v>
      </c>
      <c r="I469" t="s">
        <v>115</v>
      </c>
      <c r="J469" t="s">
        <v>124</v>
      </c>
      <c r="K469" t="s">
        <v>209</v>
      </c>
      <c r="L469" t="s">
        <v>204</v>
      </c>
      <c r="M469">
        <v>3</v>
      </c>
      <c r="N469">
        <v>99.34</v>
      </c>
      <c r="O469">
        <v>298.02</v>
      </c>
      <c r="P469">
        <v>20</v>
      </c>
      <c r="Q469">
        <v>59.6</v>
      </c>
      <c r="R469">
        <v>238.42</v>
      </c>
      <c r="S469">
        <v>112.05</v>
      </c>
      <c r="T469">
        <v>126.37</v>
      </c>
      <c r="U469" t="s">
        <v>158</v>
      </c>
      <c r="V469" t="s">
        <v>181</v>
      </c>
    </row>
    <row r="470" spans="1:22">
      <c r="A470" t="s">
        <v>2053</v>
      </c>
      <c r="B470" s="1">
        <v>45132</v>
      </c>
      <c r="C470" t="s">
        <v>168</v>
      </c>
      <c r="D470">
        <v>2023</v>
      </c>
      <c r="E470" t="s">
        <v>169</v>
      </c>
      <c r="F470" t="s">
        <v>2054</v>
      </c>
      <c r="G470" t="s">
        <v>28</v>
      </c>
      <c r="H470" t="s">
        <v>29</v>
      </c>
      <c r="I470" t="s">
        <v>14</v>
      </c>
      <c r="J470" t="s">
        <v>19</v>
      </c>
      <c r="K470" t="s">
        <v>156</v>
      </c>
      <c r="L470" t="s">
        <v>204</v>
      </c>
      <c r="M470">
        <v>3</v>
      </c>
      <c r="N470">
        <v>26.46</v>
      </c>
      <c r="O470">
        <v>79.38</v>
      </c>
      <c r="P470">
        <v>0</v>
      </c>
      <c r="Q470">
        <v>0</v>
      </c>
      <c r="R470">
        <v>79.38</v>
      </c>
      <c r="S470">
        <v>58.26</v>
      </c>
      <c r="T470">
        <v>21.12</v>
      </c>
      <c r="U470" t="s">
        <v>158</v>
      </c>
      <c r="V470" t="s">
        <v>186</v>
      </c>
    </row>
    <row r="471" spans="1:22">
      <c r="A471" t="s">
        <v>1936</v>
      </c>
      <c r="B471" s="1">
        <v>45132</v>
      </c>
      <c r="C471" t="s">
        <v>168</v>
      </c>
      <c r="D471">
        <v>2023</v>
      </c>
      <c r="E471" t="s">
        <v>169</v>
      </c>
      <c r="F471" t="s">
        <v>1937</v>
      </c>
      <c r="G471" t="s">
        <v>55</v>
      </c>
      <c r="H471" t="s">
        <v>56</v>
      </c>
      <c r="I471" t="s">
        <v>41</v>
      </c>
      <c r="J471" t="s">
        <v>45</v>
      </c>
      <c r="K471" t="s">
        <v>164</v>
      </c>
      <c r="L471" t="s">
        <v>232</v>
      </c>
      <c r="M471">
        <v>2</v>
      </c>
      <c r="N471">
        <v>205.4</v>
      </c>
      <c r="O471">
        <v>410.8</v>
      </c>
      <c r="P471">
        <v>0</v>
      </c>
      <c r="Q471">
        <v>0</v>
      </c>
      <c r="R471">
        <v>410.8</v>
      </c>
      <c r="S471">
        <v>141.80000000000001</v>
      </c>
      <c r="T471">
        <v>269</v>
      </c>
      <c r="U471" t="s">
        <v>195</v>
      </c>
      <c r="V471" t="s">
        <v>159</v>
      </c>
    </row>
    <row r="472" spans="1:22">
      <c r="A472" t="s">
        <v>1980</v>
      </c>
      <c r="B472" s="1">
        <v>45131</v>
      </c>
      <c r="C472" t="s">
        <v>168</v>
      </c>
      <c r="D472">
        <v>2023</v>
      </c>
      <c r="E472" t="s">
        <v>169</v>
      </c>
      <c r="F472" t="s">
        <v>1981</v>
      </c>
      <c r="G472" t="s">
        <v>103</v>
      </c>
      <c r="H472" t="s">
        <v>104</v>
      </c>
      <c r="I472" t="s">
        <v>90</v>
      </c>
      <c r="J472" t="s">
        <v>94</v>
      </c>
      <c r="K472" t="s">
        <v>156</v>
      </c>
      <c r="L472" t="s">
        <v>157</v>
      </c>
      <c r="M472">
        <v>4</v>
      </c>
      <c r="N472">
        <v>98.58</v>
      </c>
      <c r="O472">
        <v>394.32</v>
      </c>
      <c r="P472">
        <v>0</v>
      </c>
      <c r="Q472">
        <v>0</v>
      </c>
      <c r="R472">
        <v>394.32</v>
      </c>
      <c r="S472">
        <v>210.28</v>
      </c>
      <c r="T472">
        <v>184.04</v>
      </c>
      <c r="U472" t="s">
        <v>180</v>
      </c>
      <c r="V472" t="s">
        <v>159</v>
      </c>
    </row>
    <row r="473" spans="1:22">
      <c r="A473" t="s">
        <v>167</v>
      </c>
      <c r="B473" s="1">
        <v>45131</v>
      </c>
      <c r="C473" t="s">
        <v>168</v>
      </c>
      <c r="D473">
        <v>2023</v>
      </c>
      <c r="E473" t="s">
        <v>169</v>
      </c>
      <c r="F473" t="s">
        <v>170</v>
      </c>
      <c r="G473" t="s">
        <v>127</v>
      </c>
      <c r="H473" t="s">
        <v>128</v>
      </c>
      <c r="I473" t="s">
        <v>115</v>
      </c>
      <c r="J473" t="s">
        <v>124</v>
      </c>
      <c r="K473" t="s">
        <v>156</v>
      </c>
      <c r="L473" t="s">
        <v>165</v>
      </c>
      <c r="M473">
        <v>4</v>
      </c>
      <c r="N473">
        <v>94.76</v>
      </c>
      <c r="O473">
        <v>379.04</v>
      </c>
      <c r="P473">
        <v>5</v>
      </c>
      <c r="Q473">
        <v>18.95</v>
      </c>
      <c r="R473">
        <v>360.09</v>
      </c>
      <c r="S473">
        <v>315.27999999999997</v>
      </c>
      <c r="T473">
        <v>44.81</v>
      </c>
      <c r="U473" t="s">
        <v>158</v>
      </c>
      <c r="V473" t="s">
        <v>159</v>
      </c>
    </row>
    <row r="474" spans="1:22">
      <c r="A474" t="s">
        <v>1331</v>
      </c>
      <c r="B474" s="1">
        <v>45130</v>
      </c>
      <c r="C474" t="s">
        <v>168</v>
      </c>
      <c r="D474">
        <v>2023</v>
      </c>
      <c r="E474" t="s">
        <v>169</v>
      </c>
      <c r="F474" t="s">
        <v>1332</v>
      </c>
      <c r="G474" t="s">
        <v>103</v>
      </c>
      <c r="H474" t="s">
        <v>104</v>
      </c>
      <c r="I474" t="s">
        <v>90</v>
      </c>
      <c r="J474" t="s">
        <v>94</v>
      </c>
      <c r="K474" t="s">
        <v>209</v>
      </c>
      <c r="L474" t="s">
        <v>174</v>
      </c>
      <c r="M474">
        <v>1</v>
      </c>
      <c r="N474">
        <v>98.58</v>
      </c>
      <c r="O474">
        <v>98.58</v>
      </c>
      <c r="P474">
        <v>0</v>
      </c>
      <c r="Q474">
        <v>0</v>
      </c>
      <c r="R474">
        <v>98.58</v>
      </c>
      <c r="S474">
        <v>52.57</v>
      </c>
      <c r="T474">
        <v>46.01</v>
      </c>
      <c r="U474" t="s">
        <v>195</v>
      </c>
      <c r="V474" t="s">
        <v>181</v>
      </c>
    </row>
    <row r="475" spans="1:22">
      <c r="A475" t="s">
        <v>699</v>
      </c>
      <c r="B475" s="1">
        <v>45130</v>
      </c>
      <c r="C475" t="s">
        <v>168</v>
      </c>
      <c r="D475">
        <v>2023</v>
      </c>
      <c r="E475" t="s">
        <v>169</v>
      </c>
      <c r="F475" t="s">
        <v>700</v>
      </c>
      <c r="G475" t="s">
        <v>55</v>
      </c>
      <c r="H475" t="s">
        <v>56</v>
      </c>
      <c r="I475" t="s">
        <v>41</v>
      </c>
      <c r="J475" t="s">
        <v>45</v>
      </c>
      <c r="K475" t="s">
        <v>178</v>
      </c>
      <c r="L475" t="s">
        <v>204</v>
      </c>
      <c r="M475">
        <v>3</v>
      </c>
      <c r="N475">
        <v>205.4</v>
      </c>
      <c r="O475">
        <v>616.20000000000005</v>
      </c>
      <c r="P475">
        <v>0</v>
      </c>
      <c r="Q475">
        <v>0</v>
      </c>
      <c r="R475">
        <v>616.20000000000005</v>
      </c>
      <c r="S475">
        <v>212.7</v>
      </c>
      <c r="T475">
        <v>403.5</v>
      </c>
      <c r="U475" t="s">
        <v>180</v>
      </c>
      <c r="V475" t="s">
        <v>181</v>
      </c>
    </row>
    <row r="476" spans="1:22">
      <c r="A476" t="s">
        <v>969</v>
      </c>
      <c r="B476" s="1">
        <v>45130</v>
      </c>
      <c r="C476" t="s">
        <v>168</v>
      </c>
      <c r="D476">
        <v>2023</v>
      </c>
      <c r="E476" t="s">
        <v>169</v>
      </c>
      <c r="F476" t="s">
        <v>970</v>
      </c>
      <c r="G476" t="s">
        <v>88</v>
      </c>
      <c r="H476" t="s">
        <v>89</v>
      </c>
      <c r="I476" t="s">
        <v>90</v>
      </c>
      <c r="J476" t="s">
        <v>91</v>
      </c>
      <c r="K476" t="s">
        <v>164</v>
      </c>
      <c r="L476" t="s">
        <v>165</v>
      </c>
      <c r="M476">
        <v>1</v>
      </c>
      <c r="N476">
        <v>54.64</v>
      </c>
      <c r="O476">
        <v>54.64</v>
      </c>
      <c r="P476">
        <v>0</v>
      </c>
      <c r="Q476">
        <v>0</v>
      </c>
      <c r="R476">
        <v>54.64</v>
      </c>
      <c r="S476">
        <v>20.32</v>
      </c>
      <c r="T476">
        <v>34.32</v>
      </c>
      <c r="U476" t="s">
        <v>195</v>
      </c>
      <c r="V476" t="s">
        <v>159</v>
      </c>
    </row>
    <row r="477" spans="1:22">
      <c r="A477" t="s">
        <v>902</v>
      </c>
      <c r="B477" s="1">
        <v>45129</v>
      </c>
      <c r="C477" t="s">
        <v>168</v>
      </c>
      <c r="D477">
        <v>2023</v>
      </c>
      <c r="E477" t="s">
        <v>169</v>
      </c>
      <c r="F477" t="s">
        <v>903</v>
      </c>
      <c r="G477" t="s">
        <v>28</v>
      </c>
      <c r="H477" t="s">
        <v>29</v>
      </c>
      <c r="I477" t="s">
        <v>14</v>
      </c>
      <c r="J477" t="s">
        <v>19</v>
      </c>
      <c r="K477" t="s">
        <v>209</v>
      </c>
      <c r="L477" t="s">
        <v>165</v>
      </c>
      <c r="M477">
        <v>2</v>
      </c>
      <c r="N477">
        <v>26.46</v>
      </c>
      <c r="O477">
        <v>52.92</v>
      </c>
      <c r="P477">
        <v>0</v>
      </c>
      <c r="Q477">
        <v>0</v>
      </c>
      <c r="R477">
        <v>52.92</v>
      </c>
      <c r="S477">
        <v>38.840000000000003</v>
      </c>
      <c r="T477">
        <v>14.08</v>
      </c>
      <c r="U477" t="s">
        <v>195</v>
      </c>
      <c r="V477" t="s">
        <v>159</v>
      </c>
    </row>
    <row r="478" spans="1:22">
      <c r="A478" t="s">
        <v>1774</v>
      </c>
      <c r="B478" s="1">
        <v>45128</v>
      </c>
      <c r="C478" t="s">
        <v>168</v>
      </c>
      <c r="D478">
        <v>2023</v>
      </c>
      <c r="E478" t="s">
        <v>169</v>
      </c>
      <c r="F478" t="s">
        <v>1775</v>
      </c>
      <c r="G478" t="s">
        <v>122</v>
      </c>
      <c r="H478" t="s">
        <v>123</v>
      </c>
      <c r="I478" t="s">
        <v>115</v>
      </c>
      <c r="J478" t="s">
        <v>124</v>
      </c>
      <c r="K478" t="s">
        <v>164</v>
      </c>
      <c r="L478" t="s">
        <v>194</v>
      </c>
      <c r="M478">
        <v>1</v>
      </c>
      <c r="N478">
        <v>93.88</v>
      </c>
      <c r="O478">
        <v>93.88</v>
      </c>
      <c r="P478">
        <v>10</v>
      </c>
      <c r="Q478">
        <v>9.39</v>
      </c>
      <c r="R478">
        <v>84.49</v>
      </c>
      <c r="S478">
        <v>53.11</v>
      </c>
      <c r="T478">
        <v>31.38</v>
      </c>
      <c r="U478" t="s">
        <v>166</v>
      </c>
      <c r="V478" t="s">
        <v>181</v>
      </c>
    </row>
    <row r="479" spans="1:22">
      <c r="A479" t="s">
        <v>891</v>
      </c>
      <c r="B479" s="1">
        <v>45128</v>
      </c>
      <c r="C479" t="s">
        <v>168</v>
      </c>
      <c r="D479">
        <v>2023</v>
      </c>
      <c r="E479" t="s">
        <v>169</v>
      </c>
      <c r="F479" t="s">
        <v>892</v>
      </c>
      <c r="G479" t="s">
        <v>30</v>
      </c>
      <c r="H479" t="s">
        <v>31</v>
      </c>
      <c r="I479" t="s">
        <v>14</v>
      </c>
      <c r="J479" t="s">
        <v>32</v>
      </c>
      <c r="K479" t="s">
        <v>209</v>
      </c>
      <c r="L479" t="s">
        <v>204</v>
      </c>
      <c r="M479">
        <v>2</v>
      </c>
      <c r="N479">
        <v>113.18</v>
      </c>
      <c r="O479">
        <v>226.36</v>
      </c>
      <c r="P479">
        <v>15</v>
      </c>
      <c r="Q479">
        <v>33.950000000000003</v>
      </c>
      <c r="R479">
        <v>192.41</v>
      </c>
      <c r="S479">
        <v>78.02</v>
      </c>
      <c r="T479">
        <v>114.39</v>
      </c>
      <c r="U479" t="s">
        <v>190</v>
      </c>
      <c r="V479" t="s">
        <v>159</v>
      </c>
    </row>
    <row r="480" spans="1:22">
      <c r="A480" t="s">
        <v>745</v>
      </c>
      <c r="B480" s="1">
        <v>45128</v>
      </c>
      <c r="C480" t="s">
        <v>168</v>
      </c>
      <c r="D480">
        <v>2023</v>
      </c>
      <c r="E480" t="s">
        <v>169</v>
      </c>
      <c r="F480" t="s">
        <v>746</v>
      </c>
      <c r="G480" t="s">
        <v>76</v>
      </c>
      <c r="H480" t="s">
        <v>77</v>
      </c>
      <c r="I480" t="s">
        <v>66</v>
      </c>
      <c r="J480" t="s">
        <v>67</v>
      </c>
      <c r="K480" t="s">
        <v>209</v>
      </c>
      <c r="L480" t="s">
        <v>232</v>
      </c>
      <c r="M480">
        <v>3</v>
      </c>
      <c r="N480">
        <v>118.07</v>
      </c>
      <c r="O480">
        <v>354.21</v>
      </c>
      <c r="P480">
        <v>20</v>
      </c>
      <c r="Q480">
        <v>70.84</v>
      </c>
      <c r="R480">
        <v>283.37</v>
      </c>
      <c r="S480">
        <v>119.1</v>
      </c>
      <c r="T480">
        <v>164.27</v>
      </c>
      <c r="U480" t="s">
        <v>190</v>
      </c>
      <c r="V480" t="s">
        <v>181</v>
      </c>
    </row>
    <row r="481" spans="1:22">
      <c r="A481" t="s">
        <v>1178</v>
      </c>
      <c r="B481" s="1">
        <v>45127</v>
      </c>
      <c r="C481" t="s">
        <v>168</v>
      </c>
      <c r="D481">
        <v>2023</v>
      </c>
      <c r="E481" t="s">
        <v>169</v>
      </c>
      <c r="F481" t="s">
        <v>1179</v>
      </c>
      <c r="G481" t="s">
        <v>39</v>
      </c>
      <c r="H481" t="s">
        <v>40</v>
      </c>
      <c r="I481" t="s">
        <v>41</v>
      </c>
      <c r="J481" t="s">
        <v>42</v>
      </c>
      <c r="K481" t="s">
        <v>178</v>
      </c>
      <c r="L481" t="s">
        <v>165</v>
      </c>
      <c r="M481">
        <v>2</v>
      </c>
      <c r="N481">
        <v>35.11</v>
      </c>
      <c r="O481">
        <v>70.22</v>
      </c>
      <c r="P481">
        <v>0</v>
      </c>
      <c r="Q481">
        <v>0</v>
      </c>
      <c r="R481">
        <v>70.22</v>
      </c>
      <c r="S481">
        <v>49.74</v>
      </c>
      <c r="T481">
        <v>20.48</v>
      </c>
      <c r="U481" t="s">
        <v>190</v>
      </c>
      <c r="V481" t="s">
        <v>159</v>
      </c>
    </row>
    <row r="482" spans="1:22">
      <c r="A482" t="s">
        <v>844</v>
      </c>
      <c r="B482" s="1">
        <v>45127</v>
      </c>
      <c r="C482" t="s">
        <v>168</v>
      </c>
      <c r="D482">
        <v>2023</v>
      </c>
      <c r="E482" t="s">
        <v>169</v>
      </c>
      <c r="F482" t="s">
        <v>506</v>
      </c>
      <c r="G482" t="s">
        <v>95</v>
      </c>
      <c r="H482" t="s">
        <v>96</v>
      </c>
      <c r="I482" t="s">
        <v>90</v>
      </c>
      <c r="J482" t="s">
        <v>97</v>
      </c>
      <c r="K482" t="s">
        <v>209</v>
      </c>
      <c r="L482" t="s">
        <v>179</v>
      </c>
      <c r="M482">
        <v>2</v>
      </c>
      <c r="N482">
        <v>177.41</v>
      </c>
      <c r="O482">
        <v>354.82</v>
      </c>
      <c r="P482">
        <v>15</v>
      </c>
      <c r="Q482">
        <v>53.22</v>
      </c>
      <c r="R482">
        <v>301.60000000000002</v>
      </c>
      <c r="S482">
        <v>149.97999999999999</v>
      </c>
      <c r="T482">
        <v>151.62</v>
      </c>
      <c r="U482" t="s">
        <v>190</v>
      </c>
      <c r="V482" t="s">
        <v>186</v>
      </c>
    </row>
    <row r="483" spans="1:22">
      <c r="A483" t="s">
        <v>205</v>
      </c>
      <c r="B483" s="1">
        <v>45126</v>
      </c>
      <c r="C483" t="s">
        <v>168</v>
      </c>
      <c r="D483">
        <v>2023</v>
      </c>
      <c r="E483" t="s">
        <v>169</v>
      </c>
      <c r="F483" t="s">
        <v>206</v>
      </c>
      <c r="G483" t="s">
        <v>82</v>
      </c>
      <c r="H483" t="s">
        <v>83</v>
      </c>
      <c r="I483" t="s">
        <v>66</v>
      </c>
      <c r="J483" t="s">
        <v>67</v>
      </c>
      <c r="K483" t="s">
        <v>164</v>
      </c>
      <c r="L483" t="s">
        <v>165</v>
      </c>
      <c r="M483">
        <v>4</v>
      </c>
      <c r="N483">
        <v>34.479999999999997</v>
      </c>
      <c r="O483">
        <v>137.91999999999999</v>
      </c>
      <c r="P483">
        <v>0</v>
      </c>
      <c r="Q483">
        <v>0</v>
      </c>
      <c r="R483">
        <v>137.91999999999999</v>
      </c>
      <c r="S483">
        <v>76.959999999999994</v>
      </c>
      <c r="T483">
        <v>60.96</v>
      </c>
      <c r="U483" t="s">
        <v>190</v>
      </c>
      <c r="V483" t="s">
        <v>186</v>
      </c>
    </row>
    <row r="484" spans="1:22">
      <c r="A484" t="s">
        <v>1264</v>
      </c>
      <c r="B484" s="1">
        <v>45126</v>
      </c>
      <c r="C484" t="s">
        <v>168</v>
      </c>
      <c r="D484">
        <v>2023</v>
      </c>
      <c r="E484" t="s">
        <v>169</v>
      </c>
      <c r="F484" t="s">
        <v>1112</v>
      </c>
      <c r="G484" t="s">
        <v>111</v>
      </c>
      <c r="H484" t="s">
        <v>112</v>
      </c>
      <c r="I484" t="s">
        <v>90</v>
      </c>
      <c r="J484" t="s">
        <v>97</v>
      </c>
      <c r="K484" t="s">
        <v>209</v>
      </c>
      <c r="L484" t="s">
        <v>179</v>
      </c>
      <c r="M484">
        <v>1</v>
      </c>
      <c r="N484">
        <v>189.99</v>
      </c>
      <c r="O484">
        <v>189.99</v>
      </c>
      <c r="P484">
        <v>0</v>
      </c>
      <c r="Q484">
        <v>0</v>
      </c>
      <c r="R484">
        <v>189.99</v>
      </c>
      <c r="S484">
        <v>63.51</v>
      </c>
      <c r="T484">
        <v>126.48</v>
      </c>
      <c r="U484" t="s">
        <v>158</v>
      </c>
      <c r="V484" t="s">
        <v>159</v>
      </c>
    </row>
    <row r="485" spans="1:22">
      <c r="A485" t="s">
        <v>1860</v>
      </c>
      <c r="B485" s="1">
        <v>45126</v>
      </c>
      <c r="C485" t="s">
        <v>168</v>
      </c>
      <c r="D485">
        <v>2023</v>
      </c>
      <c r="E485" t="s">
        <v>169</v>
      </c>
      <c r="F485" t="s">
        <v>1861</v>
      </c>
      <c r="G485" t="s">
        <v>82</v>
      </c>
      <c r="H485" t="s">
        <v>83</v>
      </c>
      <c r="I485" t="s">
        <v>66</v>
      </c>
      <c r="J485" t="s">
        <v>67</v>
      </c>
      <c r="K485" t="s">
        <v>209</v>
      </c>
      <c r="L485" t="s">
        <v>232</v>
      </c>
      <c r="M485">
        <v>2</v>
      </c>
      <c r="N485">
        <v>34.479999999999997</v>
      </c>
      <c r="O485">
        <v>68.959999999999994</v>
      </c>
      <c r="P485">
        <v>0</v>
      </c>
      <c r="Q485">
        <v>0</v>
      </c>
      <c r="R485">
        <v>68.959999999999994</v>
      </c>
      <c r="S485">
        <v>38.479999999999997</v>
      </c>
      <c r="T485">
        <v>30.48</v>
      </c>
      <c r="U485" t="s">
        <v>180</v>
      </c>
      <c r="V485" t="s">
        <v>181</v>
      </c>
    </row>
    <row r="486" spans="1:22">
      <c r="A486" t="s">
        <v>723</v>
      </c>
      <c r="B486" s="1">
        <v>45126</v>
      </c>
      <c r="C486" t="s">
        <v>168</v>
      </c>
      <c r="D486">
        <v>2023</v>
      </c>
      <c r="E486" t="s">
        <v>169</v>
      </c>
      <c r="F486" t="s">
        <v>724</v>
      </c>
      <c r="G486" t="s">
        <v>76</v>
      </c>
      <c r="H486" t="s">
        <v>77</v>
      </c>
      <c r="I486" t="s">
        <v>66</v>
      </c>
      <c r="J486" t="s">
        <v>67</v>
      </c>
      <c r="K486" t="s">
        <v>178</v>
      </c>
      <c r="L486" t="s">
        <v>174</v>
      </c>
      <c r="M486">
        <v>2</v>
      </c>
      <c r="N486">
        <v>118.07</v>
      </c>
      <c r="O486">
        <v>236.14</v>
      </c>
      <c r="P486">
        <v>15</v>
      </c>
      <c r="Q486">
        <v>35.42</v>
      </c>
      <c r="R486">
        <v>200.72</v>
      </c>
      <c r="S486">
        <v>79.400000000000006</v>
      </c>
      <c r="T486">
        <v>121.32</v>
      </c>
      <c r="U486" t="s">
        <v>158</v>
      </c>
      <c r="V486" t="s">
        <v>159</v>
      </c>
    </row>
    <row r="487" spans="1:22">
      <c r="A487" t="s">
        <v>713</v>
      </c>
      <c r="B487" s="1">
        <v>45126</v>
      </c>
      <c r="C487" t="s">
        <v>168</v>
      </c>
      <c r="D487">
        <v>2023</v>
      </c>
      <c r="E487" t="s">
        <v>169</v>
      </c>
      <c r="F487" t="s">
        <v>714</v>
      </c>
      <c r="G487" t="s">
        <v>105</v>
      </c>
      <c r="H487" t="s">
        <v>106</v>
      </c>
      <c r="I487" t="s">
        <v>90</v>
      </c>
      <c r="J487" t="s">
        <v>91</v>
      </c>
      <c r="K487" t="s">
        <v>178</v>
      </c>
      <c r="L487" t="s">
        <v>204</v>
      </c>
      <c r="M487">
        <v>2</v>
      </c>
      <c r="N487">
        <v>36.35</v>
      </c>
      <c r="O487">
        <v>72.7</v>
      </c>
      <c r="P487">
        <v>10</v>
      </c>
      <c r="Q487">
        <v>7.27</v>
      </c>
      <c r="R487">
        <v>65.430000000000007</v>
      </c>
      <c r="S487">
        <v>60.04</v>
      </c>
      <c r="T487">
        <v>5.39</v>
      </c>
      <c r="U487" t="s">
        <v>190</v>
      </c>
      <c r="V487" t="s">
        <v>159</v>
      </c>
    </row>
    <row r="488" spans="1:22">
      <c r="A488" t="s">
        <v>1333</v>
      </c>
      <c r="B488" s="1">
        <v>45126</v>
      </c>
      <c r="C488" t="s">
        <v>168</v>
      </c>
      <c r="D488">
        <v>2023</v>
      </c>
      <c r="E488" t="s">
        <v>169</v>
      </c>
      <c r="F488" t="s">
        <v>1334</v>
      </c>
      <c r="G488" t="s">
        <v>37</v>
      </c>
      <c r="H488" t="s">
        <v>38</v>
      </c>
      <c r="I488" t="s">
        <v>14</v>
      </c>
      <c r="J488" t="s">
        <v>27</v>
      </c>
      <c r="K488" t="s">
        <v>156</v>
      </c>
      <c r="L488" t="s">
        <v>157</v>
      </c>
      <c r="M488">
        <v>1</v>
      </c>
      <c r="N488">
        <v>133.99</v>
      </c>
      <c r="O488">
        <v>133.99</v>
      </c>
      <c r="P488">
        <v>15</v>
      </c>
      <c r="Q488">
        <v>20.100000000000001</v>
      </c>
      <c r="R488">
        <v>113.89</v>
      </c>
      <c r="S488">
        <v>73.489999999999995</v>
      </c>
      <c r="T488">
        <v>40.4</v>
      </c>
      <c r="U488" t="s">
        <v>195</v>
      </c>
      <c r="V488" t="s">
        <v>186</v>
      </c>
    </row>
    <row r="489" spans="1:22">
      <c r="A489" t="s">
        <v>1367</v>
      </c>
      <c r="B489" s="1">
        <v>45126</v>
      </c>
      <c r="C489" t="s">
        <v>168</v>
      </c>
      <c r="D489">
        <v>2023</v>
      </c>
      <c r="E489" t="s">
        <v>169</v>
      </c>
      <c r="F489" t="s">
        <v>1284</v>
      </c>
      <c r="G489" t="s">
        <v>98</v>
      </c>
      <c r="H489" t="s">
        <v>99</v>
      </c>
      <c r="I489" t="s">
        <v>90</v>
      </c>
      <c r="J489" t="s">
        <v>100</v>
      </c>
      <c r="K489" t="s">
        <v>178</v>
      </c>
      <c r="L489" t="s">
        <v>194</v>
      </c>
      <c r="M489">
        <v>2</v>
      </c>
      <c r="N489">
        <v>194.87</v>
      </c>
      <c r="O489">
        <v>389.74</v>
      </c>
      <c r="P489">
        <v>5</v>
      </c>
      <c r="Q489">
        <v>19.489999999999998</v>
      </c>
      <c r="R489">
        <v>370.25</v>
      </c>
      <c r="S489">
        <v>157.58000000000001</v>
      </c>
      <c r="T489">
        <v>212.67</v>
      </c>
      <c r="U489" t="s">
        <v>190</v>
      </c>
      <c r="V489" t="s">
        <v>159</v>
      </c>
    </row>
    <row r="490" spans="1:22">
      <c r="A490" t="s">
        <v>1982</v>
      </c>
      <c r="B490" s="1">
        <v>45125</v>
      </c>
      <c r="C490" t="s">
        <v>168</v>
      </c>
      <c r="D490">
        <v>2023</v>
      </c>
      <c r="E490" t="s">
        <v>169</v>
      </c>
      <c r="F490" t="s">
        <v>1983</v>
      </c>
      <c r="G490" t="s">
        <v>17</v>
      </c>
      <c r="H490" t="s">
        <v>18</v>
      </c>
      <c r="I490" t="s">
        <v>14</v>
      </c>
      <c r="J490" t="s">
        <v>19</v>
      </c>
      <c r="K490" t="s">
        <v>164</v>
      </c>
      <c r="L490" t="s">
        <v>194</v>
      </c>
      <c r="M490">
        <v>2</v>
      </c>
      <c r="N490">
        <v>53.26</v>
      </c>
      <c r="O490">
        <v>106.52</v>
      </c>
      <c r="P490">
        <v>0</v>
      </c>
      <c r="Q490">
        <v>0</v>
      </c>
      <c r="R490">
        <v>106.52</v>
      </c>
      <c r="S490">
        <v>73.28</v>
      </c>
      <c r="T490">
        <v>33.24</v>
      </c>
      <c r="U490" t="s">
        <v>190</v>
      </c>
      <c r="V490" t="s">
        <v>159</v>
      </c>
    </row>
    <row r="491" spans="1:22">
      <c r="A491" t="s">
        <v>1557</v>
      </c>
      <c r="B491" s="1">
        <v>45125</v>
      </c>
      <c r="C491" t="s">
        <v>168</v>
      </c>
      <c r="D491">
        <v>2023</v>
      </c>
      <c r="E491" t="s">
        <v>169</v>
      </c>
      <c r="F491" t="s">
        <v>1558</v>
      </c>
      <c r="G491" t="s">
        <v>48</v>
      </c>
      <c r="H491" t="s">
        <v>49</v>
      </c>
      <c r="I491" t="s">
        <v>41</v>
      </c>
      <c r="J491" t="s">
        <v>42</v>
      </c>
      <c r="K491" t="s">
        <v>209</v>
      </c>
      <c r="L491" t="s">
        <v>174</v>
      </c>
      <c r="M491">
        <v>1</v>
      </c>
      <c r="N491">
        <v>84.95</v>
      </c>
      <c r="O491">
        <v>84.95</v>
      </c>
      <c r="P491">
        <v>5</v>
      </c>
      <c r="Q491">
        <v>4.25</v>
      </c>
      <c r="R491">
        <v>80.7</v>
      </c>
      <c r="S491">
        <v>53.07</v>
      </c>
      <c r="T491">
        <v>27.63</v>
      </c>
      <c r="U491" t="s">
        <v>195</v>
      </c>
      <c r="V491" t="s">
        <v>159</v>
      </c>
    </row>
    <row r="492" spans="1:22">
      <c r="A492" t="s">
        <v>1171</v>
      </c>
      <c r="B492" s="1">
        <v>45125</v>
      </c>
      <c r="C492" t="s">
        <v>168</v>
      </c>
      <c r="D492">
        <v>2023</v>
      </c>
      <c r="E492" t="s">
        <v>169</v>
      </c>
      <c r="F492" t="s">
        <v>1172</v>
      </c>
      <c r="G492" t="s">
        <v>50</v>
      </c>
      <c r="H492" t="s">
        <v>51</v>
      </c>
      <c r="I492" t="s">
        <v>41</v>
      </c>
      <c r="J492" t="s">
        <v>52</v>
      </c>
      <c r="K492" t="s">
        <v>164</v>
      </c>
      <c r="L492" t="s">
        <v>204</v>
      </c>
      <c r="M492">
        <v>3</v>
      </c>
      <c r="N492">
        <v>143.80000000000001</v>
      </c>
      <c r="O492">
        <v>431.40000000000003</v>
      </c>
      <c r="P492">
        <v>5</v>
      </c>
      <c r="Q492">
        <v>21.57</v>
      </c>
      <c r="R492">
        <v>409.83</v>
      </c>
      <c r="S492">
        <v>186.45</v>
      </c>
      <c r="T492">
        <v>223.38</v>
      </c>
      <c r="U492" t="s">
        <v>195</v>
      </c>
      <c r="V492" t="s">
        <v>159</v>
      </c>
    </row>
    <row r="493" spans="1:22">
      <c r="A493" t="s">
        <v>928</v>
      </c>
      <c r="B493" s="1">
        <v>45125</v>
      </c>
      <c r="C493" t="s">
        <v>168</v>
      </c>
      <c r="D493">
        <v>2023</v>
      </c>
      <c r="E493" t="s">
        <v>169</v>
      </c>
      <c r="F493" t="s">
        <v>238</v>
      </c>
      <c r="G493" t="s">
        <v>133</v>
      </c>
      <c r="H493" t="s">
        <v>134</v>
      </c>
      <c r="I493" t="s">
        <v>115</v>
      </c>
      <c r="J493" t="s">
        <v>119</v>
      </c>
      <c r="K493" t="s">
        <v>156</v>
      </c>
      <c r="L493" t="s">
        <v>157</v>
      </c>
      <c r="M493">
        <v>2</v>
      </c>
      <c r="N493">
        <v>78.84</v>
      </c>
      <c r="O493">
        <v>157.68</v>
      </c>
      <c r="P493">
        <v>10</v>
      </c>
      <c r="Q493">
        <v>15.77</v>
      </c>
      <c r="R493">
        <v>141.91</v>
      </c>
      <c r="S493">
        <v>95.36</v>
      </c>
      <c r="T493">
        <v>46.55</v>
      </c>
      <c r="U493" t="s">
        <v>190</v>
      </c>
      <c r="V493" t="s">
        <v>181</v>
      </c>
    </row>
    <row r="494" spans="1:22">
      <c r="A494" t="s">
        <v>1653</v>
      </c>
      <c r="B494" s="1">
        <v>45125</v>
      </c>
      <c r="C494" t="s">
        <v>168</v>
      </c>
      <c r="D494">
        <v>2023</v>
      </c>
      <c r="E494" t="s">
        <v>169</v>
      </c>
      <c r="F494" t="s">
        <v>1654</v>
      </c>
      <c r="G494" t="s">
        <v>57</v>
      </c>
      <c r="H494" t="s">
        <v>58</v>
      </c>
      <c r="I494" t="s">
        <v>41</v>
      </c>
      <c r="J494" t="s">
        <v>59</v>
      </c>
      <c r="K494" t="s">
        <v>209</v>
      </c>
      <c r="L494" t="s">
        <v>194</v>
      </c>
      <c r="M494">
        <v>1</v>
      </c>
      <c r="N494">
        <v>56.33</v>
      </c>
      <c r="O494">
        <v>56.33</v>
      </c>
      <c r="P494">
        <v>5</v>
      </c>
      <c r="Q494">
        <v>2.82</v>
      </c>
      <c r="R494">
        <v>53.51</v>
      </c>
      <c r="S494">
        <v>41.45</v>
      </c>
      <c r="T494">
        <v>12.06</v>
      </c>
      <c r="U494" t="s">
        <v>195</v>
      </c>
      <c r="V494" t="s">
        <v>159</v>
      </c>
    </row>
    <row r="495" spans="1:22">
      <c r="A495" t="s">
        <v>474</v>
      </c>
      <c r="B495" s="1">
        <v>45124</v>
      </c>
      <c r="C495" t="s">
        <v>168</v>
      </c>
      <c r="D495">
        <v>2023</v>
      </c>
      <c r="E495" t="s">
        <v>169</v>
      </c>
      <c r="F495" t="s">
        <v>475</v>
      </c>
      <c r="G495" t="s">
        <v>78</v>
      </c>
      <c r="H495" t="s">
        <v>79</v>
      </c>
      <c r="I495" t="s">
        <v>66</v>
      </c>
      <c r="J495" t="s">
        <v>70</v>
      </c>
      <c r="K495" t="s">
        <v>178</v>
      </c>
      <c r="L495" t="s">
        <v>157</v>
      </c>
      <c r="M495">
        <v>3</v>
      </c>
      <c r="N495">
        <v>218.05</v>
      </c>
      <c r="O495">
        <v>654.15000000000009</v>
      </c>
      <c r="P495">
        <v>0</v>
      </c>
      <c r="Q495">
        <v>0</v>
      </c>
      <c r="R495">
        <v>654.15</v>
      </c>
      <c r="S495">
        <v>223.44</v>
      </c>
      <c r="T495">
        <v>430.71</v>
      </c>
      <c r="U495" t="s">
        <v>158</v>
      </c>
      <c r="V495" t="s">
        <v>159</v>
      </c>
    </row>
    <row r="496" spans="1:22">
      <c r="A496" t="s">
        <v>729</v>
      </c>
      <c r="B496" s="1">
        <v>45124</v>
      </c>
      <c r="C496" t="s">
        <v>168</v>
      </c>
      <c r="D496">
        <v>2023</v>
      </c>
      <c r="E496" t="s">
        <v>169</v>
      </c>
      <c r="F496" t="s">
        <v>730</v>
      </c>
      <c r="G496" t="s">
        <v>109</v>
      </c>
      <c r="H496" t="s">
        <v>110</v>
      </c>
      <c r="I496" t="s">
        <v>90</v>
      </c>
      <c r="J496" t="s">
        <v>100</v>
      </c>
      <c r="K496" t="s">
        <v>178</v>
      </c>
      <c r="L496" t="s">
        <v>204</v>
      </c>
      <c r="M496">
        <v>3</v>
      </c>
      <c r="N496">
        <v>77.67</v>
      </c>
      <c r="O496">
        <v>233.01</v>
      </c>
      <c r="P496">
        <v>20</v>
      </c>
      <c r="Q496">
        <v>46.6</v>
      </c>
      <c r="R496">
        <v>186.41</v>
      </c>
      <c r="S496">
        <v>84.36</v>
      </c>
      <c r="T496">
        <v>102.05</v>
      </c>
      <c r="U496" t="s">
        <v>180</v>
      </c>
      <c r="V496" t="s">
        <v>159</v>
      </c>
    </row>
    <row r="497" spans="1:22">
      <c r="A497" t="s">
        <v>953</v>
      </c>
      <c r="B497" s="1">
        <v>45124</v>
      </c>
      <c r="C497" t="s">
        <v>168</v>
      </c>
      <c r="D497">
        <v>2023</v>
      </c>
      <c r="E497" t="s">
        <v>169</v>
      </c>
      <c r="F497" t="s">
        <v>765</v>
      </c>
      <c r="G497" t="s">
        <v>129</v>
      </c>
      <c r="H497" t="s">
        <v>130</v>
      </c>
      <c r="I497" t="s">
        <v>115</v>
      </c>
      <c r="J497" t="s">
        <v>124</v>
      </c>
      <c r="K497" t="s">
        <v>164</v>
      </c>
      <c r="L497" t="s">
        <v>157</v>
      </c>
      <c r="M497">
        <v>1</v>
      </c>
      <c r="N497">
        <v>99.34</v>
      </c>
      <c r="O497">
        <v>99.34</v>
      </c>
      <c r="P497">
        <v>0</v>
      </c>
      <c r="Q497">
        <v>0</v>
      </c>
      <c r="R497">
        <v>99.34</v>
      </c>
      <c r="S497">
        <v>37.35</v>
      </c>
      <c r="T497">
        <v>61.99</v>
      </c>
      <c r="U497" t="s">
        <v>180</v>
      </c>
      <c r="V497" t="s">
        <v>186</v>
      </c>
    </row>
    <row r="498" spans="1:22">
      <c r="A498" t="s">
        <v>1950</v>
      </c>
      <c r="B498" s="1">
        <v>45123</v>
      </c>
      <c r="C498" t="s">
        <v>168</v>
      </c>
      <c r="D498">
        <v>2023</v>
      </c>
      <c r="E498" t="s">
        <v>169</v>
      </c>
      <c r="F498" t="s">
        <v>1951</v>
      </c>
      <c r="G498" t="s">
        <v>122</v>
      </c>
      <c r="H498" t="s">
        <v>123</v>
      </c>
      <c r="I498" t="s">
        <v>115</v>
      </c>
      <c r="J498" t="s">
        <v>124</v>
      </c>
      <c r="K498" t="s">
        <v>164</v>
      </c>
      <c r="L498" t="s">
        <v>165</v>
      </c>
      <c r="M498">
        <v>2</v>
      </c>
      <c r="N498">
        <v>93.88</v>
      </c>
      <c r="O498">
        <v>187.76</v>
      </c>
      <c r="P498">
        <v>15</v>
      </c>
      <c r="Q498">
        <v>28.16</v>
      </c>
      <c r="R498">
        <v>159.6</v>
      </c>
      <c r="S498">
        <v>106.22</v>
      </c>
      <c r="T498">
        <v>53.38</v>
      </c>
      <c r="U498" t="s">
        <v>166</v>
      </c>
      <c r="V498" t="s">
        <v>159</v>
      </c>
    </row>
    <row r="499" spans="1:22">
      <c r="A499" t="s">
        <v>1630</v>
      </c>
      <c r="B499" s="1">
        <v>45123</v>
      </c>
      <c r="C499" t="s">
        <v>168</v>
      </c>
      <c r="D499">
        <v>2023</v>
      </c>
      <c r="E499" t="s">
        <v>169</v>
      </c>
      <c r="F499" t="s">
        <v>1509</v>
      </c>
      <c r="G499" t="s">
        <v>133</v>
      </c>
      <c r="H499" t="s">
        <v>134</v>
      </c>
      <c r="I499" t="s">
        <v>115</v>
      </c>
      <c r="J499" t="s">
        <v>119</v>
      </c>
      <c r="K499" t="s">
        <v>164</v>
      </c>
      <c r="L499" t="s">
        <v>165</v>
      </c>
      <c r="M499">
        <v>4</v>
      </c>
      <c r="N499">
        <v>78.84</v>
      </c>
      <c r="O499">
        <v>315.36</v>
      </c>
      <c r="P499">
        <v>20</v>
      </c>
      <c r="Q499">
        <v>63.07</v>
      </c>
      <c r="R499">
        <v>252.29</v>
      </c>
      <c r="S499">
        <v>190.72</v>
      </c>
      <c r="T499">
        <v>61.57</v>
      </c>
      <c r="U499" t="s">
        <v>190</v>
      </c>
      <c r="V499" t="s">
        <v>159</v>
      </c>
    </row>
    <row r="500" spans="1:22">
      <c r="A500" t="s">
        <v>308</v>
      </c>
      <c r="B500" s="1">
        <v>45123</v>
      </c>
      <c r="C500" t="s">
        <v>168</v>
      </c>
      <c r="D500">
        <v>2023</v>
      </c>
      <c r="E500" t="s">
        <v>169</v>
      </c>
      <c r="F500" t="s">
        <v>309</v>
      </c>
      <c r="G500" t="s">
        <v>125</v>
      </c>
      <c r="H500" t="s">
        <v>126</v>
      </c>
      <c r="I500" t="s">
        <v>115</v>
      </c>
      <c r="J500" t="s">
        <v>116</v>
      </c>
      <c r="K500" t="s">
        <v>164</v>
      </c>
      <c r="L500" t="s">
        <v>174</v>
      </c>
      <c r="M500">
        <v>2</v>
      </c>
      <c r="N500">
        <v>144.94999999999999</v>
      </c>
      <c r="O500">
        <v>289.89999999999998</v>
      </c>
      <c r="P500">
        <v>10</v>
      </c>
      <c r="Q500">
        <v>28.99</v>
      </c>
      <c r="R500">
        <v>260.91000000000003</v>
      </c>
      <c r="S500">
        <v>154.38</v>
      </c>
      <c r="T500">
        <v>106.53</v>
      </c>
      <c r="U500" t="s">
        <v>195</v>
      </c>
      <c r="V500" t="s">
        <v>186</v>
      </c>
    </row>
    <row r="501" spans="1:22">
      <c r="A501" t="s">
        <v>871</v>
      </c>
      <c r="B501" s="1">
        <v>45123</v>
      </c>
      <c r="C501" t="s">
        <v>168</v>
      </c>
      <c r="D501">
        <v>2023</v>
      </c>
      <c r="E501" t="s">
        <v>169</v>
      </c>
      <c r="F501" t="s">
        <v>872</v>
      </c>
      <c r="G501" t="s">
        <v>21</v>
      </c>
      <c r="H501" t="s">
        <v>22</v>
      </c>
      <c r="I501" t="s">
        <v>14</v>
      </c>
      <c r="J501" t="s">
        <v>15</v>
      </c>
      <c r="K501" t="s">
        <v>156</v>
      </c>
      <c r="L501" t="s">
        <v>157</v>
      </c>
      <c r="M501">
        <v>4</v>
      </c>
      <c r="N501">
        <v>65.430000000000007</v>
      </c>
      <c r="O501">
        <v>261.72000000000003</v>
      </c>
      <c r="P501">
        <v>0</v>
      </c>
      <c r="Q501">
        <v>0</v>
      </c>
      <c r="R501">
        <v>261.72000000000003</v>
      </c>
      <c r="S501">
        <v>154.76</v>
      </c>
      <c r="T501">
        <v>106.96</v>
      </c>
      <c r="U501" t="s">
        <v>158</v>
      </c>
      <c r="V501" t="s">
        <v>181</v>
      </c>
    </row>
    <row r="502" spans="1:22">
      <c r="A502" t="s">
        <v>1570</v>
      </c>
      <c r="B502" s="1">
        <v>45123</v>
      </c>
      <c r="C502" t="s">
        <v>168</v>
      </c>
      <c r="D502">
        <v>2023</v>
      </c>
      <c r="E502" t="s">
        <v>169</v>
      </c>
      <c r="F502" t="s">
        <v>1571</v>
      </c>
      <c r="G502" t="s">
        <v>88</v>
      </c>
      <c r="H502" t="s">
        <v>89</v>
      </c>
      <c r="I502" t="s">
        <v>90</v>
      </c>
      <c r="J502" t="s">
        <v>91</v>
      </c>
      <c r="K502" t="s">
        <v>209</v>
      </c>
      <c r="L502" t="s">
        <v>204</v>
      </c>
      <c r="M502">
        <v>1</v>
      </c>
      <c r="N502">
        <v>54.64</v>
      </c>
      <c r="O502">
        <v>54.64</v>
      </c>
      <c r="P502">
        <v>0</v>
      </c>
      <c r="Q502">
        <v>0</v>
      </c>
      <c r="R502">
        <v>54.64</v>
      </c>
      <c r="S502">
        <v>20.32</v>
      </c>
      <c r="T502">
        <v>34.32</v>
      </c>
      <c r="U502" t="s">
        <v>180</v>
      </c>
      <c r="V502" t="s">
        <v>159</v>
      </c>
    </row>
    <row r="503" spans="1:22">
      <c r="A503" t="s">
        <v>1123</v>
      </c>
      <c r="B503" s="1">
        <v>45123</v>
      </c>
      <c r="C503" t="s">
        <v>168</v>
      </c>
      <c r="D503">
        <v>2023</v>
      </c>
      <c r="E503" t="s">
        <v>169</v>
      </c>
      <c r="F503" t="s">
        <v>1124</v>
      </c>
      <c r="G503" t="s">
        <v>109</v>
      </c>
      <c r="H503" t="s">
        <v>110</v>
      </c>
      <c r="I503" t="s">
        <v>90</v>
      </c>
      <c r="J503" t="s">
        <v>100</v>
      </c>
      <c r="K503" t="s">
        <v>156</v>
      </c>
      <c r="L503" t="s">
        <v>194</v>
      </c>
      <c r="M503">
        <v>3</v>
      </c>
      <c r="N503">
        <v>77.67</v>
      </c>
      <c r="O503">
        <v>233.01</v>
      </c>
      <c r="P503">
        <v>10</v>
      </c>
      <c r="Q503">
        <v>23.3</v>
      </c>
      <c r="R503">
        <v>209.71</v>
      </c>
      <c r="S503">
        <v>84.36</v>
      </c>
      <c r="T503">
        <v>125.35</v>
      </c>
      <c r="U503" t="s">
        <v>180</v>
      </c>
      <c r="V503" t="s">
        <v>159</v>
      </c>
    </row>
    <row r="504" spans="1:22">
      <c r="A504" t="s">
        <v>513</v>
      </c>
      <c r="B504" s="1">
        <v>45123</v>
      </c>
      <c r="C504" t="s">
        <v>168</v>
      </c>
      <c r="D504">
        <v>2023</v>
      </c>
      <c r="E504" t="s">
        <v>169</v>
      </c>
      <c r="F504" t="s">
        <v>514</v>
      </c>
      <c r="G504" t="s">
        <v>53</v>
      </c>
      <c r="H504" t="s">
        <v>54</v>
      </c>
      <c r="I504" t="s">
        <v>41</v>
      </c>
      <c r="J504" t="s">
        <v>45</v>
      </c>
      <c r="K504" t="s">
        <v>209</v>
      </c>
      <c r="L504" t="s">
        <v>232</v>
      </c>
      <c r="M504">
        <v>3</v>
      </c>
      <c r="N504">
        <v>51.98</v>
      </c>
      <c r="O504">
        <v>155.94</v>
      </c>
      <c r="P504">
        <v>0</v>
      </c>
      <c r="Q504">
        <v>0</v>
      </c>
      <c r="R504">
        <v>155.94</v>
      </c>
      <c r="S504">
        <v>99.12</v>
      </c>
      <c r="T504">
        <v>56.82</v>
      </c>
      <c r="U504" t="s">
        <v>190</v>
      </c>
      <c r="V504" t="s">
        <v>186</v>
      </c>
    </row>
    <row r="505" spans="1:22">
      <c r="A505" t="s">
        <v>992</v>
      </c>
      <c r="B505" s="1">
        <v>45123</v>
      </c>
      <c r="C505" t="s">
        <v>168</v>
      </c>
      <c r="D505">
        <v>2023</v>
      </c>
      <c r="E505" t="s">
        <v>169</v>
      </c>
      <c r="F505" t="s">
        <v>993</v>
      </c>
      <c r="G505" t="s">
        <v>71</v>
      </c>
      <c r="H505" t="s">
        <v>72</v>
      </c>
      <c r="I505" t="s">
        <v>66</v>
      </c>
      <c r="J505" t="s">
        <v>70</v>
      </c>
      <c r="K505" t="s">
        <v>164</v>
      </c>
      <c r="L505" t="s">
        <v>232</v>
      </c>
      <c r="M505">
        <v>4</v>
      </c>
      <c r="N505">
        <v>26.7</v>
      </c>
      <c r="O505">
        <v>106.8</v>
      </c>
      <c r="P505">
        <v>0</v>
      </c>
      <c r="Q505">
        <v>0</v>
      </c>
      <c r="R505">
        <v>106.8</v>
      </c>
      <c r="S505">
        <v>49.08</v>
      </c>
      <c r="T505">
        <v>57.72</v>
      </c>
      <c r="U505" t="s">
        <v>166</v>
      </c>
      <c r="V505" t="s">
        <v>186</v>
      </c>
    </row>
    <row r="506" spans="1:22">
      <c r="A506" t="s">
        <v>783</v>
      </c>
      <c r="B506" s="1">
        <v>45123</v>
      </c>
      <c r="C506" t="s">
        <v>168</v>
      </c>
      <c r="D506">
        <v>2023</v>
      </c>
      <c r="E506" t="s">
        <v>169</v>
      </c>
      <c r="F506" t="s">
        <v>784</v>
      </c>
      <c r="G506" t="s">
        <v>109</v>
      </c>
      <c r="H506" t="s">
        <v>110</v>
      </c>
      <c r="I506" t="s">
        <v>90</v>
      </c>
      <c r="J506" t="s">
        <v>100</v>
      </c>
      <c r="K506" t="s">
        <v>156</v>
      </c>
      <c r="L506" t="s">
        <v>204</v>
      </c>
      <c r="M506">
        <v>2</v>
      </c>
      <c r="N506">
        <v>77.67</v>
      </c>
      <c r="O506">
        <v>155.34</v>
      </c>
      <c r="P506">
        <v>10</v>
      </c>
      <c r="Q506">
        <v>15.53</v>
      </c>
      <c r="R506">
        <v>139.81</v>
      </c>
      <c r="S506">
        <v>56.24</v>
      </c>
      <c r="T506">
        <v>83.57</v>
      </c>
      <c r="U506" t="s">
        <v>166</v>
      </c>
      <c r="V506" t="s">
        <v>159</v>
      </c>
    </row>
    <row r="507" spans="1:22">
      <c r="A507" t="s">
        <v>466</v>
      </c>
      <c r="B507" s="1">
        <v>45122</v>
      </c>
      <c r="C507" t="s">
        <v>168</v>
      </c>
      <c r="D507">
        <v>2023</v>
      </c>
      <c r="E507" t="s">
        <v>169</v>
      </c>
      <c r="F507" t="s">
        <v>467</v>
      </c>
      <c r="G507" t="s">
        <v>86</v>
      </c>
      <c r="H507" t="s">
        <v>87</v>
      </c>
      <c r="I507" t="s">
        <v>66</v>
      </c>
      <c r="J507" t="s">
        <v>67</v>
      </c>
      <c r="K507" t="s">
        <v>164</v>
      </c>
      <c r="L507" t="s">
        <v>157</v>
      </c>
      <c r="M507">
        <v>3</v>
      </c>
      <c r="N507">
        <v>124.77</v>
      </c>
      <c r="O507">
        <v>374.31</v>
      </c>
      <c r="P507">
        <v>20</v>
      </c>
      <c r="Q507">
        <v>74.86</v>
      </c>
      <c r="R507">
        <v>299.45</v>
      </c>
      <c r="S507">
        <v>208.92</v>
      </c>
      <c r="T507">
        <v>90.53</v>
      </c>
      <c r="U507" t="s">
        <v>190</v>
      </c>
      <c r="V507" t="s">
        <v>181</v>
      </c>
    </row>
    <row r="508" spans="1:22">
      <c r="A508" t="s">
        <v>1788</v>
      </c>
      <c r="B508" s="1">
        <v>45122</v>
      </c>
      <c r="C508" t="s">
        <v>168</v>
      </c>
      <c r="D508">
        <v>2023</v>
      </c>
      <c r="E508" t="s">
        <v>169</v>
      </c>
      <c r="F508" t="s">
        <v>1789</v>
      </c>
      <c r="G508" t="s">
        <v>46</v>
      </c>
      <c r="H508" t="s">
        <v>47</v>
      </c>
      <c r="I508" t="s">
        <v>41</v>
      </c>
      <c r="J508" t="s">
        <v>45</v>
      </c>
      <c r="K508" t="s">
        <v>164</v>
      </c>
      <c r="L508" t="s">
        <v>174</v>
      </c>
      <c r="M508">
        <v>2</v>
      </c>
      <c r="N508">
        <v>16.95</v>
      </c>
      <c r="O508">
        <v>33.9</v>
      </c>
      <c r="P508">
        <v>20</v>
      </c>
      <c r="Q508">
        <v>6.78</v>
      </c>
      <c r="R508">
        <v>27.12</v>
      </c>
      <c r="S508">
        <v>19.52</v>
      </c>
      <c r="T508">
        <v>7.6</v>
      </c>
      <c r="U508" t="s">
        <v>195</v>
      </c>
      <c r="V508" t="s">
        <v>181</v>
      </c>
    </row>
    <row r="509" spans="1:22">
      <c r="A509" t="s">
        <v>1249</v>
      </c>
      <c r="B509" s="1">
        <v>45122</v>
      </c>
      <c r="C509" t="s">
        <v>168</v>
      </c>
      <c r="D509">
        <v>2023</v>
      </c>
      <c r="E509" t="s">
        <v>169</v>
      </c>
      <c r="F509" t="s">
        <v>1250</v>
      </c>
      <c r="G509" t="s">
        <v>50</v>
      </c>
      <c r="H509" t="s">
        <v>51</v>
      </c>
      <c r="I509" t="s">
        <v>41</v>
      </c>
      <c r="J509" t="s">
        <v>52</v>
      </c>
      <c r="K509" t="s">
        <v>209</v>
      </c>
      <c r="L509" t="s">
        <v>204</v>
      </c>
      <c r="M509">
        <v>4</v>
      </c>
      <c r="N509">
        <v>143.80000000000001</v>
      </c>
      <c r="O509">
        <v>575.20000000000005</v>
      </c>
      <c r="P509">
        <v>20</v>
      </c>
      <c r="Q509">
        <v>115.04</v>
      </c>
      <c r="R509">
        <v>460.16</v>
      </c>
      <c r="S509">
        <v>248.6</v>
      </c>
      <c r="T509">
        <v>211.56</v>
      </c>
      <c r="U509" t="s">
        <v>190</v>
      </c>
      <c r="V509" t="s">
        <v>159</v>
      </c>
    </row>
    <row r="510" spans="1:22">
      <c r="A510" t="s">
        <v>1601</v>
      </c>
      <c r="B510" s="1">
        <v>45122</v>
      </c>
      <c r="C510" t="s">
        <v>168</v>
      </c>
      <c r="D510">
        <v>2023</v>
      </c>
      <c r="E510" t="s">
        <v>169</v>
      </c>
      <c r="F510" t="s">
        <v>1602</v>
      </c>
      <c r="G510" t="s">
        <v>113</v>
      </c>
      <c r="H510" t="s">
        <v>114</v>
      </c>
      <c r="I510" t="s">
        <v>115</v>
      </c>
      <c r="J510" t="s">
        <v>116</v>
      </c>
      <c r="K510" t="s">
        <v>164</v>
      </c>
      <c r="L510" t="s">
        <v>204</v>
      </c>
      <c r="M510">
        <v>3</v>
      </c>
      <c r="N510">
        <v>18.7</v>
      </c>
      <c r="O510">
        <v>56.099999999999994</v>
      </c>
      <c r="P510">
        <v>15</v>
      </c>
      <c r="Q510">
        <v>8.41</v>
      </c>
      <c r="R510">
        <v>47.69</v>
      </c>
      <c r="S510">
        <v>20.58</v>
      </c>
      <c r="T510">
        <v>27.11</v>
      </c>
      <c r="U510" t="s">
        <v>166</v>
      </c>
      <c r="V510" t="s">
        <v>159</v>
      </c>
    </row>
    <row r="511" spans="1:22">
      <c r="A511" t="s">
        <v>1285</v>
      </c>
      <c r="B511" s="1">
        <v>45122</v>
      </c>
      <c r="C511" t="s">
        <v>168</v>
      </c>
      <c r="D511">
        <v>2023</v>
      </c>
      <c r="E511" t="s">
        <v>169</v>
      </c>
      <c r="F511" t="s">
        <v>1286</v>
      </c>
      <c r="G511" t="s">
        <v>33</v>
      </c>
      <c r="H511" t="s">
        <v>34</v>
      </c>
      <c r="I511" t="s">
        <v>14</v>
      </c>
      <c r="J511" t="s">
        <v>27</v>
      </c>
      <c r="K511" t="s">
        <v>156</v>
      </c>
      <c r="L511" t="s">
        <v>165</v>
      </c>
      <c r="M511">
        <v>3</v>
      </c>
      <c r="N511">
        <v>124.26</v>
      </c>
      <c r="O511">
        <v>372.78000000000003</v>
      </c>
      <c r="P511">
        <v>0</v>
      </c>
      <c r="Q511">
        <v>0</v>
      </c>
      <c r="R511">
        <v>372.78</v>
      </c>
      <c r="S511">
        <v>157.86000000000001</v>
      </c>
      <c r="T511">
        <v>214.92</v>
      </c>
      <c r="U511" t="s">
        <v>190</v>
      </c>
      <c r="V511" t="s">
        <v>159</v>
      </c>
    </row>
    <row r="512" spans="1:22">
      <c r="A512" t="s">
        <v>1309</v>
      </c>
      <c r="B512" s="1">
        <v>45122</v>
      </c>
      <c r="C512" t="s">
        <v>168</v>
      </c>
      <c r="D512">
        <v>2023</v>
      </c>
      <c r="E512" t="s">
        <v>169</v>
      </c>
      <c r="F512" t="s">
        <v>1310</v>
      </c>
      <c r="G512" t="s">
        <v>103</v>
      </c>
      <c r="H512" t="s">
        <v>104</v>
      </c>
      <c r="I512" t="s">
        <v>90</v>
      </c>
      <c r="J512" t="s">
        <v>94</v>
      </c>
      <c r="K512" t="s">
        <v>156</v>
      </c>
      <c r="L512" t="s">
        <v>179</v>
      </c>
      <c r="M512">
        <v>4</v>
      </c>
      <c r="N512">
        <v>98.58</v>
      </c>
      <c r="O512">
        <v>394.32</v>
      </c>
      <c r="P512">
        <v>20</v>
      </c>
      <c r="Q512">
        <v>78.86</v>
      </c>
      <c r="R512">
        <v>315.45999999999998</v>
      </c>
      <c r="S512">
        <v>210.28</v>
      </c>
      <c r="T512">
        <v>105.18</v>
      </c>
      <c r="U512" t="s">
        <v>190</v>
      </c>
      <c r="V512" t="s">
        <v>186</v>
      </c>
    </row>
    <row r="513" spans="1:22">
      <c r="A513" t="s">
        <v>1320</v>
      </c>
      <c r="B513" s="1">
        <v>45122</v>
      </c>
      <c r="C513" t="s">
        <v>168</v>
      </c>
      <c r="D513">
        <v>2023</v>
      </c>
      <c r="E513" t="s">
        <v>169</v>
      </c>
      <c r="F513" t="s">
        <v>1321</v>
      </c>
      <c r="G513" t="s">
        <v>135</v>
      </c>
      <c r="H513" t="s">
        <v>136</v>
      </c>
      <c r="I513" t="s">
        <v>115</v>
      </c>
      <c r="J513" t="s">
        <v>119</v>
      </c>
      <c r="K513" t="s">
        <v>178</v>
      </c>
      <c r="L513" t="s">
        <v>204</v>
      </c>
      <c r="M513">
        <v>4</v>
      </c>
      <c r="N513">
        <v>89.62</v>
      </c>
      <c r="O513">
        <v>358.48</v>
      </c>
      <c r="P513">
        <v>0</v>
      </c>
      <c r="Q513">
        <v>0</v>
      </c>
      <c r="R513">
        <v>358.48</v>
      </c>
      <c r="S513">
        <v>152.52000000000001</v>
      </c>
      <c r="T513">
        <v>205.96</v>
      </c>
      <c r="U513" t="s">
        <v>190</v>
      </c>
      <c r="V513" t="s">
        <v>159</v>
      </c>
    </row>
    <row r="514" spans="1:22">
      <c r="A514" t="s">
        <v>1486</v>
      </c>
      <c r="B514" s="1">
        <v>45121</v>
      </c>
      <c r="C514" t="s">
        <v>168</v>
      </c>
      <c r="D514">
        <v>2023</v>
      </c>
      <c r="E514" t="s">
        <v>169</v>
      </c>
      <c r="F514" t="s">
        <v>1487</v>
      </c>
      <c r="G514" t="s">
        <v>135</v>
      </c>
      <c r="H514" t="s">
        <v>136</v>
      </c>
      <c r="I514" t="s">
        <v>115</v>
      </c>
      <c r="J514" t="s">
        <v>119</v>
      </c>
      <c r="K514" t="s">
        <v>178</v>
      </c>
      <c r="L514" t="s">
        <v>204</v>
      </c>
      <c r="M514">
        <v>1</v>
      </c>
      <c r="N514">
        <v>89.62</v>
      </c>
      <c r="O514">
        <v>89.62</v>
      </c>
      <c r="P514">
        <v>10</v>
      </c>
      <c r="Q514">
        <v>8.9600000000000009</v>
      </c>
      <c r="R514">
        <v>80.66</v>
      </c>
      <c r="S514">
        <v>38.130000000000003</v>
      </c>
      <c r="T514">
        <v>42.53</v>
      </c>
      <c r="U514" t="s">
        <v>166</v>
      </c>
      <c r="V514" t="s">
        <v>181</v>
      </c>
    </row>
    <row r="515" spans="1:22">
      <c r="A515" t="s">
        <v>643</v>
      </c>
      <c r="B515" s="1">
        <v>45120</v>
      </c>
      <c r="C515" t="s">
        <v>168</v>
      </c>
      <c r="D515">
        <v>2023</v>
      </c>
      <c r="E515" t="s">
        <v>169</v>
      </c>
      <c r="F515" t="s">
        <v>644</v>
      </c>
      <c r="G515" t="s">
        <v>76</v>
      </c>
      <c r="H515" t="s">
        <v>77</v>
      </c>
      <c r="I515" t="s">
        <v>66</v>
      </c>
      <c r="J515" t="s">
        <v>67</v>
      </c>
      <c r="K515" t="s">
        <v>209</v>
      </c>
      <c r="L515" t="s">
        <v>165</v>
      </c>
      <c r="M515">
        <v>4</v>
      </c>
      <c r="N515">
        <v>118.07</v>
      </c>
      <c r="O515">
        <v>472.28</v>
      </c>
      <c r="P515">
        <v>20</v>
      </c>
      <c r="Q515">
        <v>94.46</v>
      </c>
      <c r="R515">
        <v>377.82</v>
      </c>
      <c r="S515">
        <v>158.80000000000001</v>
      </c>
      <c r="T515">
        <v>219.02</v>
      </c>
      <c r="U515" t="s">
        <v>166</v>
      </c>
      <c r="V515" t="s">
        <v>159</v>
      </c>
    </row>
    <row r="516" spans="1:22">
      <c r="A516" t="s">
        <v>1864</v>
      </c>
      <c r="B516" s="1">
        <v>45120</v>
      </c>
      <c r="C516" t="s">
        <v>168</v>
      </c>
      <c r="D516">
        <v>2023</v>
      </c>
      <c r="E516" t="s">
        <v>169</v>
      </c>
      <c r="F516" t="s">
        <v>1865</v>
      </c>
      <c r="G516" t="s">
        <v>55</v>
      </c>
      <c r="H516" t="s">
        <v>56</v>
      </c>
      <c r="I516" t="s">
        <v>41</v>
      </c>
      <c r="J516" t="s">
        <v>45</v>
      </c>
      <c r="K516" t="s">
        <v>178</v>
      </c>
      <c r="L516" t="s">
        <v>179</v>
      </c>
      <c r="M516">
        <v>4</v>
      </c>
      <c r="N516">
        <v>205.4</v>
      </c>
      <c r="O516">
        <v>821.6</v>
      </c>
      <c r="P516">
        <v>10</v>
      </c>
      <c r="Q516">
        <v>82.16</v>
      </c>
      <c r="R516">
        <v>739.44</v>
      </c>
      <c r="S516">
        <v>283.60000000000002</v>
      </c>
      <c r="T516">
        <v>455.84</v>
      </c>
      <c r="U516" t="s">
        <v>195</v>
      </c>
      <c r="V516" t="s">
        <v>159</v>
      </c>
    </row>
    <row r="517" spans="1:22">
      <c r="A517" t="s">
        <v>719</v>
      </c>
      <c r="B517" s="1">
        <v>45119</v>
      </c>
      <c r="C517" t="s">
        <v>168</v>
      </c>
      <c r="D517">
        <v>2023</v>
      </c>
      <c r="E517" t="s">
        <v>169</v>
      </c>
      <c r="F517" t="s">
        <v>720</v>
      </c>
      <c r="G517" t="s">
        <v>50</v>
      </c>
      <c r="H517" t="s">
        <v>51</v>
      </c>
      <c r="I517" t="s">
        <v>41</v>
      </c>
      <c r="J517" t="s">
        <v>52</v>
      </c>
      <c r="K517" t="s">
        <v>156</v>
      </c>
      <c r="L517" t="s">
        <v>165</v>
      </c>
      <c r="M517">
        <v>3</v>
      </c>
      <c r="N517">
        <v>143.80000000000001</v>
      </c>
      <c r="O517">
        <v>431.40000000000003</v>
      </c>
      <c r="P517">
        <v>10</v>
      </c>
      <c r="Q517">
        <v>43.14</v>
      </c>
      <c r="R517">
        <v>388.26</v>
      </c>
      <c r="S517">
        <v>186.45</v>
      </c>
      <c r="T517">
        <v>201.81</v>
      </c>
      <c r="U517" t="s">
        <v>166</v>
      </c>
      <c r="V517" t="s">
        <v>186</v>
      </c>
    </row>
    <row r="518" spans="1:22">
      <c r="A518" t="s">
        <v>954</v>
      </c>
      <c r="B518" s="1">
        <v>45119</v>
      </c>
      <c r="C518" t="s">
        <v>168</v>
      </c>
      <c r="D518">
        <v>2023</v>
      </c>
      <c r="E518" t="s">
        <v>169</v>
      </c>
      <c r="F518" t="s">
        <v>955</v>
      </c>
      <c r="G518" t="s">
        <v>76</v>
      </c>
      <c r="H518" t="s">
        <v>77</v>
      </c>
      <c r="I518" t="s">
        <v>66</v>
      </c>
      <c r="J518" t="s">
        <v>67</v>
      </c>
      <c r="K518" t="s">
        <v>164</v>
      </c>
      <c r="L518" t="s">
        <v>179</v>
      </c>
      <c r="M518">
        <v>3</v>
      </c>
      <c r="N518">
        <v>118.07</v>
      </c>
      <c r="O518">
        <v>354.21</v>
      </c>
      <c r="P518">
        <v>10</v>
      </c>
      <c r="Q518">
        <v>35.42</v>
      </c>
      <c r="R518">
        <v>318.79000000000002</v>
      </c>
      <c r="S518">
        <v>119.1</v>
      </c>
      <c r="T518">
        <v>199.69</v>
      </c>
      <c r="U518" t="s">
        <v>166</v>
      </c>
      <c r="V518" t="s">
        <v>159</v>
      </c>
    </row>
    <row r="519" spans="1:22">
      <c r="A519" t="s">
        <v>958</v>
      </c>
      <c r="B519" s="1">
        <v>45119</v>
      </c>
      <c r="C519" t="s">
        <v>168</v>
      </c>
      <c r="D519">
        <v>2023</v>
      </c>
      <c r="E519" t="s">
        <v>169</v>
      </c>
      <c r="F519" t="s">
        <v>959</v>
      </c>
      <c r="G519" t="s">
        <v>25</v>
      </c>
      <c r="H519" t="s">
        <v>26</v>
      </c>
      <c r="I519" t="s">
        <v>14</v>
      </c>
      <c r="J519" t="s">
        <v>27</v>
      </c>
      <c r="K519" t="s">
        <v>209</v>
      </c>
      <c r="L519" t="s">
        <v>232</v>
      </c>
      <c r="M519">
        <v>3</v>
      </c>
      <c r="N519">
        <v>18.39</v>
      </c>
      <c r="O519">
        <v>55.17</v>
      </c>
      <c r="P519">
        <v>0</v>
      </c>
      <c r="Q519">
        <v>0</v>
      </c>
      <c r="R519">
        <v>55.17</v>
      </c>
      <c r="S519">
        <v>24.78</v>
      </c>
      <c r="T519">
        <v>30.39</v>
      </c>
      <c r="U519" t="s">
        <v>158</v>
      </c>
      <c r="V519" t="s">
        <v>159</v>
      </c>
    </row>
    <row r="520" spans="1:22">
      <c r="A520" t="s">
        <v>781</v>
      </c>
      <c r="B520" s="1">
        <v>45118</v>
      </c>
      <c r="C520" t="s">
        <v>168</v>
      </c>
      <c r="D520">
        <v>2023</v>
      </c>
      <c r="E520" t="s">
        <v>169</v>
      </c>
      <c r="F520" t="s">
        <v>782</v>
      </c>
      <c r="G520" t="s">
        <v>62</v>
      </c>
      <c r="H520" t="s">
        <v>63</v>
      </c>
      <c r="I520" t="s">
        <v>41</v>
      </c>
      <c r="J520" t="s">
        <v>45</v>
      </c>
      <c r="K520" t="s">
        <v>156</v>
      </c>
      <c r="L520" t="s">
        <v>232</v>
      </c>
      <c r="M520">
        <v>1</v>
      </c>
      <c r="N520">
        <v>160.35</v>
      </c>
      <c r="O520">
        <v>160.35</v>
      </c>
      <c r="P520">
        <v>0</v>
      </c>
      <c r="Q520">
        <v>0</v>
      </c>
      <c r="R520">
        <v>160.35</v>
      </c>
      <c r="S520">
        <v>72.47</v>
      </c>
      <c r="T520">
        <v>87.88</v>
      </c>
      <c r="U520" t="s">
        <v>180</v>
      </c>
      <c r="V520" t="s">
        <v>186</v>
      </c>
    </row>
    <row r="521" spans="1:22">
      <c r="A521" t="s">
        <v>445</v>
      </c>
      <c r="B521" s="1">
        <v>45117</v>
      </c>
      <c r="C521" t="s">
        <v>168</v>
      </c>
      <c r="D521">
        <v>2023</v>
      </c>
      <c r="E521" t="s">
        <v>169</v>
      </c>
      <c r="F521" t="s">
        <v>446</v>
      </c>
      <c r="G521" t="s">
        <v>98</v>
      </c>
      <c r="H521" t="s">
        <v>99</v>
      </c>
      <c r="I521" t="s">
        <v>90</v>
      </c>
      <c r="J521" t="s">
        <v>100</v>
      </c>
      <c r="K521" t="s">
        <v>178</v>
      </c>
      <c r="L521" t="s">
        <v>204</v>
      </c>
      <c r="M521">
        <v>2</v>
      </c>
      <c r="N521">
        <v>194.87</v>
      </c>
      <c r="O521">
        <v>389.74</v>
      </c>
      <c r="P521">
        <v>0</v>
      </c>
      <c r="Q521">
        <v>0</v>
      </c>
      <c r="R521">
        <v>389.74</v>
      </c>
      <c r="S521">
        <v>157.58000000000001</v>
      </c>
      <c r="T521">
        <v>232.16</v>
      </c>
      <c r="U521" t="s">
        <v>180</v>
      </c>
      <c r="V521" t="s">
        <v>159</v>
      </c>
    </row>
    <row r="522" spans="1:22">
      <c r="A522" t="s">
        <v>2048</v>
      </c>
      <c r="B522" s="1">
        <v>45117</v>
      </c>
      <c r="C522" t="s">
        <v>168</v>
      </c>
      <c r="D522">
        <v>2023</v>
      </c>
      <c r="E522" t="s">
        <v>169</v>
      </c>
      <c r="F522" t="s">
        <v>2049</v>
      </c>
      <c r="G522" t="s">
        <v>39</v>
      </c>
      <c r="H522" t="s">
        <v>40</v>
      </c>
      <c r="I522" t="s">
        <v>41</v>
      </c>
      <c r="J522" t="s">
        <v>42</v>
      </c>
      <c r="K522" t="s">
        <v>164</v>
      </c>
      <c r="L522" t="s">
        <v>194</v>
      </c>
      <c r="M522">
        <v>1</v>
      </c>
      <c r="N522">
        <v>35.11</v>
      </c>
      <c r="O522">
        <v>35.11</v>
      </c>
      <c r="P522">
        <v>0</v>
      </c>
      <c r="Q522">
        <v>0</v>
      </c>
      <c r="R522">
        <v>35.11</v>
      </c>
      <c r="S522">
        <v>24.87</v>
      </c>
      <c r="T522">
        <v>10.24</v>
      </c>
      <c r="U522" t="s">
        <v>190</v>
      </c>
      <c r="V522" t="s">
        <v>159</v>
      </c>
    </row>
    <row r="523" spans="1:22">
      <c r="A523" t="s">
        <v>1306</v>
      </c>
      <c r="B523" s="1">
        <v>45117</v>
      </c>
      <c r="C523" t="s">
        <v>168</v>
      </c>
      <c r="D523">
        <v>2023</v>
      </c>
      <c r="E523" t="s">
        <v>169</v>
      </c>
      <c r="F523" t="s">
        <v>746</v>
      </c>
      <c r="G523" t="s">
        <v>48</v>
      </c>
      <c r="H523" t="s">
        <v>49</v>
      </c>
      <c r="I523" t="s">
        <v>41</v>
      </c>
      <c r="J523" t="s">
        <v>42</v>
      </c>
      <c r="K523" t="s">
        <v>164</v>
      </c>
      <c r="L523" t="s">
        <v>194</v>
      </c>
      <c r="M523">
        <v>4</v>
      </c>
      <c r="N523">
        <v>84.95</v>
      </c>
      <c r="O523">
        <v>339.8</v>
      </c>
      <c r="P523">
        <v>15</v>
      </c>
      <c r="Q523">
        <v>50.97</v>
      </c>
      <c r="R523">
        <v>288.83</v>
      </c>
      <c r="S523">
        <v>212.28</v>
      </c>
      <c r="T523">
        <v>76.55</v>
      </c>
      <c r="U523" t="s">
        <v>180</v>
      </c>
      <c r="V523" t="s">
        <v>159</v>
      </c>
    </row>
    <row r="524" spans="1:22">
      <c r="A524" t="s">
        <v>679</v>
      </c>
      <c r="B524" s="1">
        <v>45116</v>
      </c>
      <c r="C524" t="s">
        <v>168</v>
      </c>
      <c r="D524">
        <v>2023</v>
      </c>
      <c r="E524" t="s">
        <v>169</v>
      </c>
      <c r="F524" t="s">
        <v>680</v>
      </c>
      <c r="G524" t="s">
        <v>133</v>
      </c>
      <c r="H524" t="s">
        <v>134</v>
      </c>
      <c r="I524" t="s">
        <v>115</v>
      </c>
      <c r="J524" t="s">
        <v>119</v>
      </c>
      <c r="K524" t="s">
        <v>164</v>
      </c>
      <c r="L524" t="s">
        <v>174</v>
      </c>
      <c r="M524">
        <v>3</v>
      </c>
      <c r="N524">
        <v>78.84</v>
      </c>
      <c r="O524">
        <v>236.52</v>
      </c>
      <c r="P524">
        <v>0</v>
      </c>
      <c r="Q524">
        <v>0</v>
      </c>
      <c r="R524">
        <v>236.52</v>
      </c>
      <c r="S524">
        <v>143.04</v>
      </c>
      <c r="T524">
        <v>93.48</v>
      </c>
      <c r="U524" t="s">
        <v>166</v>
      </c>
      <c r="V524" t="s">
        <v>159</v>
      </c>
    </row>
    <row r="525" spans="1:22">
      <c r="A525" t="s">
        <v>971</v>
      </c>
      <c r="B525" s="1">
        <v>45116</v>
      </c>
      <c r="C525" t="s">
        <v>168</v>
      </c>
      <c r="D525">
        <v>2023</v>
      </c>
      <c r="E525" t="s">
        <v>169</v>
      </c>
      <c r="F525" t="s">
        <v>972</v>
      </c>
      <c r="G525" t="s">
        <v>117</v>
      </c>
      <c r="H525" t="s">
        <v>118</v>
      </c>
      <c r="I525" t="s">
        <v>115</v>
      </c>
      <c r="J525" t="s">
        <v>119</v>
      </c>
      <c r="K525" t="s">
        <v>164</v>
      </c>
      <c r="L525" t="s">
        <v>194</v>
      </c>
      <c r="M525">
        <v>4</v>
      </c>
      <c r="N525">
        <v>93.41</v>
      </c>
      <c r="O525">
        <v>373.64</v>
      </c>
      <c r="P525">
        <v>0</v>
      </c>
      <c r="Q525">
        <v>0</v>
      </c>
      <c r="R525">
        <v>373.64</v>
      </c>
      <c r="S525">
        <v>256.2</v>
      </c>
      <c r="T525">
        <v>117.44</v>
      </c>
      <c r="U525" t="s">
        <v>190</v>
      </c>
      <c r="V525" t="s">
        <v>186</v>
      </c>
    </row>
    <row r="526" spans="1:22">
      <c r="A526" t="s">
        <v>1597</v>
      </c>
      <c r="B526" s="1">
        <v>45116</v>
      </c>
      <c r="C526" t="s">
        <v>168</v>
      </c>
      <c r="D526">
        <v>2023</v>
      </c>
      <c r="E526" t="s">
        <v>169</v>
      </c>
      <c r="F526" t="s">
        <v>1598</v>
      </c>
      <c r="G526" t="s">
        <v>35</v>
      </c>
      <c r="H526" t="s">
        <v>36</v>
      </c>
      <c r="I526" t="s">
        <v>14</v>
      </c>
      <c r="J526" t="s">
        <v>19</v>
      </c>
      <c r="K526" t="s">
        <v>209</v>
      </c>
      <c r="L526" t="s">
        <v>174</v>
      </c>
      <c r="M526">
        <v>3</v>
      </c>
      <c r="N526">
        <v>81.599999999999994</v>
      </c>
      <c r="O526">
        <v>244.79999999999998</v>
      </c>
      <c r="P526">
        <v>0</v>
      </c>
      <c r="Q526">
        <v>0</v>
      </c>
      <c r="R526">
        <v>244.8</v>
      </c>
      <c r="S526">
        <v>87.96</v>
      </c>
      <c r="T526">
        <v>156.84</v>
      </c>
      <c r="U526" t="s">
        <v>166</v>
      </c>
      <c r="V526" t="s">
        <v>159</v>
      </c>
    </row>
    <row r="527" spans="1:22">
      <c r="A527" t="s">
        <v>1729</v>
      </c>
      <c r="B527" s="1">
        <v>45116</v>
      </c>
      <c r="C527" t="s">
        <v>168</v>
      </c>
      <c r="D527">
        <v>2023</v>
      </c>
      <c r="E527" t="s">
        <v>169</v>
      </c>
      <c r="F527" t="s">
        <v>1730</v>
      </c>
      <c r="G527" t="s">
        <v>127</v>
      </c>
      <c r="H527" t="s">
        <v>128</v>
      </c>
      <c r="I527" t="s">
        <v>115</v>
      </c>
      <c r="J527" t="s">
        <v>124</v>
      </c>
      <c r="K527" t="s">
        <v>164</v>
      </c>
      <c r="L527" t="s">
        <v>165</v>
      </c>
      <c r="M527">
        <v>4</v>
      </c>
      <c r="N527">
        <v>94.76</v>
      </c>
      <c r="O527">
        <v>379.04</v>
      </c>
      <c r="P527">
        <v>0</v>
      </c>
      <c r="Q527">
        <v>0</v>
      </c>
      <c r="R527">
        <v>379.04</v>
      </c>
      <c r="S527">
        <v>315.27999999999997</v>
      </c>
      <c r="T527">
        <v>63.76</v>
      </c>
      <c r="U527" t="s">
        <v>158</v>
      </c>
      <c r="V527" t="s">
        <v>159</v>
      </c>
    </row>
    <row r="528" spans="1:22">
      <c r="A528" t="s">
        <v>1258</v>
      </c>
      <c r="B528" s="1">
        <v>45116</v>
      </c>
      <c r="C528" t="s">
        <v>168</v>
      </c>
      <c r="D528">
        <v>2023</v>
      </c>
      <c r="E528" t="s">
        <v>169</v>
      </c>
      <c r="F528" t="s">
        <v>1259</v>
      </c>
      <c r="G528" t="s">
        <v>103</v>
      </c>
      <c r="H528" t="s">
        <v>104</v>
      </c>
      <c r="I528" t="s">
        <v>90</v>
      </c>
      <c r="J528" t="s">
        <v>94</v>
      </c>
      <c r="K528" t="s">
        <v>164</v>
      </c>
      <c r="L528" t="s">
        <v>194</v>
      </c>
      <c r="M528">
        <v>4</v>
      </c>
      <c r="N528">
        <v>98.58</v>
      </c>
      <c r="O528">
        <v>394.32</v>
      </c>
      <c r="P528">
        <v>0</v>
      </c>
      <c r="Q528">
        <v>0</v>
      </c>
      <c r="R528">
        <v>394.32</v>
      </c>
      <c r="S528">
        <v>210.28</v>
      </c>
      <c r="T528">
        <v>184.04</v>
      </c>
      <c r="U528" t="s">
        <v>195</v>
      </c>
      <c r="V528" t="s">
        <v>181</v>
      </c>
    </row>
    <row r="529" spans="1:22">
      <c r="A529" t="s">
        <v>813</v>
      </c>
      <c r="B529" s="1">
        <v>45115</v>
      </c>
      <c r="C529" t="s">
        <v>168</v>
      </c>
      <c r="D529">
        <v>2023</v>
      </c>
      <c r="E529" t="s">
        <v>169</v>
      </c>
      <c r="F529" t="s">
        <v>814</v>
      </c>
      <c r="G529" t="s">
        <v>95</v>
      </c>
      <c r="H529" t="s">
        <v>96</v>
      </c>
      <c r="I529" t="s">
        <v>90</v>
      </c>
      <c r="J529" t="s">
        <v>97</v>
      </c>
      <c r="K529" t="s">
        <v>164</v>
      </c>
      <c r="L529" t="s">
        <v>194</v>
      </c>
      <c r="M529">
        <v>3</v>
      </c>
      <c r="N529">
        <v>177.41</v>
      </c>
      <c r="O529">
        <v>532.23</v>
      </c>
      <c r="P529">
        <v>15</v>
      </c>
      <c r="Q529">
        <v>79.83</v>
      </c>
      <c r="R529">
        <v>452.4</v>
      </c>
      <c r="S529">
        <v>224.97</v>
      </c>
      <c r="T529">
        <v>227.43</v>
      </c>
      <c r="U529" t="s">
        <v>166</v>
      </c>
      <c r="V529" t="s">
        <v>159</v>
      </c>
    </row>
    <row r="530" spans="1:22">
      <c r="A530" t="s">
        <v>879</v>
      </c>
      <c r="B530" s="1">
        <v>45115</v>
      </c>
      <c r="C530" t="s">
        <v>168</v>
      </c>
      <c r="D530">
        <v>2023</v>
      </c>
      <c r="E530" t="s">
        <v>169</v>
      </c>
      <c r="F530" t="s">
        <v>880</v>
      </c>
      <c r="G530" t="s">
        <v>28</v>
      </c>
      <c r="H530" t="s">
        <v>29</v>
      </c>
      <c r="I530" t="s">
        <v>14</v>
      </c>
      <c r="J530" t="s">
        <v>19</v>
      </c>
      <c r="K530" t="s">
        <v>178</v>
      </c>
      <c r="L530" t="s">
        <v>232</v>
      </c>
      <c r="M530">
        <v>4</v>
      </c>
      <c r="N530">
        <v>26.46</v>
      </c>
      <c r="O530">
        <v>105.84</v>
      </c>
      <c r="P530">
        <v>0</v>
      </c>
      <c r="Q530">
        <v>0</v>
      </c>
      <c r="R530">
        <v>105.84</v>
      </c>
      <c r="S530">
        <v>77.680000000000007</v>
      </c>
      <c r="T530">
        <v>28.16</v>
      </c>
      <c r="U530" t="s">
        <v>195</v>
      </c>
      <c r="V530" t="s">
        <v>181</v>
      </c>
    </row>
    <row r="531" spans="1:22">
      <c r="A531" t="s">
        <v>1985</v>
      </c>
      <c r="B531" s="1">
        <v>45115</v>
      </c>
      <c r="C531" t="s">
        <v>168</v>
      </c>
      <c r="D531">
        <v>2023</v>
      </c>
      <c r="E531" t="s">
        <v>169</v>
      </c>
      <c r="F531" t="s">
        <v>1232</v>
      </c>
      <c r="G531" t="s">
        <v>71</v>
      </c>
      <c r="H531" t="s">
        <v>72</v>
      </c>
      <c r="I531" t="s">
        <v>66</v>
      </c>
      <c r="J531" t="s">
        <v>70</v>
      </c>
      <c r="K531" t="s">
        <v>156</v>
      </c>
      <c r="L531" t="s">
        <v>204</v>
      </c>
      <c r="M531">
        <v>1</v>
      </c>
      <c r="N531">
        <v>26.7</v>
      </c>
      <c r="O531">
        <v>26.7</v>
      </c>
      <c r="P531">
        <v>20</v>
      </c>
      <c r="Q531">
        <v>5.34</v>
      </c>
      <c r="R531">
        <v>21.36</v>
      </c>
      <c r="S531">
        <v>12.27</v>
      </c>
      <c r="T531">
        <v>9.09</v>
      </c>
      <c r="U531" t="s">
        <v>180</v>
      </c>
      <c r="V531" t="s">
        <v>186</v>
      </c>
    </row>
    <row r="532" spans="1:22">
      <c r="A532" t="s">
        <v>1913</v>
      </c>
      <c r="B532" s="1">
        <v>45115</v>
      </c>
      <c r="C532" t="s">
        <v>168</v>
      </c>
      <c r="D532">
        <v>2023</v>
      </c>
      <c r="E532" t="s">
        <v>169</v>
      </c>
      <c r="F532" t="s">
        <v>1914</v>
      </c>
      <c r="G532" t="s">
        <v>37</v>
      </c>
      <c r="H532" t="s">
        <v>38</v>
      </c>
      <c r="I532" t="s">
        <v>14</v>
      </c>
      <c r="J532" t="s">
        <v>27</v>
      </c>
      <c r="K532" t="s">
        <v>178</v>
      </c>
      <c r="L532" t="s">
        <v>174</v>
      </c>
      <c r="M532">
        <v>3</v>
      </c>
      <c r="N532">
        <v>133.99</v>
      </c>
      <c r="O532">
        <v>401.97</v>
      </c>
      <c r="P532">
        <v>5</v>
      </c>
      <c r="Q532">
        <v>20.100000000000001</v>
      </c>
      <c r="R532">
        <v>381.87</v>
      </c>
      <c r="S532">
        <v>220.47</v>
      </c>
      <c r="T532">
        <v>161.4</v>
      </c>
      <c r="U532" t="s">
        <v>166</v>
      </c>
      <c r="V532" t="s">
        <v>159</v>
      </c>
    </row>
    <row r="533" spans="1:22">
      <c r="A533" t="s">
        <v>499</v>
      </c>
      <c r="B533" s="1">
        <v>45115</v>
      </c>
      <c r="C533" t="s">
        <v>168</v>
      </c>
      <c r="D533">
        <v>2023</v>
      </c>
      <c r="E533" t="s">
        <v>169</v>
      </c>
      <c r="F533" t="s">
        <v>500</v>
      </c>
      <c r="G533" t="s">
        <v>57</v>
      </c>
      <c r="H533" t="s">
        <v>58</v>
      </c>
      <c r="I533" t="s">
        <v>41</v>
      </c>
      <c r="J533" t="s">
        <v>59</v>
      </c>
      <c r="K533" t="s">
        <v>164</v>
      </c>
      <c r="L533" t="s">
        <v>165</v>
      </c>
      <c r="M533">
        <v>1</v>
      </c>
      <c r="N533">
        <v>56.33</v>
      </c>
      <c r="O533">
        <v>56.33</v>
      </c>
      <c r="P533">
        <v>20</v>
      </c>
      <c r="Q533">
        <v>11.27</v>
      </c>
      <c r="R533">
        <v>45.06</v>
      </c>
      <c r="S533">
        <v>41.45</v>
      </c>
      <c r="T533">
        <v>3.61</v>
      </c>
      <c r="U533" t="s">
        <v>180</v>
      </c>
      <c r="V533" t="s">
        <v>186</v>
      </c>
    </row>
    <row r="534" spans="1:22">
      <c r="A534" t="s">
        <v>570</v>
      </c>
      <c r="B534" s="1">
        <v>45114</v>
      </c>
      <c r="C534" t="s">
        <v>168</v>
      </c>
      <c r="D534">
        <v>2023</v>
      </c>
      <c r="E534" t="s">
        <v>169</v>
      </c>
      <c r="F534" t="s">
        <v>571</v>
      </c>
      <c r="G534" t="s">
        <v>73</v>
      </c>
      <c r="H534" t="s">
        <v>74</v>
      </c>
      <c r="I534" t="s">
        <v>66</v>
      </c>
      <c r="J534" t="s">
        <v>75</v>
      </c>
      <c r="K534" t="s">
        <v>156</v>
      </c>
      <c r="L534" t="s">
        <v>157</v>
      </c>
      <c r="M534">
        <v>3</v>
      </c>
      <c r="N534">
        <v>53.95</v>
      </c>
      <c r="O534">
        <v>161.85000000000002</v>
      </c>
      <c r="P534">
        <v>10</v>
      </c>
      <c r="Q534">
        <v>16.190000000000001</v>
      </c>
      <c r="R534">
        <v>145.66</v>
      </c>
      <c r="S534">
        <v>105.6</v>
      </c>
      <c r="T534">
        <v>40.06</v>
      </c>
      <c r="U534" t="s">
        <v>166</v>
      </c>
      <c r="V534" t="s">
        <v>181</v>
      </c>
    </row>
    <row r="535" spans="1:22">
      <c r="A535" t="s">
        <v>1107</v>
      </c>
      <c r="B535" s="1">
        <v>45113</v>
      </c>
      <c r="C535" t="s">
        <v>168</v>
      </c>
      <c r="D535">
        <v>2023</v>
      </c>
      <c r="E535" t="s">
        <v>169</v>
      </c>
      <c r="F535" t="s">
        <v>1108</v>
      </c>
      <c r="G535" t="s">
        <v>117</v>
      </c>
      <c r="H535" t="s">
        <v>118</v>
      </c>
      <c r="I535" t="s">
        <v>115</v>
      </c>
      <c r="J535" t="s">
        <v>119</v>
      </c>
      <c r="K535" t="s">
        <v>209</v>
      </c>
      <c r="L535" t="s">
        <v>179</v>
      </c>
      <c r="M535">
        <v>4</v>
      </c>
      <c r="N535">
        <v>93.41</v>
      </c>
      <c r="O535">
        <v>373.64</v>
      </c>
      <c r="P535">
        <v>0</v>
      </c>
      <c r="Q535">
        <v>0</v>
      </c>
      <c r="R535">
        <v>373.64</v>
      </c>
      <c r="S535">
        <v>256.2</v>
      </c>
      <c r="T535">
        <v>117.44</v>
      </c>
      <c r="U535" t="s">
        <v>190</v>
      </c>
      <c r="V535" t="s">
        <v>186</v>
      </c>
    </row>
    <row r="536" spans="1:22">
      <c r="A536" t="s">
        <v>1841</v>
      </c>
      <c r="B536" s="1">
        <v>45113</v>
      </c>
      <c r="C536" t="s">
        <v>168</v>
      </c>
      <c r="D536">
        <v>2023</v>
      </c>
      <c r="E536" t="s">
        <v>169</v>
      </c>
      <c r="F536" t="s">
        <v>1842</v>
      </c>
      <c r="G536" t="s">
        <v>131</v>
      </c>
      <c r="H536" t="s">
        <v>132</v>
      </c>
      <c r="I536" t="s">
        <v>115</v>
      </c>
      <c r="J536" t="s">
        <v>119</v>
      </c>
      <c r="K536" t="s">
        <v>156</v>
      </c>
      <c r="L536" t="s">
        <v>194</v>
      </c>
      <c r="M536">
        <v>2</v>
      </c>
      <c r="N536">
        <v>75.69</v>
      </c>
      <c r="O536">
        <v>151.38</v>
      </c>
      <c r="P536">
        <v>0</v>
      </c>
      <c r="Q536">
        <v>0</v>
      </c>
      <c r="R536">
        <v>151.38</v>
      </c>
      <c r="S536">
        <v>71.260000000000005</v>
      </c>
      <c r="T536">
        <v>80.12</v>
      </c>
      <c r="U536" t="s">
        <v>190</v>
      </c>
      <c r="V536" t="s">
        <v>181</v>
      </c>
    </row>
    <row r="537" spans="1:22">
      <c r="A537" t="s">
        <v>1303</v>
      </c>
      <c r="B537" s="1">
        <v>45112</v>
      </c>
      <c r="C537" t="s">
        <v>168</v>
      </c>
      <c r="D537">
        <v>2023</v>
      </c>
      <c r="E537" t="s">
        <v>169</v>
      </c>
      <c r="F537" t="s">
        <v>1304</v>
      </c>
      <c r="G537" t="s">
        <v>107</v>
      </c>
      <c r="H537" t="s">
        <v>108</v>
      </c>
      <c r="I537" t="s">
        <v>90</v>
      </c>
      <c r="J537" t="s">
        <v>100</v>
      </c>
      <c r="K537" t="s">
        <v>178</v>
      </c>
      <c r="L537" t="s">
        <v>157</v>
      </c>
      <c r="M537">
        <v>1</v>
      </c>
      <c r="N537">
        <v>26.61</v>
      </c>
      <c r="O537">
        <v>26.61</v>
      </c>
      <c r="P537">
        <v>0</v>
      </c>
      <c r="Q537">
        <v>0</v>
      </c>
      <c r="R537">
        <v>26.61</v>
      </c>
      <c r="S537">
        <v>10.64</v>
      </c>
      <c r="T537">
        <v>15.97</v>
      </c>
      <c r="U537" t="s">
        <v>166</v>
      </c>
      <c r="V537" t="s">
        <v>159</v>
      </c>
    </row>
    <row r="538" spans="1:22">
      <c r="A538" t="s">
        <v>455</v>
      </c>
      <c r="B538" s="1">
        <v>45112</v>
      </c>
      <c r="C538" t="s">
        <v>168</v>
      </c>
      <c r="D538">
        <v>2023</v>
      </c>
      <c r="E538" t="s">
        <v>169</v>
      </c>
      <c r="F538" t="s">
        <v>456</v>
      </c>
      <c r="G538" t="s">
        <v>117</v>
      </c>
      <c r="H538" t="s">
        <v>118</v>
      </c>
      <c r="I538" t="s">
        <v>115</v>
      </c>
      <c r="J538" t="s">
        <v>119</v>
      </c>
      <c r="K538" t="s">
        <v>178</v>
      </c>
      <c r="L538" t="s">
        <v>194</v>
      </c>
      <c r="M538">
        <v>4</v>
      </c>
      <c r="N538">
        <v>93.41</v>
      </c>
      <c r="O538">
        <v>373.64</v>
      </c>
      <c r="P538">
        <v>10</v>
      </c>
      <c r="Q538">
        <v>37.36</v>
      </c>
      <c r="R538">
        <v>336.28</v>
      </c>
      <c r="S538">
        <v>256.2</v>
      </c>
      <c r="T538">
        <v>80.08</v>
      </c>
      <c r="U538" t="s">
        <v>190</v>
      </c>
      <c r="V538" t="s">
        <v>159</v>
      </c>
    </row>
    <row r="539" spans="1:22">
      <c r="A539" t="s">
        <v>622</v>
      </c>
      <c r="B539" s="1">
        <v>45111</v>
      </c>
      <c r="C539" t="s">
        <v>168</v>
      </c>
      <c r="D539">
        <v>2023</v>
      </c>
      <c r="E539" t="s">
        <v>169</v>
      </c>
      <c r="F539" t="s">
        <v>623</v>
      </c>
      <c r="G539" t="s">
        <v>12</v>
      </c>
      <c r="H539" t="s">
        <v>13</v>
      </c>
      <c r="I539" t="s">
        <v>14</v>
      </c>
      <c r="J539" t="s">
        <v>15</v>
      </c>
      <c r="K539" t="s">
        <v>156</v>
      </c>
      <c r="L539" t="s">
        <v>174</v>
      </c>
      <c r="M539">
        <v>3</v>
      </c>
      <c r="N539">
        <v>76.53</v>
      </c>
      <c r="O539">
        <v>229.59</v>
      </c>
      <c r="P539">
        <v>15</v>
      </c>
      <c r="Q539">
        <v>34.44</v>
      </c>
      <c r="R539">
        <v>195.15</v>
      </c>
      <c r="S539">
        <v>158.88</v>
      </c>
      <c r="T539">
        <v>36.270000000000003</v>
      </c>
      <c r="U539" t="s">
        <v>158</v>
      </c>
      <c r="V539" t="s">
        <v>186</v>
      </c>
    </row>
    <row r="540" spans="1:22">
      <c r="A540" t="s">
        <v>965</v>
      </c>
      <c r="B540" s="1">
        <v>45111</v>
      </c>
      <c r="C540" t="s">
        <v>168</v>
      </c>
      <c r="D540">
        <v>2023</v>
      </c>
      <c r="E540" t="s">
        <v>169</v>
      </c>
      <c r="F540" t="s">
        <v>966</v>
      </c>
      <c r="G540" t="s">
        <v>92</v>
      </c>
      <c r="H540" t="s">
        <v>93</v>
      </c>
      <c r="I540" t="s">
        <v>90</v>
      </c>
      <c r="J540" t="s">
        <v>94</v>
      </c>
      <c r="K540" t="s">
        <v>164</v>
      </c>
      <c r="L540" t="s">
        <v>174</v>
      </c>
      <c r="M540">
        <v>2</v>
      </c>
      <c r="N540">
        <v>230.34</v>
      </c>
      <c r="O540">
        <v>460.68</v>
      </c>
      <c r="P540">
        <v>0</v>
      </c>
      <c r="Q540">
        <v>0</v>
      </c>
      <c r="R540">
        <v>460.68</v>
      </c>
      <c r="S540">
        <v>149.36000000000001</v>
      </c>
      <c r="T540">
        <v>311.32</v>
      </c>
      <c r="U540" t="s">
        <v>195</v>
      </c>
      <c r="V540" t="s">
        <v>181</v>
      </c>
    </row>
    <row r="541" spans="1:22">
      <c r="A541" t="s">
        <v>1776</v>
      </c>
      <c r="B541" s="1">
        <v>45111</v>
      </c>
      <c r="C541" t="s">
        <v>168</v>
      </c>
      <c r="D541">
        <v>2023</v>
      </c>
      <c r="E541" t="s">
        <v>169</v>
      </c>
      <c r="F541" t="s">
        <v>1777</v>
      </c>
      <c r="G541" t="s">
        <v>95</v>
      </c>
      <c r="H541" t="s">
        <v>96</v>
      </c>
      <c r="I541" t="s">
        <v>90</v>
      </c>
      <c r="J541" t="s">
        <v>97</v>
      </c>
      <c r="K541" t="s">
        <v>156</v>
      </c>
      <c r="L541" t="s">
        <v>165</v>
      </c>
      <c r="M541">
        <v>1</v>
      </c>
      <c r="N541">
        <v>177.41</v>
      </c>
      <c r="O541">
        <v>177.41</v>
      </c>
      <c r="P541">
        <v>15</v>
      </c>
      <c r="Q541">
        <v>26.61</v>
      </c>
      <c r="R541">
        <v>150.80000000000001</v>
      </c>
      <c r="S541">
        <v>74.989999999999995</v>
      </c>
      <c r="T541">
        <v>75.81</v>
      </c>
      <c r="U541" t="s">
        <v>180</v>
      </c>
      <c r="V541" t="s">
        <v>159</v>
      </c>
    </row>
    <row r="542" spans="1:22">
      <c r="A542" t="s">
        <v>1155</v>
      </c>
      <c r="B542" s="1">
        <v>45111</v>
      </c>
      <c r="C542" t="s">
        <v>168</v>
      </c>
      <c r="D542">
        <v>2023</v>
      </c>
      <c r="E542" t="s">
        <v>169</v>
      </c>
      <c r="F542" t="s">
        <v>1156</v>
      </c>
      <c r="G542" t="s">
        <v>48</v>
      </c>
      <c r="H542" t="s">
        <v>49</v>
      </c>
      <c r="I542" t="s">
        <v>41</v>
      </c>
      <c r="J542" t="s">
        <v>42</v>
      </c>
      <c r="K542" t="s">
        <v>156</v>
      </c>
      <c r="L542" t="s">
        <v>179</v>
      </c>
      <c r="M542">
        <v>3</v>
      </c>
      <c r="N542">
        <v>84.95</v>
      </c>
      <c r="O542">
        <v>254.85000000000002</v>
      </c>
      <c r="P542">
        <v>0</v>
      </c>
      <c r="Q542">
        <v>0</v>
      </c>
      <c r="R542">
        <v>254.85</v>
      </c>
      <c r="S542">
        <v>159.21</v>
      </c>
      <c r="T542">
        <v>95.64</v>
      </c>
      <c r="U542" t="s">
        <v>166</v>
      </c>
      <c r="V542" t="s">
        <v>181</v>
      </c>
    </row>
    <row r="543" spans="1:22">
      <c r="A543" t="s">
        <v>1215</v>
      </c>
      <c r="B543" s="1">
        <v>45111</v>
      </c>
      <c r="C543" t="s">
        <v>168</v>
      </c>
      <c r="D543">
        <v>2023</v>
      </c>
      <c r="E543" t="s">
        <v>169</v>
      </c>
      <c r="F543" t="s">
        <v>1216</v>
      </c>
      <c r="G543" t="s">
        <v>21</v>
      </c>
      <c r="H543" t="s">
        <v>22</v>
      </c>
      <c r="I543" t="s">
        <v>14</v>
      </c>
      <c r="J543" t="s">
        <v>15</v>
      </c>
      <c r="K543" t="s">
        <v>164</v>
      </c>
      <c r="L543" t="s">
        <v>204</v>
      </c>
      <c r="M543">
        <v>2</v>
      </c>
      <c r="N543">
        <v>65.430000000000007</v>
      </c>
      <c r="O543">
        <v>130.86000000000001</v>
      </c>
      <c r="P543">
        <v>10</v>
      </c>
      <c r="Q543">
        <v>13.09</v>
      </c>
      <c r="R543">
        <v>117.77</v>
      </c>
      <c r="S543">
        <v>77.38</v>
      </c>
      <c r="T543">
        <v>40.39</v>
      </c>
      <c r="U543" t="s">
        <v>158</v>
      </c>
      <c r="V543" t="s">
        <v>159</v>
      </c>
    </row>
    <row r="544" spans="1:22">
      <c r="A544" t="s">
        <v>334</v>
      </c>
      <c r="B544" s="1">
        <v>45110</v>
      </c>
      <c r="C544" t="s">
        <v>168</v>
      </c>
      <c r="D544">
        <v>2023</v>
      </c>
      <c r="E544" t="s">
        <v>169</v>
      </c>
      <c r="F544" t="s">
        <v>335</v>
      </c>
      <c r="G544" t="s">
        <v>53</v>
      </c>
      <c r="H544" t="s">
        <v>54</v>
      </c>
      <c r="I544" t="s">
        <v>41</v>
      </c>
      <c r="J544" t="s">
        <v>45</v>
      </c>
      <c r="K544" t="s">
        <v>178</v>
      </c>
      <c r="L544" t="s">
        <v>165</v>
      </c>
      <c r="M544">
        <v>4</v>
      </c>
      <c r="N544">
        <v>51.98</v>
      </c>
      <c r="O544">
        <v>207.92</v>
      </c>
      <c r="P544">
        <v>10</v>
      </c>
      <c r="Q544">
        <v>20.79</v>
      </c>
      <c r="R544">
        <v>187.13</v>
      </c>
      <c r="S544">
        <v>132.16</v>
      </c>
      <c r="T544">
        <v>54.97</v>
      </c>
      <c r="U544" t="s">
        <v>195</v>
      </c>
      <c r="V544" t="s">
        <v>159</v>
      </c>
    </row>
    <row r="545" spans="1:22">
      <c r="A545" t="s">
        <v>1375</v>
      </c>
      <c r="B545" s="1">
        <v>45109</v>
      </c>
      <c r="C545" t="s">
        <v>168</v>
      </c>
      <c r="D545">
        <v>2023</v>
      </c>
      <c r="E545" t="s">
        <v>169</v>
      </c>
      <c r="F545" t="s">
        <v>1376</v>
      </c>
      <c r="G545" t="s">
        <v>68</v>
      </c>
      <c r="H545" t="s">
        <v>69</v>
      </c>
      <c r="I545" t="s">
        <v>66</v>
      </c>
      <c r="J545" t="s">
        <v>70</v>
      </c>
      <c r="K545" t="s">
        <v>156</v>
      </c>
      <c r="L545" t="s">
        <v>165</v>
      </c>
      <c r="M545">
        <v>1</v>
      </c>
      <c r="N545">
        <v>98.51</v>
      </c>
      <c r="O545">
        <v>98.51</v>
      </c>
      <c r="P545">
        <v>0</v>
      </c>
      <c r="Q545">
        <v>0</v>
      </c>
      <c r="R545">
        <v>98.51</v>
      </c>
      <c r="S545">
        <v>55.17</v>
      </c>
      <c r="T545">
        <v>43.34</v>
      </c>
      <c r="U545" t="s">
        <v>166</v>
      </c>
      <c r="V545" t="s">
        <v>159</v>
      </c>
    </row>
    <row r="546" spans="1:22">
      <c r="A546" t="s">
        <v>1572</v>
      </c>
      <c r="B546" s="1">
        <v>45109</v>
      </c>
      <c r="C546" t="s">
        <v>168</v>
      </c>
      <c r="D546">
        <v>2023</v>
      </c>
      <c r="E546" t="s">
        <v>169</v>
      </c>
      <c r="F546" t="s">
        <v>1573</v>
      </c>
      <c r="G546" t="s">
        <v>127</v>
      </c>
      <c r="H546" t="s">
        <v>128</v>
      </c>
      <c r="I546" t="s">
        <v>115</v>
      </c>
      <c r="J546" t="s">
        <v>124</v>
      </c>
      <c r="K546" t="s">
        <v>178</v>
      </c>
      <c r="L546" t="s">
        <v>179</v>
      </c>
      <c r="M546">
        <v>4</v>
      </c>
      <c r="N546">
        <v>94.76</v>
      </c>
      <c r="O546">
        <v>379.04</v>
      </c>
      <c r="P546">
        <v>10</v>
      </c>
      <c r="Q546">
        <v>37.9</v>
      </c>
      <c r="R546">
        <v>341.14</v>
      </c>
      <c r="S546">
        <v>315.27999999999997</v>
      </c>
      <c r="T546">
        <v>25.86</v>
      </c>
      <c r="U546" t="s">
        <v>190</v>
      </c>
      <c r="V546" t="s">
        <v>181</v>
      </c>
    </row>
    <row r="547" spans="1:22">
      <c r="A547" t="s">
        <v>1828</v>
      </c>
      <c r="B547" s="1">
        <v>45108</v>
      </c>
      <c r="C547" t="s">
        <v>168</v>
      </c>
      <c r="D547">
        <v>2023</v>
      </c>
      <c r="E547" t="s">
        <v>169</v>
      </c>
      <c r="F547" t="s">
        <v>1829</v>
      </c>
      <c r="G547" t="s">
        <v>84</v>
      </c>
      <c r="H547" t="s">
        <v>85</v>
      </c>
      <c r="I547" t="s">
        <v>66</v>
      </c>
      <c r="J547" t="s">
        <v>67</v>
      </c>
      <c r="K547" t="s">
        <v>164</v>
      </c>
      <c r="L547" t="s">
        <v>157</v>
      </c>
      <c r="M547">
        <v>1</v>
      </c>
      <c r="N547">
        <v>174.23</v>
      </c>
      <c r="O547">
        <v>174.23</v>
      </c>
      <c r="P547">
        <v>0</v>
      </c>
      <c r="Q547">
        <v>0</v>
      </c>
      <c r="R547">
        <v>174.23</v>
      </c>
      <c r="S547">
        <v>73.95</v>
      </c>
      <c r="T547">
        <v>100.28</v>
      </c>
      <c r="U547" t="s">
        <v>166</v>
      </c>
      <c r="V547" t="s">
        <v>159</v>
      </c>
    </row>
    <row r="548" spans="1:22">
      <c r="A548" t="s">
        <v>914</v>
      </c>
      <c r="B548" s="1">
        <v>45108</v>
      </c>
      <c r="C548" t="s">
        <v>168</v>
      </c>
      <c r="D548">
        <v>2023</v>
      </c>
      <c r="E548" t="s">
        <v>169</v>
      </c>
      <c r="F548" t="s">
        <v>915</v>
      </c>
      <c r="G548" t="s">
        <v>122</v>
      </c>
      <c r="H548" t="s">
        <v>123</v>
      </c>
      <c r="I548" t="s">
        <v>115</v>
      </c>
      <c r="J548" t="s">
        <v>124</v>
      </c>
      <c r="K548" t="s">
        <v>156</v>
      </c>
      <c r="L548" t="s">
        <v>194</v>
      </c>
      <c r="M548">
        <v>4</v>
      </c>
      <c r="N548">
        <v>93.88</v>
      </c>
      <c r="O548">
        <v>375.52</v>
      </c>
      <c r="P548">
        <v>0</v>
      </c>
      <c r="Q548">
        <v>0</v>
      </c>
      <c r="R548">
        <v>375.52</v>
      </c>
      <c r="S548">
        <v>212.44</v>
      </c>
      <c r="T548">
        <v>163.08000000000001</v>
      </c>
      <c r="U548" t="s">
        <v>195</v>
      </c>
      <c r="V548" t="s">
        <v>186</v>
      </c>
    </row>
    <row r="549" spans="1:22">
      <c r="A549" t="s">
        <v>338</v>
      </c>
      <c r="B549" s="1">
        <v>45107</v>
      </c>
      <c r="C549" t="s">
        <v>153</v>
      </c>
      <c r="D549">
        <v>2023</v>
      </c>
      <c r="E549" t="s">
        <v>154</v>
      </c>
      <c r="F549" t="s">
        <v>339</v>
      </c>
      <c r="G549" t="s">
        <v>135</v>
      </c>
      <c r="H549" t="s">
        <v>136</v>
      </c>
      <c r="I549" t="s">
        <v>115</v>
      </c>
      <c r="J549" t="s">
        <v>119</v>
      </c>
      <c r="K549" t="s">
        <v>156</v>
      </c>
      <c r="L549" t="s">
        <v>232</v>
      </c>
      <c r="M549">
        <v>2</v>
      </c>
      <c r="N549">
        <v>89.62</v>
      </c>
      <c r="O549">
        <v>179.24</v>
      </c>
      <c r="P549">
        <v>10</v>
      </c>
      <c r="Q549">
        <v>17.920000000000002</v>
      </c>
      <c r="R549">
        <v>161.32</v>
      </c>
      <c r="S549">
        <v>76.260000000000005</v>
      </c>
      <c r="T549">
        <v>85.06</v>
      </c>
      <c r="U549" t="s">
        <v>195</v>
      </c>
      <c r="V549" t="s">
        <v>159</v>
      </c>
    </row>
    <row r="550" spans="1:22">
      <c r="A550" t="s">
        <v>1740</v>
      </c>
      <c r="B550" s="1">
        <v>45107</v>
      </c>
      <c r="C550" t="s">
        <v>153</v>
      </c>
      <c r="D550">
        <v>2023</v>
      </c>
      <c r="E550" t="s">
        <v>154</v>
      </c>
      <c r="F550" t="s">
        <v>1741</v>
      </c>
      <c r="G550" t="s">
        <v>133</v>
      </c>
      <c r="H550" t="s">
        <v>134</v>
      </c>
      <c r="I550" t="s">
        <v>115</v>
      </c>
      <c r="J550" t="s">
        <v>119</v>
      </c>
      <c r="K550" t="s">
        <v>178</v>
      </c>
      <c r="L550" t="s">
        <v>232</v>
      </c>
      <c r="M550">
        <v>2</v>
      </c>
      <c r="N550">
        <v>78.84</v>
      </c>
      <c r="O550">
        <v>157.68</v>
      </c>
      <c r="P550">
        <v>0</v>
      </c>
      <c r="Q550">
        <v>0</v>
      </c>
      <c r="R550">
        <v>157.68</v>
      </c>
      <c r="S550">
        <v>95.36</v>
      </c>
      <c r="T550">
        <v>62.32</v>
      </c>
      <c r="U550" t="s">
        <v>180</v>
      </c>
      <c r="V550" t="s">
        <v>159</v>
      </c>
    </row>
    <row r="551" spans="1:22">
      <c r="A551" t="s">
        <v>1019</v>
      </c>
      <c r="B551" s="1">
        <v>45105</v>
      </c>
      <c r="C551" t="s">
        <v>153</v>
      </c>
      <c r="D551">
        <v>2023</v>
      </c>
      <c r="E551" t="s">
        <v>154</v>
      </c>
      <c r="F551" t="s">
        <v>1020</v>
      </c>
      <c r="G551" t="s">
        <v>82</v>
      </c>
      <c r="H551" t="s">
        <v>83</v>
      </c>
      <c r="I551" t="s">
        <v>66</v>
      </c>
      <c r="J551" t="s">
        <v>67</v>
      </c>
      <c r="K551" t="s">
        <v>178</v>
      </c>
      <c r="L551" t="s">
        <v>157</v>
      </c>
      <c r="M551">
        <v>4</v>
      </c>
      <c r="N551">
        <v>34.479999999999997</v>
      </c>
      <c r="O551">
        <v>137.91999999999999</v>
      </c>
      <c r="P551">
        <v>20</v>
      </c>
      <c r="Q551">
        <v>27.58</v>
      </c>
      <c r="R551">
        <v>110.34</v>
      </c>
      <c r="S551">
        <v>76.959999999999994</v>
      </c>
      <c r="T551">
        <v>33.380000000000003</v>
      </c>
      <c r="U551" t="s">
        <v>180</v>
      </c>
      <c r="V551" t="s">
        <v>159</v>
      </c>
    </row>
    <row r="552" spans="1:22">
      <c r="A552" t="s">
        <v>1969</v>
      </c>
      <c r="B552" s="1">
        <v>45105</v>
      </c>
      <c r="C552" t="s">
        <v>153</v>
      </c>
      <c r="D552">
        <v>2023</v>
      </c>
      <c r="E552" t="s">
        <v>154</v>
      </c>
      <c r="F552" t="s">
        <v>1970</v>
      </c>
      <c r="G552" t="s">
        <v>129</v>
      </c>
      <c r="H552" t="s">
        <v>130</v>
      </c>
      <c r="I552" t="s">
        <v>115</v>
      </c>
      <c r="J552" t="s">
        <v>124</v>
      </c>
      <c r="K552" t="s">
        <v>156</v>
      </c>
      <c r="L552" t="s">
        <v>179</v>
      </c>
      <c r="M552">
        <v>2</v>
      </c>
      <c r="N552">
        <v>99.34</v>
      </c>
      <c r="O552">
        <v>198.68</v>
      </c>
      <c r="P552">
        <v>0</v>
      </c>
      <c r="Q552">
        <v>0</v>
      </c>
      <c r="R552">
        <v>198.68</v>
      </c>
      <c r="S552">
        <v>74.7</v>
      </c>
      <c r="T552">
        <v>123.98</v>
      </c>
      <c r="U552" t="s">
        <v>195</v>
      </c>
      <c r="V552" t="s">
        <v>159</v>
      </c>
    </row>
    <row r="553" spans="1:22">
      <c r="A553" t="s">
        <v>949</v>
      </c>
      <c r="B553" s="1">
        <v>45104</v>
      </c>
      <c r="C553" t="s">
        <v>153</v>
      </c>
      <c r="D553">
        <v>2023</v>
      </c>
      <c r="E553" t="s">
        <v>154</v>
      </c>
      <c r="F553" t="s">
        <v>950</v>
      </c>
      <c r="G553" t="s">
        <v>131</v>
      </c>
      <c r="H553" t="s">
        <v>132</v>
      </c>
      <c r="I553" t="s">
        <v>115</v>
      </c>
      <c r="J553" t="s">
        <v>119</v>
      </c>
      <c r="K553" t="s">
        <v>156</v>
      </c>
      <c r="L553" t="s">
        <v>165</v>
      </c>
      <c r="M553">
        <v>1</v>
      </c>
      <c r="N553">
        <v>75.69</v>
      </c>
      <c r="O553">
        <v>75.69</v>
      </c>
      <c r="P553">
        <v>0</v>
      </c>
      <c r="Q553">
        <v>0</v>
      </c>
      <c r="R553">
        <v>75.69</v>
      </c>
      <c r="S553">
        <v>35.630000000000003</v>
      </c>
      <c r="T553">
        <v>40.06</v>
      </c>
      <c r="U553" t="s">
        <v>158</v>
      </c>
      <c r="V553" t="s">
        <v>159</v>
      </c>
    </row>
    <row r="554" spans="1:22">
      <c r="A554" t="s">
        <v>1462</v>
      </c>
      <c r="B554" s="1">
        <v>45104</v>
      </c>
      <c r="C554" t="s">
        <v>153</v>
      </c>
      <c r="D554">
        <v>2023</v>
      </c>
      <c r="E554" t="s">
        <v>154</v>
      </c>
      <c r="F554" t="s">
        <v>1210</v>
      </c>
      <c r="G554" t="s">
        <v>131</v>
      </c>
      <c r="H554" t="s">
        <v>132</v>
      </c>
      <c r="I554" t="s">
        <v>115</v>
      </c>
      <c r="J554" t="s">
        <v>119</v>
      </c>
      <c r="K554" t="s">
        <v>178</v>
      </c>
      <c r="L554" t="s">
        <v>194</v>
      </c>
      <c r="M554">
        <v>2</v>
      </c>
      <c r="N554">
        <v>75.69</v>
      </c>
      <c r="O554">
        <v>151.38</v>
      </c>
      <c r="P554">
        <v>0</v>
      </c>
      <c r="Q554">
        <v>0</v>
      </c>
      <c r="R554">
        <v>151.38</v>
      </c>
      <c r="S554">
        <v>71.260000000000005</v>
      </c>
      <c r="T554">
        <v>80.12</v>
      </c>
      <c r="U554" t="s">
        <v>195</v>
      </c>
      <c r="V554" t="s">
        <v>159</v>
      </c>
    </row>
    <row r="555" spans="1:22">
      <c r="A555" t="s">
        <v>523</v>
      </c>
      <c r="B555" s="1">
        <v>45104</v>
      </c>
      <c r="C555" t="s">
        <v>153</v>
      </c>
      <c r="D555">
        <v>2023</v>
      </c>
      <c r="E555" t="s">
        <v>154</v>
      </c>
      <c r="F555" t="s">
        <v>524</v>
      </c>
      <c r="G555" t="s">
        <v>28</v>
      </c>
      <c r="H555" t="s">
        <v>29</v>
      </c>
      <c r="I555" t="s">
        <v>14</v>
      </c>
      <c r="J555" t="s">
        <v>19</v>
      </c>
      <c r="K555" t="s">
        <v>209</v>
      </c>
      <c r="L555" t="s">
        <v>232</v>
      </c>
      <c r="M555">
        <v>3</v>
      </c>
      <c r="N555">
        <v>26.46</v>
      </c>
      <c r="O555">
        <v>79.38</v>
      </c>
      <c r="P555">
        <v>15</v>
      </c>
      <c r="Q555">
        <v>11.91</v>
      </c>
      <c r="R555">
        <v>67.47</v>
      </c>
      <c r="S555">
        <v>58.26</v>
      </c>
      <c r="T555">
        <v>9.2100000000000009</v>
      </c>
      <c r="U555" t="s">
        <v>166</v>
      </c>
      <c r="V555" t="s">
        <v>159</v>
      </c>
    </row>
    <row r="556" spans="1:22">
      <c r="A556" t="s">
        <v>1749</v>
      </c>
      <c r="B556" s="1">
        <v>45104</v>
      </c>
      <c r="C556" t="s">
        <v>153</v>
      </c>
      <c r="D556">
        <v>2023</v>
      </c>
      <c r="E556" t="s">
        <v>154</v>
      </c>
      <c r="F556" t="s">
        <v>1750</v>
      </c>
      <c r="G556" t="s">
        <v>80</v>
      </c>
      <c r="H556" t="s">
        <v>81</v>
      </c>
      <c r="I556" t="s">
        <v>66</v>
      </c>
      <c r="J556" t="s">
        <v>70</v>
      </c>
      <c r="K556" t="s">
        <v>164</v>
      </c>
      <c r="L556" t="s">
        <v>165</v>
      </c>
      <c r="M556">
        <v>2</v>
      </c>
      <c r="N556">
        <v>106.06</v>
      </c>
      <c r="O556">
        <v>212.12</v>
      </c>
      <c r="P556">
        <v>5</v>
      </c>
      <c r="Q556">
        <v>10.61</v>
      </c>
      <c r="R556">
        <v>201.51</v>
      </c>
      <c r="S556">
        <v>66.84</v>
      </c>
      <c r="T556">
        <v>134.66999999999999</v>
      </c>
      <c r="U556" t="s">
        <v>158</v>
      </c>
      <c r="V556" t="s">
        <v>159</v>
      </c>
    </row>
    <row r="557" spans="1:22">
      <c r="A557" t="s">
        <v>1129</v>
      </c>
      <c r="B557" s="1">
        <v>45103</v>
      </c>
      <c r="C557" t="s">
        <v>153</v>
      </c>
      <c r="D557">
        <v>2023</v>
      </c>
      <c r="E557" t="s">
        <v>154</v>
      </c>
      <c r="F557" t="s">
        <v>1130</v>
      </c>
      <c r="G557" t="s">
        <v>127</v>
      </c>
      <c r="H557" t="s">
        <v>128</v>
      </c>
      <c r="I557" t="s">
        <v>115</v>
      </c>
      <c r="J557" t="s">
        <v>124</v>
      </c>
      <c r="K557" t="s">
        <v>156</v>
      </c>
      <c r="L557" t="s">
        <v>165</v>
      </c>
      <c r="M557">
        <v>3</v>
      </c>
      <c r="N557">
        <v>94.76</v>
      </c>
      <c r="O557">
        <v>284.28000000000003</v>
      </c>
      <c r="P557">
        <v>15</v>
      </c>
      <c r="Q557">
        <v>42.64</v>
      </c>
      <c r="R557">
        <v>241.64</v>
      </c>
      <c r="S557">
        <v>236.46</v>
      </c>
      <c r="T557">
        <v>5.18</v>
      </c>
      <c r="U557" t="s">
        <v>190</v>
      </c>
      <c r="V557" t="s">
        <v>181</v>
      </c>
    </row>
    <row r="558" spans="1:22">
      <c r="A558" t="s">
        <v>1742</v>
      </c>
      <c r="B558" s="1">
        <v>45103</v>
      </c>
      <c r="C558" t="s">
        <v>153</v>
      </c>
      <c r="D558">
        <v>2023</v>
      </c>
      <c r="E558" t="s">
        <v>154</v>
      </c>
      <c r="F558" t="s">
        <v>1743</v>
      </c>
      <c r="G558" t="s">
        <v>23</v>
      </c>
      <c r="H558" t="s">
        <v>24</v>
      </c>
      <c r="I558" t="s">
        <v>14</v>
      </c>
      <c r="J558" t="s">
        <v>19</v>
      </c>
      <c r="K558" t="s">
        <v>164</v>
      </c>
      <c r="L558" t="s">
        <v>232</v>
      </c>
      <c r="M558">
        <v>1</v>
      </c>
      <c r="N558">
        <v>154.03</v>
      </c>
      <c r="O558">
        <v>154.03</v>
      </c>
      <c r="P558">
        <v>0</v>
      </c>
      <c r="Q558">
        <v>0</v>
      </c>
      <c r="R558">
        <v>154.03</v>
      </c>
      <c r="S558">
        <v>76.790000000000006</v>
      </c>
      <c r="T558">
        <v>77.239999999999995</v>
      </c>
      <c r="U558" t="s">
        <v>166</v>
      </c>
      <c r="V558" t="s">
        <v>159</v>
      </c>
    </row>
    <row r="559" spans="1:22">
      <c r="A559" t="s">
        <v>639</v>
      </c>
      <c r="B559" s="1">
        <v>45103</v>
      </c>
      <c r="C559" t="s">
        <v>153</v>
      </c>
      <c r="D559">
        <v>2023</v>
      </c>
      <c r="E559" t="s">
        <v>154</v>
      </c>
      <c r="F559" t="s">
        <v>640</v>
      </c>
      <c r="G559" t="s">
        <v>25</v>
      </c>
      <c r="H559" t="s">
        <v>26</v>
      </c>
      <c r="I559" t="s">
        <v>14</v>
      </c>
      <c r="J559" t="s">
        <v>27</v>
      </c>
      <c r="K559" t="s">
        <v>209</v>
      </c>
      <c r="L559" t="s">
        <v>232</v>
      </c>
      <c r="M559">
        <v>1</v>
      </c>
      <c r="N559">
        <v>18.39</v>
      </c>
      <c r="O559">
        <v>18.39</v>
      </c>
      <c r="P559">
        <v>5</v>
      </c>
      <c r="Q559">
        <v>0.92</v>
      </c>
      <c r="R559">
        <v>17.47</v>
      </c>
      <c r="S559">
        <v>8.26</v>
      </c>
      <c r="T559">
        <v>9.2100000000000009</v>
      </c>
      <c r="U559" t="s">
        <v>158</v>
      </c>
      <c r="V559" t="s">
        <v>159</v>
      </c>
    </row>
    <row r="560" spans="1:22">
      <c r="A560" t="s">
        <v>1595</v>
      </c>
      <c r="B560" s="1">
        <v>45103</v>
      </c>
      <c r="C560" t="s">
        <v>153</v>
      </c>
      <c r="D560">
        <v>2023</v>
      </c>
      <c r="E560" t="s">
        <v>154</v>
      </c>
      <c r="F560" t="s">
        <v>1596</v>
      </c>
      <c r="G560" t="s">
        <v>62</v>
      </c>
      <c r="H560" t="s">
        <v>63</v>
      </c>
      <c r="I560" t="s">
        <v>41</v>
      </c>
      <c r="J560" t="s">
        <v>45</v>
      </c>
      <c r="K560" t="s">
        <v>209</v>
      </c>
      <c r="L560" t="s">
        <v>232</v>
      </c>
      <c r="M560">
        <v>3</v>
      </c>
      <c r="N560">
        <v>160.35</v>
      </c>
      <c r="O560">
        <v>481.04999999999995</v>
      </c>
      <c r="P560">
        <v>5</v>
      </c>
      <c r="Q560">
        <v>24.05</v>
      </c>
      <c r="R560">
        <v>457</v>
      </c>
      <c r="S560">
        <v>217.41</v>
      </c>
      <c r="T560">
        <v>239.59</v>
      </c>
      <c r="U560" t="s">
        <v>166</v>
      </c>
      <c r="V560" t="s">
        <v>186</v>
      </c>
    </row>
    <row r="561" spans="1:22">
      <c r="A561" t="s">
        <v>1854</v>
      </c>
      <c r="B561" s="1">
        <v>45102</v>
      </c>
      <c r="C561" t="s">
        <v>153</v>
      </c>
      <c r="D561">
        <v>2023</v>
      </c>
      <c r="E561" t="s">
        <v>154</v>
      </c>
      <c r="F561" t="s">
        <v>1855</v>
      </c>
      <c r="G561" t="s">
        <v>95</v>
      </c>
      <c r="H561" t="s">
        <v>96</v>
      </c>
      <c r="I561" t="s">
        <v>90</v>
      </c>
      <c r="J561" t="s">
        <v>97</v>
      </c>
      <c r="K561" t="s">
        <v>209</v>
      </c>
      <c r="L561" t="s">
        <v>179</v>
      </c>
      <c r="M561">
        <v>3</v>
      </c>
      <c r="N561">
        <v>177.41</v>
      </c>
      <c r="O561">
        <v>532.23</v>
      </c>
      <c r="P561">
        <v>10</v>
      </c>
      <c r="Q561">
        <v>53.22</v>
      </c>
      <c r="R561">
        <v>479.01</v>
      </c>
      <c r="S561">
        <v>224.97</v>
      </c>
      <c r="T561">
        <v>254.04</v>
      </c>
      <c r="U561" t="s">
        <v>158</v>
      </c>
      <c r="V561" t="s">
        <v>186</v>
      </c>
    </row>
    <row r="562" spans="1:22">
      <c r="A562" t="s">
        <v>590</v>
      </c>
      <c r="B562" s="1">
        <v>45102</v>
      </c>
      <c r="C562" t="s">
        <v>153</v>
      </c>
      <c r="D562">
        <v>2023</v>
      </c>
      <c r="E562" t="s">
        <v>154</v>
      </c>
      <c r="F562" t="s">
        <v>591</v>
      </c>
      <c r="G562" t="s">
        <v>43</v>
      </c>
      <c r="H562" t="s">
        <v>44</v>
      </c>
      <c r="I562" t="s">
        <v>41</v>
      </c>
      <c r="J562" t="s">
        <v>45</v>
      </c>
      <c r="K562" t="s">
        <v>178</v>
      </c>
      <c r="L562" t="s">
        <v>165</v>
      </c>
      <c r="M562">
        <v>4</v>
      </c>
      <c r="N562">
        <v>67.56</v>
      </c>
      <c r="O562">
        <v>270.24</v>
      </c>
      <c r="P562">
        <v>10</v>
      </c>
      <c r="Q562">
        <v>27.02</v>
      </c>
      <c r="R562">
        <v>243.22</v>
      </c>
      <c r="S562">
        <v>172.84</v>
      </c>
      <c r="T562">
        <v>70.38</v>
      </c>
      <c r="U562" t="s">
        <v>195</v>
      </c>
      <c r="V562" t="s">
        <v>181</v>
      </c>
    </row>
    <row r="563" spans="1:22">
      <c r="A563" t="s">
        <v>766</v>
      </c>
      <c r="B563" s="1">
        <v>45102</v>
      </c>
      <c r="C563" t="s">
        <v>153</v>
      </c>
      <c r="D563">
        <v>2023</v>
      </c>
      <c r="E563" t="s">
        <v>154</v>
      </c>
      <c r="F563" t="s">
        <v>767</v>
      </c>
      <c r="G563" t="s">
        <v>21</v>
      </c>
      <c r="H563" t="s">
        <v>22</v>
      </c>
      <c r="I563" t="s">
        <v>14</v>
      </c>
      <c r="J563" t="s">
        <v>15</v>
      </c>
      <c r="K563" t="s">
        <v>209</v>
      </c>
      <c r="L563" t="s">
        <v>165</v>
      </c>
      <c r="M563">
        <v>1</v>
      </c>
      <c r="N563">
        <v>65.430000000000007</v>
      </c>
      <c r="O563">
        <v>65.430000000000007</v>
      </c>
      <c r="P563">
        <v>0</v>
      </c>
      <c r="Q563">
        <v>0</v>
      </c>
      <c r="R563">
        <v>65.430000000000007</v>
      </c>
      <c r="S563">
        <v>38.69</v>
      </c>
      <c r="T563">
        <v>26.74</v>
      </c>
      <c r="U563" t="s">
        <v>190</v>
      </c>
      <c r="V563" t="s">
        <v>159</v>
      </c>
    </row>
    <row r="564" spans="1:22">
      <c r="A564" t="s">
        <v>406</v>
      </c>
      <c r="B564" s="1">
        <v>45101</v>
      </c>
      <c r="C564" t="s">
        <v>153</v>
      </c>
      <c r="D564">
        <v>2023</v>
      </c>
      <c r="E564" t="s">
        <v>154</v>
      </c>
      <c r="F564" t="s">
        <v>407</v>
      </c>
      <c r="G564" t="s">
        <v>76</v>
      </c>
      <c r="H564" t="s">
        <v>77</v>
      </c>
      <c r="I564" t="s">
        <v>66</v>
      </c>
      <c r="J564" t="s">
        <v>67</v>
      </c>
      <c r="K564" t="s">
        <v>178</v>
      </c>
      <c r="L564" t="s">
        <v>194</v>
      </c>
      <c r="M564">
        <v>4</v>
      </c>
      <c r="N564">
        <v>118.07</v>
      </c>
      <c r="O564">
        <v>472.28</v>
      </c>
      <c r="P564">
        <v>5</v>
      </c>
      <c r="Q564">
        <v>23.61</v>
      </c>
      <c r="R564">
        <v>448.67</v>
      </c>
      <c r="S564">
        <v>158.80000000000001</v>
      </c>
      <c r="T564">
        <v>289.87</v>
      </c>
      <c r="U564" t="s">
        <v>195</v>
      </c>
      <c r="V564" t="s">
        <v>181</v>
      </c>
    </row>
    <row r="565" spans="1:22">
      <c r="A565" t="s">
        <v>1465</v>
      </c>
      <c r="B565" s="1">
        <v>45101</v>
      </c>
      <c r="C565" t="s">
        <v>153</v>
      </c>
      <c r="D565">
        <v>2023</v>
      </c>
      <c r="E565" t="s">
        <v>154</v>
      </c>
      <c r="F565" t="s">
        <v>1466</v>
      </c>
      <c r="G565" t="s">
        <v>57</v>
      </c>
      <c r="H565" t="s">
        <v>58</v>
      </c>
      <c r="I565" t="s">
        <v>41</v>
      </c>
      <c r="J565" t="s">
        <v>59</v>
      </c>
      <c r="K565" t="s">
        <v>164</v>
      </c>
      <c r="L565" t="s">
        <v>165</v>
      </c>
      <c r="M565">
        <v>2</v>
      </c>
      <c r="N565">
        <v>56.33</v>
      </c>
      <c r="O565">
        <v>112.66</v>
      </c>
      <c r="P565">
        <v>0</v>
      </c>
      <c r="Q565">
        <v>0</v>
      </c>
      <c r="R565">
        <v>112.66</v>
      </c>
      <c r="S565">
        <v>82.9</v>
      </c>
      <c r="T565">
        <v>29.76</v>
      </c>
      <c r="U565" t="s">
        <v>190</v>
      </c>
      <c r="V565" t="s">
        <v>159</v>
      </c>
    </row>
    <row r="566" spans="1:22">
      <c r="A566" t="s">
        <v>1568</v>
      </c>
      <c r="B566" s="1">
        <v>45100</v>
      </c>
      <c r="C566" t="s">
        <v>153</v>
      </c>
      <c r="D566">
        <v>2023</v>
      </c>
      <c r="E566" t="s">
        <v>154</v>
      </c>
      <c r="F566" t="s">
        <v>1569</v>
      </c>
      <c r="G566" t="s">
        <v>25</v>
      </c>
      <c r="H566" t="s">
        <v>26</v>
      </c>
      <c r="I566" t="s">
        <v>14</v>
      </c>
      <c r="J566" t="s">
        <v>27</v>
      </c>
      <c r="K566" t="s">
        <v>164</v>
      </c>
      <c r="L566" t="s">
        <v>174</v>
      </c>
      <c r="M566">
        <v>3</v>
      </c>
      <c r="N566">
        <v>18.39</v>
      </c>
      <c r="O566">
        <v>55.17</v>
      </c>
      <c r="P566">
        <v>10</v>
      </c>
      <c r="Q566">
        <v>5.52</v>
      </c>
      <c r="R566">
        <v>49.65</v>
      </c>
      <c r="S566">
        <v>24.78</v>
      </c>
      <c r="T566">
        <v>24.87</v>
      </c>
      <c r="U566" t="s">
        <v>190</v>
      </c>
      <c r="V566" t="s">
        <v>159</v>
      </c>
    </row>
    <row r="567" spans="1:22">
      <c r="A567" t="s">
        <v>1094</v>
      </c>
      <c r="B567" s="1">
        <v>45100</v>
      </c>
      <c r="C567" t="s">
        <v>153</v>
      </c>
      <c r="D567">
        <v>2023</v>
      </c>
      <c r="E567" t="s">
        <v>154</v>
      </c>
      <c r="F567" t="s">
        <v>1095</v>
      </c>
      <c r="G567" t="s">
        <v>129</v>
      </c>
      <c r="H567" t="s">
        <v>130</v>
      </c>
      <c r="I567" t="s">
        <v>115</v>
      </c>
      <c r="J567" t="s">
        <v>124</v>
      </c>
      <c r="K567" t="s">
        <v>209</v>
      </c>
      <c r="L567" t="s">
        <v>204</v>
      </c>
      <c r="M567">
        <v>2</v>
      </c>
      <c r="N567">
        <v>99.34</v>
      </c>
      <c r="O567">
        <v>198.68</v>
      </c>
      <c r="P567">
        <v>15</v>
      </c>
      <c r="Q567">
        <v>29.8</v>
      </c>
      <c r="R567">
        <v>168.88</v>
      </c>
      <c r="S567">
        <v>74.7</v>
      </c>
      <c r="T567">
        <v>94.18</v>
      </c>
      <c r="U567" t="s">
        <v>190</v>
      </c>
      <c r="V567" t="s">
        <v>186</v>
      </c>
    </row>
    <row r="568" spans="1:22">
      <c r="A568" t="s">
        <v>459</v>
      </c>
      <c r="B568" s="1">
        <v>45099</v>
      </c>
      <c r="C568" t="s">
        <v>153</v>
      </c>
      <c r="D568">
        <v>2023</v>
      </c>
      <c r="E568" t="s">
        <v>154</v>
      </c>
      <c r="F568" t="s">
        <v>345</v>
      </c>
      <c r="G568" t="s">
        <v>95</v>
      </c>
      <c r="H568" t="s">
        <v>96</v>
      </c>
      <c r="I568" t="s">
        <v>90</v>
      </c>
      <c r="J568" t="s">
        <v>97</v>
      </c>
      <c r="K568" t="s">
        <v>156</v>
      </c>
      <c r="L568" t="s">
        <v>232</v>
      </c>
      <c r="M568">
        <v>1</v>
      </c>
      <c r="N568">
        <v>177.41</v>
      </c>
      <c r="O568">
        <v>177.41</v>
      </c>
      <c r="P568">
        <v>15</v>
      </c>
      <c r="Q568">
        <v>26.61</v>
      </c>
      <c r="R568">
        <v>150.80000000000001</v>
      </c>
      <c r="S568">
        <v>74.989999999999995</v>
      </c>
      <c r="T568">
        <v>75.81</v>
      </c>
      <c r="U568" t="s">
        <v>180</v>
      </c>
      <c r="V568" t="s">
        <v>159</v>
      </c>
    </row>
    <row r="569" spans="1:22">
      <c r="A569" t="s">
        <v>614</v>
      </c>
      <c r="B569" s="1">
        <v>45099</v>
      </c>
      <c r="C569" t="s">
        <v>153</v>
      </c>
      <c r="D569">
        <v>2023</v>
      </c>
      <c r="E569" t="s">
        <v>154</v>
      </c>
      <c r="F569" t="s">
        <v>615</v>
      </c>
      <c r="G569" t="s">
        <v>127</v>
      </c>
      <c r="H569" t="s">
        <v>128</v>
      </c>
      <c r="I569" t="s">
        <v>115</v>
      </c>
      <c r="J569" t="s">
        <v>124</v>
      </c>
      <c r="K569" t="s">
        <v>178</v>
      </c>
      <c r="L569" t="s">
        <v>232</v>
      </c>
      <c r="M569">
        <v>2</v>
      </c>
      <c r="N569">
        <v>94.76</v>
      </c>
      <c r="O569">
        <v>189.52</v>
      </c>
      <c r="P569">
        <v>0</v>
      </c>
      <c r="Q569">
        <v>0</v>
      </c>
      <c r="R569">
        <v>189.52</v>
      </c>
      <c r="S569">
        <v>157.63999999999999</v>
      </c>
      <c r="T569">
        <v>31.88</v>
      </c>
      <c r="U569" t="s">
        <v>190</v>
      </c>
      <c r="V569" t="s">
        <v>159</v>
      </c>
    </row>
    <row r="570" spans="1:22">
      <c r="A570" t="s">
        <v>576</v>
      </c>
      <c r="B570" s="1">
        <v>45099</v>
      </c>
      <c r="C570" t="s">
        <v>153</v>
      </c>
      <c r="D570">
        <v>2023</v>
      </c>
      <c r="E570" t="s">
        <v>154</v>
      </c>
      <c r="F570" t="s">
        <v>577</v>
      </c>
      <c r="G570" t="s">
        <v>78</v>
      </c>
      <c r="H570" t="s">
        <v>79</v>
      </c>
      <c r="I570" t="s">
        <v>66</v>
      </c>
      <c r="J570" t="s">
        <v>70</v>
      </c>
      <c r="K570" t="s">
        <v>164</v>
      </c>
      <c r="L570" t="s">
        <v>165</v>
      </c>
      <c r="M570">
        <v>3</v>
      </c>
      <c r="N570">
        <v>218.05</v>
      </c>
      <c r="O570">
        <v>654.15000000000009</v>
      </c>
      <c r="P570">
        <v>10</v>
      </c>
      <c r="Q570">
        <v>65.42</v>
      </c>
      <c r="R570">
        <v>588.73</v>
      </c>
      <c r="S570">
        <v>223.44</v>
      </c>
      <c r="T570">
        <v>365.29</v>
      </c>
      <c r="U570" t="s">
        <v>166</v>
      </c>
      <c r="V570" t="s">
        <v>159</v>
      </c>
    </row>
    <row r="571" spans="1:22">
      <c r="A571" t="s">
        <v>1427</v>
      </c>
      <c r="B571" s="1">
        <v>45098</v>
      </c>
      <c r="C571" t="s">
        <v>153</v>
      </c>
      <c r="D571">
        <v>2023</v>
      </c>
      <c r="E571" t="s">
        <v>154</v>
      </c>
      <c r="F571" t="s">
        <v>286</v>
      </c>
      <c r="G571" t="s">
        <v>28</v>
      </c>
      <c r="H571" t="s">
        <v>29</v>
      </c>
      <c r="I571" t="s">
        <v>14</v>
      </c>
      <c r="J571" t="s">
        <v>19</v>
      </c>
      <c r="K571" t="s">
        <v>164</v>
      </c>
      <c r="L571" t="s">
        <v>204</v>
      </c>
      <c r="M571">
        <v>1</v>
      </c>
      <c r="N571">
        <v>26.46</v>
      </c>
      <c r="O571">
        <v>26.46</v>
      </c>
      <c r="P571">
        <v>20</v>
      </c>
      <c r="Q571">
        <v>5.29</v>
      </c>
      <c r="R571">
        <v>21.17</v>
      </c>
      <c r="S571">
        <v>19.420000000000002</v>
      </c>
      <c r="T571">
        <v>1.75</v>
      </c>
      <c r="U571" t="s">
        <v>158</v>
      </c>
      <c r="V571" t="s">
        <v>159</v>
      </c>
    </row>
    <row r="572" spans="1:22">
      <c r="A572" t="s">
        <v>1314</v>
      </c>
      <c r="B572" s="1">
        <v>45098</v>
      </c>
      <c r="C572" t="s">
        <v>153</v>
      </c>
      <c r="D572">
        <v>2023</v>
      </c>
      <c r="E572" t="s">
        <v>154</v>
      </c>
      <c r="F572" t="s">
        <v>1315</v>
      </c>
      <c r="G572" t="s">
        <v>88</v>
      </c>
      <c r="H572" t="s">
        <v>89</v>
      </c>
      <c r="I572" t="s">
        <v>90</v>
      </c>
      <c r="J572" t="s">
        <v>91</v>
      </c>
      <c r="K572" t="s">
        <v>178</v>
      </c>
      <c r="L572" t="s">
        <v>194</v>
      </c>
      <c r="M572">
        <v>1</v>
      </c>
      <c r="N572">
        <v>54.64</v>
      </c>
      <c r="O572">
        <v>54.64</v>
      </c>
      <c r="P572">
        <v>5</v>
      </c>
      <c r="Q572">
        <v>2.73</v>
      </c>
      <c r="R572">
        <v>51.91</v>
      </c>
      <c r="S572">
        <v>20.32</v>
      </c>
      <c r="T572">
        <v>31.59</v>
      </c>
      <c r="U572" t="s">
        <v>166</v>
      </c>
      <c r="V572" t="s">
        <v>181</v>
      </c>
    </row>
    <row r="573" spans="1:22">
      <c r="A573" t="s">
        <v>306</v>
      </c>
      <c r="B573" s="1">
        <v>45097</v>
      </c>
      <c r="C573" t="s">
        <v>153</v>
      </c>
      <c r="D573">
        <v>2023</v>
      </c>
      <c r="E573" t="s">
        <v>154</v>
      </c>
      <c r="F573" t="s">
        <v>307</v>
      </c>
      <c r="G573" t="s">
        <v>101</v>
      </c>
      <c r="H573" t="s">
        <v>102</v>
      </c>
      <c r="I573" t="s">
        <v>90</v>
      </c>
      <c r="J573" t="s">
        <v>100</v>
      </c>
      <c r="K573" t="s">
        <v>164</v>
      </c>
      <c r="L573" t="s">
        <v>204</v>
      </c>
      <c r="M573">
        <v>4</v>
      </c>
      <c r="N573">
        <v>196.28</v>
      </c>
      <c r="O573">
        <v>785.12</v>
      </c>
      <c r="P573">
        <v>0</v>
      </c>
      <c r="Q573">
        <v>0</v>
      </c>
      <c r="R573">
        <v>785.12</v>
      </c>
      <c r="S573">
        <v>286.92</v>
      </c>
      <c r="T573">
        <v>498.2</v>
      </c>
      <c r="U573" t="s">
        <v>195</v>
      </c>
      <c r="V573" t="s">
        <v>159</v>
      </c>
    </row>
    <row r="574" spans="1:22">
      <c r="A574" t="s">
        <v>1922</v>
      </c>
      <c r="B574" s="1">
        <v>45097</v>
      </c>
      <c r="C574" t="s">
        <v>153</v>
      </c>
      <c r="D574">
        <v>2023</v>
      </c>
      <c r="E574" t="s">
        <v>154</v>
      </c>
      <c r="F574" t="s">
        <v>1923</v>
      </c>
      <c r="G574" t="s">
        <v>88</v>
      </c>
      <c r="H574" t="s">
        <v>89</v>
      </c>
      <c r="I574" t="s">
        <v>90</v>
      </c>
      <c r="J574" t="s">
        <v>91</v>
      </c>
      <c r="K574" t="s">
        <v>164</v>
      </c>
      <c r="L574" t="s">
        <v>179</v>
      </c>
      <c r="M574">
        <v>4</v>
      </c>
      <c r="N574">
        <v>54.64</v>
      </c>
      <c r="O574">
        <v>218.56</v>
      </c>
      <c r="P574">
        <v>20</v>
      </c>
      <c r="Q574">
        <v>43.71</v>
      </c>
      <c r="R574">
        <v>174.85</v>
      </c>
      <c r="S574">
        <v>81.28</v>
      </c>
      <c r="T574">
        <v>93.57</v>
      </c>
      <c r="U574" t="s">
        <v>158</v>
      </c>
      <c r="V574" t="s">
        <v>159</v>
      </c>
    </row>
    <row r="575" spans="1:22">
      <c r="A575" t="s">
        <v>1617</v>
      </c>
      <c r="B575" s="1">
        <v>45096</v>
      </c>
      <c r="C575" t="s">
        <v>153</v>
      </c>
      <c r="D575">
        <v>2023</v>
      </c>
      <c r="E575" t="s">
        <v>154</v>
      </c>
      <c r="F575" t="s">
        <v>1618</v>
      </c>
      <c r="G575" t="s">
        <v>86</v>
      </c>
      <c r="H575" t="s">
        <v>87</v>
      </c>
      <c r="I575" t="s">
        <v>66</v>
      </c>
      <c r="J575" t="s">
        <v>67</v>
      </c>
      <c r="K575" t="s">
        <v>178</v>
      </c>
      <c r="L575" t="s">
        <v>179</v>
      </c>
      <c r="M575">
        <v>4</v>
      </c>
      <c r="N575">
        <v>124.77</v>
      </c>
      <c r="O575">
        <v>499.08</v>
      </c>
      <c r="P575">
        <v>10</v>
      </c>
      <c r="Q575">
        <v>49.91</v>
      </c>
      <c r="R575">
        <v>449.17</v>
      </c>
      <c r="S575">
        <v>278.56</v>
      </c>
      <c r="T575">
        <v>170.61</v>
      </c>
      <c r="U575" t="s">
        <v>195</v>
      </c>
      <c r="V575" t="s">
        <v>159</v>
      </c>
    </row>
    <row r="576" spans="1:22">
      <c r="A576" t="s">
        <v>757</v>
      </c>
      <c r="B576" s="1">
        <v>45096</v>
      </c>
      <c r="C576" t="s">
        <v>153</v>
      </c>
      <c r="D576">
        <v>2023</v>
      </c>
      <c r="E576" t="s">
        <v>154</v>
      </c>
      <c r="F576" t="s">
        <v>758</v>
      </c>
      <c r="G576" t="s">
        <v>105</v>
      </c>
      <c r="H576" t="s">
        <v>106</v>
      </c>
      <c r="I576" t="s">
        <v>90</v>
      </c>
      <c r="J576" t="s">
        <v>91</v>
      </c>
      <c r="K576" t="s">
        <v>164</v>
      </c>
      <c r="L576" t="s">
        <v>174</v>
      </c>
      <c r="M576">
        <v>4</v>
      </c>
      <c r="N576">
        <v>36.35</v>
      </c>
      <c r="O576">
        <v>145.4</v>
      </c>
      <c r="P576">
        <v>20</v>
      </c>
      <c r="Q576">
        <v>29.08</v>
      </c>
      <c r="R576">
        <v>116.32</v>
      </c>
      <c r="S576">
        <v>120.08</v>
      </c>
      <c r="T576">
        <v>-3.76</v>
      </c>
      <c r="U576" t="s">
        <v>158</v>
      </c>
      <c r="V576" t="s">
        <v>159</v>
      </c>
    </row>
    <row r="577" spans="1:22">
      <c r="A577" t="s">
        <v>1227</v>
      </c>
      <c r="B577" s="1">
        <v>45096</v>
      </c>
      <c r="C577" t="s">
        <v>153</v>
      </c>
      <c r="D577">
        <v>2023</v>
      </c>
      <c r="E577" t="s">
        <v>154</v>
      </c>
      <c r="F577" t="s">
        <v>1228</v>
      </c>
      <c r="G577" t="s">
        <v>120</v>
      </c>
      <c r="H577" t="s">
        <v>121</v>
      </c>
      <c r="I577" t="s">
        <v>115</v>
      </c>
      <c r="J577" t="s">
        <v>119</v>
      </c>
      <c r="K577" t="s">
        <v>209</v>
      </c>
      <c r="L577" t="s">
        <v>204</v>
      </c>
      <c r="M577">
        <v>2</v>
      </c>
      <c r="N577">
        <v>197.52</v>
      </c>
      <c r="O577">
        <v>395.04</v>
      </c>
      <c r="P577">
        <v>5</v>
      </c>
      <c r="Q577">
        <v>19.75</v>
      </c>
      <c r="R577">
        <v>375.29</v>
      </c>
      <c r="S577">
        <v>133.08000000000001</v>
      </c>
      <c r="T577">
        <v>242.21</v>
      </c>
      <c r="U577" t="s">
        <v>180</v>
      </c>
      <c r="V577" t="s">
        <v>186</v>
      </c>
    </row>
    <row r="578" spans="1:22">
      <c r="A578" t="s">
        <v>578</v>
      </c>
      <c r="B578" s="1">
        <v>45096</v>
      </c>
      <c r="C578" t="s">
        <v>153</v>
      </c>
      <c r="D578">
        <v>2023</v>
      </c>
      <c r="E578" t="s">
        <v>154</v>
      </c>
      <c r="F578" t="s">
        <v>579</v>
      </c>
      <c r="G578" t="s">
        <v>88</v>
      </c>
      <c r="H578" t="s">
        <v>89</v>
      </c>
      <c r="I578" t="s">
        <v>90</v>
      </c>
      <c r="J578" t="s">
        <v>91</v>
      </c>
      <c r="K578" t="s">
        <v>209</v>
      </c>
      <c r="L578" t="s">
        <v>204</v>
      </c>
      <c r="M578">
        <v>1</v>
      </c>
      <c r="N578">
        <v>54.64</v>
      </c>
      <c r="O578">
        <v>54.64</v>
      </c>
      <c r="P578">
        <v>0</v>
      </c>
      <c r="Q578">
        <v>0</v>
      </c>
      <c r="R578">
        <v>54.64</v>
      </c>
      <c r="S578">
        <v>20.32</v>
      </c>
      <c r="T578">
        <v>34.32</v>
      </c>
      <c r="U578" t="s">
        <v>166</v>
      </c>
      <c r="V578" t="s">
        <v>159</v>
      </c>
    </row>
    <row r="579" spans="1:22">
      <c r="A579" t="s">
        <v>1148</v>
      </c>
      <c r="B579" s="1">
        <v>45096</v>
      </c>
      <c r="C579" t="s">
        <v>153</v>
      </c>
      <c r="D579">
        <v>2023</v>
      </c>
      <c r="E579" t="s">
        <v>154</v>
      </c>
      <c r="F579" t="s">
        <v>554</v>
      </c>
      <c r="G579" t="s">
        <v>39</v>
      </c>
      <c r="H579" t="s">
        <v>40</v>
      </c>
      <c r="I579" t="s">
        <v>41</v>
      </c>
      <c r="J579" t="s">
        <v>42</v>
      </c>
      <c r="K579" t="s">
        <v>156</v>
      </c>
      <c r="L579" t="s">
        <v>174</v>
      </c>
      <c r="M579">
        <v>3</v>
      </c>
      <c r="N579">
        <v>35.11</v>
      </c>
      <c r="O579">
        <v>105.33</v>
      </c>
      <c r="P579">
        <v>0</v>
      </c>
      <c r="Q579">
        <v>0</v>
      </c>
      <c r="R579">
        <v>105.33</v>
      </c>
      <c r="S579">
        <v>74.61</v>
      </c>
      <c r="T579">
        <v>30.72</v>
      </c>
      <c r="U579" t="s">
        <v>190</v>
      </c>
      <c r="V579" t="s">
        <v>159</v>
      </c>
    </row>
    <row r="580" spans="1:22">
      <c r="A580" t="s">
        <v>453</v>
      </c>
      <c r="B580" s="1">
        <v>45095</v>
      </c>
      <c r="C580" t="s">
        <v>153</v>
      </c>
      <c r="D580">
        <v>2023</v>
      </c>
      <c r="E580" t="s">
        <v>154</v>
      </c>
      <c r="F580" t="s">
        <v>454</v>
      </c>
      <c r="G580" t="s">
        <v>62</v>
      </c>
      <c r="H580" t="s">
        <v>63</v>
      </c>
      <c r="I580" t="s">
        <v>41</v>
      </c>
      <c r="J580" t="s">
        <v>45</v>
      </c>
      <c r="K580" t="s">
        <v>156</v>
      </c>
      <c r="L580" t="s">
        <v>165</v>
      </c>
      <c r="M580">
        <v>4</v>
      </c>
      <c r="N580">
        <v>160.35</v>
      </c>
      <c r="O580">
        <v>641.4</v>
      </c>
      <c r="P580">
        <v>15</v>
      </c>
      <c r="Q580">
        <v>96.21</v>
      </c>
      <c r="R580">
        <v>545.19000000000005</v>
      </c>
      <c r="S580">
        <v>289.88</v>
      </c>
      <c r="T580">
        <v>255.31</v>
      </c>
      <c r="U580" t="s">
        <v>166</v>
      </c>
      <c r="V580" t="s">
        <v>159</v>
      </c>
    </row>
    <row r="581" spans="1:22">
      <c r="A581" t="s">
        <v>739</v>
      </c>
      <c r="B581" s="1">
        <v>45095</v>
      </c>
      <c r="C581" t="s">
        <v>153</v>
      </c>
      <c r="D581">
        <v>2023</v>
      </c>
      <c r="E581" t="s">
        <v>154</v>
      </c>
      <c r="F581" t="s">
        <v>740</v>
      </c>
      <c r="G581" t="s">
        <v>111</v>
      </c>
      <c r="H581" t="s">
        <v>112</v>
      </c>
      <c r="I581" t="s">
        <v>90</v>
      </c>
      <c r="J581" t="s">
        <v>97</v>
      </c>
      <c r="K581" t="s">
        <v>178</v>
      </c>
      <c r="L581" t="s">
        <v>204</v>
      </c>
      <c r="M581">
        <v>4</v>
      </c>
      <c r="N581">
        <v>189.99</v>
      </c>
      <c r="O581">
        <v>759.96</v>
      </c>
      <c r="P581">
        <v>20</v>
      </c>
      <c r="Q581">
        <v>151.99</v>
      </c>
      <c r="R581">
        <v>607.97</v>
      </c>
      <c r="S581">
        <v>254.04</v>
      </c>
      <c r="T581">
        <v>353.93</v>
      </c>
      <c r="U581" t="s">
        <v>166</v>
      </c>
      <c r="V581" t="s">
        <v>159</v>
      </c>
    </row>
    <row r="582" spans="1:22">
      <c r="A582" t="s">
        <v>415</v>
      </c>
      <c r="B582" s="1">
        <v>45094</v>
      </c>
      <c r="C582" t="s">
        <v>153</v>
      </c>
      <c r="D582">
        <v>2023</v>
      </c>
      <c r="E582" t="s">
        <v>154</v>
      </c>
      <c r="F582" t="s">
        <v>416</v>
      </c>
      <c r="G582" t="s">
        <v>133</v>
      </c>
      <c r="H582" t="s">
        <v>134</v>
      </c>
      <c r="I582" t="s">
        <v>115</v>
      </c>
      <c r="J582" t="s">
        <v>119</v>
      </c>
      <c r="K582" t="s">
        <v>209</v>
      </c>
      <c r="L582" t="s">
        <v>204</v>
      </c>
      <c r="M582">
        <v>3</v>
      </c>
      <c r="N582">
        <v>78.84</v>
      </c>
      <c r="O582">
        <v>236.52</v>
      </c>
      <c r="P582">
        <v>0</v>
      </c>
      <c r="Q582">
        <v>0</v>
      </c>
      <c r="R582">
        <v>236.52</v>
      </c>
      <c r="S582">
        <v>143.04</v>
      </c>
      <c r="T582">
        <v>93.48</v>
      </c>
      <c r="U582" t="s">
        <v>180</v>
      </c>
      <c r="V582" t="s">
        <v>159</v>
      </c>
    </row>
    <row r="583" spans="1:22">
      <c r="A583" t="s">
        <v>1555</v>
      </c>
      <c r="B583" s="1">
        <v>45094</v>
      </c>
      <c r="C583" t="s">
        <v>153</v>
      </c>
      <c r="D583">
        <v>2023</v>
      </c>
      <c r="E583" t="s">
        <v>154</v>
      </c>
      <c r="F583" t="s">
        <v>1556</v>
      </c>
      <c r="G583" t="s">
        <v>129</v>
      </c>
      <c r="H583" t="s">
        <v>130</v>
      </c>
      <c r="I583" t="s">
        <v>115</v>
      </c>
      <c r="J583" t="s">
        <v>124</v>
      </c>
      <c r="K583" t="s">
        <v>209</v>
      </c>
      <c r="L583" t="s">
        <v>179</v>
      </c>
      <c r="M583">
        <v>3</v>
      </c>
      <c r="N583">
        <v>99.34</v>
      </c>
      <c r="O583">
        <v>298.02</v>
      </c>
      <c r="P583">
        <v>20</v>
      </c>
      <c r="Q583">
        <v>59.6</v>
      </c>
      <c r="R583">
        <v>238.42</v>
      </c>
      <c r="S583">
        <v>112.05</v>
      </c>
      <c r="T583">
        <v>126.37</v>
      </c>
      <c r="U583" t="s">
        <v>166</v>
      </c>
      <c r="V583" t="s">
        <v>159</v>
      </c>
    </row>
    <row r="584" spans="1:22">
      <c r="A584" t="s">
        <v>1722</v>
      </c>
      <c r="B584" s="1">
        <v>45094</v>
      </c>
      <c r="C584" t="s">
        <v>153</v>
      </c>
      <c r="D584">
        <v>2023</v>
      </c>
      <c r="E584" t="s">
        <v>154</v>
      </c>
      <c r="F584" t="s">
        <v>1723</v>
      </c>
      <c r="G584" t="s">
        <v>131</v>
      </c>
      <c r="H584" t="s">
        <v>132</v>
      </c>
      <c r="I584" t="s">
        <v>115</v>
      </c>
      <c r="J584" t="s">
        <v>119</v>
      </c>
      <c r="K584" t="s">
        <v>156</v>
      </c>
      <c r="L584" t="s">
        <v>232</v>
      </c>
      <c r="M584">
        <v>2</v>
      </c>
      <c r="N584">
        <v>75.69</v>
      </c>
      <c r="O584">
        <v>151.38</v>
      </c>
      <c r="P584">
        <v>0</v>
      </c>
      <c r="Q584">
        <v>0</v>
      </c>
      <c r="R584">
        <v>151.38</v>
      </c>
      <c r="S584">
        <v>71.260000000000005</v>
      </c>
      <c r="T584">
        <v>80.12</v>
      </c>
      <c r="U584" t="s">
        <v>190</v>
      </c>
      <c r="V584" t="s">
        <v>181</v>
      </c>
    </row>
    <row r="585" spans="1:22">
      <c r="A585" t="s">
        <v>717</v>
      </c>
      <c r="B585" s="1">
        <v>45094</v>
      </c>
      <c r="C585" t="s">
        <v>153</v>
      </c>
      <c r="D585">
        <v>2023</v>
      </c>
      <c r="E585" t="s">
        <v>154</v>
      </c>
      <c r="F585" t="s">
        <v>718</v>
      </c>
      <c r="G585" t="s">
        <v>109</v>
      </c>
      <c r="H585" t="s">
        <v>110</v>
      </c>
      <c r="I585" t="s">
        <v>90</v>
      </c>
      <c r="J585" t="s">
        <v>100</v>
      </c>
      <c r="K585" t="s">
        <v>178</v>
      </c>
      <c r="L585" t="s">
        <v>179</v>
      </c>
      <c r="M585">
        <v>4</v>
      </c>
      <c r="N585">
        <v>77.67</v>
      </c>
      <c r="O585">
        <v>310.68</v>
      </c>
      <c r="P585">
        <v>20</v>
      </c>
      <c r="Q585">
        <v>62.14</v>
      </c>
      <c r="R585">
        <v>248.54</v>
      </c>
      <c r="S585">
        <v>112.48</v>
      </c>
      <c r="T585">
        <v>136.06</v>
      </c>
      <c r="U585" t="s">
        <v>180</v>
      </c>
      <c r="V585" t="s">
        <v>186</v>
      </c>
    </row>
    <row r="586" spans="1:22">
      <c r="A586" t="s">
        <v>557</v>
      </c>
      <c r="B586" s="1">
        <v>45094</v>
      </c>
      <c r="C586" t="s">
        <v>153</v>
      </c>
      <c r="D586">
        <v>2023</v>
      </c>
      <c r="E586" t="s">
        <v>154</v>
      </c>
      <c r="F586" t="s">
        <v>558</v>
      </c>
      <c r="G586" t="s">
        <v>53</v>
      </c>
      <c r="H586" t="s">
        <v>54</v>
      </c>
      <c r="I586" t="s">
        <v>41</v>
      </c>
      <c r="J586" t="s">
        <v>45</v>
      </c>
      <c r="K586" t="s">
        <v>178</v>
      </c>
      <c r="L586" t="s">
        <v>157</v>
      </c>
      <c r="M586">
        <v>2</v>
      </c>
      <c r="N586">
        <v>51.98</v>
      </c>
      <c r="O586">
        <v>103.96</v>
      </c>
      <c r="P586">
        <v>20</v>
      </c>
      <c r="Q586">
        <v>20.79</v>
      </c>
      <c r="R586">
        <v>83.17</v>
      </c>
      <c r="S586">
        <v>66.08</v>
      </c>
      <c r="T586">
        <v>17.09</v>
      </c>
      <c r="U586" t="s">
        <v>190</v>
      </c>
      <c r="V586" t="s">
        <v>186</v>
      </c>
    </row>
    <row r="587" spans="1:22">
      <c r="A587" t="s">
        <v>1484</v>
      </c>
      <c r="B587" s="1">
        <v>45093</v>
      </c>
      <c r="C587" t="s">
        <v>153</v>
      </c>
      <c r="D587">
        <v>2023</v>
      </c>
      <c r="E587" t="s">
        <v>154</v>
      </c>
      <c r="F587" t="s">
        <v>1485</v>
      </c>
      <c r="G587" t="s">
        <v>111</v>
      </c>
      <c r="H587" t="s">
        <v>112</v>
      </c>
      <c r="I587" t="s">
        <v>90</v>
      </c>
      <c r="J587" t="s">
        <v>97</v>
      </c>
      <c r="K587" t="s">
        <v>164</v>
      </c>
      <c r="L587" t="s">
        <v>157</v>
      </c>
      <c r="M587">
        <v>4</v>
      </c>
      <c r="N587">
        <v>189.99</v>
      </c>
      <c r="O587">
        <v>759.96</v>
      </c>
      <c r="P587">
        <v>15</v>
      </c>
      <c r="Q587">
        <v>113.99</v>
      </c>
      <c r="R587">
        <v>645.97</v>
      </c>
      <c r="S587">
        <v>254.04</v>
      </c>
      <c r="T587">
        <v>391.93</v>
      </c>
      <c r="U587" t="s">
        <v>180</v>
      </c>
      <c r="V587" t="s">
        <v>186</v>
      </c>
    </row>
    <row r="588" spans="1:22">
      <c r="A588" t="s">
        <v>588</v>
      </c>
      <c r="B588" s="1">
        <v>45093</v>
      </c>
      <c r="C588" t="s">
        <v>153</v>
      </c>
      <c r="D588">
        <v>2023</v>
      </c>
      <c r="E588" t="s">
        <v>154</v>
      </c>
      <c r="F588" t="s">
        <v>589</v>
      </c>
      <c r="G588" t="s">
        <v>98</v>
      </c>
      <c r="H588" t="s">
        <v>99</v>
      </c>
      <c r="I588" t="s">
        <v>90</v>
      </c>
      <c r="J588" t="s">
        <v>100</v>
      </c>
      <c r="K588" t="s">
        <v>164</v>
      </c>
      <c r="L588" t="s">
        <v>232</v>
      </c>
      <c r="M588">
        <v>2</v>
      </c>
      <c r="N588">
        <v>194.87</v>
      </c>
      <c r="O588">
        <v>389.74</v>
      </c>
      <c r="P588">
        <v>10</v>
      </c>
      <c r="Q588">
        <v>38.97</v>
      </c>
      <c r="R588">
        <v>350.77</v>
      </c>
      <c r="S588">
        <v>157.58000000000001</v>
      </c>
      <c r="T588">
        <v>193.19</v>
      </c>
      <c r="U588" t="s">
        <v>180</v>
      </c>
      <c r="V588" t="s">
        <v>159</v>
      </c>
    </row>
    <row r="589" spans="1:22">
      <c r="A589" t="s">
        <v>618</v>
      </c>
      <c r="B589" s="1">
        <v>45092</v>
      </c>
      <c r="C589" t="s">
        <v>153</v>
      </c>
      <c r="D589">
        <v>2023</v>
      </c>
      <c r="E589" t="s">
        <v>154</v>
      </c>
      <c r="F589" t="s">
        <v>619</v>
      </c>
      <c r="G589" t="s">
        <v>43</v>
      </c>
      <c r="H589" t="s">
        <v>44</v>
      </c>
      <c r="I589" t="s">
        <v>41</v>
      </c>
      <c r="J589" t="s">
        <v>45</v>
      </c>
      <c r="K589" t="s">
        <v>156</v>
      </c>
      <c r="L589" t="s">
        <v>174</v>
      </c>
      <c r="M589">
        <v>2</v>
      </c>
      <c r="N589">
        <v>67.56</v>
      </c>
      <c r="O589">
        <v>135.12</v>
      </c>
      <c r="P589">
        <v>5</v>
      </c>
      <c r="Q589">
        <v>6.76</v>
      </c>
      <c r="R589">
        <v>128.36000000000001</v>
      </c>
      <c r="S589">
        <v>86.42</v>
      </c>
      <c r="T589">
        <v>41.94</v>
      </c>
      <c r="U589" t="s">
        <v>195</v>
      </c>
      <c r="V589" t="s">
        <v>186</v>
      </c>
    </row>
    <row r="590" spans="1:22">
      <c r="A590" t="s">
        <v>1411</v>
      </c>
      <c r="B590" s="1">
        <v>45092</v>
      </c>
      <c r="C590" t="s">
        <v>153</v>
      </c>
      <c r="D590">
        <v>2023</v>
      </c>
      <c r="E590" t="s">
        <v>154</v>
      </c>
      <c r="F590" t="s">
        <v>1412</v>
      </c>
      <c r="G590" t="s">
        <v>133</v>
      </c>
      <c r="H590" t="s">
        <v>134</v>
      </c>
      <c r="I590" t="s">
        <v>115</v>
      </c>
      <c r="J590" t="s">
        <v>119</v>
      </c>
      <c r="K590" t="s">
        <v>156</v>
      </c>
      <c r="L590" t="s">
        <v>232</v>
      </c>
      <c r="M590">
        <v>4</v>
      </c>
      <c r="N590">
        <v>78.84</v>
      </c>
      <c r="O590">
        <v>315.36</v>
      </c>
      <c r="P590">
        <v>20</v>
      </c>
      <c r="Q590">
        <v>63.07</v>
      </c>
      <c r="R590">
        <v>252.29</v>
      </c>
      <c r="S590">
        <v>190.72</v>
      </c>
      <c r="T590">
        <v>61.57</v>
      </c>
      <c r="U590" t="s">
        <v>166</v>
      </c>
      <c r="V590" t="s">
        <v>159</v>
      </c>
    </row>
    <row r="591" spans="1:22">
      <c r="A591" t="s">
        <v>1804</v>
      </c>
      <c r="B591" s="1">
        <v>45092</v>
      </c>
      <c r="C591" t="s">
        <v>153</v>
      </c>
      <c r="D591">
        <v>2023</v>
      </c>
      <c r="E591" t="s">
        <v>154</v>
      </c>
      <c r="F591" t="s">
        <v>1805</v>
      </c>
      <c r="G591" t="s">
        <v>133</v>
      </c>
      <c r="H591" t="s">
        <v>134</v>
      </c>
      <c r="I591" t="s">
        <v>115</v>
      </c>
      <c r="J591" t="s">
        <v>119</v>
      </c>
      <c r="K591" t="s">
        <v>178</v>
      </c>
      <c r="L591" t="s">
        <v>179</v>
      </c>
      <c r="M591">
        <v>2</v>
      </c>
      <c r="N591">
        <v>78.84</v>
      </c>
      <c r="O591">
        <v>157.68</v>
      </c>
      <c r="P591">
        <v>10</v>
      </c>
      <c r="Q591">
        <v>15.77</v>
      </c>
      <c r="R591">
        <v>141.91</v>
      </c>
      <c r="S591">
        <v>95.36</v>
      </c>
      <c r="T591">
        <v>46.55</v>
      </c>
      <c r="U591" t="s">
        <v>195</v>
      </c>
      <c r="V591" t="s">
        <v>159</v>
      </c>
    </row>
    <row r="592" spans="1:22">
      <c r="A592" t="s">
        <v>1441</v>
      </c>
      <c r="B592" s="1">
        <v>45091</v>
      </c>
      <c r="C592" t="s">
        <v>153</v>
      </c>
      <c r="D592">
        <v>2023</v>
      </c>
      <c r="E592" t="s">
        <v>154</v>
      </c>
      <c r="F592" t="s">
        <v>1442</v>
      </c>
      <c r="G592" t="s">
        <v>73</v>
      </c>
      <c r="H592" t="s">
        <v>74</v>
      </c>
      <c r="I592" t="s">
        <v>66</v>
      </c>
      <c r="J592" t="s">
        <v>75</v>
      </c>
      <c r="K592" t="s">
        <v>209</v>
      </c>
      <c r="L592" t="s">
        <v>179</v>
      </c>
      <c r="M592">
        <v>3</v>
      </c>
      <c r="N592">
        <v>53.95</v>
      </c>
      <c r="O592">
        <v>161.85000000000002</v>
      </c>
      <c r="P592">
        <v>0</v>
      </c>
      <c r="Q592">
        <v>0</v>
      </c>
      <c r="R592">
        <v>161.85</v>
      </c>
      <c r="S592">
        <v>105.6</v>
      </c>
      <c r="T592">
        <v>56.25</v>
      </c>
      <c r="U592" t="s">
        <v>195</v>
      </c>
      <c r="V592" t="s">
        <v>159</v>
      </c>
    </row>
    <row r="593" spans="1:22">
      <c r="A593" t="s">
        <v>1159</v>
      </c>
      <c r="B593" s="1">
        <v>45091</v>
      </c>
      <c r="C593" t="s">
        <v>153</v>
      </c>
      <c r="D593">
        <v>2023</v>
      </c>
      <c r="E593" t="s">
        <v>154</v>
      </c>
      <c r="F593" t="s">
        <v>1160</v>
      </c>
      <c r="G593" t="s">
        <v>53</v>
      </c>
      <c r="H593" t="s">
        <v>54</v>
      </c>
      <c r="I593" t="s">
        <v>41</v>
      </c>
      <c r="J593" t="s">
        <v>45</v>
      </c>
      <c r="K593" t="s">
        <v>209</v>
      </c>
      <c r="L593" t="s">
        <v>204</v>
      </c>
      <c r="M593">
        <v>1</v>
      </c>
      <c r="N593">
        <v>51.98</v>
      </c>
      <c r="O593">
        <v>51.98</v>
      </c>
      <c r="P593">
        <v>15</v>
      </c>
      <c r="Q593">
        <v>7.8</v>
      </c>
      <c r="R593">
        <v>44.18</v>
      </c>
      <c r="S593">
        <v>33.04</v>
      </c>
      <c r="T593">
        <v>11.14</v>
      </c>
      <c r="U593" t="s">
        <v>195</v>
      </c>
      <c r="V593" t="s">
        <v>181</v>
      </c>
    </row>
    <row r="594" spans="1:22">
      <c r="A594" t="s">
        <v>1000</v>
      </c>
      <c r="B594" s="1">
        <v>45091</v>
      </c>
      <c r="C594" t="s">
        <v>153</v>
      </c>
      <c r="D594">
        <v>2023</v>
      </c>
      <c r="E594" t="s">
        <v>154</v>
      </c>
      <c r="F594" t="s">
        <v>1001</v>
      </c>
      <c r="G594" t="s">
        <v>62</v>
      </c>
      <c r="H594" t="s">
        <v>63</v>
      </c>
      <c r="I594" t="s">
        <v>41</v>
      </c>
      <c r="J594" t="s">
        <v>45</v>
      </c>
      <c r="K594" t="s">
        <v>164</v>
      </c>
      <c r="L594" t="s">
        <v>232</v>
      </c>
      <c r="M594">
        <v>4</v>
      </c>
      <c r="N594">
        <v>160.35</v>
      </c>
      <c r="O594">
        <v>641.4</v>
      </c>
      <c r="P594">
        <v>20</v>
      </c>
      <c r="Q594">
        <v>128.28</v>
      </c>
      <c r="R594">
        <v>513.12</v>
      </c>
      <c r="S594">
        <v>289.88</v>
      </c>
      <c r="T594">
        <v>223.24</v>
      </c>
      <c r="U594" t="s">
        <v>158</v>
      </c>
      <c r="V594" t="s">
        <v>159</v>
      </c>
    </row>
    <row r="595" spans="1:22">
      <c r="A595" t="s">
        <v>873</v>
      </c>
      <c r="B595" s="1">
        <v>45091</v>
      </c>
      <c r="C595" t="s">
        <v>153</v>
      </c>
      <c r="D595">
        <v>2023</v>
      </c>
      <c r="E595" t="s">
        <v>154</v>
      </c>
      <c r="F595" t="s">
        <v>874</v>
      </c>
      <c r="G595" t="s">
        <v>127</v>
      </c>
      <c r="H595" t="s">
        <v>128</v>
      </c>
      <c r="I595" t="s">
        <v>115</v>
      </c>
      <c r="J595" t="s">
        <v>124</v>
      </c>
      <c r="K595" t="s">
        <v>164</v>
      </c>
      <c r="L595" t="s">
        <v>165</v>
      </c>
      <c r="M595">
        <v>4</v>
      </c>
      <c r="N595">
        <v>94.76</v>
      </c>
      <c r="O595">
        <v>379.04</v>
      </c>
      <c r="P595">
        <v>0</v>
      </c>
      <c r="Q595">
        <v>0</v>
      </c>
      <c r="R595">
        <v>379.04</v>
      </c>
      <c r="S595">
        <v>315.27999999999997</v>
      </c>
      <c r="T595">
        <v>63.76</v>
      </c>
      <c r="U595" t="s">
        <v>195</v>
      </c>
      <c r="V595" t="s">
        <v>159</v>
      </c>
    </row>
    <row r="596" spans="1:22">
      <c r="A596" t="s">
        <v>809</v>
      </c>
      <c r="B596" s="1">
        <v>45091</v>
      </c>
      <c r="C596" t="s">
        <v>153</v>
      </c>
      <c r="D596">
        <v>2023</v>
      </c>
      <c r="E596" t="s">
        <v>154</v>
      </c>
      <c r="F596" t="s">
        <v>810</v>
      </c>
      <c r="G596" t="s">
        <v>53</v>
      </c>
      <c r="H596" t="s">
        <v>54</v>
      </c>
      <c r="I596" t="s">
        <v>41</v>
      </c>
      <c r="J596" t="s">
        <v>45</v>
      </c>
      <c r="K596" t="s">
        <v>156</v>
      </c>
      <c r="L596" t="s">
        <v>179</v>
      </c>
      <c r="M596">
        <v>2</v>
      </c>
      <c r="N596">
        <v>51.98</v>
      </c>
      <c r="O596">
        <v>103.96</v>
      </c>
      <c r="P596">
        <v>15</v>
      </c>
      <c r="Q596">
        <v>15.59</v>
      </c>
      <c r="R596">
        <v>88.37</v>
      </c>
      <c r="S596">
        <v>66.08</v>
      </c>
      <c r="T596">
        <v>22.29</v>
      </c>
      <c r="U596" t="s">
        <v>180</v>
      </c>
      <c r="V596" t="s">
        <v>186</v>
      </c>
    </row>
    <row r="597" spans="1:22">
      <c r="A597" t="s">
        <v>551</v>
      </c>
      <c r="B597" s="1">
        <v>45090</v>
      </c>
      <c r="C597" t="s">
        <v>153</v>
      </c>
      <c r="D597">
        <v>2023</v>
      </c>
      <c r="E597" t="s">
        <v>154</v>
      </c>
      <c r="F597" t="s">
        <v>552</v>
      </c>
      <c r="G597" t="s">
        <v>109</v>
      </c>
      <c r="H597" t="s">
        <v>110</v>
      </c>
      <c r="I597" t="s">
        <v>90</v>
      </c>
      <c r="J597" t="s">
        <v>100</v>
      </c>
      <c r="K597" t="s">
        <v>178</v>
      </c>
      <c r="L597" t="s">
        <v>204</v>
      </c>
      <c r="M597">
        <v>2</v>
      </c>
      <c r="N597">
        <v>77.67</v>
      </c>
      <c r="O597">
        <v>155.34</v>
      </c>
      <c r="P597">
        <v>0</v>
      </c>
      <c r="Q597">
        <v>0</v>
      </c>
      <c r="R597">
        <v>155.34</v>
      </c>
      <c r="S597">
        <v>56.24</v>
      </c>
      <c r="T597">
        <v>99.1</v>
      </c>
      <c r="U597" t="s">
        <v>190</v>
      </c>
      <c r="V597" t="s">
        <v>159</v>
      </c>
    </row>
    <row r="598" spans="1:22">
      <c r="A598" t="s">
        <v>1798</v>
      </c>
      <c r="B598" s="1">
        <v>45090</v>
      </c>
      <c r="C598" t="s">
        <v>153</v>
      </c>
      <c r="D598">
        <v>2023</v>
      </c>
      <c r="E598" t="s">
        <v>154</v>
      </c>
      <c r="F598" t="s">
        <v>1799</v>
      </c>
      <c r="G598" t="s">
        <v>107</v>
      </c>
      <c r="H598" t="s">
        <v>108</v>
      </c>
      <c r="I598" t="s">
        <v>90</v>
      </c>
      <c r="J598" t="s">
        <v>100</v>
      </c>
      <c r="K598" t="s">
        <v>156</v>
      </c>
      <c r="L598" t="s">
        <v>194</v>
      </c>
      <c r="M598">
        <v>1</v>
      </c>
      <c r="N598">
        <v>26.61</v>
      </c>
      <c r="O598">
        <v>26.61</v>
      </c>
      <c r="P598">
        <v>0</v>
      </c>
      <c r="Q598">
        <v>0</v>
      </c>
      <c r="R598">
        <v>26.61</v>
      </c>
      <c r="S598">
        <v>10.64</v>
      </c>
      <c r="T598">
        <v>15.97</v>
      </c>
      <c r="U598" t="s">
        <v>190</v>
      </c>
      <c r="V598" t="s">
        <v>159</v>
      </c>
    </row>
    <row r="599" spans="1:22">
      <c r="A599" t="s">
        <v>1377</v>
      </c>
      <c r="B599" s="1">
        <v>45089</v>
      </c>
      <c r="C599" t="s">
        <v>153</v>
      </c>
      <c r="D599">
        <v>2023</v>
      </c>
      <c r="E599" t="s">
        <v>154</v>
      </c>
      <c r="F599" t="s">
        <v>1378</v>
      </c>
      <c r="G599" t="s">
        <v>35</v>
      </c>
      <c r="H599" t="s">
        <v>36</v>
      </c>
      <c r="I599" t="s">
        <v>14</v>
      </c>
      <c r="J599" t="s">
        <v>19</v>
      </c>
      <c r="K599" t="s">
        <v>178</v>
      </c>
      <c r="L599" t="s">
        <v>179</v>
      </c>
      <c r="M599">
        <v>4</v>
      </c>
      <c r="N599">
        <v>81.599999999999994</v>
      </c>
      <c r="O599">
        <v>326.39999999999998</v>
      </c>
      <c r="P599">
        <v>0</v>
      </c>
      <c r="Q599">
        <v>0</v>
      </c>
      <c r="R599">
        <v>326.39999999999998</v>
      </c>
      <c r="S599">
        <v>117.28</v>
      </c>
      <c r="T599">
        <v>209.12</v>
      </c>
      <c r="U599" t="s">
        <v>180</v>
      </c>
      <c r="V599" t="s">
        <v>159</v>
      </c>
    </row>
    <row r="600" spans="1:22">
      <c r="A600" t="s">
        <v>1762</v>
      </c>
      <c r="B600" s="1">
        <v>45089</v>
      </c>
      <c r="C600" t="s">
        <v>153</v>
      </c>
      <c r="D600">
        <v>2023</v>
      </c>
      <c r="E600" t="s">
        <v>154</v>
      </c>
      <c r="F600" t="s">
        <v>1763</v>
      </c>
      <c r="G600" t="s">
        <v>103</v>
      </c>
      <c r="H600" t="s">
        <v>104</v>
      </c>
      <c r="I600" t="s">
        <v>90</v>
      </c>
      <c r="J600" t="s">
        <v>94</v>
      </c>
      <c r="K600" t="s">
        <v>156</v>
      </c>
      <c r="L600" t="s">
        <v>194</v>
      </c>
      <c r="M600">
        <v>1</v>
      </c>
      <c r="N600">
        <v>98.58</v>
      </c>
      <c r="O600">
        <v>98.58</v>
      </c>
      <c r="P600">
        <v>15</v>
      </c>
      <c r="Q600">
        <v>14.79</v>
      </c>
      <c r="R600">
        <v>83.79</v>
      </c>
      <c r="S600">
        <v>52.57</v>
      </c>
      <c r="T600">
        <v>31.22</v>
      </c>
      <c r="U600" t="s">
        <v>180</v>
      </c>
      <c r="V600" t="s">
        <v>181</v>
      </c>
    </row>
    <row r="601" spans="1:22">
      <c r="A601" t="s">
        <v>1473</v>
      </c>
      <c r="B601" s="1">
        <v>45089</v>
      </c>
      <c r="C601" t="s">
        <v>153</v>
      </c>
      <c r="D601">
        <v>2023</v>
      </c>
      <c r="E601" t="s">
        <v>154</v>
      </c>
      <c r="F601" t="s">
        <v>1474</v>
      </c>
      <c r="G601" t="s">
        <v>101</v>
      </c>
      <c r="H601" t="s">
        <v>102</v>
      </c>
      <c r="I601" t="s">
        <v>90</v>
      </c>
      <c r="J601" t="s">
        <v>100</v>
      </c>
      <c r="K601" t="s">
        <v>156</v>
      </c>
      <c r="L601" t="s">
        <v>165</v>
      </c>
      <c r="M601">
        <v>1</v>
      </c>
      <c r="N601">
        <v>196.28</v>
      </c>
      <c r="O601">
        <v>196.28</v>
      </c>
      <c r="P601">
        <v>0</v>
      </c>
      <c r="Q601">
        <v>0</v>
      </c>
      <c r="R601">
        <v>196.28</v>
      </c>
      <c r="S601">
        <v>71.73</v>
      </c>
      <c r="T601">
        <v>124.55</v>
      </c>
      <c r="U601" t="s">
        <v>158</v>
      </c>
      <c r="V601" t="s">
        <v>159</v>
      </c>
    </row>
    <row r="602" spans="1:22">
      <c r="A602" t="s">
        <v>1958</v>
      </c>
      <c r="B602" s="1">
        <v>45089</v>
      </c>
      <c r="C602" t="s">
        <v>153</v>
      </c>
      <c r="D602">
        <v>2023</v>
      </c>
      <c r="E602" t="s">
        <v>154</v>
      </c>
      <c r="F602" t="s">
        <v>1959</v>
      </c>
      <c r="G602" t="s">
        <v>86</v>
      </c>
      <c r="H602" t="s">
        <v>87</v>
      </c>
      <c r="I602" t="s">
        <v>66</v>
      </c>
      <c r="J602" t="s">
        <v>67</v>
      </c>
      <c r="K602" t="s">
        <v>164</v>
      </c>
      <c r="L602" t="s">
        <v>157</v>
      </c>
      <c r="M602">
        <v>2</v>
      </c>
      <c r="N602">
        <v>124.77</v>
      </c>
      <c r="O602">
        <v>249.54</v>
      </c>
      <c r="P602">
        <v>0</v>
      </c>
      <c r="Q602">
        <v>0</v>
      </c>
      <c r="R602">
        <v>249.54</v>
      </c>
      <c r="S602">
        <v>139.28</v>
      </c>
      <c r="T602">
        <v>110.26</v>
      </c>
      <c r="U602" t="s">
        <v>195</v>
      </c>
      <c r="V602" t="s">
        <v>159</v>
      </c>
    </row>
    <row r="603" spans="1:22">
      <c r="A603" t="s">
        <v>1856</v>
      </c>
      <c r="B603" s="1">
        <v>45088</v>
      </c>
      <c r="C603" t="s">
        <v>153</v>
      </c>
      <c r="D603">
        <v>2023</v>
      </c>
      <c r="E603" t="s">
        <v>154</v>
      </c>
      <c r="F603" t="s">
        <v>1857</v>
      </c>
      <c r="G603" t="s">
        <v>33</v>
      </c>
      <c r="H603" t="s">
        <v>34</v>
      </c>
      <c r="I603" t="s">
        <v>14</v>
      </c>
      <c r="J603" t="s">
        <v>27</v>
      </c>
      <c r="K603" t="s">
        <v>164</v>
      </c>
      <c r="L603" t="s">
        <v>204</v>
      </c>
      <c r="M603">
        <v>4</v>
      </c>
      <c r="N603">
        <v>124.26</v>
      </c>
      <c r="O603">
        <v>497.04</v>
      </c>
      <c r="P603">
        <v>5</v>
      </c>
      <c r="Q603">
        <v>24.85</v>
      </c>
      <c r="R603">
        <v>472.19</v>
      </c>
      <c r="S603">
        <v>210.48</v>
      </c>
      <c r="T603">
        <v>261.70999999999998</v>
      </c>
      <c r="U603" t="s">
        <v>180</v>
      </c>
      <c r="V603" t="s">
        <v>159</v>
      </c>
    </row>
    <row r="604" spans="1:22">
      <c r="A604" t="s">
        <v>893</v>
      </c>
      <c r="B604" s="1">
        <v>45088</v>
      </c>
      <c r="C604" t="s">
        <v>153</v>
      </c>
      <c r="D604">
        <v>2023</v>
      </c>
      <c r="E604" t="s">
        <v>154</v>
      </c>
      <c r="F604" t="s">
        <v>894</v>
      </c>
      <c r="G604" t="s">
        <v>60</v>
      </c>
      <c r="H604" t="s">
        <v>61</v>
      </c>
      <c r="I604" t="s">
        <v>41</v>
      </c>
      <c r="J604" t="s">
        <v>59</v>
      </c>
      <c r="K604" t="s">
        <v>164</v>
      </c>
      <c r="L604" t="s">
        <v>165</v>
      </c>
      <c r="M604">
        <v>3</v>
      </c>
      <c r="N604">
        <v>103.56</v>
      </c>
      <c r="O604">
        <v>310.68</v>
      </c>
      <c r="P604">
        <v>20</v>
      </c>
      <c r="Q604">
        <v>62.14</v>
      </c>
      <c r="R604">
        <v>248.54</v>
      </c>
      <c r="S604">
        <v>133.74</v>
      </c>
      <c r="T604">
        <v>114.8</v>
      </c>
      <c r="U604" t="s">
        <v>195</v>
      </c>
      <c r="V604" t="s">
        <v>159</v>
      </c>
    </row>
    <row r="605" spans="1:22">
      <c r="A605" t="s">
        <v>1194</v>
      </c>
      <c r="B605" s="1">
        <v>45088</v>
      </c>
      <c r="C605" t="s">
        <v>153</v>
      </c>
      <c r="D605">
        <v>2023</v>
      </c>
      <c r="E605" t="s">
        <v>154</v>
      </c>
      <c r="F605" t="s">
        <v>1195</v>
      </c>
      <c r="G605" t="s">
        <v>37</v>
      </c>
      <c r="H605" t="s">
        <v>38</v>
      </c>
      <c r="I605" t="s">
        <v>14</v>
      </c>
      <c r="J605" t="s">
        <v>27</v>
      </c>
      <c r="K605" t="s">
        <v>164</v>
      </c>
      <c r="L605" t="s">
        <v>157</v>
      </c>
      <c r="M605">
        <v>3</v>
      </c>
      <c r="N605">
        <v>133.99</v>
      </c>
      <c r="O605">
        <v>401.97</v>
      </c>
      <c r="P605">
        <v>20</v>
      </c>
      <c r="Q605">
        <v>80.39</v>
      </c>
      <c r="R605">
        <v>321.58</v>
      </c>
      <c r="S605">
        <v>220.47</v>
      </c>
      <c r="T605">
        <v>101.11</v>
      </c>
      <c r="U605" t="s">
        <v>158</v>
      </c>
      <c r="V605" t="s">
        <v>159</v>
      </c>
    </row>
    <row r="606" spans="1:22">
      <c r="A606" t="s">
        <v>495</v>
      </c>
      <c r="B606" s="1">
        <v>45088</v>
      </c>
      <c r="C606" t="s">
        <v>153</v>
      </c>
      <c r="D606">
        <v>2023</v>
      </c>
      <c r="E606" t="s">
        <v>154</v>
      </c>
      <c r="F606" t="s">
        <v>496</v>
      </c>
      <c r="G606" t="s">
        <v>21</v>
      </c>
      <c r="H606" t="s">
        <v>22</v>
      </c>
      <c r="I606" t="s">
        <v>14</v>
      </c>
      <c r="J606" t="s">
        <v>15</v>
      </c>
      <c r="K606" t="s">
        <v>178</v>
      </c>
      <c r="L606" t="s">
        <v>232</v>
      </c>
      <c r="M606">
        <v>2</v>
      </c>
      <c r="N606">
        <v>65.430000000000007</v>
      </c>
      <c r="O606">
        <v>130.86000000000001</v>
      </c>
      <c r="P606">
        <v>0</v>
      </c>
      <c r="Q606">
        <v>0</v>
      </c>
      <c r="R606">
        <v>130.86000000000001</v>
      </c>
      <c r="S606">
        <v>77.38</v>
      </c>
      <c r="T606">
        <v>53.48</v>
      </c>
      <c r="U606" t="s">
        <v>180</v>
      </c>
      <c r="V606" t="s">
        <v>181</v>
      </c>
    </row>
    <row r="607" spans="1:22">
      <c r="A607" t="s">
        <v>1409</v>
      </c>
      <c r="B607" s="1">
        <v>45088</v>
      </c>
      <c r="C607" t="s">
        <v>153</v>
      </c>
      <c r="D607">
        <v>2023</v>
      </c>
      <c r="E607" t="s">
        <v>154</v>
      </c>
      <c r="F607" t="s">
        <v>1410</v>
      </c>
      <c r="G607" t="s">
        <v>101</v>
      </c>
      <c r="H607" t="s">
        <v>102</v>
      </c>
      <c r="I607" t="s">
        <v>90</v>
      </c>
      <c r="J607" t="s">
        <v>100</v>
      </c>
      <c r="K607" t="s">
        <v>178</v>
      </c>
      <c r="L607" t="s">
        <v>179</v>
      </c>
      <c r="M607">
        <v>4</v>
      </c>
      <c r="N607">
        <v>196.28</v>
      </c>
      <c r="O607">
        <v>785.12</v>
      </c>
      <c r="P607">
        <v>0</v>
      </c>
      <c r="Q607">
        <v>0</v>
      </c>
      <c r="R607">
        <v>785.12</v>
      </c>
      <c r="S607">
        <v>286.92</v>
      </c>
      <c r="T607">
        <v>498.2</v>
      </c>
      <c r="U607" t="s">
        <v>195</v>
      </c>
      <c r="V607" t="s">
        <v>186</v>
      </c>
    </row>
    <row r="608" spans="1:22">
      <c r="A608" t="s">
        <v>289</v>
      </c>
      <c r="B608" s="1">
        <v>45088</v>
      </c>
      <c r="C608" t="s">
        <v>153</v>
      </c>
      <c r="D608">
        <v>2023</v>
      </c>
      <c r="E608" t="s">
        <v>154</v>
      </c>
      <c r="F608" t="s">
        <v>213</v>
      </c>
      <c r="G608" t="s">
        <v>21</v>
      </c>
      <c r="H608" t="s">
        <v>22</v>
      </c>
      <c r="I608" t="s">
        <v>14</v>
      </c>
      <c r="J608" t="s">
        <v>15</v>
      </c>
      <c r="K608" t="s">
        <v>178</v>
      </c>
      <c r="L608" t="s">
        <v>174</v>
      </c>
      <c r="M608">
        <v>4</v>
      </c>
      <c r="N608">
        <v>65.430000000000007</v>
      </c>
      <c r="O608">
        <v>261.72000000000003</v>
      </c>
      <c r="P608">
        <v>0</v>
      </c>
      <c r="Q608">
        <v>0</v>
      </c>
      <c r="R608">
        <v>261.72000000000003</v>
      </c>
      <c r="S608">
        <v>154.76</v>
      </c>
      <c r="T608">
        <v>106.96</v>
      </c>
      <c r="U608" t="s">
        <v>180</v>
      </c>
      <c r="V608" t="s">
        <v>181</v>
      </c>
    </row>
    <row r="609" spans="1:22">
      <c r="A609" t="s">
        <v>1324</v>
      </c>
      <c r="B609" s="1">
        <v>45087</v>
      </c>
      <c r="C609" t="s">
        <v>153</v>
      </c>
      <c r="D609">
        <v>2023</v>
      </c>
      <c r="E609" t="s">
        <v>154</v>
      </c>
      <c r="F609" t="s">
        <v>724</v>
      </c>
      <c r="G609" t="s">
        <v>39</v>
      </c>
      <c r="H609" t="s">
        <v>40</v>
      </c>
      <c r="I609" t="s">
        <v>41</v>
      </c>
      <c r="J609" t="s">
        <v>42</v>
      </c>
      <c r="K609" t="s">
        <v>178</v>
      </c>
      <c r="L609" t="s">
        <v>165</v>
      </c>
      <c r="M609">
        <v>3</v>
      </c>
      <c r="N609">
        <v>35.11</v>
      </c>
      <c r="O609">
        <v>105.33</v>
      </c>
      <c r="P609">
        <v>0</v>
      </c>
      <c r="Q609">
        <v>0</v>
      </c>
      <c r="R609">
        <v>105.33</v>
      </c>
      <c r="S609">
        <v>74.61</v>
      </c>
      <c r="T609">
        <v>30.72</v>
      </c>
      <c r="U609" t="s">
        <v>195</v>
      </c>
      <c r="V609" t="s">
        <v>181</v>
      </c>
    </row>
    <row r="610" spans="1:22">
      <c r="A610" t="s">
        <v>1830</v>
      </c>
      <c r="B610" s="1">
        <v>45087</v>
      </c>
      <c r="C610" t="s">
        <v>153</v>
      </c>
      <c r="D610">
        <v>2023</v>
      </c>
      <c r="E610" t="s">
        <v>154</v>
      </c>
      <c r="F610" t="s">
        <v>1831</v>
      </c>
      <c r="G610" t="s">
        <v>80</v>
      </c>
      <c r="H610" t="s">
        <v>81</v>
      </c>
      <c r="I610" t="s">
        <v>66</v>
      </c>
      <c r="J610" t="s">
        <v>70</v>
      </c>
      <c r="K610" t="s">
        <v>164</v>
      </c>
      <c r="L610" t="s">
        <v>174</v>
      </c>
      <c r="M610">
        <v>1</v>
      </c>
      <c r="N610">
        <v>106.06</v>
      </c>
      <c r="O610">
        <v>106.06</v>
      </c>
      <c r="P610">
        <v>20</v>
      </c>
      <c r="Q610">
        <v>21.21</v>
      </c>
      <c r="R610">
        <v>84.85</v>
      </c>
      <c r="S610">
        <v>33.42</v>
      </c>
      <c r="T610">
        <v>51.43</v>
      </c>
      <c r="U610" t="s">
        <v>166</v>
      </c>
      <c r="V610" t="s">
        <v>159</v>
      </c>
    </row>
    <row r="611" spans="1:22">
      <c r="A611" t="s">
        <v>833</v>
      </c>
      <c r="B611" s="1">
        <v>45087</v>
      </c>
      <c r="C611" t="s">
        <v>153</v>
      </c>
      <c r="D611">
        <v>2023</v>
      </c>
      <c r="E611" t="s">
        <v>154</v>
      </c>
      <c r="F611" t="s">
        <v>399</v>
      </c>
      <c r="G611" t="s">
        <v>129</v>
      </c>
      <c r="H611" t="s">
        <v>130</v>
      </c>
      <c r="I611" t="s">
        <v>115</v>
      </c>
      <c r="J611" t="s">
        <v>124</v>
      </c>
      <c r="K611" t="s">
        <v>178</v>
      </c>
      <c r="L611" t="s">
        <v>157</v>
      </c>
      <c r="M611">
        <v>1</v>
      </c>
      <c r="N611">
        <v>99.34</v>
      </c>
      <c r="O611">
        <v>99.34</v>
      </c>
      <c r="P611">
        <v>0</v>
      </c>
      <c r="Q611">
        <v>0</v>
      </c>
      <c r="R611">
        <v>99.34</v>
      </c>
      <c r="S611">
        <v>37.35</v>
      </c>
      <c r="T611">
        <v>61.99</v>
      </c>
      <c r="U611" t="s">
        <v>180</v>
      </c>
      <c r="V611" t="s">
        <v>159</v>
      </c>
    </row>
    <row r="612" spans="1:22">
      <c r="A612" t="s">
        <v>1004</v>
      </c>
      <c r="B612" s="1">
        <v>45086</v>
      </c>
      <c r="C612" t="s">
        <v>153</v>
      </c>
      <c r="D612">
        <v>2023</v>
      </c>
      <c r="E612" t="s">
        <v>154</v>
      </c>
      <c r="F612" t="s">
        <v>524</v>
      </c>
      <c r="G612" t="s">
        <v>23</v>
      </c>
      <c r="H612" t="s">
        <v>24</v>
      </c>
      <c r="I612" t="s">
        <v>14</v>
      </c>
      <c r="J612" t="s">
        <v>19</v>
      </c>
      <c r="K612" t="s">
        <v>164</v>
      </c>
      <c r="L612" t="s">
        <v>157</v>
      </c>
      <c r="M612">
        <v>2</v>
      </c>
      <c r="N612">
        <v>154.03</v>
      </c>
      <c r="O612">
        <v>308.06</v>
      </c>
      <c r="P612">
        <v>0</v>
      </c>
      <c r="Q612">
        <v>0</v>
      </c>
      <c r="R612">
        <v>308.06</v>
      </c>
      <c r="S612">
        <v>153.58000000000001</v>
      </c>
      <c r="T612">
        <v>154.47999999999999</v>
      </c>
      <c r="U612" t="s">
        <v>166</v>
      </c>
      <c r="V612" t="s">
        <v>181</v>
      </c>
    </row>
    <row r="613" spans="1:22">
      <c r="A613" t="s">
        <v>1359</v>
      </c>
      <c r="B613" s="1">
        <v>45086</v>
      </c>
      <c r="C613" t="s">
        <v>153</v>
      </c>
      <c r="D613">
        <v>2023</v>
      </c>
      <c r="E613" t="s">
        <v>154</v>
      </c>
      <c r="F613" t="s">
        <v>1360</v>
      </c>
      <c r="G613" t="s">
        <v>48</v>
      </c>
      <c r="H613" t="s">
        <v>49</v>
      </c>
      <c r="I613" t="s">
        <v>41</v>
      </c>
      <c r="J613" t="s">
        <v>42</v>
      </c>
      <c r="K613" t="s">
        <v>164</v>
      </c>
      <c r="L613" t="s">
        <v>194</v>
      </c>
      <c r="M613">
        <v>3</v>
      </c>
      <c r="N613">
        <v>84.95</v>
      </c>
      <c r="O613">
        <v>254.85000000000002</v>
      </c>
      <c r="P613">
        <v>5</v>
      </c>
      <c r="Q613">
        <v>12.74</v>
      </c>
      <c r="R613">
        <v>242.11</v>
      </c>
      <c r="S613">
        <v>159.21</v>
      </c>
      <c r="T613">
        <v>82.9</v>
      </c>
      <c r="U613" t="s">
        <v>180</v>
      </c>
      <c r="V613" t="s">
        <v>159</v>
      </c>
    </row>
    <row r="614" spans="1:22">
      <c r="A614" t="s">
        <v>762</v>
      </c>
      <c r="B614" s="1">
        <v>45086</v>
      </c>
      <c r="C614" t="s">
        <v>153</v>
      </c>
      <c r="D614">
        <v>2023</v>
      </c>
      <c r="E614" t="s">
        <v>154</v>
      </c>
      <c r="F614" t="s">
        <v>763</v>
      </c>
      <c r="G614" t="s">
        <v>33</v>
      </c>
      <c r="H614" t="s">
        <v>34</v>
      </c>
      <c r="I614" t="s">
        <v>14</v>
      </c>
      <c r="J614" t="s">
        <v>27</v>
      </c>
      <c r="K614" t="s">
        <v>164</v>
      </c>
      <c r="L614" t="s">
        <v>179</v>
      </c>
      <c r="M614">
        <v>2</v>
      </c>
      <c r="N614">
        <v>124.26</v>
      </c>
      <c r="O614">
        <v>248.52</v>
      </c>
      <c r="P614">
        <v>0</v>
      </c>
      <c r="Q614">
        <v>0</v>
      </c>
      <c r="R614">
        <v>248.52</v>
      </c>
      <c r="S614">
        <v>105.24</v>
      </c>
      <c r="T614">
        <v>143.28</v>
      </c>
      <c r="U614" t="s">
        <v>190</v>
      </c>
      <c r="V614" t="s">
        <v>181</v>
      </c>
    </row>
    <row r="615" spans="1:22">
      <c r="A615" t="s">
        <v>152</v>
      </c>
      <c r="B615" s="1">
        <v>45085</v>
      </c>
      <c r="C615" t="s">
        <v>153</v>
      </c>
      <c r="D615">
        <v>2023</v>
      </c>
      <c r="E615" t="s">
        <v>154</v>
      </c>
      <c r="F615" t="s">
        <v>155</v>
      </c>
      <c r="G615" t="s">
        <v>133</v>
      </c>
      <c r="H615" t="s">
        <v>134</v>
      </c>
      <c r="I615" t="s">
        <v>115</v>
      </c>
      <c r="J615" t="s">
        <v>119</v>
      </c>
      <c r="K615" t="s">
        <v>156</v>
      </c>
      <c r="L615" t="s">
        <v>157</v>
      </c>
      <c r="M615">
        <v>2</v>
      </c>
      <c r="N615">
        <v>78.84</v>
      </c>
      <c r="O615">
        <v>157.68</v>
      </c>
      <c r="P615">
        <v>15</v>
      </c>
      <c r="Q615">
        <v>23.65</v>
      </c>
      <c r="R615">
        <v>134.03</v>
      </c>
      <c r="S615">
        <v>95.36</v>
      </c>
      <c r="T615">
        <v>38.67</v>
      </c>
      <c r="U615" t="s">
        <v>158</v>
      </c>
      <c r="V615" t="s">
        <v>159</v>
      </c>
    </row>
    <row r="616" spans="1:22">
      <c r="A616" t="s">
        <v>402</v>
      </c>
      <c r="B616" s="1">
        <v>45085</v>
      </c>
      <c r="C616" t="s">
        <v>153</v>
      </c>
      <c r="D616">
        <v>2023</v>
      </c>
      <c r="E616" t="s">
        <v>154</v>
      </c>
      <c r="F616" t="s">
        <v>403</v>
      </c>
      <c r="G616" t="s">
        <v>43</v>
      </c>
      <c r="H616" t="s">
        <v>44</v>
      </c>
      <c r="I616" t="s">
        <v>41</v>
      </c>
      <c r="J616" t="s">
        <v>45</v>
      </c>
      <c r="K616" t="s">
        <v>178</v>
      </c>
      <c r="L616" t="s">
        <v>194</v>
      </c>
      <c r="M616">
        <v>3</v>
      </c>
      <c r="N616">
        <v>67.56</v>
      </c>
      <c r="O616">
        <v>202.68</v>
      </c>
      <c r="P616">
        <v>15</v>
      </c>
      <c r="Q616">
        <v>30.4</v>
      </c>
      <c r="R616">
        <v>172.28</v>
      </c>
      <c r="S616">
        <v>129.63</v>
      </c>
      <c r="T616">
        <v>42.65</v>
      </c>
      <c r="U616" t="s">
        <v>158</v>
      </c>
      <c r="V616" t="s">
        <v>159</v>
      </c>
    </row>
    <row r="617" spans="1:22">
      <c r="A617" t="s">
        <v>425</v>
      </c>
      <c r="B617" s="1">
        <v>45085</v>
      </c>
      <c r="C617" t="s">
        <v>153</v>
      </c>
      <c r="D617">
        <v>2023</v>
      </c>
      <c r="E617" t="s">
        <v>154</v>
      </c>
      <c r="F617" t="s">
        <v>426</v>
      </c>
      <c r="G617" t="s">
        <v>78</v>
      </c>
      <c r="H617" t="s">
        <v>79</v>
      </c>
      <c r="I617" t="s">
        <v>66</v>
      </c>
      <c r="J617" t="s">
        <v>70</v>
      </c>
      <c r="K617" t="s">
        <v>178</v>
      </c>
      <c r="L617" t="s">
        <v>157</v>
      </c>
      <c r="M617">
        <v>1</v>
      </c>
      <c r="N617">
        <v>218.05</v>
      </c>
      <c r="O617">
        <v>218.05</v>
      </c>
      <c r="P617">
        <v>5</v>
      </c>
      <c r="Q617">
        <v>10.9</v>
      </c>
      <c r="R617">
        <v>207.15</v>
      </c>
      <c r="S617">
        <v>74.48</v>
      </c>
      <c r="T617">
        <v>132.66999999999999</v>
      </c>
      <c r="U617" t="s">
        <v>195</v>
      </c>
      <c r="V617" t="s">
        <v>159</v>
      </c>
    </row>
    <row r="618" spans="1:22">
      <c r="A618" t="s">
        <v>451</v>
      </c>
      <c r="B618" s="1">
        <v>45085</v>
      </c>
      <c r="C618" t="s">
        <v>153</v>
      </c>
      <c r="D618">
        <v>2023</v>
      </c>
      <c r="E618" t="s">
        <v>154</v>
      </c>
      <c r="F618" t="s">
        <v>452</v>
      </c>
      <c r="G618" t="s">
        <v>120</v>
      </c>
      <c r="H618" t="s">
        <v>121</v>
      </c>
      <c r="I618" t="s">
        <v>115</v>
      </c>
      <c r="J618" t="s">
        <v>119</v>
      </c>
      <c r="K618" t="s">
        <v>164</v>
      </c>
      <c r="L618" t="s">
        <v>157</v>
      </c>
      <c r="M618">
        <v>2</v>
      </c>
      <c r="N618">
        <v>197.52</v>
      </c>
      <c r="O618">
        <v>395.04</v>
      </c>
      <c r="P618">
        <v>0</v>
      </c>
      <c r="Q618">
        <v>0</v>
      </c>
      <c r="R618">
        <v>395.04</v>
      </c>
      <c r="S618">
        <v>133.08000000000001</v>
      </c>
      <c r="T618">
        <v>261.95999999999998</v>
      </c>
      <c r="U618" t="s">
        <v>166</v>
      </c>
      <c r="V618" t="s">
        <v>159</v>
      </c>
    </row>
    <row r="619" spans="1:22">
      <c r="A619" t="s">
        <v>1505</v>
      </c>
      <c r="B619" s="1">
        <v>45084</v>
      </c>
      <c r="C619" t="s">
        <v>153</v>
      </c>
      <c r="D619">
        <v>2023</v>
      </c>
      <c r="E619" t="s">
        <v>154</v>
      </c>
      <c r="F619" t="s">
        <v>1334</v>
      </c>
      <c r="G619" t="s">
        <v>135</v>
      </c>
      <c r="H619" t="s">
        <v>136</v>
      </c>
      <c r="I619" t="s">
        <v>115</v>
      </c>
      <c r="J619" t="s">
        <v>119</v>
      </c>
      <c r="K619" t="s">
        <v>164</v>
      </c>
      <c r="L619" t="s">
        <v>194</v>
      </c>
      <c r="M619">
        <v>1</v>
      </c>
      <c r="N619">
        <v>89.62</v>
      </c>
      <c r="O619">
        <v>89.62</v>
      </c>
      <c r="P619">
        <v>5</v>
      </c>
      <c r="Q619">
        <v>4.4800000000000004</v>
      </c>
      <c r="R619">
        <v>85.14</v>
      </c>
      <c r="S619">
        <v>38.130000000000003</v>
      </c>
      <c r="T619">
        <v>47.01</v>
      </c>
      <c r="U619" t="s">
        <v>190</v>
      </c>
      <c r="V619" t="s">
        <v>159</v>
      </c>
    </row>
    <row r="620" spans="1:22">
      <c r="A620" t="s">
        <v>559</v>
      </c>
      <c r="B620" s="1">
        <v>45084</v>
      </c>
      <c r="C620" t="s">
        <v>153</v>
      </c>
      <c r="D620">
        <v>2023</v>
      </c>
      <c r="E620" t="s">
        <v>154</v>
      </c>
      <c r="F620" t="s">
        <v>502</v>
      </c>
      <c r="G620" t="s">
        <v>95</v>
      </c>
      <c r="H620" t="s">
        <v>96</v>
      </c>
      <c r="I620" t="s">
        <v>90</v>
      </c>
      <c r="J620" t="s">
        <v>97</v>
      </c>
      <c r="K620" t="s">
        <v>209</v>
      </c>
      <c r="L620" t="s">
        <v>174</v>
      </c>
      <c r="M620">
        <v>4</v>
      </c>
      <c r="N620">
        <v>177.41</v>
      </c>
      <c r="O620">
        <v>709.64</v>
      </c>
      <c r="P620">
        <v>5</v>
      </c>
      <c r="Q620">
        <v>35.479999999999997</v>
      </c>
      <c r="R620">
        <v>674.16</v>
      </c>
      <c r="S620">
        <v>299.95999999999998</v>
      </c>
      <c r="T620">
        <v>374.2</v>
      </c>
      <c r="U620" t="s">
        <v>180</v>
      </c>
      <c r="V620" t="s">
        <v>181</v>
      </c>
    </row>
    <row r="621" spans="1:22">
      <c r="A621" t="s">
        <v>1036</v>
      </c>
      <c r="B621" s="1">
        <v>45084</v>
      </c>
      <c r="C621" t="s">
        <v>153</v>
      </c>
      <c r="D621">
        <v>2023</v>
      </c>
      <c r="E621" t="s">
        <v>154</v>
      </c>
      <c r="F621" t="s">
        <v>1037</v>
      </c>
      <c r="G621" t="s">
        <v>50</v>
      </c>
      <c r="H621" t="s">
        <v>51</v>
      </c>
      <c r="I621" t="s">
        <v>41</v>
      </c>
      <c r="J621" t="s">
        <v>52</v>
      </c>
      <c r="K621" t="s">
        <v>178</v>
      </c>
      <c r="L621" t="s">
        <v>194</v>
      </c>
      <c r="M621">
        <v>3</v>
      </c>
      <c r="N621">
        <v>143.80000000000001</v>
      </c>
      <c r="O621">
        <v>431.40000000000003</v>
      </c>
      <c r="P621">
        <v>0</v>
      </c>
      <c r="Q621">
        <v>0</v>
      </c>
      <c r="R621">
        <v>431.4</v>
      </c>
      <c r="S621">
        <v>186.45</v>
      </c>
      <c r="T621">
        <v>244.95</v>
      </c>
      <c r="U621" t="s">
        <v>195</v>
      </c>
      <c r="V621" t="s">
        <v>181</v>
      </c>
    </row>
    <row r="622" spans="1:22">
      <c r="A622" t="s">
        <v>898</v>
      </c>
      <c r="B622" s="1">
        <v>45084</v>
      </c>
      <c r="C622" t="s">
        <v>153</v>
      </c>
      <c r="D622">
        <v>2023</v>
      </c>
      <c r="E622" t="s">
        <v>154</v>
      </c>
      <c r="F622" t="s">
        <v>899</v>
      </c>
      <c r="G622" t="s">
        <v>71</v>
      </c>
      <c r="H622" t="s">
        <v>72</v>
      </c>
      <c r="I622" t="s">
        <v>66</v>
      </c>
      <c r="J622" t="s">
        <v>70</v>
      </c>
      <c r="K622" t="s">
        <v>178</v>
      </c>
      <c r="L622" t="s">
        <v>179</v>
      </c>
      <c r="M622">
        <v>2</v>
      </c>
      <c r="N622">
        <v>26.7</v>
      </c>
      <c r="O622">
        <v>53.4</v>
      </c>
      <c r="P622">
        <v>5</v>
      </c>
      <c r="Q622">
        <v>2.67</v>
      </c>
      <c r="R622">
        <v>50.73</v>
      </c>
      <c r="S622">
        <v>24.54</v>
      </c>
      <c r="T622">
        <v>26.19</v>
      </c>
      <c r="U622" t="s">
        <v>158</v>
      </c>
      <c r="V622" t="s">
        <v>159</v>
      </c>
    </row>
    <row r="623" spans="1:22">
      <c r="A623" t="s">
        <v>1492</v>
      </c>
      <c r="B623" s="1">
        <v>45082</v>
      </c>
      <c r="C623" t="s">
        <v>153</v>
      </c>
      <c r="D623">
        <v>2023</v>
      </c>
      <c r="E623" t="s">
        <v>154</v>
      </c>
      <c r="F623" t="s">
        <v>1493</v>
      </c>
      <c r="G623" t="s">
        <v>60</v>
      </c>
      <c r="H623" t="s">
        <v>61</v>
      </c>
      <c r="I623" t="s">
        <v>41</v>
      </c>
      <c r="J623" t="s">
        <v>59</v>
      </c>
      <c r="K623" t="s">
        <v>178</v>
      </c>
      <c r="L623" t="s">
        <v>204</v>
      </c>
      <c r="M623">
        <v>4</v>
      </c>
      <c r="N623">
        <v>103.56</v>
      </c>
      <c r="O623">
        <v>414.24</v>
      </c>
      <c r="P623">
        <v>5</v>
      </c>
      <c r="Q623">
        <v>20.71</v>
      </c>
      <c r="R623">
        <v>393.53</v>
      </c>
      <c r="S623">
        <v>178.32</v>
      </c>
      <c r="T623">
        <v>215.21</v>
      </c>
      <c r="U623" t="s">
        <v>190</v>
      </c>
      <c r="V623" t="s">
        <v>186</v>
      </c>
    </row>
    <row r="624" spans="1:22">
      <c r="A624" t="s">
        <v>1342</v>
      </c>
      <c r="B624" s="1">
        <v>45082</v>
      </c>
      <c r="C624" t="s">
        <v>153</v>
      </c>
      <c r="D624">
        <v>2023</v>
      </c>
      <c r="E624" t="s">
        <v>154</v>
      </c>
      <c r="F624" t="s">
        <v>1343</v>
      </c>
      <c r="G624" t="s">
        <v>80</v>
      </c>
      <c r="H624" t="s">
        <v>81</v>
      </c>
      <c r="I624" t="s">
        <v>66</v>
      </c>
      <c r="J624" t="s">
        <v>70</v>
      </c>
      <c r="K624" t="s">
        <v>209</v>
      </c>
      <c r="L624" t="s">
        <v>232</v>
      </c>
      <c r="M624">
        <v>3</v>
      </c>
      <c r="N624">
        <v>106.06</v>
      </c>
      <c r="O624">
        <v>318.18</v>
      </c>
      <c r="P624">
        <v>0</v>
      </c>
      <c r="Q624">
        <v>0</v>
      </c>
      <c r="R624">
        <v>318.18</v>
      </c>
      <c r="S624">
        <v>100.26</v>
      </c>
      <c r="T624">
        <v>217.92</v>
      </c>
      <c r="U624" t="s">
        <v>190</v>
      </c>
      <c r="V624" t="s">
        <v>159</v>
      </c>
    </row>
    <row r="625" spans="1:22">
      <c r="A625" t="s">
        <v>1850</v>
      </c>
      <c r="B625" s="1">
        <v>45082</v>
      </c>
      <c r="C625" t="s">
        <v>153</v>
      </c>
      <c r="D625">
        <v>2023</v>
      </c>
      <c r="E625" t="s">
        <v>154</v>
      </c>
      <c r="F625" t="s">
        <v>1851</v>
      </c>
      <c r="G625" t="s">
        <v>76</v>
      </c>
      <c r="H625" t="s">
        <v>77</v>
      </c>
      <c r="I625" t="s">
        <v>66</v>
      </c>
      <c r="J625" t="s">
        <v>67</v>
      </c>
      <c r="K625" t="s">
        <v>209</v>
      </c>
      <c r="L625" t="s">
        <v>179</v>
      </c>
      <c r="M625">
        <v>3</v>
      </c>
      <c r="N625">
        <v>118.07</v>
      </c>
      <c r="O625">
        <v>354.21</v>
      </c>
      <c r="P625">
        <v>0</v>
      </c>
      <c r="Q625">
        <v>0</v>
      </c>
      <c r="R625">
        <v>354.21</v>
      </c>
      <c r="S625">
        <v>119.1</v>
      </c>
      <c r="T625">
        <v>235.11</v>
      </c>
      <c r="U625" t="s">
        <v>158</v>
      </c>
      <c r="V625" t="s">
        <v>181</v>
      </c>
    </row>
    <row r="626" spans="1:22">
      <c r="A626" t="s">
        <v>332</v>
      </c>
      <c r="B626" s="1">
        <v>45081</v>
      </c>
      <c r="C626" t="s">
        <v>153</v>
      </c>
      <c r="D626">
        <v>2023</v>
      </c>
      <c r="E626" t="s">
        <v>154</v>
      </c>
      <c r="F626" t="s">
        <v>333</v>
      </c>
      <c r="G626" t="s">
        <v>125</v>
      </c>
      <c r="H626" t="s">
        <v>126</v>
      </c>
      <c r="I626" t="s">
        <v>115</v>
      </c>
      <c r="J626" t="s">
        <v>116</v>
      </c>
      <c r="K626" t="s">
        <v>164</v>
      </c>
      <c r="L626" t="s">
        <v>179</v>
      </c>
      <c r="M626">
        <v>3</v>
      </c>
      <c r="N626">
        <v>144.94999999999999</v>
      </c>
      <c r="O626">
        <v>434.84999999999997</v>
      </c>
      <c r="P626">
        <v>5</v>
      </c>
      <c r="Q626">
        <v>21.74</v>
      </c>
      <c r="R626">
        <v>413.11</v>
      </c>
      <c r="S626">
        <v>231.57</v>
      </c>
      <c r="T626">
        <v>181.54</v>
      </c>
      <c r="U626" t="s">
        <v>180</v>
      </c>
      <c r="V626" t="s">
        <v>159</v>
      </c>
    </row>
    <row r="627" spans="1:22">
      <c r="A627" t="s">
        <v>1919</v>
      </c>
      <c r="B627" s="1">
        <v>45081</v>
      </c>
      <c r="C627" t="s">
        <v>153</v>
      </c>
      <c r="D627">
        <v>2023</v>
      </c>
      <c r="E627" t="s">
        <v>154</v>
      </c>
      <c r="F627" t="s">
        <v>343</v>
      </c>
      <c r="G627" t="s">
        <v>12</v>
      </c>
      <c r="H627" t="s">
        <v>13</v>
      </c>
      <c r="I627" t="s">
        <v>14</v>
      </c>
      <c r="J627" t="s">
        <v>15</v>
      </c>
      <c r="K627" t="s">
        <v>156</v>
      </c>
      <c r="L627" t="s">
        <v>194</v>
      </c>
      <c r="M627">
        <v>4</v>
      </c>
      <c r="N627">
        <v>76.53</v>
      </c>
      <c r="O627">
        <v>306.12</v>
      </c>
      <c r="P627">
        <v>0</v>
      </c>
      <c r="Q627">
        <v>0</v>
      </c>
      <c r="R627">
        <v>306.12</v>
      </c>
      <c r="S627">
        <v>211.84</v>
      </c>
      <c r="T627">
        <v>94.28</v>
      </c>
      <c r="U627" t="s">
        <v>190</v>
      </c>
      <c r="V627" t="s">
        <v>159</v>
      </c>
    </row>
    <row r="628" spans="1:22">
      <c r="A628" t="s">
        <v>1583</v>
      </c>
      <c r="B628" s="1">
        <v>45081</v>
      </c>
      <c r="C628" t="s">
        <v>153</v>
      </c>
      <c r="D628">
        <v>2023</v>
      </c>
      <c r="E628" t="s">
        <v>154</v>
      </c>
      <c r="F628" t="s">
        <v>1584</v>
      </c>
      <c r="G628" t="s">
        <v>103</v>
      </c>
      <c r="H628" t="s">
        <v>104</v>
      </c>
      <c r="I628" t="s">
        <v>90</v>
      </c>
      <c r="J628" t="s">
        <v>94</v>
      </c>
      <c r="K628" t="s">
        <v>164</v>
      </c>
      <c r="L628" t="s">
        <v>204</v>
      </c>
      <c r="M628">
        <v>1</v>
      </c>
      <c r="N628">
        <v>98.58</v>
      </c>
      <c r="O628">
        <v>98.58</v>
      </c>
      <c r="P628">
        <v>20</v>
      </c>
      <c r="Q628">
        <v>19.72</v>
      </c>
      <c r="R628">
        <v>78.86</v>
      </c>
      <c r="S628">
        <v>52.57</v>
      </c>
      <c r="T628">
        <v>26.29</v>
      </c>
      <c r="U628" t="s">
        <v>166</v>
      </c>
      <c r="V628" t="s">
        <v>186</v>
      </c>
    </row>
    <row r="629" spans="1:22">
      <c r="A629" t="s">
        <v>2005</v>
      </c>
      <c r="B629" s="1">
        <v>45081</v>
      </c>
      <c r="C629" t="s">
        <v>153</v>
      </c>
      <c r="D629">
        <v>2023</v>
      </c>
      <c r="E629" t="s">
        <v>154</v>
      </c>
      <c r="F629" t="s">
        <v>2006</v>
      </c>
      <c r="G629" t="s">
        <v>73</v>
      </c>
      <c r="H629" t="s">
        <v>74</v>
      </c>
      <c r="I629" t="s">
        <v>66</v>
      </c>
      <c r="J629" t="s">
        <v>75</v>
      </c>
      <c r="K629" t="s">
        <v>156</v>
      </c>
      <c r="L629" t="s">
        <v>157</v>
      </c>
      <c r="M629">
        <v>4</v>
      </c>
      <c r="N629">
        <v>53.95</v>
      </c>
      <c r="O629">
        <v>215.8</v>
      </c>
      <c r="P629">
        <v>20</v>
      </c>
      <c r="Q629">
        <v>43.16</v>
      </c>
      <c r="R629">
        <v>172.64</v>
      </c>
      <c r="S629">
        <v>140.80000000000001</v>
      </c>
      <c r="T629">
        <v>31.84</v>
      </c>
      <c r="U629" t="s">
        <v>158</v>
      </c>
      <c r="V629" t="s">
        <v>159</v>
      </c>
    </row>
    <row r="630" spans="1:22">
      <c r="A630" t="s">
        <v>659</v>
      </c>
      <c r="B630" s="1">
        <v>45080</v>
      </c>
      <c r="C630" t="s">
        <v>153</v>
      </c>
      <c r="D630">
        <v>2023</v>
      </c>
      <c r="E630" t="s">
        <v>154</v>
      </c>
      <c r="F630" t="s">
        <v>660</v>
      </c>
      <c r="G630" t="s">
        <v>120</v>
      </c>
      <c r="H630" t="s">
        <v>121</v>
      </c>
      <c r="I630" t="s">
        <v>115</v>
      </c>
      <c r="J630" t="s">
        <v>119</v>
      </c>
      <c r="K630" t="s">
        <v>209</v>
      </c>
      <c r="L630" t="s">
        <v>232</v>
      </c>
      <c r="M630">
        <v>2</v>
      </c>
      <c r="N630">
        <v>197.52</v>
      </c>
      <c r="O630">
        <v>395.04</v>
      </c>
      <c r="P630">
        <v>5</v>
      </c>
      <c r="Q630">
        <v>19.75</v>
      </c>
      <c r="R630">
        <v>375.29</v>
      </c>
      <c r="S630">
        <v>133.08000000000001</v>
      </c>
      <c r="T630">
        <v>242.21</v>
      </c>
      <c r="U630" t="s">
        <v>166</v>
      </c>
      <c r="V630" t="s">
        <v>159</v>
      </c>
    </row>
    <row r="631" spans="1:22">
      <c r="A631" t="s">
        <v>1885</v>
      </c>
      <c r="B631" s="1">
        <v>45080</v>
      </c>
      <c r="C631" t="s">
        <v>153</v>
      </c>
      <c r="D631">
        <v>2023</v>
      </c>
      <c r="E631" t="s">
        <v>154</v>
      </c>
      <c r="F631" t="s">
        <v>1886</v>
      </c>
      <c r="G631" t="s">
        <v>25</v>
      </c>
      <c r="H631" t="s">
        <v>26</v>
      </c>
      <c r="I631" t="s">
        <v>14</v>
      </c>
      <c r="J631" t="s">
        <v>27</v>
      </c>
      <c r="K631" t="s">
        <v>178</v>
      </c>
      <c r="L631" t="s">
        <v>157</v>
      </c>
      <c r="M631">
        <v>3</v>
      </c>
      <c r="N631">
        <v>18.39</v>
      </c>
      <c r="O631">
        <v>55.17</v>
      </c>
      <c r="P631">
        <v>10</v>
      </c>
      <c r="Q631">
        <v>5.52</v>
      </c>
      <c r="R631">
        <v>49.65</v>
      </c>
      <c r="S631">
        <v>24.78</v>
      </c>
      <c r="T631">
        <v>24.87</v>
      </c>
      <c r="U631" t="s">
        <v>180</v>
      </c>
      <c r="V631" t="s">
        <v>186</v>
      </c>
    </row>
    <row r="632" spans="1:22">
      <c r="A632" t="s">
        <v>1726</v>
      </c>
      <c r="B632" s="1">
        <v>45078</v>
      </c>
      <c r="C632" t="s">
        <v>153</v>
      </c>
      <c r="D632">
        <v>2023</v>
      </c>
      <c r="E632" t="s">
        <v>154</v>
      </c>
      <c r="F632" t="s">
        <v>1727</v>
      </c>
      <c r="G632" t="s">
        <v>48</v>
      </c>
      <c r="H632" t="s">
        <v>49</v>
      </c>
      <c r="I632" t="s">
        <v>41</v>
      </c>
      <c r="J632" t="s">
        <v>42</v>
      </c>
      <c r="K632" t="s">
        <v>209</v>
      </c>
      <c r="L632" t="s">
        <v>174</v>
      </c>
      <c r="M632">
        <v>2</v>
      </c>
      <c r="N632">
        <v>84.95</v>
      </c>
      <c r="O632">
        <v>169.9</v>
      </c>
      <c r="P632">
        <v>0</v>
      </c>
      <c r="Q632">
        <v>0</v>
      </c>
      <c r="R632">
        <v>169.9</v>
      </c>
      <c r="S632">
        <v>106.14</v>
      </c>
      <c r="T632">
        <v>63.76</v>
      </c>
      <c r="U632" t="s">
        <v>180</v>
      </c>
      <c r="V632" t="s">
        <v>159</v>
      </c>
    </row>
    <row r="633" spans="1:22">
      <c r="A633" t="s">
        <v>1649</v>
      </c>
      <c r="B633" s="1">
        <v>45077</v>
      </c>
      <c r="C633" t="s">
        <v>192</v>
      </c>
      <c r="D633">
        <v>2023</v>
      </c>
      <c r="E633" t="s">
        <v>154</v>
      </c>
      <c r="F633" t="s">
        <v>1650</v>
      </c>
      <c r="G633" t="s">
        <v>33</v>
      </c>
      <c r="H633" t="s">
        <v>34</v>
      </c>
      <c r="I633" t="s">
        <v>14</v>
      </c>
      <c r="J633" t="s">
        <v>27</v>
      </c>
      <c r="K633" t="s">
        <v>209</v>
      </c>
      <c r="L633" t="s">
        <v>165</v>
      </c>
      <c r="M633">
        <v>2</v>
      </c>
      <c r="N633">
        <v>124.26</v>
      </c>
      <c r="O633">
        <v>248.52</v>
      </c>
      <c r="P633">
        <v>0</v>
      </c>
      <c r="Q633">
        <v>0</v>
      </c>
      <c r="R633">
        <v>248.52</v>
      </c>
      <c r="S633">
        <v>105.24</v>
      </c>
      <c r="T633">
        <v>143.28</v>
      </c>
      <c r="U633" t="s">
        <v>180</v>
      </c>
      <c r="V633" t="s">
        <v>159</v>
      </c>
    </row>
    <row r="634" spans="1:22">
      <c r="A634" t="s">
        <v>2025</v>
      </c>
      <c r="B634" s="1">
        <v>45077</v>
      </c>
      <c r="C634" t="s">
        <v>192</v>
      </c>
      <c r="D634">
        <v>2023</v>
      </c>
      <c r="E634" t="s">
        <v>154</v>
      </c>
      <c r="F634" t="s">
        <v>2026</v>
      </c>
      <c r="G634" t="s">
        <v>127</v>
      </c>
      <c r="H634" t="s">
        <v>128</v>
      </c>
      <c r="I634" t="s">
        <v>115</v>
      </c>
      <c r="J634" t="s">
        <v>124</v>
      </c>
      <c r="K634" t="s">
        <v>164</v>
      </c>
      <c r="L634" t="s">
        <v>204</v>
      </c>
      <c r="M634">
        <v>4</v>
      </c>
      <c r="N634">
        <v>94.76</v>
      </c>
      <c r="O634">
        <v>379.04</v>
      </c>
      <c r="P634">
        <v>0</v>
      </c>
      <c r="Q634">
        <v>0</v>
      </c>
      <c r="R634">
        <v>379.04</v>
      </c>
      <c r="S634">
        <v>315.27999999999997</v>
      </c>
      <c r="T634">
        <v>63.76</v>
      </c>
      <c r="U634" t="s">
        <v>195</v>
      </c>
      <c r="V634" t="s">
        <v>186</v>
      </c>
    </row>
    <row r="635" spans="1:22">
      <c r="A635" t="s">
        <v>298</v>
      </c>
      <c r="B635" s="1">
        <v>45076</v>
      </c>
      <c r="C635" t="s">
        <v>192</v>
      </c>
      <c r="D635">
        <v>2023</v>
      </c>
      <c r="E635" t="s">
        <v>154</v>
      </c>
      <c r="F635" t="s">
        <v>299</v>
      </c>
      <c r="G635" t="s">
        <v>33</v>
      </c>
      <c r="H635" t="s">
        <v>34</v>
      </c>
      <c r="I635" t="s">
        <v>14</v>
      </c>
      <c r="J635" t="s">
        <v>27</v>
      </c>
      <c r="K635" t="s">
        <v>178</v>
      </c>
      <c r="L635" t="s">
        <v>204</v>
      </c>
      <c r="M635">
        <v>2</v>
      </c>
      <c r="N635">
        <v>124.26</v>
      </c>
      <c r="O635">
        <v>248.52</v>
      </c>
      <c r="P635">
        <v>5</v>
      </c>
      <c r="Q635">
        <v>12.43</v>
      </c>
      <c r="R635">
        <v>236.09</v>
      </c>
      <c r="S635">
        <v>105.24</v>
      </c>
      <c r="T635">
        <v>130.85</v>
      </c>
      <c r="U635" t="s">
        <v>180</v>
      </c>
      <c r="V635" t="s">
        <v>186</v>
      </c>
    </row>
    <row r="636" spans="1:22">
      <c r="A636" t="s">
        <v>2042</v>
      </c>
      <c r="B636" s="1">
        <v>45076</v>
      </c>
      <c r="C636" t="s">
        <v>192</v>
      </c>
      <c r="D636">
        <v>2023</v>
      </c>
      <c r="E636" t="s">
        <v>154</v>
      </c>
      <c r="F636" t="s">
        <v>2043</v>
      </c>
      <c r="G636" t="s">
        <v>73</v>
      </c>
      <c r="H636" t="s">
        <v>74</v>
      </c>
      <c r="I636" t="s">
        <v>66</v>
      </c>
      <c r="J636" t="s">
        <v>75</v>
      </c>
      <c r="K636" t="s">
        <v>164</v>
      </c>
      <c r="L636" t="s">
        <v>179</v>
      </c>
      <c r="M636">
        <v>2</v>
      </c>
      <c r="N636">
        <v>53.95</v>
      </c>
      <c r="O636">
        <v>107.9</v>
      </c>
      <c r="P636">
        <v>15</v>
      </c>
      <c r="Q636">
        <v>16.18</v>
      </c>
      <c r="R636">
        <v>91.72</v>
      </c>
      <c r="S636">
        <v>70.400000000000006</v>
      </c>
      <c r="T636">
        <v>21.32</v>
      </c>
      <c r="U636" t="s">
        <v>166</v>
      </c>
      <c r="V636" t="s">
        <v>186</v>
      </c>
    </row>
    <row r="637" spans="1:22">
      <c r="A637" t="s">
        <v>1346</v>
      </c>
      <c r="B637" s="1">
        <v>45076</v>
      </c>
      <c r="C637" t="s">
        <v>192</v>
      </c>
      <c r="D637">
        <v>2023</v>
      </c>
      <c r="E637" t="s">
        <v>154</v>
      </c>
      <c r="F637" t="s">
        <v>1347</v>
      </c>
      <c r="G637" t="s">
        <v>12</v>
      </c>
      <c r="H637" t="s">
        <v>13</v>
      </c>
      <c r="I637" t="s">
        <v>14</v>
      </c>
      <c r="J637" t="s">
        <v>15</v>
      </c>
      <c r="K637" t="s">
        <v>156</v>
      </c>
      <c r="L637" t="s">
        <v>179</v>
      </c>
      <c r="M637">
        <v>4</v>
      </c>
      <c r="N637">
        <v>76.53</v>
      </c>
      <c r="O637">
        <v>306.12</v>
      </c>
      <c r="P637">
        <v>20</v>
      </c>
      <c r="Q637">
        <v>61.22</v>
      </c>
      <c r="R637">
        <v>244.9</v>
      </c>
      <c r="S637">
        <v>211.84</v>
      </c>
      <c r="T637">
        <v>33.06</v>
      </c>
      <c r="U637" t="s">
        <v>158</v>
      </c>
      <c r="V637" t="s">
        <v>181</v>
      </c>
    </row>
    <row r="638" spans="1:22">
      <c r="A638" t="s">
        <v>555</v>
      </c>
      <c r="B638" s="1">
        <v>45075</v>
      </c>
      <c r="C638" t="s">
        <v>192</v>
      </c>
      <c r="D638">
        <v>2023</v>
      </c>
      <c r="E638" t="s">
        <v>154</v>
      </c>
      <c r="F638" t="s">
        <v>556</v>
      </c>
      <c r="G638" t="s">
        <v>37</v>
      </c>
      <c r="H638" t="s">
        <v>38</v>
      </c>
      <c r="I638" t="s">
        <v>14</v>
      </c>
      <c r="J638" t="s">
        <v>27</v>
      </c>
      <c r="K638" t="s">
        <v>164</v>
      </c>
      <c r="L638" t="s">
        <v>179</v>
      </c>
      <c r="M638">
        <v>1</v>
      </c>
      <c r="N638">
        <v>133.99</v>
      </c>
      <c r="O638">
        <v>133.99</v>
      </c>
      <c r="P638">
        <v>0</v>
      </c>
      <c r="Q638">
        <v>0</v>
      </c>
      <c r="R638">
        <v>133.99</v>
      </c>
      <c r="S638">
        <v>73.489999999999995</v>
      </c>
      <c r="T638">
        <v>60.5</v>
      </c>
      <c r="U638" t="s">
        <v>166</v>
      </c>
      <c r="V638" t="s">
        <v>186</v>
      </c>
    </row>
    <row r="639" spans="1:22">
      <c r="A639" t="s">
        <v>1530</v>
      </c>
      <c r="B639" s="1">
        <v>45075</v>
      </c>
      <c r="C639" t="s">
        <v>192</v>
      </c>
      <c r="D639">
        <v>2023</v>
      </c>
      <c r="E639" t="s">
        <v>154</v>
      </c>
      <c r="F639" t="s">
        <v>1531</v>
      </c>
      <c r="G639" t="s">
        <v>43</v>
      </c>
      <c r="H639" t="s">
        <v>44</v>
      </c>
      <c r="I639" t="s">
        <v>41</v>
      </c>
      <c r="J639" t="s">
        <v>45</v>
      </c>
      <c r="K639" t="s">
        <v>209</v>
      </c>
      <c r="L639" t="s">
        <v>174</v>
      </c>
      <c r="M639">
        <v>2</v>
      </c>
      <c r="N639">
        <v>67.56</v>
      </c>
      <c r="O639">
        <v>135.12</v>
      </c>
      <c r="P639">
        <v>15</v>
      </c>
      <c r="Q639">
        <v>20.27</v>
      </c>
      <c r="R639">
        <v>114.85</v>
      </c>
      <c r="S639">
        <v>86.42</v>
      </c>
      <c r="T639">
        <v>28.43</v>
      </c>
      <c r="U639" t="s">
        <v>158</v>
      </c>
      <c r="V639" t="s">
        <v>186</v>
      </c>
    </row>
    <row r="640" spans="1:22">
      <c r="A640" t="s">
        <v>479</v>
      </c>
      <c r="B640" s="1">
        <v>45074</v>
      </c>
      <c r="C640" t="s">
        <v>192</v>
      </c>
      <c r="D640">
        <v>2023</v>
      </c>
      <c r="E640" t="s">
        <v>154</v>
      </c>
      <c r="F640" t="s">
        <v>480</v>
      </c>
      <c r="G640" t="s">
        <v>37</v>
      </c>
      <c r="H640" t="s">
        <v>38</v>
      </c>
      <c r="I640" t="s">
        <v>14</v>
      </c>
      <c r="J640" t="s">
        <v>27</v>
      </c>
      <c r="K640" t="s">
        <v>178</v>
      </c>
      <c r="L640" t="s">
        <v>174</v>
      </c>
      <c r="M640">
        <v>4</v>
      </c>
      <c r="N640">
        <v>133.99</v>
      </c>
      <c r="O640">
        <v>535.96</v>
      </c>
      <c r="P640">
        <v>0</v>
      </c>
      <c r="Q640">
        <v>0</v>
      </c>
      <c r="R640">
        <v>535.96</v>
      </c>
      <c r="S640">
        <v>293.95999999999998</v>
      </c>
      <c r="T640">
        <v>242</v>
      </c>
      <c r="U640" t="s">
        <v>158</v>
      </c>
      <c r="V640" t="s">
        <v>159</v>
      </c>
    </row>
    <row r="641" spans="1:22">
      <c r="A641" t="s">
        <v>1832</v>
      </c>
      <c r="B641" s="1">
        <v>45074</v>
      </c>
      <c r="C641" t="s">
        <v>192</v>
      </c>
      <c r="D641">
        <v>2023</v>
      </c>
      <c r="E641" t="s">
        <v>154</v>
      </c>
      <c r="F641" t="s">
        <v>1833</v>
      </c>
      <c r="G641" t="s">
        <v>92</v>
      </c>
      <c r="H641" t="s">
        <v>93</v>
      </c>
      <c r="I641" t="s">
        <v>90</v>
      </c>
      <c r="J641" t="s">
        <v>94</v>
      </c>
      <c r="K641" t="s">
        <v>209</v>
      </c>
      <c r="L641" t="s">
        <v>174</v>
      </c>
      <c r="M641">
        <v>3</v>
      </c>
      <c r="N641">
        <v>230.34</v>
      </c>
      <c r="O641">
        <v>691.02</v>
      </c>
      <c r="P641">
        <v>15</v>
      </c>
      <c r="Q641">
        <v>103.65</v>
      </c>
      <c r="R641">
        <v>587.37</v>
      </c>
      <c r="S641">
        <v>224.04</v>
      </c>
      <c r="T641">
        <v>363.33</v>
      </c>
      <c r="U641" t="s">
        <v>195</v>
      </c>
      <c r="V641" t="s">
        <v>186</v>
      </c>
    </row>
    <row r="642" spans="1:22">
      <c r="A642" t="s">
        <v>1746</v>
      </c>
      <c r="B642" s="1">
        <v>45074</v>
      </c>
      <c r="C642" t="s">
        <v>192</v>
      </c>
      <c r="D642">
        <v>2023</v>
      </c>
      <c r="E642" t="s">
        <v>154</v>
      </c>
      <c r="F642" t="s">
        <v>1747</v>
      </c>
      <c r="G642" t="s">
        <v>28</v>
      </c>
      <c r="H642" t="s">
        <v>29</v>
      </c>
      <c r="I642" t="s">
        <v>14</v>
      </c>
      <c r="J642" t="s">
        <v>19</v>
      </c>
      <c r="K642" t="s">
        <v>209</v>
      </c>
      <c r="L642" t="s">
        <v>174</v>
      </c>
      <c r="M642">
        <v>4</v>
      </c>
      <c r="N642">
        <v>26.46</v>
      </c>
      <c r="O642">
        <v>105.84</v>
      </c>
      <c r="P642">
        <v>0</v>
      </c>
      <c r="Q642">
        <v>0</v>
      </c>
      <c r="R642">
        <v>105.84</v>
      </c>
      <c r="S642">
        <v>77.680000000000007</v>
      </c>
      <c r="T642">
        <v>28.16</v>
      </c>
      <c r="U642" t="s">
        <v>190</v>
      </c>
      <c r="V642" t="s">
        <v>159</v>
      </c>
    </row>
    <row r="643" spans="1:22">
      <c r="A643" t="s">
        <v>785</v>
      </c>
      <c r="B643" s="1">
        <v>45074</v>
      </c>
      <c r="C643" t="s">
        <v>192</v>
      </c>
      <c r="D643">
        <v>2023</v>
      </c>
      <c r="E643" t="s">
        <v>154</v>
      </c>
      <c r="F643" t="s">
        <v>786</v>
      </c>
      <c r="G643" t="s">
        <v>103</v>
      </c>
      <c r="H643" t="s">
        <v>104</v>
      </c>
      <c r="I643" t="s">
        <v>90</v>
      </c>
      <c r="J643" t="s">
        <v>94</v>
      </c>
      <c r="K643" t="s">
        <v>156</v>
      </c>
      <c r="L643" t="s">
        <v>194</v>
      </c>
      <c r="M643">
        <v>2</v>
      </c>
      <c r="N643">
        <v>98.58</v>
      </c>
      <c r="O643">
        <v>197.16</v>
      </c>
      <c r="P643">
        <v>5</v>
      </c>
      <c r="Q643">
        <v>9.86</v>
      </c>
      <c r="R643">
        <v>187.3</v>
      </c>
      <c r="S643">
        <v>105.14</v>
      </c>
      <c r="T643">
        <v>82.16</v>
      </c>
      <c r="U643" t="s">
        <v>180</v>
      </c>
      <c r="V643" t="s">
        <v>181</v>
      </c>
    </row>
    <row r="644" spans="1:22">
      <c r="A644" t="s">
        <v>437</v>
      </c>
      <c r="B644" s="1">
        <v>45073</v>
      </c>
      <c r="C644" t="s">
        <v>192</v>
      </c>
      <c r="D644">
        <v>2023</v>
      </c>
      <c r="E644" t="s">
        <v>154</v>
      </c>
      <c r="F644" t="s">
        <v>438</v>
      </c>
      <c r="G644" t="s">
        <v>23</v>
      </c>
      <c r="H644" t="s">
        <v>24</v>
      </c>
      <c r="I644" t="s">
        <v>14</v>
      </c>
      <c r="J644" t="s">
        <v>19</v>
      </c>
      <c r="K644" t="s">
        <v>209</v>
      </c>
      <c r="L644" t="s">
        <v>232</v>
      </c>
      <c r="M644">
        <v>3</v>
      </c>
      <c r="N644">
        <v>154.03</v>
      </c>
      <c r="O644">
        <v>462.09000000000003</v>
      </c>
      <c r="P644">
        <v>20</v>
      </c>
      <c r="Q644">
        <v>92.42</v>
      </c>
      <c r="R644">
        <v>369.67</v>
      </c>
      <c r="S644">
        <v>230.37</v>
      </c>
      <c r="T644">
        <v>139.30000000000001</v>
      </c>
      <c r="U644" t="s">
        <v>166</v>
      </c>
      <c r="V644" t="s">
        <v>181</v>
      </c>
    </row>
    <row r="645" spans="1:22">
      <c r="A645" t="s">
        <v>191</v>
      </c>
      <c r="B645" s="1">
        <v>45073</v>
      </c>
      <c r="C645" t="s">
        <v>192</v>
      </c>
      <c r="D645">
        <v>2023</v>
      </c>
      <c r="E645" t="s">
        <v>154</v>
      </c>
      <c r="F645" t="s">
        <v>193</v>
      </c>
      <c r="G645" t="s">
        <v>84</v>
      </c>
      <c r="H645" t="s">
        <v>85</v>
      </c>
      <c r="I645" t="s">
        <v>66</v>
      </c>
      <c r="J645" t="s">
        <v>67</v>
      </c>
      <c r="K645" t="s">
        <v>178</v>
      </c>
      <c r="L645" t="s">
        <v>194</v>
      </c>
      <c r="M645">
        <v>1</v>
      </c>
      <c r="N645">
        <v>174.23</v>
      </c>
      <c r="O645">
        <v>174.23</v>
      </c>
      <c r="P645">
        <v>15</v>
      </c>
      <c r="Q645">
        <v>26.13</v>
      </c>
      <c r="R645">
        <v>148.1</v>
      </c>
      <c r="S645">
        <v>73.95</v>
      </c>
      <c r="T645">
        <v>74.150000000000006</v>
      </c>
      <c r="U645" t="s">
        <v>195</v>
      </c>
      <c r="V645" t="s">
        <v>181</v>
      </c>
    </row>
    <row r="646" spans="1:22">
      <c r="A646" t="s">
        <v>851</v>
      </c>
      <c r="B646" s="1">
        <v>45073</v>
      </c>
      <c r="C646" t="s">
        <v>192</v>
      </c>
      <c r="D646">
        <v>2023</v>
      </c>
      <c r="E646" t="s">
        <v>154</v>
      </c>
      <c r="F646" t="s">
        <v>852</v>
      </c>
      <c r="G646" t="s">
        <v>23</v>
      </c>
      <c r="H646" t="s">
        <v>24</v>
      </c>
      <c r="I646" t="s">
        <v>14</v>
      </c>
      <c r="J646" t="s">
        <v>19</v>
      </c>
      <c r="K646" t="s">
        <v>164</v>
      </c>
      <c r="L646" t="s">
        <v>204</v>
      </c>
      <c r="M646">
        <v>4</v>
      </c>
      <c r="N646">
        <v>154.03</v>
      </c>
      <c r="O646">
        <v>616.12</v>
      </c>
      <c r="P646">
        <v>10</v>
      </c>
      <c r="Q646">
        <v>61.61</v>
      </c>
      <c r="R646">
        <v>554.51</v>
      </c>
      <c r="S646">
        <v>307.16000000000003</v>
      </c>
      <c r="T646">
        <v>247.35</v>
      </c>
      <c r="U646" t="s">
        <v>180</v>
      </c>
      <c r="V646" t="s">
        <v>159</v>
      </c>
    </row>
    <row r="647" spans="1:22">
      <c r="A647" t="s">
        <v>1318</v>
      </c>
      <c r="B647" s="1">
        <v>45072</v>
      </c>
      <c r="C647" t="s">
        <v>192</v>
      </c>
      <c r="D647">
        <v>2023</v>
      </c>
      <c r="E647" t="s">
        <v>154</v>
      </c>
      <c r="F647" t="s">
        <v>1319</v>
      </c>
      <c r="G647" t="s">
        <v>105</v>
      </c>
      <c r="H647" t="s">
        <v>106</v>
      </c>
      <c r="I647" t="s">
        <v>90</v>
      </c>
      <c r="J647" t="s">
        <v>91</v>
      </c>
      <c r="K647" t="s">
        <v>178</v>
      </c>
      <c r="L647" t="s">
        <v>165</v>
      </c>
      <c r="M647">
        <v>2</v>
      </c>
      <c r="N647">
        <v>36.35</v>
      </c>
      <c r="O647">
        <v>72.7</v>
      </c>
      <c r="P647">
        <v>20</v>
      </c>
      <c r="Q647">
        <v>14.54</v>
      </c>
      <c r="R647">
        <v>58.16</v>
      </c>
      <c r="S647">
        <v>60.04</v>
      </c>
      <c r="T647">
        <v>-1.88</v>
      </c>
      <c r="U647" t="s">
        <v>166</v>
      </c>
      <c r="V647" t="s">
        <v>186</v>
      </c>
    </row>
    <row r="648" spans="1:22">
      <c r="A648" t="s">
        <v>1778</v>
      </c>
      <c r="B648" s="1">
        <v>45072</v>
      </c>
      <c r="C648" t="s">
        <v>192</v>
      </c>
      <c r="D648">
        <v>2023</v>
      </c>
      <c r="E648" t="s">
        <v>154</v>
      </c>
      <c r="F648" t="s">
        <v>1779</v>
      </c>
      <c r="G648" t="s">
        <v>76</v>
      </c>
      <c r="H648" t="s">
        <v>77</v>
      </c>
      <c r="I648" t="s">
        <v>66</v>
      </c>
      <c r="J648" t="s">
        <v>67</v>
      </c>
      <c r="K648" t="s">
        <v>178</v>
      </c>
      <c r="L648" t="s">
        <v>194</v>
      </c>
      <c r="M648">
        <v>3</v>
      </c>
      <c r="N648">
        <v>118.07</v>
      </c>
      <c r="O648">
        <v>354.21</v>
      </c>
      <c r="P648">
        <v>0</v>
      </c>
      <c r="Q648">
        <v>0</v>
      </c>
      <c r="R648">
        <v>354.21</v>
      </c>
      <c r="S648">
        <v>119.1</v>
      </c>
      <c r="T648">
        <v>235.11</v>
      </c>
      <c r="U648" t="s">
        <v>180</v>
      </c>
      <c r="V648" t="s">
        <v>181</v>
      </c>
    </row>
    <row r="649" spans="1:22">
      <c r="A649" t="s">
        <v>611</v>
      </c>
      <c r="B649" s="1">
        <v>45072</v>
      </c>
      <c r="C649" t="s">
        <v>192</v>
      </c>
      <c r="D649">
        <v>2023</v>
      </c>
      <c r="E649" t="s">
        <v>154</v>
      </c>
      <c r="F649" t="s">
        <v>612</v>
      </c>
      <c r="G649" t="s">
        <v>105</v>
      </c>
      <c r="H649" t="s">
        <v>106</v>
      </c>
      <c r="I649" t="s">
        <v>90</v>
      </c>
      <c r="J649" t="s">
        <v>91</v>
      </c>
      <c r="K649" t="s">
        <v>164</v>
      </c>
      <c r="L649" t="s">
        <v>157</v>
      </c>
      <c r="M649">
        <v>1</v>
      </c>
      <c r="N649">
        <v>36.35</v>
      </c>
      <c r="O649">
        <v>36.35</v>
      </c>
      <c r="P649">
        <v>0</v>
      </c>
      <c r="Q649">
        <v>0</v>
      </c>
      <c r="R649">
        <v>36.35</v>
      </c>
      <c r="S649">
        <v>30.02</v>
      </c>
      <c r="T649">
        <v>6.33</v>
      </c>
      <c r="U649" t="s">
        <v>166</v>
      </c>
      <c r="V649" t="s">
        <v>186</v>
      </c>
    </row>
    <row r="650" spans="1:22">
      <c r="A650" t="s">
        <v>1772</v>
      </c>
      <c r="B650" s="1">
        <v>45069</v>
      </c>
      <c r="C650" t="s">
        <v>192</v>
      </c>
      <c r="D650">
        <v>2023</v>
      </c>
      <c r="E650" t="s">
        <v>154</v>
      </c>
      <c r="F650" t="s">
        <v>1773</v>
      </c>
      <c r="G650" t="s">
        <v>98</v>
      </c>
      <c r="H650" t="s">
        <v>99</v>
      </c>
      <c r="I650" t="s">
        <v>90</v>
      </c>
      <c r="J650" t="s">
        <v>100</v>
      </c>
      <c r="K650" t="s">
        <v>209</v>
      </c>
      <c r="L650" t="s">
        <v>174</v>
      </c>
      <c r="M650">
        <v>2</v>
      </c>
      <c r="N650">
        <v>194.87</v>
      </c>
      <c r="O650">
        <v>389.74</v>
      </c>
      <c r="P650">
        <v>20</v>
      </c>
      <c r="Q650">
        <v>77.95</v>
      </c>
      <c r="R650">
        <v>311.79000000000002</v>
      </c>
      <c r="S650">
        <v>157.58000000000001</v>
      </c>
      <c r="T650">
        <v>154.21</v>
      </c>
      <c r="U650" t="s">
        <v>166</v>
      </c>
      <c r="V650" t="s">
        <v>186</v>
      </c>
    </row>
    <row r="651" spans="1:22">
      <c r="A651" t="s">
        <v>592</v>
      </c>
      <c r="B651" s="1">
        <v>45069</v>
      </c>
      <c r="C651" t="s">
        <v>192</v>
      </c>
      <c r="D651">
        <v>2023</v>
      </c>
      <c r="E651" t="s">
        <v>154</v>
      </c>
      <c r="F651" t="s">
        <v>264</v>
      </c>
      <c r="G651" t="s">
        <v>88</v>
      </c>
      <c r="H651" t="s">
        <v>89</v>
      </c>
      <c r="I651" t="s">
        <v>90</v>
      </c>
      <c r="J651" t="s">
        <v>91</v>
      </c>
      <c r="K651" t="s">
        <v>178</v>
      </c>
      <c r="L651" t="s">
        <v>157</v>
      </c>
      <c r="M651">
        <v>2</v>
      </c>
      <c r="N651">
        <v>54.64</v>
      </c>
      <c r="O651">
        <v>109.28</v>
      </c>
      <c r="P651">
        <v>0</v>
      </c>
      <c r="Q651">
        <v>0</v>
      </c>
      <c r="R651">
        <v>109.28</v>
      </c>
      <c r="S651">
        <v>40.64</v>
      </c>
      <c r="T651">
        <v>68.64</v>
      </c>
      <c r="U651" t="s">
        <v>195</v>
      </c>
      <c r="V651" t="s">
        <v>159</v>
      </c>
    </row>
    <row r="652" spans="1:22">
      <c r="A652" t="s">
        <v>1256</v>
      </c>
      <c r="B652" s="1">
        <v>45068</v>
      </c>
      <c r="C652" t="s">
        <v>192</v>
      </c>
      <c r="D652">
        <v>2023</v>
      </c>
      <c r="E652" t="s">
        <v>154</v>
      </c>
      <c r="F652" t="s">
        <v>1257</v>
      </c>
      <c r="G652" t="s">
        <v>105</v>
      </c>
      <c r="H652" t="s">
        <v>106</v>
      </c>
      <c r="I652" t="s">
        <v>90</v>
      </c>
      <c r="J652" t="s">
        <v>91</v>
      </c>
      <c r="K652" t="s">
        <v>164</v>
      </c>
      <c r="L652" t="s">
        <v>179</v>
      </c>
      <c r="M652">
        <v>3</v>
      </c>
      <c r="N652">
        <v>36.35</v>
      </c>
      <c r="O652">
        <v>109.05000000000001</v>
      </c>
      <c r="P652">
        <v>10</v>
      </c>
      <c r="Q652">
        <v>10.9</v>
      </c>
      <c r="R652">
        <v>98.15</v>
      </c>
      <c r="S652">
        <v>90.06</v>
      </c>
      <c r="T652">
        <v>8.09</v>
      </c>
      <c r="U652" t="s">
        <v>190</v>
      </c>
      <c r="V652" t="s">
        <v>186</v>
      </c>
    </row>
    <row r="653" spans="1:22">
      <c r="A653" t="s">
        <v>695</v>
      </c>
      <c r="B653" s="1">
        <v>45067</v>
      </c>
      <c r="C653" t="s">
        <v>192</v>
      </c>
      <c r="D653">
        <v>2023</v>
      </c>
      <c r="E653" t="s">
        <v>154</v>
      </c>
      <c r="F653" t="s">
        <v>696</v>
      </c>
      <c r="G653" t="s">
        <v>12</v>
      </c>
      <c r="H653" t="s">
        <v>13</v>
      </c>
      <c r="I653" t="s">
        <v>14</v>
      </c>
      <c r="J653" t="s">
        <v>15</v>
      </c>
      <c r="K653" t="s">
        <v>178</v>
      </c>
      <c r="L653" t="s">
        <v>174</v>
      </c>
      <c r="M653">
        <v>1</v>
      </c>
      <c r="N653">
        <v>76.53</v>
      </c>
      <c r="O653">
        <v>76.53</v>
      </c>
      <c r="P653">
        <v>10</v>
      </c>
      <c r="Q653">
        <v>7.65</v>
      </c>
      <c r="R653">
        <v>68.88</v>
      </c>
      <c r="S653">
        <v>52.96</v>
      </c>
      <c r="T653">
        <v>15.92</v>
      </c>
      <c r="U653" t="s">
        <v>166</v>
      </c>
      <c r="V653" t="s">
        <v>186</v>
      </c>
    </row>
    <row r="654" spans="1:22">
      <c r="A654" t="s">
        <v>1639</v>
      </c>
      <c r="B654" s="1">
        <v>45065</v>
      </c>
      <c r="C654" t="s">
        <v>192</v>
      </c>
      <c r="D654">
        <v>2023</v>
      </c>
      <c r="E654" t="s">
        <v>154</v>
      </c>
      <c r="F654" t="s">
        <v>1640</v>
      </c>
      <c r="G654" t="s">
        <v>82</v>
      </c>
      <c r="H654" t="s">
        <v>83</v>
      </c>
      <c r="I654" t="s">
        <v>66</v>
      </c>
      <c r="J654" t="s">
        <v>67</v>
      </c>
      <c r="K654" t="s">
        <v>209</v>
      </c>
      <c r="L654" t="s">
        <v>194</v>
      </c>
      <c r="M654">
        <v>3</v>
      </c>
      <c r="N654">
        <v>34.479999999999997</v>
      </c>
      <c r="O654">
        <v>103.44</v>
      </c>
      <c r="P654">
        <v>0</v>
      </c>
      <c r="Q654">
        <v>0</v>
      </c>
      <c r="R654">
        <v>103.44</v>
      </c>
      <c r="S654">
        <v>57.72</v>
      </c>
      <c r="T654">
        <v>45.72</v>
      </c>
      <c r="U654" t="s">
        <v>166</v>
      </c>
      <c r="V654" t="s">
        <v>186</v>
      </c>
    </row>
    <row r="655" spans="1:22">
      <c r="A655" t="s">
        <v>1693</v>
      </c>
      <c r="B655" s="1">
        <v>45065</v>
      </c>
      <c r="C655" t="s">
        <v>192</v>
      </c>
      <c r="D655">
        <v>2023</v>
      </c>
      <c r="E655" t="s">
        <v>154</v>
      </c>
      <c r="F655" t="s">
        <v>1694</v>
      </c>
      <c r="G655" t="s">
        <v>48</v>
      </c>
      <c r="H655" t="s">
        <v>49</v>
      </c>
      <c r="I655" t="s">
        <v>41</v>
      </c>
      <c r="J655" t="s">
        <v>42</v>
      </c>
      <c r="K655" t="s">
        <v>164</v>
      </c>
      <c r="L655" t="s">
        <v>204</v>
      </c>
      <c r="M655">
        <v>2</v>
      </c>
      <c r="N655">
        <v>84.95</v>
      </c>
      <c r="O655">
        <v>169.9</v>
      </c>
      <c r="P655">
        <v>15</v>
      </c>
      <c r="Q655">
        <v>25.48</v>
      </c>
      <c r="R655">
        <v>144.41999999999999</v>
      </c>
      <c r="S655">
        <v>106.14</v>
      </c>
      <c r="T655">
        <v>38.28</v>
      </c>
      <c r="U655" t="s">
        <v>190</v>
      </c>
      <c r="V655" t="s">
        <v>159</v>
      </c>
    </row>
    <row r="656" spans="1:22">
      <c r="A656" t="s">
        <v>725</v>
      </c>
      <c r="B656" s="1">
        <v>45065</v>
      </c>
      <c r="C656" t="s">
        <v>192</v>
      </c>
      <c r="D656">
        <v>2023</v>
      </c>
      <c r="E656" t="s">
        <v>154</v>
      </c>
      <c r="F656" t="s">
        <v>726</v>
      </c>
      <c r="G656" t="s">
        <v>62</v>
      </c>
      <c r="H656" t="s">
        <v>63</v>
      </c>
      <c r="I656" t="s">
        <v>41</v>
      </c>
      <c r="J656" t="s">
        <v>45</v>
      </c>
      <c r="K656" t="s">
        <v>156</v>
      </c>
      <c r="L656" t="s">
        <v>174</v>
      </c>
      <c r="M656">
        <v>4</v>
      </c>
      <c r="N656">
        <v>160.35</v>
      </c>
      <c r="O656">
        <v>641.4</v>
      </c>
      <c r="P656">
        <v>0</v>
      </c>
      <c r="Q656">
        <v>0</v>
      </c>
      <c r="R656">
        <v>641.4</v>
      </c>
      <c r="S656">
        <v>289.88</v>
      </c>
      <c r="T656">
        <v>351.52</v>
      </c>
      <c r="U656" t="s">
        <v>190</v>
      </c>
      <c r="V656" t="s">
        <v>186</v>
      </c>
    </row>
    <row r="657" spans="1:22">
      <c r="A657" t="s">
        <v>620</v>
      </c>
      <c r="B657" s="1">
        <v>45063</v>
      </c>
      <c r="C657" t="s">
        <v>192</v>
      </c>
      <c r="D657">
        <v>2023</v>
      </c>
      <c r="E657" t="s">
        <v>154</v>
      </c>
      <c r="F657" t="s">
        <v>621</v>
      </c>
      <c r="G657" t="s">
        <v>53</v>
      </c>
      <c r="H657" t="s">
        <v>54</v>
      </c>
      <c r="I657" t="s">
        <v>41</v>
      </c>
      <c r="J657" t="s">
        <v>45</v>
      </c>
      <c r="K657" t="s">
        <v>178</v>
      </c>
      <c r="L657" t="s">
        <v>194</v>
      </c>
      <c r="M657">
        <v>4</v>
      </c>
      <c r="N657">
        <v>51.98</v>
      </c>
      <c r="O657">
        <v>207.92</v>
      </c>
      <c r="P657">
        <v>20</v>
      </c>
      <c r="Q657">
        <v>41.58</v>
      </c>
      <c r="R657">
        <v>166.34</v>
      </c>
      <c r="S657">
        <v>132.16</v>
      </c>
      <c r="T657">
        <v>34.18</v>
      </c>
      <c r="U657" t="s">
        <v>166</v>
      </c>
      <c r="V657" t="s">
        <v>181</v>
      </c>
    </row>
    <row r="658" spans="1:22">
      <c r="A658" t="s">
        <v>292</v>
      </c>
      <c r="B658" s="1">
        <v>45063</v>
      </c>
      <c r="C658" t="s">
        <v>192</v>
      </c>
      <c r="D658">
        <v>2023</v>
      </c>
      <c r="E658" t="s">
        <v>154</v>
      </c>
      <c r="F658" t="s">
        <v>293</v>
      </c>
      <c r="G658" t="s">
        <v>133</v>
      </c>
      <c r="H658" t="s">
        <v>134</v>
      </c>
      <c r="I658" t="s">
        <v>115</v>
      </c>
      <c r="J658" t="s">
        <v>119</v>
      </c>
      <c r="K658" t="s">
        <v>156</v>
      </c>
      <c r="L658" t="s">
        <v>194</v>
      </c>
      <c r="M658">
        <v>1</v>
      </c>
      <c r="N658">
        <v>78.84</v>
      </c>
      <c r="O658">
        <v>78.84</v>
      </c>
      <c r="P658">
        <v>0</v>
      </c>
      <c r="Q658">
        <v>0</v>
      </c>
      <c r="R658">
        <v>78.84</v>
      </c>
      <c r="S658">
        <v>47.68</v>
      </c>
      <c r="T658">
        <v>31.16</v>
      </c>
      <c r="U658" t="s">
        <v>180</v>
      </c>
      <c r="V658" t="s">
        <v>186</v>
      </c>
    </row>
    <row r="659" spans="1:22">
      <c r="A659" t="s">
        <v>1292</v>
      </c>
      <c r="B659" s="1">
        <v>45062</v>
      </c>
      <c r="C659" t="s">
        <v>192</v>
      </c>
      <c r="D659">
        <v>2023</v>
      </c>
      <c r="E659" t="s">
        <v>154</v>
      </c>
      <c r="F659" t="s">
        <v>1293</v>
      </c>
      <c r="G659" t="s">
        <v>131</v>
      </c>
      <c r="H659" t="s">
        <v>132</v>
      </c>
      <c r="I659" t="s">
        <v>115</v>
      </c>
      <c r="J659" t="s">
        <v>119</v>
      </c>
      <c r="K659" t="s">
        <v>156</v>
      </c>
      <c r="L659" t="s">
        <v>157</v>
      </c>
      <c r="M659">
        <v>2</v>
      </c>
      <c r="N659">
        <v>75.69</v>
      </c>
      <c r="O659">
        <v>151.38</v>
      </c>
      <c r="P659">
        <v>20</v>
      </c>
      <c r="Q659">
        <v>30.28</v>
      </c>
      <c r="R659">
        <v>121.1</v>
      </c>
      <c r="S659">
        <v>71.260000000000005</v>
      </c>
      <c r="T659">
        <v>49.84</v>
      </c>
      <c r="U659" t="s">
        <v>190</v>
      </c>
      <c r="V659" t="s">
        <v>181</v>
      </c>
    </row>
    <row r="660" spans="1:22">
      <c r="A660" t="s">
        <v>1962</v>
      </c>
      <c r="B660" s="1">
        <v>45062</v>
      </c>
      <c r="C660" t="s">
        <v>192</v>
      </c>
      <c r="D660">
        <v>2023</v>
      </c>
      <c r="E660" t="s">
        <v>154</v>
      </c>
      <c r="F660" t="s">
        <v>1963</v>
      </c>
      <c r="G660" t="s">
        <v>60</v>
      </c>
      <c r="H660" t="s">
        <v>61</v>
      </c>
      <c r="I660" t="s">
        <v>41</v>
      </c>
      <c r="J660" t="s">
        <v>59</v>
      </c>
      <c r="K660" t="s">
        <v>178</v>
      </c>
      <c r="L660" t="s">
        <v>204</v>
      </c>
      <c r="M660">
        <v>3</v>
      </c>
      <c r="N660">
        <v>103.56</v>
      </c>
      <c r="O660">
        <v>310.68</v>
      </c>
      <c r="P660">
        <v>10</v>
      </c>
      <c r="Q660">
        <v>31.07</v>
      </c>
      <c r="R660">
        <v>279.61</v>
      </c>
      <c r="S660">
        <v>133.74</v>
      </c>
      <c r="T660">
        <v>145.87</v>
      </c>
      <c r="U660" t="s">
        <v>190</v>
      </c>
      <c r="V660" t="s">
        <v>159</v>
      </c>
    </row>
    <row r="661" spans="1:22">
      <c r="A661" t="s">
        <v>350</v>
      </c>
      <c r="B661" s="1">
        <v>45062</v>
      </c>
      <c r="C661" t="s">
        <v>192</v>
      </c>
      <c r="D661">
        <v>2023</v>
      </c>
      <c r="E661" t="s">
        <v>154</v>
      </c>
      <c r="F661" t="s">
        <v>351</v>
      </c>
      <c r="G661" t="s">
        <v>28</v>
      </c>
      <c r="H661" t="s">
        <v>29</v>
      </c>
      <c r="I661" t="s">
        <v>14</v>
      </c>
      <c r="J661" t="s">
        <v>19</v>
      </c>
      <c r="K661" t="s">
        <v>209</v>
      </c>
      <c r="L661" t="s">
        <v>204</v>
      </c>
      <c r="M661">
        <v>4</v>
      </c>
      <c r="N661">
        <v>26.46</v>
      </c>
      <c r="O661">
        <v>105.84</v>
      </c>
      <c r="P661">
        <v>0</v>
      </c>
      <c r="Q661">
        <v>0</v>
      </c>
      <c r="R661">
        <v>105.84</v>
      </c>
      <c r="S661">
        <v>77.680000000000007</v>
      </c>
      <c r="T661">
        <v>28.16</v>
      </c>
      <c r="U661" t="s">
        <v>195</v>
      </c>
      <c r="V661" t="s">
        <v>159</v>
      </c>
    </row>
    <row r="662" spans="1:22">
      <c r="A662" t="s">
        <v>519</v>
      </c>
      <c r="B662" s="1">
        <v>45060</v>
      </c>
      <c r="C662" t="s">
        <v>192</v>
      </c>
      <c r="D662">
        <v>2023</v>
      </c>
      <c r="E662" t="s">
        <v>154</v>
      </c>
      <c r="F662" t="s">
        <v>520</v>
      </c>
      <c r="G662" t="s">
        <v>103</v>
      </c>
      <c r="H662" t="s">
        <v>104</v>
      </c>
      <c r="I662" t="s">
        <v>90</v>
      </c>
      <c r="J662" t="s">
        <v>94</v>
      </c>
      <c r="K662" t="s">
        <v>164</v>
      </c>
      <c r="L662" t="s">
        <v>157</v>
      </c>
      <c r="M662">
        <v>1</v>
      </c>
      <c r="N662">
        <v>98.58</v>
      </c>
      <c r="O662">
        <v>98.58</v>
      </c>
      <c r="P662">
        <v>0</v>
      </c>
      <c r="Q662">
        <v>0</v>
      </c>
      <c r="R662">
        <v>98.58</v>
      </c>
      <c r="S662">
        <v>52.57</v>
      </c>
      <c r="T662">
        <v>46.01</v>
      </c>
      <c r="U662" t="s">
        <v>166</v>
      </c>
      <c r="V662" t="s">
        <v>159</v>
      </c>
    </row>
    <row r="663" spans="1:22">
      <c r="A663" t="s">
        <v>677</v>
      </c>
      <c r="B663" s="1">
        <v>45060</v>
      </c>
      <c r="C663" t="s">
        <v>192</v>
      </c>
      <c r="D663">
        <v>2023</v>
      </c>
      <c r="E663" t="s">
        <v>154</v>
      </c>
      <c r="F663" t="s">
        <v>678</v>
      </c>
      <c r="G663" t="s">
        <v>86</v>
      </c>
      <c r="H663" t="s">
        <v>87</v>
      </c>
      <c r="I663" t="s">
        <v>66</v>
      </c>
      <c r="J663" t="s">
        <v>67</v>
      </c>
      <c r="K663" t="s">
        <v>164</v>
      </c>
      <c r="L663" t="s">
        <v>204</v>
      </c>
      <c r="M663">
        <v>3</v>
      </c>
      <c r="N663">
        <v>124.77</v>
      </c>
      <c r="O663">
        <v>374.31</v>
      </c>
      <c r="P663">
        <v>0</v>
      </c>
      <c r="Q663">
        <v>0</v>
      </c>
      <c r="R663">
        <v>374.31</v>
      </c>
      <c r="S663">
        <v>208.92</v>
      </c>
      <c r="T663">
        <v>165.39</v>
      </c>
      <c r="U663" t="s">
        <v>158</v>
      </c>
      <c r="V663" t="s">
        <v>186</v>
      </c>
    </row>
    <row r="664" spans="1:22">
      <c r="A664" t="s">
        <v>681</v>
      </c>
      <c r="B664" s="1">
        <v>45060</v>
      </c>
      <c r="C664" t="s">
        <v>192</v>
      </c>
      <c r="D664">
        <v>2023</v>
      </c>
      <c r="E664" t="s">
        <v>154</v>
      </c>
      <c r="F664" t="s">
        <v>682</v>
      </c>
      <c r="G664" t="s">
        <v>131</v>
      </c>
      <c r="H664" t="s">
        <v>132</v>
      </c>
      <c r="I664" t="s">
        <v>115</v>
      </c>
      <c r="J664" t="s">
        <v>119</v>
      </c>
      <c r="K664" t="s">
        <v>164</v>
      </c>
      <c r="L664" t="s">
        <v>194</v>
      </c>
      <c r="M664">
        <v>2</v>
      </c>
      <c r="N664">
        <v>75.69</v>
      </c>
      <c r="O664">
        <v>151.38</v>
      </c>
      <c r="P664">
        <v>0</v>
      </c>
      <c r="Q664">
        <v>0</v>
      </c>
      <c r="R664">
        <v>151.38</v>
      </c>
      <c r="S664">
        <v>71.260000000000005</v>
      </c>
      <c r="T664">
        <v>80.12</v>
      </c>
      <c r="U664" t="s">
        <v>190</v>
      </c>
      <c r="V664" t="s">
        <v>159</v>
      </c>
    </row>
    <row r="665" spans="1:22">
      <c r="A665" t="s">
        <v>210</v>
      </c>
      <c r="B665" s="1">
        <v>45060</v>
      </c>
      <c r="C665" t="s">
        <v>192</v>
      </c>
      <c r="D665">
        <v>2023</v>
      </c>
      <c r="E665" t="s">
        <v>154</v>
      </c>
      <c r="F665" t="s">
        <v>211</v>
      </c>
      <c r="G665" t="s">
        <v>86</v>
      </c>
      <c r="H665" t="s">
        <v>87</v>
      </c>
      <c r="I665" t="s">
        <v>66</v>
      </c>
      <c r="J665" t="s">
        <v>67</v>
      </c>
      <c r="K665" t="s">
        <v>178</v>
      </c>
      <c r="L665" t="s">
        <v>157</v>
      </c>
      <c r="M665">
        <v>2</v>
      </c>
      <c r="N665">
        <v>124.77</v>
      </c>
      <c r="O665">
        <v>249.54</v>
      </c>
      <c r="P665">
        <v>0</v>
      </c>
      <c r="Q665">
        <v>0</v>
      </c>
      <c r="R665">
        <v>249.54</v>
      </c>
      <c r="S665">
        <v>139.28</v>
      </c>
      <c r="T665">
        <v>110.26</v>
      </c>
      <c r="U665" t="s">
        <v>180</v>
      </c>
      <c r="V665" t="s">
        <v>159</v>
      </c>
    </row>
    <row r="666" spans="1:22">
      <c r="A666" t="s">
        <v>1755</v>
      </c>
      <c r="B666" s="1">
        <v>45060</v>
      </c>
      <c r="C666" t="s">
        <v>192</v>
      </c>
      <c r="D666">
        <v>2023</v>
      </c>
      <c r="E666" t="s">
        <v>154</v>
      </c>
      <c r="F666" t="s">
        <v>1756</v>
      </c>
      <c r="G666" t="s">
        <v>35</v>
      </c>
      <c r="H666" t="s">
        <v>36</v>
      </c>
      <c r="I666" t="s">
        <v>14</v>
      </c>
      <c r="J666" t="s">
        <v>19</v>
      </c>
      <c r="K666" t="s">
        <v>164</v>
      </c>
      <c r="L666" t="s">
        <v>194</v>
      </c>
      <c r="M666">
        <v>3</v>
      </c>
      <c r="N666">
        <v>81.599999999999994</v>
      </c>
      <c r="O666">
        <v>244.79999999999998</v>
      </c>
      <c r="P666">
        <v>0</v>
      </c>
      <c r="Q666">
        <v>0</v>
      </c>
      <c r="R666">
        <v>244.8</v>
      </c>
      <c r="S666">
        <v>87.96</v>
      </c>
      <c r="T666">
        <v>156.84</v>
      </c>
      <c r="U666" t="s">
        <v>195</v>
      </c>
      <c r="V666" t="s">
        <v>159</v>
      </c>
    </row>
    <row r="667" spans="1:22">
      <c r="A667" t="s">
        <v>1029</v>
      </c>
      <c r="B667" s="1">
        <v>45059</v>
      </c>
      <c r="C667" t="s">
        <v>192</v>
      </c>
      <c r="D667">
        <v>2023</v>
      </c>
      <c r="E667" t="s">
        <v>154</v>
      </c>
      <c r="F667" t="s">
        <v>1030</v>
      </c>
      <c r="G667" t="s">
        <v>117</v>
      </c>
      <c r="H667" t="s">
        <v>118</v>
      </c>
      <c r="I667" t="s">
        <v>115</v>
      </c>
      <c r="J667" t="s">
        <v>119</v>
      </c>
      <c r="K667" t="s">
        <v>164</v>
      </c>
      <c r="L667" t="s">
        <v>204</v>
      </c>
      <c r="M667">
        <v>4</v>
      </c>
      <c r="N667">
        <v>93.41</v>
      </c>
      <c r="O667">
        <v>373.64</v>
      </c>
      <c r="P667">
        <v>0</v>
      </c>
      <c r="Q667">
        <v>0</v>
      </c>
      <c r="R667">
        <v>373.64</v>
      </c>
      <c r="S667">
        <v>256.2</v>
      </c>
      <c r="T667">
        <v>117.44</v>
      </c>
      <c r="U667" t="s">
        <v>180</v>
      </c>
      <c r="V667" t="s">
        <v>159</v>
      </c>
    </row>
    <row r="668" spans="1:22">
      <c r="A668" t="s">
        <v>1421</v>
      </c>
      <c r="B668" s="1">
        <v>45058</v>
      </c>
      <c r="C668" t="s">
        <v>192</v>
      </c>
      <c r="D668">
        <v>2023</v>
      </c>
      <c r="E668" t="s">
        <v>154</v>
      </c>
      <c r="F668" t="s">
        <v>1422</v>
      </c>
      <c r="G668" t="s">
        <v>73</v>
      </c>
      <c r="H668" t="s">
        <v>74</v>
      </c>
      <c r="I668" t="s">
        <v>66</v>
      </c>
      <c r="J668" t="s">
        <v>75</v>
      </c>
      <c r="K668" t="s">
        <v>178</v>
      </c>
      <c r="L668" t="s">
        <v>174</v>
      </c>
      <c r="M668">
        <v>2</v>
      </c>
      <c r="N668">
        <v>53.95</v>
      </c>
      <c r="O668">
        <v>107.9</v>
      </c>
      <c r="P668">
        <v>0</v>
      </c>
      <c r="Q668">
        <v>0</v>
      </c>
      <c r="R668">
        <v>107.9</v>
      </c>
      <c r="S668">
        <v>70.400000000000006</v>
      </c>
      <c r="T668">
        <v>37.5</v>
      </c>
      <c r="U668" t="s">
        <v>166</v>
      </c>
      <c r="V668" t="s">
        <v>186</v>
      </c>
    </row>
    <row r="669" spans="1:22">
      <c r="A669" t="s">
        <v>219</v>
      </c>
      <c r="B669" s="1">
        <v>45058</v>
      </c>
      <c r="C669" t="s">
        <v>192</v>
      </c>
      <c r="D669">
        <v>2023</v>
      </c>
      <c r="E669" t="s">
        <v>154</v>
      </c>
      <c r="F669" t="s">
        <v>220</v>
      </c>
      <c r="G669" t="s">
        <v>48</v>
      </c>
      <c r="H669" t="s">
        <v>49</v>
      </c>
      <c r="I669" t="s">
        <v>41</v>
      </c>
      <c r="J669" t="s">
        <v>42</v>
      </c>
      <c r="K669" t="s">
        <v>178</v>
      </c>
      <c r="L669" t="s">
        <v>157</v>
      </c>
      <c r="M669">
        <v>4</v>
      </c>
      <c r="N669">
        <v>84.95</v>
      </c>
      <c r="O669">
        <v>339.8</v>
      </c>
      <c r="P669">
        <v>15</v>
      </c>
      <c r="Q669">
        <v>50.97</v>
      </c>
      <c r="R669">
        <v>288.83</v>
      </c>
      <c r="S669">
        <v>212.28</v>
      </c>
      <c r="T669">
        <v>76.55</v>
      </c>
      <c r="U669" t="s">
        <v>166</v>
      </c>
      <c r="V669" t="s">
        <v>181</v>
      </c>
    </row>
    <row r="670" spans="1:22">
      <c r="A670" t="s">
        <v>1625</v>
      </c>
      <c r="B670" s="1">
        <v>45058</v>
      </c>
      <c r="C670" t="s">
        <v>192</v>
      </c>
      <c r="D670">
        <v>2023</v>
      </c>
      <c r="E670" t="s">
        <v>154</v>
      </c>
      <c r="F670" t="s">
        <v>1626</v>
      </c>
      <c r="G670" t="s">
        <v>35</v>
      </c>
      <c r="H670" t="s">
        <v>36</v>
      </c>
      <c r="I670" t="s">
        <v>14</v>
      </c>
      <c r="J670" t="s">
        <v>19</v>
      </c>
      <c r="K670" t="s">
        <v>209</v>
      </c>
      <c r="L670" t="s">
        <v>232</v>
      </c>
      <c r="M670">
        <v>3</v>
      </c>
      <c r="N670">
        <v>81.599999999999994</v>
      </c>
      <c r="O670">
        <v>244.79999999999998</v>
      </c>
      <c r="P670">
        <v>0</v>
      </c>
      <c r="Q670">
        <v>0</v>
      </c>
      <c r="R670">
        <v>244.8</v>
      </c>
      <c r="S670">
        <v>87.96</v>
      </c>
      <c r="T670">
        <v>156.84</v>
      </c>
      <c r="U670" t="s">
        <v>190</v>
      </c>
      <c r="V670" t="s">
        <v>181</v>
      </c>
    </row>
    <row r="671" spans="1:22">
      <c r="A671" t="s">
        <v>328</v>
      </c>
      <c r="B671" s="1">
        <v>45057</v>
      </c>
      <c r="C671" t="s">
        <v>192</v>
      </c>
      <c r="D671">
        <v>2023</v>
      </c>
      <c r="E671" t="s">
        <v>154</v>
      </c>
      <c r="F671" t="s">
        <v>329</v>
      </c>
      <c r="G671" t="s">
        <v>86</v>
      </c>
      <c r="H671" t="s">
        <v>87</v>
      </c>
      <c r="I671" t="s">
        <v>66</v>
      </c>
      <c r="J671" t="s">
        <v>67</v>
      </c>
      <c r="K671" t="s">
        <v>209</v>
      </c>
      <c r="L671" t="s">
        <v>179</v>
      </c>
      <c r="M671">
        <v>3</v>
      </c>
      <c r="N671">
        <v>124.77</v>
      </c>
      <c r="O671">
        <v>374.31</v>
      </c>
      <c r="P671">
        <v>5</v>
      </c>
      <c r="Q671">
        <v>18.72</v>
      </c>
      <c r="R671">
        <v>355.59</v>
      </c>
      <c r="S671">
        <v>208.92</v>
      </c>
      <c r="T671">
        <v>146.66999999999999</v>
      </c>
      <c r="U671" t="s">
        <v>180</v>
      </c>
      <c r="V671" t="s">
        <v>159</v>
      </c>
    </row>
    <row r="672" spans="1:22">
      <c r="A672" t="s">
        <v>637</v>
      </c>
      <c r="B672" s="1">
        <v>45057</v>
      </c>
      <c r="C672" t="s">
        <v>192</v>
      </c>
      <c r="D672">
        <v>2023</v>
      </c>
      <c r="E672" t="s">
        <v>154</v>
      </c>
      <c r="F672" t="s">
        <v>638</v>
      </c>
      <c r="G672" t="s">
        <v>129</v>
      </c>
      <c r="H672" t="s">
        <v>130</v>
      </c>
      <c r="I672" t="s">
        <v>115</v>
      </c>
      <c r="J672" t="s">
        <v>124</v>
      </c>
      <c r="K672" t="s">
        <v>209</v>
      </c>
      <c r="L672" t="s">
        <v>165</v>
      </c>
      <c r="M672">
        <v>1</v>
      </c>
      <c r="N672">
        <v>99.34</v>
      </c>
      <c r="O672">
        <v>99.34</v>
      </c>
      <c r="P672">
        <v>5</v>
      </c>
      <c r="Q672">
        <v>4.97</v>
      </c>
      <c r="R672">
        <v>94.37</v>
      </c>
      <c r="S672">
        <v>37.35</v>
      </c>
      <c r="T672">
        <v>57.02</v>
      </c>
      <c r="U672" t="s">
        <v>190</v>
      </c>
      <c r="V672" t="s">
        <v>181</v>
      </c>
    </row>
    <row r="673" spans="1:22">
      <c r="A673" t="s">
        <v>390</v>
      </c>
      <c r="B673" s="1">
        <v>45057</v>
      </c>
      <c r="C673" t="s">
        <v>192</v>
      </c>
      <c r="D673">
        <v>2023</v>
      </c>
      <c r="E673" t="s">
        <v>154</v>
      </c>
      <c r="F673" t="s">
        <v>391</v>
      </c>
      <c r="G673" t="s">
        <v>82</v>
      </c>
      <c r="H673" t="s">
        <v>83</v>
      </c>
      <c r="I673" t="s">
        <v>66</v>
      </c>
      <c r="J673" t="s">
        <v>67</v>
      </c>
      <c r="K673" t="s">
        <v>156</v>
      </c>
      <c r="L673" t="s">
        <v>165</v>
      </c>
      <c r="M673">
        <v>3</v>
      </c>
      <c r="N673">
        <v>34.479999999999997</v>
      </c>
      <c r="O673">
        <v>103.44</v>
      </c>
      <c r="P673">
        <v>15</v>
      </c>
      <c r="Q673">
        <v>15.52</v>
      </c>
      <c r="R673">
        <v>87.92</v>
      </c>
      <c r="S673">
        <v>57.72</v>
      </c>
      <c r="T673">
        <v>30.2</v>
      </c>
      <c r="U673" t="s">
        <v>180</v>
      </c>
      <c r="V673" t="s">
        <v>159</v>
      </c>
    </row>
    <row r="674" spans="1:22">
      <c r="A674" t="s">
        <v>1995</v>
      </c>
      <c r="B674" s="1">
        <v>45057</v>
      </c>
      <c r="C674" t="s">
        <v>192</v>
      </c>
      <c r="D674">
        <v>2023</v>
      </c>
      <c r="E674" t="s">
        <v>154</v>
      </c>
      <c r="F674" t="s">
        <v>1972</v>
      </c>
      <c r="G674" t="s">
        <v>120</v>
      </c>
      <c r="H674" t="s">
        <v>121</v>
      </c>
      <c r="I674" t="s">
        <v>115</v>
      </c>
      <c r="J674" t="s">
        <v>119</v>
      </c>
      <c r="K674" t="s">
        <v>209</v>
      </c>
      <c r="L674" t="s">
        <v>179</v>
      </c>
      <c r="M674">
        <v>3</v>
      </c>
      <c r="N674">
        <v>197.52</v>
      </c>
      <c r="O674">
        <v>592.56000000000006</v>
      </c>
      <c r="P674">
        <v>0</v>
      </c>
      <c r="Q674">
        <v>0</v>
      </c>
      <c r="R674">
        <v>592.55999999999995</v>
      </c>
      <c r="S674">
        <v>199.62</v>
      </c>
      <c r="T674">
        <v>392.94</v>
      </c>
      <c r="U674" t="s">
        <v>166</v>
      </c>
      <c r="V674" t="s">
        <v>159</v>
      </c>
    </row>
    <row r="675" spans="1:22">
      <c r="A675" t="s">
        <v>1954</v>
      </c>
      <c r="B675" s="1">
        <v>45056</v>
      </c>
      <c r="C675" t="s">
        <v>192</v>
      </c>
      <c r="D675">
        <v>2023</v>
      </c>
      <c r="E675" t="s">
        <v>154</v>
      </c>
      <c r="F675" t="s">
        <v>1955</v>
      </c>
      <c r="G675" t="s">
        <v>109</v>
      </c>
      <c r="H675" t="s">
        <v>110</v>
      </c>
      <c r="I675" t="s">
        <v>90</v>
      </c>
      <c r="J675" t="s">
        <v>100</v>
      </c>
      <c r="K675" t="s">
        <v>164</v>
      </c>
      <c r="L675" t="s">
        <v>194</v>
      </c>
      <c r="M675">
        <v>1</v>
      </c>
      <c r="N675">
        <v>77.67</v>
      </c>
      <c r="O675">
        <v>77.67</v>
      </c>
      <c r="P675">
        <v>0</v>
      </c>
      <c r="Q675">
        <v>0</v>
      </c>
      <c r="R675">
        <v>77.67</v>
      </c>
      <c r="S675">
        <v>28.12</v>
      </c>
      <c r="T675">
        <v>49.55</v>
      </c>
      <c r="U675" t="s">
        <v>180</v>
      </c>
      <c r="V675" t="s">
        <v>159</v>
      </c>
    </row>
    <row r="676" spans="1:22">
      <c r="A676" t="s">
        <v>259</v>
      </c>
      <c r="B676" s="1">
        <v>45056</v>
      </c>
      <c r="C676" t="s">
        <v>192</v>
      </c>
      <c r="D676">
        <v>2023</v>
      </c>
      <c r="E676" t="s">
        <v>154</v>
      </c>
      <c r="F676" t="s">
        <v>260</v>
      </c>
      <c r="G676" t="s">
        <v>68</v>
      </c>
      <c r="H676" t="s">
        <v>69</v>
      </c>
      <c r="I676" t="s">
        <v>66</v>
      </c>
      <c r="J676" t="s">
        <v>70</v>
      </c>
      <c r="K676" t="s">
        <v>164</v>
      </c>
      <c r="L676" t="s">
        <v>174</v>
      </c>
      <c r="M676">
        <v>2</v>
      </c>
      <c r="N676">
        <v>98.51</v>
      </c>
      <c r="O676">
        <v>197.02</v>
      </c>
      <c r="P676">
        <v>0</v>
      </c>
      <c r="Q676">
        <v>0</v>
      </c>
      <c r="R676">
        <v>197.02</v>
      </c>
      <c r="S676">
        <v>110.34</v>
      </c>
      <c r="T676">
        <v>86.68</v>
      </c>
      <c r="U676" t="s">
        <v>158</v>
      </c>
      <c r="V676" t="s">
        <v>186</v>
      </c>
    </row>
    <row r="677" spans="1:22">
      <c r="A677" t="s">
        <v>449</v>
      </c>
      <c r="B677" s="1">
        <v>45056</v>
      </c>
      <c r="C677" t="s">
        <v>192</v>
      </c>
      <c r="D677">
        <v>2023</v>
      </c>
      <c r="E677" t="s">
        <v>154</v>
      </c>
      <c r="F677" t="s">
        <v>450</v>
      </c>
      <c r="G677" t="s">
        <v>103</v>
      </c>
      <c r="H677" t="s">
        <v>104</v>
      </c>
      <c r="I677" t="s">
        <v>90</v>
      </c>
      <c r="J677" t="s">
        <v>94</v>
      </c>
      <c r="K677" t="s">
        <v>156</v>
      </c>
      <c r="L677" t="s">
        <v>194</v>
      </c>
      <c r="M677">
        <v>4</v>
      </c>
      <c r="N677">
        <v>98.58</v>
      </c>
      <c r="O677">
        <v>394.32</v>
      </c>
      <c r="P677">
        <v>0</v>
      </c>
      <c r="Q677">
        <v>0</v>
      </c>
      <c r="R677">
        <v>394.32</v>
      </c>
      <c r="S677">
        <v>210.28</v>
      </c>
      <c r="T677">
        <v>184.04</v>
      </c>
      <c r="U677" t="s">
        <v>158</v>
      </c>
      <c r="V677" t="s">
        <v>181</v>
      </c>
    </row>
    <row r="678" spans="1:22">
      <c r="A678" t="s">
        <v>1142</v>
      </c>
      <c r="B678" s="1">
        <v>45055</v>
      </c>
      <c r="C678" t="s">
        <v>192</v>
      </c>
      <c r="D678">
        <v>2023</v>
      </c>
      <c r="E678" t="s">
        <v>154</v>
      </c>
      <c r="F678" t="s">
        <v>1143</v>
      </c>
      <c r="G678" t="s">
        <v>103</v>
      </c>
      <c r="H678" t="s">
        <v>104</v>
      </c>
      <c r="I678" t="s">
        <v>90</v>
      </c>
      <c r="J678" t="s">
        <v>94</v>
      </c>
      <c r="K678" t="s">
        <v>164</v>
      </c>
      <c r="L678" t="s">
        <v>179</v>
      </c>
      <c r="M678">
        <v>1</v>
      </c>
      <c r="N678">
        <v>98.58</v>
      </c>
      <c r="O678">
        <v>98.58</v>
      </c>
      <c r="P678">
        <v>0</v>
      </c>
      <c r="Q678">
        <v>0</v>
      </c>
      <c r="R678">
        <v>98.58</v>
      </c>
      <c r="S678">
        <v>52.57</v>
      </c>
      <c r="T678">
        <v>46.01</v>
      </c>
      <c r="U678" t="s">
        <v>190</v>
      </c>
      <c r="V678" t="s">
        <v>159</v>
      </c>
    </row>
    <row r="679" spans="1:22">
      <c r="A679" t="s">
        <v>755</v>
      </c>
      <c r="B679" s="1">
        <v>45054</v>
      </c>
      <c r="C679" t="s">
        <v>192</v>
      </c>
      <c r="D679">
        <v>2023</v>
      </c>
      <c r="E679" t="s">
        <v>154</v>
      </c>
      <c r="F679" t="s">
        <v>756</v>
      </c>
      <c r="G679" t="s">
        <v>125</v>
      </c>
      <c r="H679" t="s">
        <v>126</v>
      </c>
      <c r="I679" t="s">
        <v>115</v>
      </c>
      <c r="J679" t="s">
        <v>116</v>
      </c>
      <c r="K679" t="s">
        <v>178</v>
      </c>
      <c r="L679" t="s">
        <v>157</v>
      </c>
      <c r="M679">
        <v>1</v>
      </c>
      <c r="N679">
        <v>144.94999999999999</v>
      </c>
      <c r="O679">
        <v>144.94999999999999</v>
      </c>
      <c r="P679">
        <v>0</v>
      </c>
      <c r="Q679">
        <v>0</v>
      </c>
      <c r="R679">
        <v>144.94999999999999</v>
      </c>
      <c r="S679">
        <v>77.19</v>
      </c>
      <c r="T679">
        <v>67.760000000000005</v>
      </c>
      <c r="U679" t="s">
        <v>166</v>
      </c>
      <c r="V679" t="s">
        <v>159</v>
      </c>
    </row>
    <row r="680" spans="1:22">
      <c r="A680" t="s">
        <v>1992</v>
      </c>
      <c r="B680" s="1">
        <v>45054</v>
      </c>
      <c r="C680" t="s">
        <v>192</v>
      </c>
      <c r="D680">
        <v>2023</v>
      </c>
      <c r="E680" t="s">
        <v>154</v>
      </c>
      <c r="F680" t="s">
        <v>1694</v>
      </c>
      <c r="G680" t="s">
        <v>122</v>
      </c>
      <c r="H680" t="s">
        <v>123</v>
      </c>
      <c r="I680" t="s">
        <v>115</v>
      </c>
      <c r="J680" t="s">
        <v>124</v>
      </c>
      <c r="K680" t="s">
        <v>164</v>
      </c>
      <c r="L680" t="s">
        <v>194</v>
      </c>
      <c r="M680">
        <v>3</v>
      </c>
      <c r="N680">
        <v>93.88</v>
      </c>
      <c r="O680">
        <v>281.64</v>
      </c>
      <c r="P680">
        <v>20</v>
      </c>
      <c r="Q680">
        <v>56.33</v>
      </c>
      <c r="R680">
        <v>225.31</v>
      </c>
      <c r="S680">
        <v>159.33000000000001</v>
      </c>
      <c r="T680">
        <v>65.98</v>
      </c>
      <c r="U680" t="s">
        <v>166</v>
      </c>
      <c r="V680" t="s">
        <v>159</v>
      </c>
    </row>
    <row r="681" spans="1:22">
      <c r="A681" t="s">
        <v>721</v>
      </c>
      <c r="B681" s="1">
        <v>45053</v>
      </c>
      <c r="C681" t="s">
        <v>192</v>
      </c>
      <c r="D681">
        <v>2023</v>
      </c>
      <c r="E681" t="s">
        <v>154</v>
      </c>
      <c r="F681" t="s">
        <v>722</v>
      </c>
      <c r="G681" t="s">
        <v>28</v>
      </c>
      <c r="H681" t="s">
        <v>29</v>
      </c>
      <c r="I681" t="s">
        <v>14</v>
      </c>
      <c r="J681" t="s">
        <v>19</v>
      </c>
      <c r="K681" t="s">
        <v>209</v>
      </c>
      <c r="L681" t="s">
        <v>174</v>
      </c>
      <c r="M681">
        <v>3</v>
      </c>
      <c r="N681">
        <v>26.46</v>
      </c>
      <c r="O681">
        <v>79.38</v>
      </c>
      <c r="P681">
        <v>20</v>
      </c>
      <c r="Q681">
        <v>15.88</v>
      </c>
      <c r="R681">
        <v>63.5</v>
      </c>
      <c r="S681">
        <v>58.26</v>
      </c>
      <c r="T681">
        <v>5.24</v>
      </c>
      <c r="U681" t="s">
        <v>195</v>
      </c>
      <c r="V681" t="s">
        <v>159</v>
      </c>
    </row>
    <row r="682" spans="1:22">
      <c r="A682" t="s">
        <v>1460</v>
      </c>
      <c r="B682" s="1">
        <v>45053</v>
      </c>
      <c r="C682" t="s">
        <v>192</v>
      </c>
      <c r="D682">
        <v>2023</v>
      </c>
      <c r="E682" t="s">
        <v>154</v>
      </c>
      <c r="F682" t="s">
        <v>1461</v>
      </c>
      <c r="G682" t="s">
        <v>86</v>
      </c>
      <c r="H682" t="s">
        <v>87</v>
      </c>
      <c r="I682" t="s">
        <v>66</v>
      </c>
      <c r="J682" t="s">
        <v>67</v>
      </c>
      <c r="K682" t="s">
        <v>178</v>
      </c>
      <c r="L682" t="s">
        <v>194</v>
      </c>
      <c r="M682">
        <v>1</v>
      </c>
      <c r="N682">
        <v>124.77</v>
      </c>
      <c r="O682">
        <v>124.77</v>
      </c>
      <c r="P682">
        <v>0</v>
      </c>
      <c r="Q682">
        <v>0</v>
      </c>
      <c r="R682">
        <v>124.77</v>
      </c>
      <c r="S682">
        <v>69.64</v>
      </c>
      <c r="T682">
        <v>55.13</v>
      </c>
      <c r="U682" t="s">
        <v>180</v>
      </c>
      <c r="V682" t="s">
        <v>186</v>
      </c>
    </row>
    <row r="683" spans="1:22">
      <c r="A683" t="s">
        <v>547</v>
      </c>
      <c r="B683" s="1">
        <v>45052</v>
      </c>
      <c r="C683" t="s">
        <v>192</v>
      </c>
      <c r="D683">
        <v>2023</v>
      </c>
      <c r="E683" t="s">
        <v>154</v>
      </c>
      <c r="F683" t="s">
        <v>548</v>
      </c>
      <c r="G683" t="s">
        <v>117</v>
      </c>
      <c r="H683" t="s">
        <v>118</v>
      </c>
      <c r="I683" t="s">
        <v>115</v>
      </c>
      <c r="J683" t="s">
        <v>119</v>
      </c>
      <c r="K683" t="s">
        <v>164</v>
      </c>
      <c r="L683" t="s">
        <v>194</v>
      </c>
      <c r="M683">
        <v>3</v>
      </c>
      <c r="N683">
        <v>93.41</v>
      </c>
      <c r="O683">
        <v>280.23</v>
      </c>
      <c r="P683">
        <v>5</v>
      </c>
      <c r="Q683">
        <v>14.01</v>
      </c>
      <c r="R683">
        <v>266.22000000000003</v>
      </c>
      <c r="S683">
        <v>192.15</v>
      </c>
      <c r="T683">
        <v>74.069999999999993</v>
      </c>
      <c r="U683" t="s">
        <v>180</v>
      </c>
      <c r="V683" t="s">
        <v>159</v>
      </c>
    </row>
    <row r="684" spans="1:22">
      <c r="A684" t="s">
        <v>1371</v>
      </c>
      <c r="B684" s="1">
        <v>45051</v>
      </c>
      <c r="C684" t="s">
        <v>192</v>
      </c>
      <c r="D684">
        <v>2023</v>
      </c>
      <c r="E684" t="s">
        <v>154</v>
      </c>
      <c r="F684" t="s">
        <v>1372</v>
      </c>
      <c r="G684" t="s">
        <v>57</v>
      </c>
      <c r="H684" t="s">
        <v>58</v>
      </c>
      <c r="I684" t="s">
        <v>41</v>
      </c>
      <c r="J684" t="s">
        <v>59</v>
      </c>
      <c r="K684" t="s">
        <v>209</v>
      </c>
      <c r="L684" t="s">
        <v>232</v>
      </c>
      <c r="M684">
        <v>1</v>
      </c>
      <c r="N684">
        <v>56.33</v>
      </c>
      <c r="O684">
        <v>56.33</v>
      </c>
      <c r="P684">
        <v>5</v>
      </c>
      <c r="Q684">
        <v>2.82</v>
      </c>
      <c r="R684">
        <v>53.51</v>
      </c>
      <c r="S684">
        <v>41.45</v>
      </c>
      <c r="T684">
        <v>12.06</v>
      </c>
      <c r="U684" t="s">
        <v>180</v>
      </c>
      <c r="V684" t="s">
        <v>181</v>
      </c>
    </row>
    <row r="685" spans="1:22">
      <c r="A685" t="s">
        <v>667</v>
      </c>
      <c r="B685" s="1">
        <v>45051</v>
      </c>
      <c r="C685" t="s">
        <v>192</v>
      </c>
      <c r="D685">
        <v>2023</v>
      </c>
      <c r="E685" t="s">
        <v>154</v>
      </c>
      <c r="F685" t="s">
        <v>668</v>
      </c>
      <c r="G685" t="s">
        <v>80</v>
      </c>
      <c r="H685" t="s">
        <v>81</v>
      </c>
      <c r="I685" t="s">
        <v>66</v>
      </c>
      <c r="J685" t="s">
        <v>70</v>
      </c>
      <c r="K685" t="s">
        <v>156</v>
      </c>
      <c r="L685" t="s">
        <v>194</v>
      </c>
      <c r="M685">
        <v>2</v>
      </c>
      <c r="N685">
        <v>106.06</v>
      </c>
      <c r="O685">
        <v>212.12</v>
      </c>
      <c r="P685">
        <v>5</v>
      </c>
      <c r="Q685">
        <v>10.61</v>
      </c>
      <c r="R685">
        <v>201.51</v>
      </c>
      <c r="S685">
        <v>66.84</v>
      </c>
      <c r="T685">
        <v>134.66999999999999</v>
      </c>
      <c r="U685" t="s">
        <v>158</v>
      </c>
      <c r="V685" t="s">
        <v>186</v>
      </c>
    </row>
    <row r="686" spans="1:22">
      <c r="A686" t="s">
        <v>489</v>
      </c>
      <c r="B686" s="1">
        <v>45050</v>
      </c>
      <c r="C686" t="s">
        <v>192</v>
      </c>
      <c r="D686">
        <v>2023</v>
      </c>
      <c r="E686" t="s">
        <v>154</v>
      </c>
      <c r="F686" t="s">
        <v>490</v>
      </c>
      <c r="G686" t="s">
        <v>71</v>
      </c>
      <c r="H686" t="s">
        <v>72</v>
      </c>
      <c r="I686" t="s">
        <v>66</v>
      </c>
      <c r="J686" t="s">
        <v>70</v>
      </c>
      <c r="K686" t="s">
        <v>209</v>
      </c>
      <c r="L686" t="s">
        <v>179</v>
      </c>
      <c r="M686">
        <v>1</v>
      </c>
      <c r="N686">
        <v>26.7</v>
      </c>
      <c r="O686">
        <v>26.7</v>
      </c>
      <c r="P686">
        <v>0</v>
      </c>
      <c r="Q686">
        <v>0</v>
      </c>
      <c r="R686">
        <v>26.7</v>
      </c>
      <c r="S686">
        <v>12.27</v>
      </c>
      <c r="T686">
        <v>14.43</v>
      </c>
      <c r="U686" t="s">
        <v>166</v>
      </c>
      <c r="V686" t="s">
        <v>159</v>
      </c>
    </row>
    <row r="687" spans="1:22">
      <c r="A687" t="s">
        <v>553</v>
      </c>
      <c r="B687" s="1">
        <v>45050</v>
      </c>
      <c r="C687" t="s">
        <v>192</v>
      </c>
      <c r="D687">
        <v>2023</v>
      </c>
      <c r="E687" t="s">
        <v>154</v>
      </c>
      <c r="F687" t="s">
        <v>554</v>
      </c>
      <c r="G687" t="s">
        <v>95</v>
      </c>
      <c r="H687" t="s">
        <v>96</v>
      </c>
      <c r="I687" t="s">
        <v>90</v>
      </c>
      <c r="J687" t="s">
        <v>97</v>
      </c>
      <c r="K687" t="s">
        <v>209</v>
      </c>
      <c r="L687" t="s">
        <v>194</v>
      </c>
      <c r="M687">
        <v>1</v>
      </c>
      <c r="N687">
        <v>177.41</v>
      </c>
      <c r="O687">
        <v>177.41</v>
      </c>
      <c r="P687">
        <v>0</v>
      </c>
      <c r="Q687">
        <v>0</v>
      </c>
      <c r="R687">
        <v>177.41</v>
      </c>
      <c r="S687">
        <v>74.989999999999995</v>
      </c>
      <c r="T687">
        <v>102.42</v>
      </c>
      <c r="U687" t="s">
        <v>180</v>
      </c>
      <c r="V687" t="s">
        <v>159</v>
      </c>
    </row>
    <row r="688" spans="1:22">
      <c r="A688" t="s">
        <v>675</v>
      </c>
      <c r="B688" s="1">
        <v>45049</v>
      </c>
      <c r="C688" t="s">
        <v>192</v>
      </c>
      <c r="D688">
        <v>2023</v>
      </c>
      <c r="E688" t="s">
        <v>154</v>
      </c>
      <c r="F688" t="s">
        <v>676</v>
      </c>
      <c r="G688" t="s">
        <v>125</v>
      </c>
      <c r="H688" t="s">
        <v>126</v>
      </c>
      <c r="I688" t="s">
        <v>115</v>
      </c>
      <c r="J688" t="s">
        <v>116</v>
      </c>
      <c r="K688" t="s">
        <v>178</v>
      </c>
      <c r="L688" t="s">
        <v>179</v>
      </c>
      <c r="M688">
        <v>2</v>
      </c>
      <c r="N688">
        <v>144.94999999999999</v>
      </c>
      <c r="O688">
        <v>289.89999999999998</v>
      </c>
      <c r="P688">
        <v>5</v>
      </c>
      <c r="Q688">
        <v>14.49</v>
      </c>
      <c r="R688">
        <v>275.41000000000003</v>
      </c>
      <c r="S688">
        <v>154.38</v>
      </c>
      <c r="T688">
        <v>121.03</v>
      </c>
      <c r="U688" t="s">
        <v>195</v>
      </c>
      <c r="V688" t="s">
        <v>186</v>
      </c>
    </row>
    <row r="689" spans="1:22">
      <c r="A689" t="s">
        <v>1895</v>
      </c>
      <c r="B689" s="1">
        <v>45049</v>
      </c>
      <c r="C689" t="s">
        <v>192</v>
      </c>
      <c r="D689">
        <v>2023</v>
      </c>
      <c r="E689" t="s">
        <v>154</v>
      </c>
      <c r="F689" t="s">
        <v>1896</v>
      </c>
      <c r="G689" t="s">
        <v>55</v>
      </c>
      <c r="H689" t="s">
        <v>56</v>
      </c>
      <c r="I689" t="s">
        <v>41</v>
      </c>
      <c r="J689" t="s">
        <v>45</v>
      </c>
      <c r="K689" t="s">
        <v>156</v>
      </c>
      <c r="L689" t="s">
        <v>157</v>
      </c>
      <c r="M689">
        <v>2</v>
      </c>
      <c r="N689">
        <v>205.4</v>
      </c>
      <c r="O689">
        <v>410.8</v>
      </c>
      <c r="P689">
        <v>5</v>
      </c>
      <c r="Q689">
        <v>20.54</v>
      </c>
      <c r="R689">
        <v>390.26</v>
      </c>
      <c r="S689">
        <v>141.80000000000001</v>
      </c>
      <c r="T689">
        <v>248.46</v>
      </c>
      <c r="U689" t="s">
        <v>158</v>
      </c>
      <c r="V689" t="s">
        <v>159</v>
      </c>
    </row>
    <row r="690" spans="1:22">
      <c r="A690" t="s">
        <v>1906</v>
      </c>
      <c r="B690" s="1">
        <v>45048</v>
      </c>
      <c r="C690" t="s">
        <v>192</v>
      </c>
      <c r="D690">
        <v>2023</v>
      </c>
      <c r="E690" t="s">
        <v>154</v>
      </c>
      <c r="F690" t="s">
        <v>1244</v>
      </c>
      <c r="G690" t="s">
        <v>55</v>
      </c>
      <c r="H690" t="s">
        <v>56</v>
      </c>
      <c r="I690" t="s">
        <v>41</v>
      </c>
      <c r="J690" t="s">
        <v>45</v>
      </c>
      <c r="K690" t="s">
        <v>209</v>
      </c>
      <c r="L690" t="s">
        <v>179</v>
      </c>
      <c r="M690">
        <v>4</v>
      </c>
      <c r="N690">
        <v>205.4</v>
      </c>
      <c r="O690">
        <v>821.6</v>
      </c>
      <c r="P690">
        <v>0</v>
      </c>
      <c r="Q690">
        <v>0</v>
      </c>
      <c r="R690">
        <v>821.6</v>
      </c>
      <c r="S690">
        <v>283.60000000000002</v>
      </c>
      <c r="T690">
        <v>538</v>
      </c>
      <c r="U690" t="s">
        <v>195</v>
      </c>
      <c r="V690" t="s">
        <v>159</v>
      </c>
    </row>
    <row r="691" spans="1:22">
      <c r="A691" t="s">
        <v>963</v>
      </c>
      <c r="B691" s="1">
        <v>45048</v>
      </c>
      <c r="C691" t="s">
        <v>192</v>
      </c>
      <c r="D691">
        <v>2023</v>
      </c>
      <c r="E691" t="s">
        <v>154</v>
      </c>
      <c r="F691" t="s">
        <v>964</v>
      </c>
      <c r="G691" t="s">
        <v>55</v>
      </c>
      <c r="H691" t="s">
        <v>56</v>
      </c>
      <c r="I691" t="s">
        <v>41</v>
      </c>
      <c r="J691" t="s">
        <v>45</v>
      </c>
      <c r="K691" t="s">
        <v>209</v>
      </c>
      <c r="L691" t="s">
        <v>204</v>
      </c>
      <c r="M691">
        <v>3</v>
      </c>
      <c r="N691">
        <v>205.4</v>
      </c>
      <c r="O691">
        <v>616.20000000000005</v>
      </c>
      <c r="P691">
        <v>0</v>
      </c>
      <c r="Q691">
        <v>0</v>
      </c>
      <c r="R691">
        <v>616.20000000000005</v>
      </c>
      <c r="S691">
        <v>212.7</v>
      </c>
      <c r="T691">
        <v>403.5</v>
      </c>
      <c r="U691" t="s">
        <v>166</v>
      </c>
      <c r="V691" t="s">
        <v>181</v>
      </c>
    </row>
    <row r="692" spans="1:22">
      <c r="A692" t="s">
        <v>462</v>
      </c>
      <c r="B692" s="1">
        <v>45048</v>
      </c>
      <c r="C692" t="s">
        <v>192</v>
      </c>
      <c r="D692">
        <v>2023</v>
      </c>
      <c r="E692" t="s">
        <v>154</v>
      </c>
      <c r="F692" t="s">
        <v>463</v>
      </c>
      <c r="G692" t="s">
        <v>80</v>
      </c>
      <c r="H692" t="s">
        <v>81</v>
      </c>
      <c r="I692" t="s">
        <v>66</v>
      </c>
      <c r="J692" t="s">
        <v>70</v>
      </c>
      <c r="K692" t="s">
        <v>164</v>
      </c>
      <c r="L692" t="s">
        <v>232</v>
      </c>
      <c r="M692">
        <v>3</v>
      </c>
      <c r="N692">
        <v>106.06</v>
      </c>
      <c r="O692">
        <v>318.18</v>
      </c>
      <c r="P692">
        <v>15</v>
      </c>
      <c r="Q692">
        <v>47.73</v>
      </c>
      <c r="R692">
        <v>270.45</v>
      </c>
      <c r="S692">
        <v>100.26</v>
      </c>
      <c r="T692">
        <v>170.19</v>
      </c>
      <c r="U692" t="s">
        <v>195</v>
      </c>
      <c r="V692" t="s">
        <v>186</v>
      </c>
    </row>
    <row r="693" spans="1:22">
      <c r="A693" t="s">
        <v>1946</v>
      </c>
      <c r="B693" s="1">
        <v>45047</v>
      </c>
      <c r="C693" t="s">
        <v>192</v>
      </c>
      <c r="D693">
        <v>2023</v>
      </c>
      <c r="E693" t="s">
        <v>154</v>
      </c>
      <c r="F693" t="s">
        <v>1947</v>
      </c>
      <c r="G693" t="s">
        <v>17</v>
      </c>
      <c r="H693" t="s">
        <v>18</v>
      </c>
      <c r="I693" t="s">
        <v>14</v>
      </c>
      <c r="J693" t="s">
        <v>19</v>
      </c>
      <c r="K693" t="s">
        <v>164</v>
      </c>
      <c r="L693" t="s">
        <v>157</v>
      </c>
      <c r="M693">
        <v>3</v>
      </c>
      <c r="N693">
        <v>53.26</v>
      </c>
      <c r="O693">
        <v>159.78</v>
      </c>
      <c r="P693">
        <v>0</v>
      </c>
      <c r="Q693">
        <v>0</v>
      </c>
      <c r="R693">
        <v>159.78</v>
      </c>
      <c r="S693">
        <v>109.92</v>
      </c>
      <c r="T693">
        <v>49.86</v>
      </c>
      <c r="U693" t="s">
        <v>195</v>
      </c>
      <c r="V693" t="s">
        <v>181</v>
      </c>
    </row>
    <row r="694" spans="1:22">
      <c r="A694" t="s">
        <v>1370</v>
      </c>
      <c r="B694" s="1">
        <v>45047</v>
      </c>
      <c r="C694" t="s">
        <v>192</v>
      </c>
      <c r="D694">
        <v>2023</v>
      </c>
      <c r="E694" t="s">
        <v>154</v>
      </c>
      <c r="F694" t="s">
        <v>744</v>
      </c>
      <c r="G694" t="s">
        <v>120</v>
      </c>
      <c r="H694" t="s">
        <v>121</v>
      </c>
      <c r="I694" t="s">
        <v>115</v>
      </c>
      <c r="J694" t="s">
        <v>119</v>
      </c>
      <c r="K694" t="s">
        <v>164</v>
      </c>
      <c r="L694" t="s">
        <v>194</v>
      </c>
      <c r="M694">
        <v>2</v>
      </c>
      <c r="N694">
        <v>197.52</v>
      </c>
      <c r="O694">
        <v>395.04</v>
      </c>
      <c r="P694">
        <v>0</v>
      </c>
      <c r="Q694">
        <v>0</v>
      </c>
      <c r="R694">
        <v>395.04</v>
      </c>
      <c r="S694">
        <v>133.08000000000001</v>
      </c>
      <c r="T694">
        <v>261.95999999999998</v>
      </c>
      <c r="U694" t="s">
        <v>158</v>
      </c>
      <c r="V694" t="s">
        <v>159</v>
      </c>
    </row>
    <row r="695" spans="1:22">
      <c r="A695" t="s">
        <v>1907</v>
      </c>
      <c r="B695" s="1">
        <v>45047</v>
      </c>
      <c r="C695" t="s">
        <v>192</v>
      </c>
      <c r="D695">
        <v>2023</v>
      </c>
      <c r="E695" t="s">
        <v>154</v>
      </c>
      <c r="F695" t="s">
        <v>1908</v>
      </c>
      <c r="G695" t="s">
        <v>107</v>
      </c>
      <c r="H695" t="s">
        <v>108</v>
      </c>
      <c r="I695" t="s">
        <v>90</v>
      </c>
      <c r="J695" t="s">
        <v>100</v>
      </c>
      <c r="K695" t="s">
        <v>164</v>
      </c>
      <c r="L695" t="s">
        <v>157</v>
      </c>
      <c r="M695">
        <v>4</v>
      </c>
      <c r="N695">
        <v>26.61</v>
      </c>
      <c r="O695">
        <v>106.44</v>
      </c>
      <c r="P695">
        <v>20</v>
      </c>
      <c r="Q695">
        <v>21.29</v>
      </c>
      <c r="R695">
        <v>85.15</v>
      </c>
      <c r="S695">
        <v>42.56</v>
      </c>
      <c r="T695">
        <v>42.59</v>
      </c>
      <c r="U695" t="s">
        <v>190</v>
      </c>
      <c r="V695" t="s">
        <v>159</v>
      </c>
    </row>
    <row r="696" spans="1:22">
      <c r="A696" t="s">
        <v>979</v>
      </c>
      <c r="B696" s="1">
        <v>45047</v>
      </c>
      <c r="C696" t="s">
        <v>192</v>
      </c>
      <c r="D696">
        <v>2023</v>
      </c>
      <c r="E696" t="s">
        <v>154</v>
      </c>
      <c r="F696" t="s">
        <v>980</v>
      </c>
      <c r="G696" t="s">
        <v>101</v>
      </c>
      <c r="H696" t="s">
        <v>102</v>
      </c>
      <c r="I696" t="s">
        <v>90</v>
      </c>
      <c r="J696" t="s">
        <v>100</v>
      </c>
      <c r="K696" t="s">
        <v>178</v>
      </c>
      <c r="L696" t="s">
        <v>174</v>
      </c>
      <c r="M696">
        <v>4</v>
      </c>
      <c r="N696">
        <v>196.28</v>
      </c>
      <c r="O696">
        <v>785.12</v>
      </c>
      <c r="P696">
        <v>10</v>
      </c>
      <c r="Q696">
        <v>78.510000000000005</v>
      </c>
      <c r="R696">
        <v>706.61</v>
      </c>
      <c r="S696">
        <v>286.92</v>
      </c>
      <c r="T696">
        <v>419.69</v>
      </c>
      <c r="U696" t="s">
        <v>180</v>
      </c>
      <c r="V696" t="s">
        <v>159</v>
      </c>
    </row>
    <row r="697" spans="1:22">
      <c r="A697" t="s">
        <v>1870</v>
      </c>
      <c r="B697" s="1">
        <v>45047</v>
      </c>
      <c r="C697" t="s">
        <v>192</v>
      </c>
      <c r="D697">
        <v>2023</v>
      </c>
      <c r="E697" t="s">
        <v>154</v>
      </c>
      <c r="F697" t="s">
        <v>767</v>
      </c>
      <c r="G697" t="s">
        <v>23</v>
      </c>
      <c r="H697" t="s">
        <v>24</v>
      </c>
      <c r="I697" t="s">
        <v>14</v>
      </c>
      <c r="J697" t="s">
        <v>19</v>
      </c>
      <c r="K697" t="s">
        <v>178</v>
      </c>
      <c r="L697" t="s">
        <v>232</v>
      </c>
      <c r="M697">
        <v>2</v>
      </c>
      <c r="N697">
        <v>154.03</v>
      </c>
      <c r="O697">
        <v>308.06</v>
      </c>
      <c r="P697">
        <v>0</v>
      </c>
      <c r="Q697">
        <v>0</v>
      </c>
      <c r="R697">
        <v>308.06</v>
      </c>
      <c r="S697">
        <v>153.58000000000001</v>
      </c>
      <c r="T697">
        <v>154.47999999999999</v>
      </c>
      <c r="U697" t="s">
        <v>158</v>
      </c>
      <c r="V697" t="s">
        <v>159</v>
      </c>
    </row>
    <row r="698" spans="1:22">
      <c r="A698" t="s">
        <v>196</v>
      </c>
      <c r="B698" s="1">
        <v>45045</v>
      </c>
      <c r="C698" t="s">
        <v>172</v>
      </c>
      <c r="D698">
        <v>2023</v>
      </c>
      <c r="E698" t="s">
        <v>154</v>
      </c>
      <c r="F698" t="s">
        <v>197</v>
      </c>
      <c r="G698" t="s">
        <v>28</v>
      </c>
      <c r="H698" t="s">
        <v>29</v>
      </c>
      <c r="I698" t="s">
        <v>14</v>
      </c>
      <c r="J698" t="s">
        <v>19</v>
      </c>
      <c r="K698" t="s">
        <v>156</v>
      </c>
      <c r="L698" t="s">
        <v>165</v>
      </c>
      <c r="M698">
        <v>2</v>
      </c>
      <c r="N698">
        <v>26.46</v>
      </c>
      <c r="O698">
        <v>52.92</v>
      </c>
      <c r="P698">
        <v>0</v>
      </c>
      <c r="Q698">
        <v>0</v>
      </c>
      <c r="R698">
        <v>52.92</v>
      </c>
      <c r="S698">
        <v>38.840000000000003</v>
      </c>
      <c r="T698">
        <v>14.08</v>
      </c>
      <c r="U698" t="s">
        <v>190</v>
      </c>
      <c r="V698" t="s">
        <v>159</v>
      </c>
    </row>
    <row r="699" spans="1:22">
      <c r="A699" t="s">
        <v>271</v>
      </c>
      <c r="B699" s="1">
        <v>45045</v>
      </c>
      <c r="C699" t="s">
        <v>172</v>
      </c>
      <c r="D699">
        <v>2023</v>
      </c>
      <c r="E699" t="s">
        <v>154</v>
      </c>
      <c r="F699" t="s">
        <v>272</v>
      </c>
      <c r="G699" t="s">
        <v>88</v>
      </c>
      <c r="H699" t="s">
        <v>89</v>
      </c>
      <c r="I699" t="s">
        <v>90</v>
      </c>
      <c r="J699" t="s">
        <v>91</v>
      </c>
      <c r="K699" t="s">
        <v>178</v>
      </c>
      <c r="L699" t="s">
        <v>165</v>
      </c>
      <c r="M699">
        <v>3</v>
      </c>
      <c r="N699">
        <v>54.64</v>
      </c>
      <c r="O699">
        <v>163.92000000000002</v>
      </c>
      <c r="P699">
        <v>0</v>
      </c>
      <c r="Q699">
        <v>0</v>
      </c>
      <c r="R699">
        <v>163.92</v>
      </c>
      <c r="S699">
        <v>60.96</v>
      </c>
      <c r="T699">
        <v>102.96</v>
      </c>
      <c r="U699" t="s">
        <v>180</v>
      </c>
      <c r="V699" t="s">
        <v>159</v>
      </c>
    </row>
    <row r="700" spans="1:22">
      <c r="A700" t="s">
        <v>2023</v>
      </c>
      <c r="B700" s="1">
        <v>45045</v>
      </c>
      <c r="C700" t="s">
        <v>172</v>
      </c>
      <c r="D700">
        <v>2023</v>
      </c>
      <c r="E700" t="s">
        <v>154</v>
      </c>
      <c r="F700" t="s">
        <v>2024</v>
      </c>
      <c r="G700" t="s">
        <v>88</v>
      </c>
      <c r="H700" t="s">
        <v>89</v>
      </c>
      <c r="I700" t="s">
        <v>90</v>
      </c>
      <c r="J700" t="s">
        <v>91</v>
      </c>
      <c r="K700" t="s">
        <v>156</v>
      </c>
      <c r="L700" t="s">
        <v>232</v>
      </c>
      <c r="M700">
        <v>3</v>
      </c>
      <c r="N700">
        <v>54.64</v>
      </c>
      <c r="O700">
        <v>163.92000000000002</v>
      </c>
      <c r="P700">
        <v>5</v>
      </c>
      <c r="Q700">
        <v>8.1999999999999993</v>
      </c>
      <c r="R700">
        <v>155.72</v>
      </c>
      <c r="S700">
        <v>60.96</v>
      </c>
      <c r="T700">
        <v>94.76</v>
      </c>
      <c r="U700" t="s">
        <v>195</v>
      </c>
      <c r="V700" t="s">
        <v>181</v>
      </c>
    </row>
    <row r="701" spans="1:22">
      <c r="A701" t="s">
        <v>1751</v>
      </c>
      <c r="B701" s="1">
        <v>45045</v>
      </c>
      <c r="C701" t="s">
        <v>172</v>
      </c>
      <c r="D701">
        <v>2023</v>
      </c>
      <c r="E701" t="s">
        <v>154</v>
      </c>
      <c r="F701" t="s">
        <v>1752</v>
      </c>
      <c r="G701" t="s">
        <v>46</v>
      </c>
      <c r="H701" t="s">
        <v>47</v>
      </c>
      <c r="I701" t="s">
        <v>41</v>
      </c>
      <c r="J701" t="s">
        <v>45</v>
      </c>
      <c r="K701" t="s">
        <v>178</v>
      </c>
      <c r="L701" t="s">
        <v>204</v>
      </c>
      <c r="M701">
        <v>1</v>
      </c>
      <c r="N701">
        <v>16.95</v>
      </c>
      <c r="O701">
        <v>16.95</v>
      </c>
      <c r="P701">
        <v>0</v>
      </c>
      <c r="Q701">
        <v>0</v>
      </c>
      <c r="R701">
        <v>16.95</v>
      </c>
      <c r="S701">
        <v>9.76</v>
      </c>
      <c r="T701">
        <v>7.19</v>
      </c>
      <c r="U701" t="s">
        <v>166</v>
      </c>
      <c r="V701" t="s">
        <v>159</v>
      </c>
    </row>
    <row r="702" spans="1:22">
      <c r="A702" t="s">
        <v>1401</v>
      </c>
      <c r="B702" s="1">
        <v>45045</v>
      </c>
      <c r="C702" t="s">
        <v>172</v>
      </c>
      <c r="D702">
        <v>2023</v>
      </c>
      <c r="E702" t="s">
        <v>154</v>
      </c>
      <c r="F702" t="s">
        <v>1402</v>
      </c>
      <c r="G702" t="s">
        <v>48</v>
      </c>
      <c r="H702" t="s">
        <v>49</v>
      </c>
      <c r="I702" t="s">
        <v>41</v>
      </c>
      <c r="J702" t="s">
        <v>42</v>
      </c>
      <c r="K702" t="s">
        <v>164</v>
      </c>
      <c r="L702" t="s">
        <v>157</v>
      </c>
      <c r="M702">
        <v>1</v>
      </c>
      <c r="N702">
        <v>84.95</v>
      </c>
      <c r="O702">
        <v>84.95</v>
      </c>
      <c r="P702">
        <v>0</v>
      </c>
      <c r="Q702">
        <v>0</v>
      </c>
      <c r="R702">
        <v>84.95</v>
      </c>
      <c r="S702">
        <v>53.07</v>
      </c>
      <c r="T702">
        <v>31.88</v>
      </c>
      <c r="U702" t="s">
        <v>190</v>
      </c>
      <c r="V702" t="s">
        <v>181</v>
      </c>
    </row>
    <row r="703" spans="1:22">
      <c r="A703" t="s">
        <v>1576</v>
      </c>
      <c r="B703" s="1">
        <v>45045</v>
      </c>
      <c r="C703" t="s">
        <v>172</v>
      </c>
      <c r="D703">
        <v>2023</v>
      </c>
      <c r="E703" t="s">
        <v>154</v>
      </c>
      <c r="F703" t="s">
        <v>1404</v>
      </c>
      <c r="G703" t="s">
        <v>122</v>
      </c>
      <c r="H703" t="s">
        <v>123</v>
      </c>
      <c r="I703" t="s">
        <v>115</v>
      </c>
      <c r="J703" t="s">
        <v>124</v>
      </c>
      <c r="K703" t="s">
        <v>156</v>
      </c>
      <c r="L703" t="s">
        <v>157</v>
      </c>
      <c r="M703">
        <v>4</v>
      </c>
      <c r="N703">
        <v>93.88</v>
      </c>
      <c r="O703">
        <v>375.52</v>
      </c>
      <c r="P703">
        <v>5</v>
      </c>
      <c r="Q703">
        <v>18.78</v>
      </c>
      <c r="R703">
        <v>356.74</v>
      </c>
      <c r="S703">
        <v>212.44</v>
      </c>
      <c r="T703">
        <v>144.30000000000001</v>
      </c>
      <c r="U703" t="s">
        <v>166</v>
      </c>
      <c r="V703" t="s">
        <v>159</v>
      </c>
    </row>
    <row r="704" spans="1:22">
      <c r="A704" t="s">
        <v>281</v>
      </c>
      <c r="B704" s="1">
        <v>45044</v>
      </c>
      <c r="C704" t="s">
        <v>172</v>
      </c>
      <c r="D704">
        <v>2023</v>
      </c>
      <c r="E704" t="s">
        <v>154</v>
      </c>
      <c r="F704" t="s">
        <v>282</v>
      </c>
      <c r="G704" t="s">
        <v>55</v>
      </c>
      <c r="H704" t="s">
        <v>56</v>
      </c>
      <c r="I704" t="s">
        <v>41</v>
      </c>
      <c r="J704" t="s">
        <v>45</v>
      </c>
      <c r="K704" t="s">
        <v>209</v>
      </c>
      <c r="L704" t="s">
        <v>179</v>
      </c>
      <c r="M704">
        <v>1</v>
      </c>
      <c r="N704">
        <v>205.4</v>
      </c>
      <c r="O704">
        <v>205.4</v>
      </c>
      <c r="P704">
        <v>0</v>
      </c>
      <c r="Q704">
        <v>0</v>
      </c>
      <c r="R704">
        <v>205.4</v>
      </c>
      <c r="S704">
        <v>70.900000000000006</v>
      </c>
      <c r="T704">
        <v>134.5</v>
      </c>
      <c r="U704" t="s">
        <v>195</v>
      </c>
      <c r="V704" t="s">
        <v>181</v>
      </c>
    </row>
    <row r="705" spans="1:22">
      <c r="A705" t="s">
        <v>1341</v>
      </c>
      <c r="B705" s="1">
        <v>45043</v>
      </c>
      <c r="C705" t="s">
        <v>172</v>
      </c>
      <c r="D705">
        <v>2023</v>
      </c>
      <c r="E705" t="s">
        <v>154</v>
      </c>
      <c r="F705" t="s">
        <v>548</v>
      </c>
      <c r="G705" t="s">
        <v>71</v>
      </c>
      <c r="H705" t="s">
        <v>72</v>
      </c>
      <c r="I705" t="s">
        <v>66</v>
      </c>
      <c r="J705" t="s">
        <v>70</v>
      </c>
      <c r="K705" t="s">
        <v>209</v>
      </c>
      <c r="L705" t="s">
        <v>204</v>
      </c>
      <c r="M705">
        <v>4</v>
      </c>
      <c r="N705">
        <v>26.7</v>
      </c>
      <c r="O705">
        <v>106.8</v>
      </c>
      <c r="P705">
        <v>10</v>
      </c>
      <c r="Q705">
        <v>10.68</v>
      </c>
      <c r="R705">
        <v>96.12</v>
      </c>
      <c r="S705">
        <v>49.08</v>
      </c>
      <c r="T705">
        <v>47.04</v>
      </c>
      <c r="U705" t="s">
        <v>195</v>
      </c>
      <c r="V705" t="s">
        <v>159</v>
      </c>
    </row>
    <row r="706" spans="1:22">
      <c r="A706" t="s">
        <v>1815</v>
      </c>
      <c r="B706" s="1">
        <v>45043</v>
      </c>
      <c r="C706" t="s">
        <v>172</v>
      </c>
      <c r="D706">
        <v>2023</v>
      </c>
      <c r="E706" t="s">
        <v>154</v>
      </c>
      <c r="F706" t="s">
        <v>1816</v>
      </c>
      <c r="G706" t="s">
        <v>35</v>
      </c>
      <c r="H706" t="s">
        <v>36</v>
      </c>
      <c r="I706" t="s">
        <v>14</v>
      </c>
      <c r="J706" t="s">
        <v>19</v>
      </c>
      <c r="K706" t="s">
        <v>156</v>
      </c>
      <c r="L706" t="s">
        <v>157</v>
      </c>
      <c r="M706">
        <v>2</v>
      </c>
      <c r="N706">
        <v>81.599999999999994</v>
      </c>
      <c r="O706">
        <v>163.19999999999999</v>
      </c>
      <c r="P706">
        <v>15</v>
      </c>
      <c r="Q706">
        <v>24.48</v>
      </c>
      <c r="R706">
        <v>138.72</v>
      </c>
      <c r="S706">
        <v>58.64</v>
      </c>
      <c r="T706">
        <v>80.08</v>
      </c>
      <c r="U706" t="s">
        <v>190</v>
      </c>
      <c r="V706" t="s">
        <v>159</v>
      </c>
    </row>
    <row r="707" spans="1:22">
      <c r="A707" t="s">
        <v>2050</v>
      </c>
      <c r="B707" s="1">
        <v>45043</v>
      </c>
      <c r="C707" t="s">
        <v>172</v>
      </c>
      <c r="D707">
        <v>2023</v>
      </c>
      <c r="E707" t="s">
        <v>154</v>
      </c>
      <c r="F707" t="s">
        <v>1126</v>
      </c>
      <c r="G707" t="s">
        <v>133</v>
      </c>
      <c r="H707" t="s">
        <v>134</v>
      </c>
      <c r="I707" t="s">
        <v>115</v>
      </c>
      <c r="J707" t="s">
        <v>119</v>
      </c>
      <c r="K707" t="s">
        <v>164</v>
      </c>
      <c r="L707" t="s">
        <v>204</v>
      </c>
      <c r="M707">
        <v>4</v>
      </c>
      <c r="N707">
        <v>78.84</v>
      </c>
      <c r="O707">
        <v>315.36</v>
      </c>
      <c r="P707">
        <v>20</v>
      </c>
      <c r="Q707">
        <v>63.07</v>
      </c>
      <c r="R707">
        <v>252.29</v>
      </c>
      <c r="S707">
        <v>190.72</v>
      </c>
      <c r="T707">
        <v>61.57</v>
      </c>
      <c r="U707" t="s">
        <v>180</v>
      </c>
      <c r="V707" t="s">
        <v>186</v>
      </c>
    </row>
    <row r="708" spans="1:22">
      <c r="A708" t="s">
        <v>1663</v>
      </c>
      <c r="B708" s="1">
        <v>45042</v>
      </c>
      <c r="C708" t="s">
        <v>172</v>
      </c>
      <c r="D708">
        <v>2023</v>
      </c>
      <c r="E708" t="s">
        <v>154</v>
      </c>
      <c r="F708" t="s">
        <v>1664</v>
      </c>
      <c r="G708" t="s">
        <v>129</v>
      </c>
      <c r="H708" t="s">
        <v>130</v>
      </c>
      <c r="I708" t="s">
        <v>115</v>
      </c>
      <c r="J708" t="s">
        <v>124</v>
      </c>
      <c r="K708" t="s">
        <v>164</v>
      </c>
      <c r="L708" t="s">
        <v>165</v>
      </c>
      <c r="M708">
        <v>1</v>
      </c>
      <c r="N708">
        <v>99.34</v>
      </c>
      <c r="O708">
        <v>99.34</v>
      </c>
      <c r="P708">
        <v>10</v>
      </c>
      <c r="Q708">
        <v>9.93</v>
      </c>
      <c r="R708">
        <v>89.41</v>
      </c>
      <c r="S708">
        <v>37.35</v>
      </c>
      <c r="T708">
        <v>52.06</v>
      </c>
      <c r="U708" t="s">
        <v>180</v>
      </c>
      <c r="V708" t="s">
        <v>159</v>
      </c>
    </row>
    <row r="709" spans="1:22">
      <c r="A709" t="s">
        <v>1881</v>
      </c>
      <c r="B709" s="1">
        <v>45042</v>
      </c>
      <c r="C709" t="s">
        <v>172</v>
      </c>
      <c r="D709">
        <v>2023</v>
      </c>
      <c r="E709" t="s">
        <v>154</v>
      </c>
      <c r="F709" t="s">
        <v>1882</v>
      </c>
      <c r="G709" t="s">
        <v>105</v>
      </c>
      <c r="H709" t="s">
        <v>106</v>
      </c>
      <c r="I709" t="s">
        <v>90</v>
      </c>
      <c r="J709" t="s">
        <v>91</v>
      </c>
      <c r="K709" t="s">
        <v>209</v>
      </c>
      <c r="L709" t="s">
        <v>165</v>
      </c>
      <c r="M709">
        <v>4</v>
      </c>
      <c r="N709">
        <v>36.35</v>
      </c>
      <c r="O709">
        <v>145.4</v>
      </c>
      <c r="P709">
        <v>20</v>
      </c>
      <c r="Q709">
        <v>29.08</v>
      </c>
      <c r="R709">
        <v>116.32</v>
      </c>
      <c r="S709">
        <v>120.08</v>
      </c>
      <c r="T709">
        <v>-3.76</v>
      </c>
      <c r="U709" t="s">
        <v>166</v>
      </c>
      <c r="V709" t="s">
        <v>159</v>
      </c>
    </row>
    <row r="710" spans="1:22">
      <c r="A710" t="s">
        <v>829</v>
      </c>
      <c r="B710" s="1">
        <v>45042</v>
      </c>
      <c r="C710" t="s">
        <v>172</v>
      </c>
      <c r="D710">
        <v>2023</v>
      </c>
      <c r="E710" t="s">
        <v>154</v>
      </c>
      <c r="F710" t="s">
        <v>830</v>
      </c>
      <c r="G710" t="s">
        <v>25</v>
      </c>
      <c r="H710" t="s">
        <v>26</v>
      </c>
      <c r="I710" t="s">
        <v>14</v>
      </c>
      <c r="J710" t="s">
        <v>27</v>
      </c>
      <c r="K710" t="s">
        <v>164</v>
      </c>
      <c r="L710" t="s">
        <v>174</v>
      </c>
      <c r="M710">
        <v>2</v>
      </c>
      <c r="N710">
        <v>18.39</v>
      </c>
      <c r="O710">
        <v>36.78</v>
      </c>
      <c r="P710">
        <v>10</v>
      </c>
      <c r="Q710">
        <v>3.68</v>
      </c>
      <c r="R710">
        <v>33.1</v>
      </c>
      <c r="S710">
        <v>16.52</v>
      </c>
      <c r="T710">
        <v>16.579999999999998</v>
      </c>
      <c r="U710" t="s">
        <v>158</v>
      </c>
      <c r="V710" t="s">
        <v>159</v>
      </c>
    </row>
    <row r="711" spans="1:22">
      <c r="A711" t="s">
        <v>457</v>
      </c>
      <c r="B711" s="1">
        <v>45042</v>
      </c>
      <c r="C711" t="s">
        <v>172</v>
      </c>
      <c r="D711">
        <v>2023</v>
      </c>
      <c r="E711" t="s">
        <v>154</v>
      </c>
      <c r="F711" t="s">
        <v>458</v>
      </c>
      <c r="G711" t="s">
        <v>68</v>
      </c>
      <c r="H711" t="s">
        <v>69</v>
      </c>
      <c r="I711" t="s">
        <v>66</v>
      </c>
      <c r="J711" t="s">
        <v>70</v>
      </c>
      <c r="K711" t="s">
        <v>156</v>
      </c>
      <c r="L711" t="s">
        <v>174</v>
      </c>
      <c r="M711">
        <v>4</v>
      </c>
      <c r="N711">
        <v>98.51</v>
      </c>
      <c r="O711">
        <v>394.04</v>
      </c>
      <c r="P711">
        <v>0</v>
      </c>
      <c r="Q711">
        <v>0</v>
      </c>
      <c r="R711">
        <v>394.04</v>
      </c>
      <c r="S711">
        <v>220.68</v>
      </c>
      <c r="T711">
        <v>173.36</v>
      </c>
      <c r="U711" t="s">
        <v>195</v>
      </c>
      <c r="V711" t="s">
        <v>159</v>
      </c>
    </row>
    <row r="712" spans="1:22">
      <c r="A712" t="s">
        <v>348</v>
      </c>
      <c r="B712" s="1">
        <v>45042</v>
      </c>
      <c r="C712" t="s">
        <v>172</v>
      </c>
      <c r="D712">
        <v>2023</v>
      </c>
      <c r="E712" t="s">
        <v>154</v>
      </c>
      <c r="F712" t="s">
        <v>349</v>
      </c>
      <c r="G712" t="s">
        <v>86</v>
      </c>
      <c r="H712" t="s">
        <v>87</v>
      </c>
      <c r="I712" t="s">
        <v>66</v>
      </c>
      <c r="J712" t="s">
        <v>67</v>
      </c>
      <c r="K712" t="s">
        <v>164</v>
      </c>
      <c r="L712" t="s">
        <v>179</v>
      </c>
      <c r="M712">
        <v>1</v>
      </c>
      <c r="N712">
        <v>124.77</v>
      </c>
      <c r="O712">
        <v>124.77</v>
      </c>
      <c r="P712">
        <v>0</v>
      </c>
      <c r="Q712">
        <v>0</v>
      </c>
      <c r="R712">
        <v>124.77</v>
      </c>
      <c r="S712">
        <v>69.64</v>
      </c>
      <c r="T712">
        <v>55.13</v>
      </c>
      <c r="U712" t="s">
        <v>166</v>
      </c>
      <c r="V712" t="s">
        <v>159</v>
      </c>
    </row>
    <row r="713" spans="1:22">
      <c r="A713" t="s">
        <v>1099</v>
      </c>
      <c r="B713" s="1">
        <v>45041</v>
      </c>
      <c r="C713" t="s">
        <v>172</v>
      </c>
      <c r="D713">
        <v>2023</v>
      </c>
      <c r="E713" t="s">
        <v>154</v>
      </c>
      <c r="F713" t="s">
        <v>1100</v>
      </c>
      <c r="G713" t="s">
        <v>57</v>
      </c>
      <c r="H713" t="s">
        <v>58</v>
      </c>
      <c r="I713" t="s">
        <v>41</v>
      </c>
      <c r="J713" t="s">
        <v>59</v>
      </c>
      <c r="K713" t="s">
        <v>164</v>
      </c>
      <c r="L713" t="s">
        <v>204</v>
      </c>
      <c r="M713">
        <v>1</v>
      </c>
      <c r="N713">
        <v>56.33</v>
      </c>
      <c r="O713">
        <v>56.33</v>
      </c>
      <c r="P713">
        <v>10</v>
      </c>
      <c r="Q713">
        <v>5.63</v>
      </c>
      <c r="R713">
        <v>50.7</v>
      </c>
      <c r="S713">
        <v>41.45</v>
      </c>
      <c r="T713">
        <v>9.25</v>
      </c>
      <c r="U713" t="s">
        <v>190</v>
      </c>
      <c r="V713" t="s">
        <v>159</v>
      </c>
    </row>
    <row r="714" spans="1:22">
      <c r="A714" t="s">
        <v>1031</v>
      </c>
      <c r="B714" s="1">
        <v>45040</v>
      </c>
      <c r="C714" t="s">
        <v>172</v>
      </c>
      <c r="D714">
        <v>2023</v>
      </c>
      <c r="E714" t="s">
        <v>154</v>
      </c>
      <c r="F714" t="s">
        <v>262</v>
      </c>
      <c r="G714" t="s">
        <v>107</v>
      </c>
      <c r="H714" t="s">
        <v>108</v>
      </c>
      <c r="I714" t="s">
        <v>90</v>
      </c>
      <c r="J714" t="s">
        <v>100</v>
      </c>
      <c r="K714" t="s">
        <v>164</v>
      </c>
      <c r="L714" t="s">
        <v>165</v>
      </c>
      <c r="M714">
        <v>2</v>
      </c>
      <c r="N714">
        <v>26.61</v>
      </c>
      <c r="O714">
        <v>53.22</v>
      </c>
      <c r="P714">
        <v>0</v>
      </c>
      <c r="Q714">
        <v>0</v>
      </c>
      <c r="R714">
        <v>53.22</v>
      </c>
      <c r="S714">
        <v>21.28</v>
      </c>
      <c r="T714">
        <v>31.94</v>
      </c>
      <c r="U714" t="s">
        <v>195</v>
      </c>
      <c r="V714" t="s">
        <v>181</v>
      </c>
    </row>
    <row r="715" spans="1:22">
      <c r="A715" t="s">
        <v>354</v>
      </c>
      <c r="B715" s="1">
        <v>45040</v>
      </c>
      <c r="C715" t="s">
        <v>172</v>
      </c>
      <c r="D715">
        <v>2023</v>
      </c>
      <c r="E715" t="s">
        <v>154</v>
      </c>
      <c r="F715" t="s">
        <v>355</v>
      </c>
      <c r="G715" t="s">
        <v>17</v>
      </c>
      <c r="H715" t="s">
        <v>18</v>
      </c>
      <c r="I715" t="s">
        <v>14</v>
      </c>
      <c r="J715" t="s">
        <v>19</v>
      </c>
      <c r="K715" t="s">
        <v>209</v>
      </c>
      <c r="L715" t="s">
        <v>165</v>
      </c>
      <c r="M715">
        <v>3</v>
      </c>
      <c r="N715">
        <v>53.26</v>
      </c>
      <c r="O715">
        <v>159.78</v>
      </c>
      <c r="P715">
        <v>10</v>
      </c>
      <c r="Q715">
        <v>15.98</v>
      </c>
      <c r="R715">
        <v>143.80000000000001</v>
      </c>
      <c r="S715">
        <v>109.92</v>
      </c>
      <c r="T715">
        <v>33.880000000000003</v>
      </c>
      <c r="U715" t="s">
        <v>180</v>
      </c>
      <c r="V715" t="s">
        <v>159</v>
      </c>
    </row>
    <row r="716" spans="1:22">
      <c r="A716" t="s">
        <v>924</v>
      </c>
      <c r="B716" s="1">
        <v>45039</v>
      </c>
      <c r="C716" t="s">
        <v>172</v>
      </c>
      <c r="D716">
        <v>2023</v>
      </c>
      <c r="E716" t="s">
        <v>154</v>
      </c>
      <c r="F716" t="s">
        <v>925</v>
      </c>
      <c r="G716" t="s">
        <v>17</v>
      </c>
      <c r="H716" t="s">
        <v>18</v>
      </c>
      <c r="I716" t="s">
        <v>14</v>
      </c>
      <c r="J716" t="s">
        <v>19</v>
      </c>
      <c r="K716" t="s">
        <v>178</v>
      </c>
      <c r="L716" t="s">
        <v>174</v>
      </c>
      <c r="M716">
        <v>3</v>
      </c>
      <c r="N716">
        <v>53.26</v>
      </c>
      <c r="O716">
        <v>159.78</v>
      </c>
      <c r="P716">
        <v>10</v>
      </c>
      <c r="Q716">
        <v>15.98</v>
      </c>
      <c r="R716">
        <v>143.80000000000001</v>
      </c>
      <c r="S716">
        <v>109.92</v>
      </c>
      <c r="T716">
        <v>33.880000000000003</v>
      </c>
      <c r="U716" t="s">
        <v>180</v>
      </c>
      <c r="V716" t="s">
        <v>181</v>
      </c>
    </row>
    <row r="717" spans="1:22">
      <c r="A717" t="s">
        <v>1824</v>
      </c>
      <c r="B717" s="1">
        <v>45038</v>
      </c>
      <c r="C717" t="s">
        <v>172</v>
      </c>
      <c r="D717">
        <v>2023</v>
      </c>
      <c r="E717" t="s">
        <v>154</v>
      </c>
      <c r="F717" t="s">
        <v>1825</v>
      </c>
      <c r="G717" t="s">
        <v>30</v>
      </c>
      <c r="H717" t="s">
        <v>31</v>
      </c>
      <c r="I717" t="s">
        <v>14</v>
      </c>
      <c r="J717" t="s">
        <v>32</v>
      </c>
      <c r="K717" t="s">
        <v>156</v>
      </c>
      <c r="L717" t="s">
        <v>194</v>
      </c>
      <c r="M717">
        <v>1</v>
      </c>
      <c r="N717">
        <v>113.18</v>
      </c>
      <c r="O717">
        <v>113.18</v>
      </c>
      <c r="P717">
        <v>10</v>
      </c>
      <c r="Q717">
        <v>11.32</v>
      </c>
      <c r="R717">
        <v>101.86</v>
      </c>
      <c r="S717">
        <v>39.01</v>
      </c>
      <c r="T717">
        <v>62.85</v>
      </c>
      <c r="U717" t="s">
        <v>190</v>
      </c>
      <c r="V717" t="s">
        <v>181</v>
      </c>
    </row>
    <row r="718" spans="1:22">
      <c r="A718" t="s">
        <v>655</v>
      </c>
      <c r="B718" s="1">
        <v>45038</v>
      </c>
      <c r="C718" t="s">
        <v>172</v>
      </c>
      <c r="D718">
        <v>2023</v>
      </c>
      <c r="E718" t="s">
        <v>154</v>
      </c>
      <c r="F718" t="s">
        <v>656</v>
      </c>
      <c r="G718" t="s">
        <v>84</v>
      </c>
      <c r="H718" t="s">
        <v>85</v>
      </c>
      <c r="I718" t="s">
        <v>66</v>
      </c>
      <c r="J718" t="s">
        <v>67</v>
      </c>
      <c r="K718" t="s">
        <v>209</v>
      </c>
      <c r="L718" t="s">
        <v>157</v>
      </c>
      <c r="M718">
        <v>2</v>
      </c>
      <c r="N718">
        <v>174.23</v>
      </c>
      <c r="O718">
        <v>348.46</v>
      </c>
      <c r="P718">
        <v>10</v>
      </c>
      <c r="Q718">
        <v>34.85</v>
      </c>
      <c r="R718">
        <v>313.61</v>
      </c>
      <c r="S718">
        <v>147.9</v>
      </c>
      <c r="T718">
        <v>165.71</v>
      </c>
      <c r="U718" t="s">
        <v>166</v>
      </c>
      <c r="V718" t="s">
        <v>159</v>
      </c>
    </row>
    <row r="719" spans="1:22">
      <c r="A719" t="s">
        <v>691</v>
      </c>
      <c r="B719" s="1">
        <v>45038</v>
      </c>
      <c r="C719" t="s">
        <v>172</v>
      </c>
      <c r="D719">
        <v>2023</v>
      </c>
      <c r="E719" t="s">
        <v>154</v>
      </c>
      <c r="F719" t="s">
        <v>692</v>
      </c>
      <c r="G719" t="s">
        <v>25</v>
      </c>
      <c r="H719" t="s">
        <v>26</v>
      </c>
      <c r="I719" t="s">
        <v>14</v>
      </c>
      <c r="J719" t="s">
        <v>27</v>
      </c>
      <c r="K719" t="s">
        <v>164</v>
      </c>
      <c r="L719" t="s">
        <v>194</v>
      </c>
      <c r="M719">
        <v>2</v>
      </c>
      <c r="N719">
        <v>18.39</v>
      </c>
      <c r="O719">
        <v>36.78</v>
      </c>
      <c r="P719">
        <v>0</v>
      </c>
      <c r="Q719">
        <v>0</v>
      </c>
      <c r="R719">
        <v>36.78</v>
      </c>
      <c r="S719">
        <v>16.52</v>
      </c>
      <c r="T719">
        <v>20.260000000000002</v>
      </c>
      <c r="U719" t="s">
        <v>158</v>
      </c>
      <c r="V719" t="s">
        <v>181</v>
      </c>
    </row>
    <row r="720" spans="1:22">
      <c r="A720" t="s">
        <v>1235</v>
      </c>
      <c r="B720" s="1">
        <v>45037</v>
      </c>
      <c r="C720" t="s">
        <v>172</v>
      </c>
      <c r="D720">
        <v>2023</v>
      </c>
      <c r="E720" t="s">
        <v>154</v>
      </c>
      <c r="F720" t="s">
        <v>1236</v>
      </c>
      <c r="G720" t="s">
        <v>129</v>
      </c>
      <c r="H720" t="s">
        <v>130</v>
      </c>
      <c r="I720" t="s">
        <v>115</v>
      </c>
      <c r="J720" t="s">
        <v>124</v>
      </c>
      <c r="K720" t="s">
        <v>164</v>
      </c>
      <c r="L720" t="s">
        <v>179</v>
      </c>
      <c r="M720">
        <v>3</v>
      </c>
      <c r="N720">
        <v>99.34</v>
      </c>
      <c r="O720">
        <v>298.02</v>
      </c>
      <c r="P720">
        <v>0</v>
      </c>
      <c r="Q720">
        <v>0</v>
      </c>
      <c r="R720">
        <v>298.02</v>
      </c>
      <c r="S720">
        <v>112.05</v>
      </c>
      <c r="T720">
        <v>185.97</v>
      </c>
      <c r="U720" t="s">
        <v>180</v>
      </c>
      <c r="V720" t="s">
        <v>159</v>
      </c>
    </row>
    <row r="721" spans="1:22">
      <c r="A721" t="s">
        <v>251</v>
      </c>
      <c r="B721" s="1">
        <v>45037</v>
      </c>
      <c r="C721" t="s">
        <v>172</v>
      </c>
      <c r="D721">
        <v>2023</v>
      </c>
      <c r="E721" t="s">
        <v>154</v>
      </c>
      <c r="F721" t="s">
        <v>252</v>
      </c>
      <c r="G721" t="s">
        <v>133</v>
      </c>
      <c r="H721" t="s">
        <v>134</v>
      </c>
      <c r="I721" t="s">
        <v>115</v>
      </c>
      <c r="J721" t="s">
        <v>119</v>
      </c>
      <c r="K721" t="s">
        <v>164</v>
      </c>
      <c r="L721" t="s">
        <v>194</v>
      </c>
      <c r="M721">
        <v>2</v>
      </c>
      <c r="N721">
        <v>78.84</v>
      </c>
      <c r="O721">
        <v>157.68</v>
      </c>
      <c r="P721">
        <v>0</v>
      </c>
      <c r="Q721">
        <v>0</v>
      </c>
      <c r="R721">
        <v>157.68</v>
      </c>
      <c r="S721">
        <v>95.36</v>
      </c>
      <c r="T721">
        <v>62.32</v>
      </c>
      <c r="U721" t="s">
        <v>166</v>
      </c>
      <c r="V721" t="s">
        <v>181</v>
      </c>
    </row>
    <row r="722" spans="1:22">
      <c r="A722" t="s">
        <v>1262</v>
      </c>
      <c r="B722" s="1">
        <v>45036</v>
      </c>
      <c r="C722" t="s">
        <v>172</v>
      </c>
      <c r="D722">
        <v>2023</v>
      </c>
      <c r="E722" t="s">
        <v>154</v>
      </c>
      <c r="F722" t="s">
        <v>1263</v>
      </c>
      <c r="G722" t="s">
        <v>125</v>
      </c>
      <c r="H722" t="s">
        <v>126</v>
      </c>
      <c r="I722" t="s">
        <v>115</v>
      </c>
      <c r="J722" t="s">
        <v>116</v>
      </c>
      <c r="K722" t="s">
        <v>164</v>
      </c>
      <c r="L722" t="s">
        <v>179</v>
      </c>
      <c r="M722">
        <v>2</v>
      </c>
      <c r="N722">
        <v>144.94999999999999</v>
      </c>
      <c r="O722">
        <v>289.89999999999998</v>
      </c>
      <c r="P722">
        <v>0</v>
      </c>
      <c r="Q722">
        <v>0</v>
      </c>
      <c r="R722">
        <v>289.89999999999998</v>
      </c>
      <c r="S722">
        <v>154.38</v>
      </c>
      <c r="T722">
        <v>135.52000000000001</v>
      </c>
      <c r="U722" t="s">
        <v>195</v>
      </c>
      <c r="V722" t="s">
        <v>181</v>
      </c>
    </row>
    <row r="723" spans="1:22">
      <c r="A723" t="s">
        <v>237</v>
      </c>
      <c r="B723" s="1">
        <v>45035</v>
      </c>
      <c r="C723" t="s">
        <v>172</v>
      </c>
      <c r="D723">
        <v>2023</v>
      </c>
      <c r="E723" t="s">
        <v>154</v>
      </c>
      <c r="F723" t="s">
        <v>238</v>
      </c>
      <c r="G723" t="s">
        <v>64</v>
      </c>
      <c r="H723" t="s">
        <v>65</v>
      </c>
      <c r="I723" t="s">
        <v>66</v>
      </c>
      <c r="J723" t="s">
        <v>67</v>
      </c>
      <c r="K723" t="s">
        <v>178</v>
      </c>
      <c r="L723" t="s">
        <v>194</v>
      </c>
      <c r="M723">
        <v>2</v>
      </c>
      <c r="N723">
        <v>24.9</v>
      </c>
      <c r="O723">
        <v>49.8</v>
      </c>
      <c r="P723">
        <v>5</v>
      </c>
      <c r="Q723">
        <v>2.4900000000000002</v>
      </c>
      <c r="R723">
        <v>47.31</v>
      </c>
      <c r="S723">
        <v>43.04</v>
      </c>
      <c r="T723">
        <v>4.2699999999999996</v>
      </c>
      <c r="U723" t="s">
        <v>195</v>
      </c>
      <c r="V723" t="s">
        <v>181</v>
      </c>
    </row>
    <row r="724" spans="1:22">
      <c r="A724" t="s">
        <v>817</v>
      </c>
      <c r="B724" s="1">
        <v>45035</v>
      </c>
      <c r="C724" t="s">
        <v>172</v>
      </c>
      <c r="D724">
        <v>2023</v>
      </c>
      <c r="E724" t="s">
        <v>154</v>
      </c>
      <c r="F724" t="s">
        <v>818</v>
      </c>
      <c r="G724" t="s">
        <v>78</v>
      </c>
      <c r="H724" t="s">
        <v>79</v>
      </c>
      <c r="I724" t="s">
        <v>66</v>
      </c>
      <c r="J724" t="s">
        <v>70</v>
      </c>
      <c r="K724" t="s">
        <v>178</v>
      </c>
      <c r="L724" t="s">
        <v>194</v>
      </c>
      <c r="M724">
        <v>2</v>
      </c>
      <c r="N724">
        <v>218.05</v>
      </c>
      <c r="O724">
        <v>436.1</v>
      </c>
      <c r="P724">
        <v>5</v>
      </c>
      <c r="Q724">
        <v>21.8</v>
      </c>
      <c r="R724">
        <v>414.3</v>
      </c>
      <c r="S724">
        <v>148.96</v>
      </c>
      <c r="T724">
        <v>265.33999999999997</v>
      </c>
      <c r="U724" t="s">
        <v>195</v>
      </c>
      <c r="V724" t="s">
        <v>159</v>
      </c>
    </row>
    <row r="725" spans="1:22">
      <c r="A725" t="s">
        <v>951</v>
      </c>
      <c r="B725" s="1">
        <v>45034</v>
      </c>
      <c r="C725" t="s">
        <v>172</v>
      </c>
      <c r="D725">
        <v>2023</v>
      </c>
      <c r="E725" t="s">
        <v>154</v>
      </c>
      <c r="F725" t="s">
        <v>952</v>
      </c>
      <c r="G725" t="s">
        <v>84</v>
      </c>
      <c r="H725" t="s">
        <v>85</v>
      </c>
      <c r="I725" t="s">
        <v>66</v>
      </c>
      <c r="J725" t="s">
        <v>67</v>
      </c>
      <c r="K725" t="s">
        <v>209</v>
      </c>
      <c r="L725" t="s">
        <v>194</v>
      </c>
      <c r="M725">
        <v>1</v>
      </c>
      <c r="N725">
        <v>174.23</v>
      </c>
      <c r="O725">
        <v>174.23</v>
      </c>
      <c r="P725">
        <v>0</v>
      </c>
      <c r="Q725">
        <v>0</v>
      </c>
      <c r="R725">
        <v>174.23</v>
      </c>
      <c r="S725">
        <v>73.95</v>
      </c>
      <c r="T725">
        <v>100.28</v>
      </c>
      <c r="U725" t="s">
        <v>195</v>
      </c>
      <c r="V725" t="s">
        <v>159</v>
      </c>
    </row>
    <row r="726" spans="1:22">
      <c r="A726" t="s">
        <v>1524</v>
      </c>
      <c r="B726" s="1">
        <v>45034</v>
      </c>
      <c r="C726" t="s">
        <v>172</v>
      </c>
      <c r="D726">
        <v>2023</v>
      </c>
      <c r="E726" t="s">
        <v>154</v>
      </c>
      <c r="F726" t="s">
        <v>1525</v>
      </c>
      <c r="G726" t="s">
        <v>98</v>
      </c>
      <c r="H726" t="s">
        <v>99</v>
      </c>
      <c r="I726" t="s">
        <v>90</v>
      </c>
      <c r="J726" t="s">
        <v>100</v>
      </c>
      <c r="K726" t="s">
        <v>209</v>
      </c>
      <c r="L726" t="s">
        <v>174</v>
      </c>
      <c r="M726">
        <v>2</v>
      </c>
      <c r="N726">
        <v>194.87</v>
      </c>
      <c r="O726">
        <v>389.74</v>
      </c>
      <c r="P726">
        <v>15</v>
      </c>
      <c r="Q726">
        <v>58.46</v>
      </c>
      <c r="R726">
        <v>331.28</v>
      </c>
      <c r="S726">
        <v>157.58000000000001</v>
      </c>
      <c r="T726">
        <v>173.7</v>
      </c>
      <c r="U726" t="s">
        <v>166</v>
      </c>
      <c r="V726" t="s">
        <v>181</v>
      </c>
    </row>
    <row r="727" spans="1:22">
      <c r="A727" t="s">
        <v>1561</v>
      </c>
      <c r="B727" s="1">
        <v>45034</v>
      </c>
      <c r="C727" t="s">
        <v>172</v>
      </c>
      <c r="D727">
        <v>2023</v>
      </c>
      <c r="E727" t="s">
        <v>154</v>
      </c>
      <c r="F727" t="s">
        <v>1562</v>
      </c>
      <c r="G727" t="s">
        <v>17</v>
      </c>
      <c r="H727" t="s">
        <v>18</v>
      </c>
      <c r="I727" t="s">
        <v>14</v>
      </c>
      <c r="J727" t="s">
        <v>19</v>
      </c>
      <c r="K727" t="s">
        <v>156</v>
      </c>
      <c r="L727" t="s">
        <v>157</v>
      </c>
      <c r="M727">
        <v>3</v>
      </c>
      <c r="N727">
        <v>53.26</v>
      </c>
      <c r="O727">
        <v>159.78</v>
      </c>
      <c r="P727">
        <v>15</v>
      </c>
      <c r="Q727">
        <v>23.97</v>
      </c>
      <c r="R727">
        <v>135.81</v>
      </c>
      <c r="S727">
        <v>109.92</v>
      </c>
      <c r="T727">
        <v>25.89</v>
      </c>
      <c r="U727" t="s">
        <v>195</v>
      </c>
      <c r="V727" t="s">
        <v>159</v>
      </c>
    </row>
    <row r="728" spans="1:22">
      <c r="A728" t="s">
        <v>267</v>
      </c>
      <c r="B728" s="1">
        <v>45033</v>
      </c>
      <c r="C728" t="s">
        <v>172</v>
      </c>
      <c r="D728">
        <v>2023</v>
      </c>
      <c r="E728" t="s">
        <v>154</v>
      </c>
      <c r="F728" t="s">
        <v>268</v>
      </c>
      <c r="G728" t="s">
        <v>23</v>
      </c>
      <c r="H728" t="s">
        <v>24</v>
      </c>
      <c r="I728" t="s">
        <v>14</v>
      </c>
      <c r="J728" t="s">
        <v>19</v>
      </c>
      <c r="K728" t="s">
        <v>156</v>
      </c>
      <c r="L728" t="s">
        <v>194</v>
      </c>
      <c r="M728">
        <v>1</v>
      </c>
      <c r="N728">
        <v>154.03</v>
      </c>
      <c r="O728">
        <v>154.03</v>
      </c>
      <c r="P728">
        <v>20</v>
      </c>
      <c r="Q728">
        <v>30.81</v>
      </c>
      <c r="R728">
        <v>123.22</v>
      </c>
      <c r="S728">
        <v>76.790000000000006</v>
      </c>
      <c r="T728">
        <v>46.43</v>
      </c>
      <c r="U728" t="s">
        <v>158</v>
      </c>
      <c r="V728" t="s">
        <v>159</v>
      </c>
    </row>
    <row r="729" spans="1:22">
      <c r="A729" t="s">
        <v>1396</v>
      </c>
      <c r="B729" s="1">
        <v>45033</v>
      </c>
      <c r="C729" t="s">
        <v>172</v>
      </c>
      <c r="D729">
        <v>2023</v>
      </c>
      <c r="E729" t="s">
        <v>154</v>
      </c>
      <c r="F729" t="s">
        <v>1397</v>
      </c>
      <c r="G729" t="s">
        <v>109</v>
      </c>
      <c r="H729" t="s">
        <v>110</v>
      </c>
      <c r="I729" t="s">
        <v>90</v>
      </c>
      <c r="J729" t="s">
        <v>100</v>
      </c>
      <c r="K729" t="s">
        <v>164</v>
      </c>
      <c r="L729" t="s">
        <v>179</v>
      </c>
      <c r="M729">
        <v>1</v>
      </c>
      <c r="N729">
        <v>77.67</v>
      </c>
      <c r="O729">
        <v>77.67</v>
      </c>
      <c r="P729">
        <v>0</v>
      </c>
      <c r="Q729">
        <v>0</v>
      </c>
      <c r="R729">
        <v>77.67</v>
      </c>
      <c r="S729">
        <v>28.12</v>
      </c>
      <c r="T729">
        <v>49.55</v>
      </c>
      <c r="U729" t="s">
        <v>158</v>
      </c>
      <c r="V729" t="s">
        <v>186</v>
      </c>
    </row>
    <row r="730" spans="1:22">
      <c r="A730" t="s">
        <v>1532</v>
      </c>
      <c r="B730" s="1">
        <v>45033</v>
      </c>
      <c r="C730" t="s">
        <v>172</v>
      </c>
      <c r="D730">
        <v>2023</v>
      </c>
      <c r="E730" t="s">
        <v>154</v>
      </c>
      <c r="F730" t="s">
        <v>1533</v>
      </c>
      <c r="G730" t="s">
        <v>113</v>
      </c>
      <c r="H730" t="s">
        <v>114</v>
      </c>
      <c r="I730" t="s">
        <v>115</v>
      </c>
      <c r="J730" t="s">
        <v>116</v>
      </c>
      <c r="K730" t="s">
        <v>164</v>
      </c>
      <c r="L730" t="s">
        <v>204</v>
      </c>
      <c r="M730">
        <v>1</v>
      </c>
      <c r="N730">
        <v>18.7</v>
      </c>
      <c r="O730">
        <v>18.7</v>
      </c>
      <c r="P730">
        <v>15</v>
      </c>
      <c r="Q730">
        <v>2.81</v>
      </c>
      <c r="R730">
        <v>15.89</v>
      </c>
      <c r="S730">
        <v>6.86</v>
      </c>
      <c r="T730">
        <v>9.0299999999999994</v>
      </c>
      <c r="U730" t="s">
        <v>158</v>
      </c>
      <c r="V730" t="s">
        <v>159</v>
      </c>
    </row>
    <row r="731" spans="1:22">
      <c r="A731" t="s">
        <v>962</v>
      </c>
      <c r="B731" s="1">
        <v>45032</v>
      </c>
      <c r="C731" t="s">
        <v>172</v>
      </c>
      <c r="D731">
        <v>2023</v>
      </c>
      <c r="E731" t="s">
        <v>154</v>
      </c>
      <c r="F731" t="s">
        <v>401</v>
      </c>
      <c r="G731" t="s">
        <v>23</v>
      </c>
      <c r="H731" t="s">
        <v>24</v>
      </c>
      <c r="I731" t="s">
        <v>14</v>
      </c>
      <c r="J731" t="s">
        <v>19</v>
      </c>
      <c r="K731" t="s">
        <v>156</v>
      </c>
      <c r="L731" t="s">
        <v>204</v>
      </c>
      <c r="M731">
        <v>1</v>
      </c>
      <c r="N731">
        <v>154.03</v>
      </c>
      <c r="O731">
        <v>154.03</v>
      </c>
      <c r="P731">
        <v>0</v>
      </c>
      <c r="Q731">
        <v>0</v>
      </c>
      <c r="R731">
        <v>154.03</v>
      </c>
      <c r="S731">
        <v>76.790000000000006</v>
      </c>
      <c r="T731">
        <v>77.239999999999995</v>
      </c>
      <c r="U731" t="s">
        <v>166</v>
      </c>
      <c r="V731" t="s">
        <v>181</v>
      </c>
    </row>
    <row r="732" spans="1:22">
      <c r="A732" t="s">
        <v>1893</v>
      </c>
      <c r="B732" s="1">
        <v>45031</v>
      </c>
      <c r="C732" t="s">
        <v>172</v>
      </c>
      <c r="D732">
        <v>2023</v>
      </c>
      <c r="E732" t="s">
        <v>154</v>
      </c>
      <c r="F732" t="s">
        <v>1894</v>
      </c>
      <c r="G732" t="s">
        <v>64</v>
      </c>
      <c r="H732" t="s">
        <v>65</v>
      </c>
      <c r="I732" t="s">
        <v>66</v>
      </c>
      <c r="J732" t="s">
        <v>67</v>
      </c>
      <c r="K732" t="s">
        <v>164</v>
      </c>
      <c r="L732" t="s">
        <v>194</v>
      </c>
      <c r="M732">
        <v>1</v>
      </c>
      <c r="N732">
        <v>24.9</v>
      </c>
      <c r="O732">
        <v>24.9</v>
      </c>
      <c r="P732">
        <v>15</v>
      </c>
      <c r="Q732">
        <v>3.73</v>
      </c>
      <c r="R732">
        <v>21.17</v>
      </c>
      <c r="S732">
        <v>21.52</v>
      </c>
      <c r="T732">
        <v>-0.35</v>
      </c>
      <c r="U732" t="s">
        <v>195</v>
      </c>
      <c r="V732" t="s">
        <v>159</v>
      </c>
    </row>
    <row r="733" spans="1:22">
      <c r="A733" t="s">
        <v>1241</v>
      </c>
      <c r="B733" s="1">
        <v>45030</v>
      </c>
      <c r="C733" t="s">
        <v>172</v>
      </c>
      <c r="D733">
        <v>2023</v>
      </c>
      <c r="E733" t="s">
        <v>154</v>
      </c>
      <c r="F733" t="s">
        <v>1242</v>
      </c>
      <c r="G733" t="s">
        <v>35</v>
      </c>
      <c r="H733" t="s">
        <v>36</v>
      </c>
      <c r="I733" t="s">
        <v>14</v>
      </c>
      <c r="J733" t="s">
        <v>19</v>
      </c>
      <c r="K733" t="s">
        <v>164</v>
      </c>
      <c r="L733" t="s">
        <v>179</v>
      </c>
      <c r="M733">
        <v>1</v>
      </c>
      <c r="N733">
        <v>81.599999999999994</v>
      </c>
      <c r="O733">
        <v>81.599999999999994</v>
      </c>
      <c r="P733">
        <v>0</v>
      </c>
      <c r="Q733">
        <v>0</v>
      </c>
      <c r="R733">
        <v>81.599999999999994</v>
      </c>
      <c r="S733">
        <v>29.32</v>
      </c>
      <c r="T733">
        <v>52.28</v>
      </c>
      <c r="U733" t="s">
        <v>190</v>
      </c>
      <c r="V733" t="s">
        <v>181</v>
      </c>
    </row>
    <row r="734" spans="1:22">
      <c r="A734" t="s">
        <v>1005</v>
      </c>
      <c r="B734" s="1">
        <v>45029</v>
      </c>
      <c r="C734" t="s">
        <v>172</v>
      </c>
      <c r="D734">
        <v>2023</v>
      </c>
      <c r="E734" t="s">
        <v>154</v>
      </c>
      <c r="F734" t="s">
        <v>1006</v>
      </c>
      <c r="G734" t="s">
        <v>17</v>
      </c>
      <c r="H734" t="s">
        <v>18</v>
      </c>
      <c r="I734" t="s">
        <v>14</v>
      </c>
      <c r="J734" t="s">
        <v>19</v>
      </c>
      <c r="K734" t="s">
        <v>209</v>
      </c>
      <c r="L734" t="s">
        <v>157</v>
      </c>
      <c r="M734">
        <v>2</v>
      </c>
      <c r="N734">
        <v>53.26</v>
      </c>
      <c r="O734">
        <v>106.52</v>
      </c>
      <c r="P734">
        <v>0</v>
      </c>
      <c r="Q734">
        <v>0</v>
      </c>
      <c r="R734">
        <v>106.52</v>
      </c>
      <c r="S734">
        <v>73.28</v>
      </c>
      <c r="T734">
        <v>33.24</v>
      </c>
      <c r="U734" t="s">
        <v>158</v>
      </c>
      <c r="V734" t="s">
        <v>186</v>
      </c>
    </row>
    <row r="735" spans="1:22">
      <c r="A735" t="s">
        <v>1655</v>
      </c>
      <c r="B735" s="1">
        <v>45029</v>
      </c>
      <c r="C735" t="s">
        <v>172</v>
      </c>
      <c r="D735">
        <v>2023</v>
      </c>
      <c r="E735" t="s">
        <v>154</v>
      </c>
      <c r="F735" t="s">
        <v>802</v>
      </c>
      <c r="G735" t="s">
        <v>84</v>
      </c>
      <c r="H735" t="s">
        <v>85</v>
      </c>
      <c r="I735" t="s">
        <v>66</v>
      </c>
      <c r="J735" t="s">
        <v>67</v>
      </c>
      <c r="K735" t="s">
        <v>164</v>
      </c>
      <c r="L735" t="s">
        <v>157</v>
      </c>
      <c r="M735">
        <v>1</v>
      </c>
      <c r="N735">
        <v>174.23</v>
      </c>
      <c r="O735">
        <v>174.23</v>
      </c>
      <c r="P735">
        <v>5</v>
      </c>
      <c r="Q735">
        <v>8.7100000000000009</v>
      </c>
      <c r="R735">
        <v>165.52</v>
      </c>
      <c r="S735">
        <v>73.95</v>
      </c>
      <c r="T735">
        <v>91.57</v>
      </c>
      <c r="U735" t="s">
        <v>180</v>
      </c>
      <c r="V735" t="s">
        <v>159</v>
      </c>
    </row>
    <row r="736" spans="1:22">
      <c r="A736" t="s">
        <v>1007</v>
      </c>
      <c r="B736" s="1">
        <v>45028</v>
      </c>
      <c r="C736" t="s">
        <v>172</v>
      </c>
      <c r="D736">
        <v>2023</v>
      </c>
      <c r="E736" t="s">
        <v>154</v>
      </c>
      <c r="F736" t="s">
        <v>1008</v>
      </c>
      <c r="G736" t="s">
        <v>23</v>
      </c>
      <c r="H736" t="s">
        <v>24</v>
      </c>
      <c r="I736" t="s">
        <v>14</v>
      </c>
      <c r="J736" t="s">
        <v>19</v>
      </c>
      <c r="K736" t="s">
        <v>178</v>
      </c>
      <c r="L736" t="s">
        <v>179</v>
      </c>
      <c r="M736">
        <v>3</v>
      </c>
      <c r="N736">
        <v>154.03</v>
      </c>
      <c r="O736">
        <v>462.09000000000003</v>
      </c>
      <c r="P736">
        <v>15</v>
      </c>
      <c r="Q736">
        <v>69.31</v>
      </c>
      <c r="R736">
        <v>392.78</v>
      </c>
      <c r="S736">
        <v>230.37</v>
      </c>
      <c r="T736">
        <v>162.41</v>
      </c>
      <c r="U736" t="s">
        <v>180</v>
      </c>
      <c r="V736" t="s">
        <v>181</v>
      </c>
    </row>
    <row r="737" spans="1:22">
      <c r="A737" t="s">
        <v>429</v>
      </c>
      <c r="B737" s="1">
        <v>45028</v>
      </c>
      <c r="C737" t="s">
        <v>172</v>
      </c>
      <c r="D737">
        <v>2023</v>
      </c>
      <c r="E737" t="s">
        <v>154</v>
      </c>
      <c r="F737" t="s">
        <v>430</v>
      </c>
      <c r="G737" t="s">
        <v>30</v>
      </c>
      <c r="H737" t="s">
        <v>31</v>
      </c>
      <c r="I737" t="s">
        <v>14</v>
      </c>
      <c r="J737" t="s">
        <v>32</v>
      </c>
      <c r="K737" t="s">
        <v>156</v>
      </c>
      <c r="L737" t="s">
        <v>179</v>
      </c>
      <c r="M737">
        <v>2</v>
      </c>
      <c r="N737">
        <v>113.18</v>
      </c>
      <c r="O737">
        <v>226.36</v>
      </c>
      <c r="P737">
        <v>0</v>
      </c>
      <c r="Q737">
        <v>0</v>
      </c>
      <c r="R737">
        <v>226.36</v>
      </c>
      <c r="S737">
        <v>78.02</v>
      </c>
      <c r="T737">
        <v>148.34</v>
      </c>
      <c r="U737" t="s">
        <v>158</v>
      </c>
      <c r="V737" t="s">
        <v>159</v>
      </c>
    </row>
    <row r="738" spans="1:22">
      <c r="A738" t="s">
        <v>223</v>
      </c>
      <c r="B738" s="1">
        <v>45028</v>
      </c>
      <c r="C738" t="s">
        <v>172</v>
      </c>
      <c r="D738">
        <v>2023</v>
      </c>
      <c r="E738" t="s">
        <v>154</v>
      </c>
      <c r="F738" t="s">
        <v>224</v>
      </c>
      <c r="G738" t="s">
        <v>62</v>
      </c>
      <c r="H738" t="s">
        <v>63</v>
      </c>
      <c r="I738" t="s">
        <v>41</v>
      </c>
      <c r="J738" t="s">
        <v>45</v>
      </c>
      <c r="K738" t="s">
        <v>156</v>
      </c>
      <c r="L738" t="s">
        <v>174</v>
      </c>
      <c r="M738">
        <v>4</v>
      </c>
      <c r="N738">
        <v>160.35</v>
      </c>
      <c r="O738">
        <v>641.4</v>
      </c>
      <c r="P738">
        <v>5</v>
      </c>
      <c r="Q738">
        <v>32.07</v>
      </c>
      <c r="R738">
        <v>609.33000000000004</v>
      </c>
      <c r="S738">
        <v>289.88</v>
      </c>
      <c r="T738">
        <v>319.45</v>
      </c>
      <c r="U738" t="s">
        <v>195</v>
      </c>
      <c r="V738" t="s">
        <v>181</v>
      </c>
    </row>
    <row r="739" spans="1:22">
      <c r="A739" t="s">
        <v>1709</v>
      </c>
      <c r="B739" s="1">
        <v>45028</v>
      </c>
      <c r="C739" t="s">
        <v>172</v>
      </c>
      <c r="D739">
        <v>2023</v>
      </c>
      <c r="E739" t="s">
        <v>154</v>
      </c>
      <c r="F739" t="s">
        <v>1710</v>
      </c>
      <c r="G739" t="s">
        <v>107</v>
      </c>
      <c r="H739" t="s">
        <v>108</v>
      </c>
      <c r="I739" t="s">
        <v>90</v>
      </c>
      <c r="J739" t="s">
        <v>100</v>
      </c>
      <c r="K739" t="s">
        <v>178</v>
      </c>
      <c r="L739" t="s">
        <v>157</v>
      </c>
      <c r="M739">
        <v>3</v>
      </c>
      <c r="N739">
        <v>26.61</v>
      </c>
      <c r="O739">
        <v>79.83</v>
      </c>
      <c r="P739">
        <v>5</v>
      </c>
      <c r="Q739">
        <v>3.99</v>
      </c>
      <c r="R739">
        <v>75.84</v>
      </c>
      <c r="S739">
        <v>31.92</v>
      </c>
      <c r="T739">
        <v>43.92</v>
      </c>
      <c r="U739" t="s">
        <v>158</v>
      </c>
      <c r="V739" t="s">
        <v>159</v>
      </c>
    </row>
    <row r="740" spans="1:22">
      <c r="A740" t="s">
        <v>1802</v>
      </c>
      <c r="B740" s="1">
        <v>45026</v>
      </c>
      <c r="C740" t="s">
        <v>172</v>
      </c>
      <c r="D740">
        <v>2023</v>
      </c>
      <c r="E740" t="s">
        <v>154</v>
      </c>
      <c r="F740" t="s">
        <v>1803</v>
      </c>
      <c r="G740" t="s">
        <v>98</v>
      </c>
      <c r="H740" t="s">
        <v>99</v>
      </c>
      <c r="I740" t="s">
        <v>90</v>
      </c>
      <c r="J740" t="s">
        <v>100</v>
      </c>
      <c r="K740" t="s">
        <v>156</v>
      </c>
      <c r="L740" t="s">
        <v>179</v>
      </c>
      <c r="M740">
        <v>1</v>
      </c>
      <c r="N740">
        <v>194.87</v>
      </c>
      <c r="O740">
        <v>194.87</v>
      </c>
      <c r="P740">
        <v>10</v>
      </c>
      <c r="Q740">
        <v>19.489999999999998</v>
      </c>
      <c r="R740">
        <v>175.38</v>
      </c>
      <c r="S740">
        <v>78.790000000000006</v>
      </c>
      <c r="T740">
        <v>96.59</v>
      </c>
      <c r="U740" t="s">
        <v>158</v>
      </c>
      <c r="V740" t="s">
        <v>181</v>
      </c>
    </row>
    <row r="741" spans="1:22">
      <c r="A741" t="s">
        <v>1144</v>
      </c>
      <c r="B741" s="1">
        <v>45026</v>
      </c>
      <c r="C741" t="s">
        <v>172</v>
      </c>
      <c r="D741">
        <v>2023</v>
      </c>
      <c r="E741" t="s">
        <v>154</v>
      </c>
      <c r="F741" t="s">
        <v>1145</v>
      </c>
      <c r="G741" t="s">
        <v>133</v>
      </c>
      <c r="H741" t="s">
        <v>134</v>
      </c>
      <c r="I741" t="s">
        <v>115</v>
      </c>
      <c r="J741" t="s">
        <v>119</v>
      </c>
      <c r="K741" t="s">
        <v>164</v>
      </c>
      <c r="L741" t="s">
        <v>157</v>
      </c>
      <c r="M741">
        <v>2</v>
      </c>
      <c r="N741">
        <v>78.84</v>
      </c>
      <c r="O741">
        <v>157.68</v>
      </c>
      <c r="P741">
        <v>20</v>
      </c>
      <c r="Q741">
        <v>31.54</v>
      </c>
      <c r="R741">
        <v>126.14</v>
      </c>
      <c r="S741">
        <v>95.36</v>
      </c>
      <c r="T741">
        <v>30.78</v>
      </c>
      <c r="U741" t="s">
        <v>158</v>
      </c>
      <c r="V741" t="s">
        <v>159</v>
      </c>
    </row>
    <row r="742" spans="1:22">
      <c r="A742" t="s">
        <v>1040</v>
      </c>
      <c r="B742" s="1">
        <v>45026</v>
      </c>
      <c r="C742" t="s">
        <v>172</v>
      </c>
      <c r="D742">
        <v>2023</v>
      </c>
      <c r="E742" t="s">
        <v>154</v>
      </c>
      <c r="F742" t="s">
        <v>1041</v>
      </c>
      <c r="G742" t="s">
        <v>111</v>
      </c>
      <c r="H742" t="s">
        <v>112</v>
      </c>
      <c r="I742" t="s">
        <v>90</v>
      </c>
      <c r="J742" t="s">
        <v>97</v>
      </c>
      <c r="K742" t="s">
        <v>209</v>
      </c>
      <c r="L742" t="s">
        <v>179</v>
      </c>
      <c r="M742">
        <v>1</v>
      </c>
      <c r="N742">
        <v>189.99</v>
      </c>
      <c r="O742">
        <v>189.99</v>
      </c>
      <c r="P742">
        <v>5</v>
      </c>
      <c r="Q742">
        <v>9.5</v>
      </c>
      <c r="R742">
        <v>180.49</v>
      </c>
      <c r="S742">
        <v>63.51</v>
      </c>
      <c r="T742">
        <v>116.98</v>
      </c>
      <c r="U742" t="s">
        <v>180</v>
      </c>
      <c r="V742" t="s">
        <v>181</v>
      </c>
    </row>
    <row r="743" spans="1:22">
      <c r="A743" t="s">
        <v>253</v>
      </c>
      <c r="B743" s="1">
        <v>45026</v>
      </c>
      <c r="C743" t="s">
        <v>172</v>
      </c>
      <c r="D743">
        <v>2023</v>
      </c>
      <c r="E743" t="s">
        <v>154</v>
      </c>
      <c r="F743" t="s">
        <v>254</v>
      </c>
      <c r="G743" t="s">
        <v>109</v>
      </c>
      <c r="H743" t="s">
        <v>110</v>
      </c>
      <c r="I743" t="s">
        <v>90</v>
      </c>
      <c r="J743" t="s">
        <v>100</v>
      </c>
      <c r="K743" t="s">
        <v>156</v>
      </c>
      <c r="L743" t="s">
        <v>194</v>
      </c>
      <c r="M743">
        <v>3</v>
      </c>
      <c r="N743">
        <v>77.67</v>
      </c>
      <c r="O743">
        <v>233.01</v>
      </c>
      <c r="P743">
        <v>0</v>
      </c>
      <c r="Q743">
        <v>0</v>
      </c>
      <c r="R743">
        <v>233.01</v>
      </c>
      <c r="S743">
        <v>84.36</v>
      </c>
      <c r="T743">
        <v>148.65</v>
      </c>
      <c r="U743" t="s">
        <v>190</v>
      </c>
      <c r="V743" t="s">
        <v>159</v>
      </c>
    </row>
    <row r="744" spans="1:22">
      <c r="A744" t="s">
        <v>1480</v>
      </c>
      <c r="B744" s="1">
        <v>45025</v>
      </c>
      <c r="C744" t="s">
        <v>172</v>
      </c>
      <c r="D744">
        <v>2023</v>
      </c>
      <c r="E744" t="s">
        <v>154</v>
      </c>
      <c r="F744" t="s">
        <v>1481</v>
      </c>
      <c r="G744" t="s">
        <v>88</v>
      </c>
      <c r="H744" t="s">
        <v>89</v>
      </c>
      <c r="I744" t="s">
        <v>90</v>
      </c>
      <c r="J744" t="s">
        <v>91</v>
      </c>
      <c r="K744" t="s">
        <v>209</v>
      </c>
      <c r="L744" t="s">
        <v>204</v>
      </c>
      <c r="M744">
        <v>2</v>
      </c>
      <c r="N744">
        <v>54.64</v>
      </c>
      <c r="O744">
        <v>109.28</v>
      </c>
      <c r="P744">
        <v>0</v>
      </c>
      <c r="Q744">
        <v>0</v>
      </c>
      <c r="R744">
        <v>109.28</v>
      </c>
      <c r="S744">
        <v>40.64</v>
      </c>
      <c r="T744">
        <v>68.64</v>
      </c>
      <c r="U744" t="s">
        <v>158</v>
      </c>
      <c r="V744" t="s">
        <v>159</v>
      </c>
    </row>
    <row r="745" spans="1:22">
      <c r="A745" t="s">
        <v>1363</v>
      </c>
      <c r="B745" s="1">
        <v>45025</v>
      </c>
      <c r="C745" t="s">
        <v>172</v>
      </c>
      <c r="D745">
        <v>2023</v>
      </c>
      <c r="E745" t="s">
        <v>154</v>
      </c>
      <c r="F745" t="s">
        <v>1364</v>
      </c>
      <c r="G745" t="s">
        <v>101</v>
      </c>
      <c r="H745" t="s">
        <v>102</v>
      </c>
      <c r="I745" t="s">
        <v>90</v>
      </c>
      <c r="J745" t="s">
        <v>100</v>
      </c>
      <c r="K745" t="s">
        <v>178</v>
      </c>
      <c r="L745" t="s">
        <v>179</v>
      </c>
      <c r="M745">
        <v>4</v>
      </c>
      <c r="N745">
        <v>196.28</v>
      </c>
      <c r="O745">
        <v>785.12</v>
      </c>
      <c r="P745">
        <v>0</v>
      </c>
      <c r="Q745">
        <v>0</v>
      </c>
      <c r="R745">
        <v>785.12</v>
      </c>
      <c r="S745">
        <v>286.92</v>
      </c>
      <c r="T745">
        <v>498.2</v>
      </c>
      <c r="U745" t="s">
        <v>180</v>
      </c>
      <c r="V745" t="s">
        <v>159</v>
      </c>
    </row>
    <row r="746" spans="1:22">
      <c r="A746" t="s">
        <v>669</v>
      </c>
      <c r="B746" s="1">
        <v>45024</v>
      </c>
      <c r="C746" t="s">
        <v>172</v>
      </c>
      <c r="D746">
        <v>2023</v>
      </c>
      <c r="E746" t="s">
        <v>154</v>
      </c>
      <c r="F746" t="s">
        <v>670</v>
      </c>
      <c r="G746" t="s">
        <v>73</v>
      </c>
      <c r="H746" t="s">
        <v>74</v>
      </c>
      <c r="I746" t="s">
        <v>66</v>
      </c>
      <c r="J746" t="s">
        <v>75</v>
      </c>
      <c r="K746" t="s">
        <v>178</v>
      </c>
      <c r="L746" t="s">
        <v>204</v>
      </c>
      <c r="M746">
        <v>1</v>
      </c>
      <c r="N746">
        <v>53.95</v>
      </c>
      <c r="O746">
        <v>53.95</v>
      </c>
      <c r="P746">
        <v>10</v>
      </c>
      <c r="Q746">
        <v>5.39</v>
      </c>
      <c r="R746">
        <v>48.56</v>
      </c>
      <c r="S746">
        <v>35.200000000000003</v>
      </c>
      <c r="T746">
        <v>13.36</v>
      </c>
      <c r="U746" t="s">
        <v>166</v>
      </c>
      <c r="V746" t="s">
        <v>181</v>
      </c>
    </row>
    <row r="747" spans="1:22">
      <c r="A747" t="s">
        <v>673</v>
      </c>
      <c r="B747" s="1">
        <v>45024</v>
      </c>
      <c r="C747" t="s">
        <v>172</v>
      </c>
      <c r="D747">
        <v>2023</v>
      </c>
      <c r="E747" t="s">
        <v>154</v>
      </c>
      <c r="F747" t="s">
        <v>674</v>
      </c>
      <c r="G747" t="s">
        <v>62</v>
      </c>
      <c r="H747" t="s">
        <v>63</v>
      </c>
      <c r="I747" t="s">
        <v>41</v>
      </c>
      <c r="J747" t="s">
        <v>45</v>
      </c>
      <c r="K747" t="s">
        <v>209</v>
      </c>
      <c r="L747" t="s">
        <v>165</v>
      </c>
      <c r="M747">
        <v>1</v>
      </c>
      <c r="N747">
        <v>160.35</v>
      </c>
      <c r="O747">
        <v>160.35</v>
      </c>
      <c r="P747">
        <v>0</v>
      </c>
      <c r="Q747">
        <v>0</v>
      </c>
      <c r="R747">
        <v>160.35</v>
      </c>
      <c r="S747">
        <v>72.47</v>
      </c>
      <c r="T747">
        <v>87.88</v>
      </c>
      <c r="U747" t="s">
        <v>180</v>
      </c>
      <c r="V747" t="s">
        <v>159</v>
      </c>
    </row>
    <row r="748" spans="1:22">
      <c r="A748" t="s">
        <v>1351</v>
      </c>
      <c r="B748" s="1">
        <v>45023</v>
      </c>
      <c r="C748" t="s">
        <v>172</v>
      </c>
      <c r="D748">
        <v>2023</v>
      </c>
      <c r="E748" t="s">
        <v>154</v>
      </c>
      <c r="F748" t="s">
        <v>1352</v>
      </c>
      <c r="G748" t="s">
        <v>60</v>
      </c>
      <c r="H748" t="s">
        <v>61</v>
      </c>
      <c r="I748" t="s">
        <v>41</v>
      </c>
      <c r="J748" t="s">
        <v>59</v>
      </c>
      <c r="K748" t="s">
        <v>209</v>
      </c>
      <c r="L748" t="s">
        <v>157</v>
      </c>
      <c r="M748">
        <v>3</v>
      </c>
      <c r="N748">
        <v>103.56</v>
      </c>
      <c r="O748">
        <v>310.68</v>
      </c>
      <c r="P748">
        <v>5</v>
      </c>
      <c r="Q748">
        <v>15.53</v>
      </c>
      <c r="R748">
        <v>295.14999999999998</v>
      </c>
      <c r="S748">
        <v>133.74</v>
      </c>
      <c r="T748">
        <v>161.41</v>
      </c>
      <c r="U748" t="s">
        <v>190</v>
      </c>
      <c r="V748" t="s">
        <v>159</v>
      </c>
    </row>
    <row r="749" spans="1:22">
      <c r="A749" t="s">
        <v>1058</v>
      </c>
      <c r="B749" s="1">
        <v>45023</v>
      </c>
      <c r="C749" t="s">
        <v>172</v>
      </c>
      <c r="D749">
        <v>2023</v>
      </c>
      <c r="E749" t="s">
        <v>154</v>
      </c>
      <c r="F749" t="s">
        <v>1059</v>
      </c>
      <c r="G749" t="s">
        <v>92</v>
      </c>
      <c r="H749" t="s">
        <v>93</v>
      </c>
      <c r="I749" t="s">
        <v>90</v>
      </c>
      <c r="J749" t="s">
        <v>94</v>
      </c>
      <c r="K749" t="s">
        <v>164</v>
      </c>
      <c r="L749" t="s">
        <v>174</v>
      </c>
      <c r="M749">
        <v>3</v>
      </c>
      <c r="N749">
        <v>230.34</v>
      </c>
      <c r="O749">
        <v>691.02</v>
      </c>
      <c r="P749">
        <v>20</v>
      </c>
      <c r="Q749">
        <v>138.19999999999999</v>
      </c>
      <c r="R749">
        <v>552.82000000000005</v>
      </c>
      <c r="S749">
        <v>224.04</v>
      </c>
      <c r="T749">
        <v>328.78</v>
      </c>
      <c r="U749" t="s">
        <v>190</v>
      </c>
      <c r="V749" t="s">
        <v>159</v>
      </c>
    </row>
    <row r="750" spans="1:22">
      <c r="A750" t="s">
        <v>1809</v>
      </c>
      <c r="B750" s="1">
        <v>45023</v>
      </c>
      <c r="C750" t="s">
        <v>172</v>
      </c>
      <c r="D750">
        <v>2023</v>
      </c>
      <c r="E750" t="s">
        <v>154</v>
      </c>
      <c r="F750" t="s">
        <v>1810</v>
      </c>
      <c r="G750" t="s">
        <v>37</v>
      </c>
      <c r="H750" t="s">
        <v>38</v>
      </c>
      <c r="I750" t="s">
        <v>14</v>
      </c>
      <c r="J750" t="s">
        <v>27</v>
      </c>
      <c r="K750" t="s">
        <v>209</v>
      </c>
      <c r="L750" t="s">
        <v>204</v>
      </c>
      <c r="M750">
        <v>2</v>
      </c>
      <c r="N750">
        <v>133.99</v>
      </c>
      <c r="O750">
        <v>267.98</v>
      </c>
      <c r="P750">
        <v>20</v>
      </c>
      <c r="Q750">
        <v>53.6</v>
      </c>
      <c r="R750">
        <v>214.38</v>
      </c>
      <c r="S750">
        <v>146.97999999999999</v>
      </c>
      <c r="T750">
        <v>67.400000000000006</v>
      </c>
      <c r="U750" t="s">
        <v>180</v>
      </c>
      <c r="V750" t="s">
        <v>159</v>
      </c>
    </row>
    <row r="751" spans="1:22">
      <c r="A751" t="s">
        <v>2007</v>
      </c>
      <c r="B751" s="1">
        <v>45023</v>
      </c>
      <c r="C751" t="s">
        <v>172</v>
      </c>
      <c r="D751">
        <v>2023</v>
      </c>
      <c r="E751" t="s">
        <v>154</v>
      </c>
      <c r="F751" t="s">
        <v>2008</v>
      </c>
      <c r="G751" t="s">
        <v>33</v>
      </c>
      <c r="H751" t="s">
        <v>34</v>
      </c>
      <c r="I751" t="s">
        <v>14</v>
      </c>
      <c r="J751" t="s">
        <v>27</v>
      </c>
      <c r="K751" t="s">
        <v>209</v>
      </c>
      <c r="L751" t="s">
        <v>157</v>
      </c>
      <c r="M751">
        <v>1</v>
      </c>
      <c r="N751">
        <v>124.26</v>
      </c>
      <c r="O751">
        <v>124.26</v>
      </c>
      <c r="P751">
        <v>15</v>
      </c>
      <c r="Q751">
        <v>18.64</v>
      </c>
      <c r="R751">
        <v>105.62</v>
      </c>
      <c r="S751">
        <v>52.62</v>
      </c>
      <c r="T751">
        <v>53</v>
      </c>
      <c r="U751" t="s">
        <v>180</v>
      </c>
      <c r="V751" t="s">
        <v>159</v>
      </c>
    </row>
    <row r="752" spans="1:22">
      <c r="A752" t="s">
        <v>2000</v>
      </c>
      <c r="B752" s="1">
        <v>45022</v>
      </c>
      <c r="C752" t="s">
        <v>172</v>
      </c>
      <c r="D752">
        <v>2023</v>
      </c>
      <c r="E752" t="s">
        <v>154</v>
      </c>
      <c r="F752" t="s">
        <v>2001</v>
      </c>
      <c r="G752" t="s">
        <v>55</v>
      </c>
      <c r="H752" t="s">
        <v>56</v>
      </c>
      <c r="I752" t="s">
        <v>41</v>
      </c>
      <c r="J752" t="s">
        <v>45</v>
      </c>
      <c r="K752" t="s">
        <v>156</v>
      </c>
      <c r="L752" t="s">
        <v>174</v>
      </c>
      <c r="M752">
        <v>3</v>
      </c>
      <c r="N752">
        <v>205.4</v>
      </c>
      <c r="O752">
        <v>616.20000000000005</v>
      </c>
      <c r="P752">
        <v>20</v>
      </c>
      <c r="Q752">
        <v>123.24</v>
      </c>
      <c r="R752">
        <v>492.96</v>
      </c>
      <c r="S752">
        <v>212.7</v>
      </c>
      <c r="T752">
        <v>280.26</v>
      </c>
      <c r="U752" t="s">
        <v>166</v>
      </c>
      <c r="V752" t="s">
        <v>159</v>
      </c>
    </row>
    <row r="753" spans="1:22">
      <c r="A753" t="s">
        <v>1327</v>
      </c>
      <c r="B753" s="1">
        <v>45021</v>
      </c>
      <c r="C753" t="s">
        <v>172</v>
      </c>
      <c r="D753">
        <v>2023</v>
      </c>
      <c r="E753" t="s">
        <v>154</v>
      </c>
      <c r="F753" t="s">
        <v>1328</v>
      </c>
      <c r="G753" t="s">
        <v>84</v>
      </c>
      <c r="H753" t="s">
        <v>85</v>
      </c>
      <c r="I753" t="s">
        <v>66</v>
      </c>
      <c r="J753" t="s">
        <v>67</v>
      </c>
      <c r="K753" t="s">
        <v>209</v>
      </c>
      <c r="L753" t="s">
        <v>157</v>
      </c>
      <c r="M753">
        <v>4</v>
      </c>
      <c r="N753">
        <v>174.23</v>
      </c>
      <c r="O753">
        <v>696.92</v>
      </c>
      <c r="P753">
        <v>0</v>
      </c>
      <c r="Q753">
        <v>0</v>
      </c>
      <c r="R753">
        <v>696.92</v>
      </c>
      <c r="S753">
        <v>295.8</v>
      </c>
      <c r="T753">
        <v>401.12</v>
      </c>
      <c r="U753" t="s">
        <v>190</v>
      </c>
      <c r="V753" t="s">
        <v>159</v>
      </c>
    </row>
    <row r="754" spans="1:22">
      <c r="A754" t="s">
        <v>1512</v>
      </c>
      <c r="B754" s="1">
        <v>45021</v>
      </c>
      <c r="C754" t="s">
        <v>172</v>
      </c>
      <c r="D754">
        <v>2023</v>
      </c>
      <c r="E754" t="s">
        <v>154</v>
      </c>
      <c r="F754" t="s">
        <v>1513</v>
      </c>
      <c r="G754" t="s">
        <v>111</v>
      </c>
      <c r="H754" t="s">
        <v>112</v>
      </c>
      <c r="I754" t="s">
        <v>90</v>
      </c>
      <c r="J754" t="s">
        <v>97</v>
      </c>
      <c r="K754" t="s">
        <v>209</v>
      </c>
      <c r="L754" t="s">
        <v>165</v>
      </c>
      <c r="M754">
        <v>2</v>
      </c>
      <c r="N754">
        <v>189.99</v>
      </c>
      <c r="O754">
        <v>379.98</v>
      </c>
      <c r="P754">
        <v>0</v>
      </c>
      <c r="Q754">
        <v>0</v>
      </c>
      <c r="R754">
        <v>379.98</v>
      </c>
      <c r="S754">
        <v>127.02</v>
      </c>
      <c r="T754">
        <v>252.96</v>
      </c>
      <c r="U754" t="s">
        <v>195</v>
      </c>
      <c r="V754" t="s">
        <v>159</v>
      </c>
    </row>
    <row r="755" spans="1:22">
      <c r="A755" t="s">
        <v>1996</v>
      </c>
      <c r="B755" s="1">
        <v>45020</v>
      </c>
      <c r="C755" t="s">
        <v>172</v>
      </c>
      <c r="D755">
        <v>2023</v>
      </c>
      <c r="E755" t="s">
        <v>154</v>
      </c>
      <c r="F755" t="s">
        <v>1997</v>
      </c>
      <c r="G755" t="s">
        <v>33</v>
      </c>
      <c r="H755" t="s">
        <v>34</v>
      </c>
      <c r="I755" t="s">
        <v>14</v>
      </c>
      <c r="J755" t="s">
        <v>27</v>
      </c>
      <c r="K755" t="s">
        <v>164</v>
      </c>
      <c r="L755" t="s">
        <v>174</v>
      </c>
      <c r="M755">
        <v>4</v>
      </c>
      <c r="N755">
        <v>124.26</v>
      </c>
      <c r="O755">
        <v>497.04</v>
      </c>
      <c r="P755">
        <v>0</v>
      </c>
      <c r="Q755">
        <v>0</v>
      </c>
      <c r="R755">
        <v>497.04</v>
      </c>
      <c r="S755">
        <v>210.48</v>
      </c>
      <c r="T755">
        <v>286.56</v>
      </c>
      <c r="U755" t="s">
        <v>158</v>
      </c>
      <c r="V755" t="s">
        <v>186</v>
      </c>
    </row>
    <row r="756" spans="1:22">
      <c r="A756" t="s">
        <v>1695</v>
      </c>
      <c r="B756" s="1">
        <v>45019</v>
      </c>
      <c r="C756" t="s">
        <v>172</v>
      </c>
      <c r="D756">
        <v>2023</v>
      </c>
      <c r="E756" t="s">
        <v>154</v>
      </c>
      <c r="F756" t="s">
        <v>1696</v>
      </c>
      <c r="G756" t="s">
        <v>111</v>
      </c>
      <c r="H756" t="s">
        <v>112</v>
      </c>
      <c r="I756" t="s">
        <v>90</v>
      </c>
      <c r="J756" t="s">
        <v>97</v>
      </c>
      <c r="K756" t="s">
        <v>164</v>
      </c>
      <c r="L756" t="s">
        <v>232</v>
      </c>
      <c r="M756">
        <v>1</v>
      </c>
      <c r="N756">
        <v>189.99</v>
      </c>
      <c r="O756">
        <v>189.99</v>
      </c>
      <c r="P756">
        <v>10</v>
      </c>
      <c r="Q756">
        <v>19</v>
      </c>
      <c r="R756">
        <v>170.99</v>
      </c>
      <c r="S756">
        <v>63.51</v>
      </c>
      <c r="T756">
        <v>107.48</v>
      </c>
      <c r="U756" t="s">
        <v>158</v>
      </c>
      <c r="V756" t="s">
        <v>159</v>
      </c>
    </row>
    <row r="757" spans="1:22">
      <c r="A757" t="s">
        <v>1044</v>
      </c>
      <c r="B757" s="1">
        <v>45019</v>
      </c>
      <c r="C757" t="s">
        <v>172</v>
      </c>
      <c r="D757">
        <v>2023</v>
      </c>
      <c r="E757" t="s">
        <v>154</v>
      </c>
      <c r="F757" t="s">
        <v>1045</v>
      </c>
      <c r="G757" t="s">
        <v>86</v>
      </c>
      <c r="H757" t="s">
        <v>87</v>
      </c>
      <c r="I757" t="s">
        <v>66</v>
      </c>
      <c r="J757" t="s">
        <v>67</v>
      </c>
      <c r="K757" t="s">
        <v>209</v>
      </c>
      <c r="L757" t="s">
        <v>204</v>
      </c>
      <c r="M757">
        <v>2</v>
      </c>
      <c r="N757">
        <v>124.77</v>
      </c>
      <c r="O757">
        <v>249.54</v>
      </c>
      <c r="P757">
        <v>0</v>
      </c>
      <c r="Q757">
        <v>0</v>
      </c>
      <c r="R757">
        <v>249.54</v>
      </c>
      <c r="S757">
        <v>139.28</v>
      </c>
      <c r="T757">
        <v>110.26</v>
      </c>
      <c r="U757" t="s">
        <v>195</v>
      </c>
      <c r="V757" t="s">
        <v>159</v>
      </c>
    </row>
    <row r="758" spans="1:22">
      <c r="A758" t="s">
        <v>1407</v>
      </c>
      <c r="B758" s="1">
        <v>45019</v>
      </c>
      <c r="C758" t="s">
        <v>172</v>
      </c>
      <c r="D758">
        <v>2023</v>
      </c>
      <c r="E758" t="s">
        <v>154</v>
      </c>
      <c r="F758" t="s">
        <v>1408</v>
      </c>
      <c r="G758" t="s">
        <v>30</v>
      </c>
      <c r="H758" t="s">
        <v>31</v>
      </c>
      <c r="I758" t="s">
        <v>14</v>
      </c>
      <c r="J758" t="s">
        <v>32</v>
      </c>
      <c r="K758" t="s">
        <v>164</v>
      </c>
      <c r="L758" t="s">
        <v>232</v>
      </c>
      <c r="M758">
        <v>2</v>
      </c>
      <c r="N758">
        <v>113.18</v>
      </c>
      <c r="O758">
        <v>226.36</v>
      </c>
      <c r="P758">
        <v>20</v>
      </c>
      <c r="Q758">
        <v>45.27</v>
      </c>
      <c r="R758">
        <v>181.09</v>
      </c>
      <c r="S758">
        <v>78.02</v>
      </c>
      <c r="T758">
        <v>103.07</v>
      </c>
      <c r="U758" t="s">
        <v>195</v>
      </c>
      <c r="V758" t="s">
        <v>159</v>
      </c>
    </row>
    <row r="759" spans="1:22">
      <c r="A759" t="s">
        <v>1186</v>
      </c>
      <c r="B759" s="1">
        <v>45019</v>
      </c>
      <c r="C759" t="s">
        <v>172</v>
      </c>
      <c r="D759">
        <v>2023</v>
      </c>
      <c r="E759" t="s">
        <v>154</v>
      </c>
      <c r="F759" t="s">
        <v>1187</v>
      </c>
      <c r="G759" t="s">
        <v>55</v>
      </c>
      <c r="H759" t="s">
        <v>56</v>
      </c>
      <c r="I759" t="s">
        <v>41</v>
      </c>
      <c r="J759" t="s">
        <v>45</v>
      </c>
      <c r="K759" t="s">
        <v>209</v>
      </c>
      <c r="L759" t="s">
        <v>179</v>
      </c>
      <c r="M759">
        <v>2</v>
      </c>
      <c r="N759">
        <v>205.4</v>
      </c>
      <c r="O759">
        <v>410.8</v>
      </c>
      <c r="P759">
        <v>0</v>
      </c>
      <c r="Q759">
        <v>0</v>
      </c>
      <c r="R759">
        <v>410.8</v>
      </c>
      <c r="S759">
        <v>141.80000000000001</v>
      </c>
      <c r="T759">
        <v>269</v>
      </c>
      <c r="U759" t="s">
        <v>166</v>
      </c>
      <c r="V759" t="s">
        <v>186</v>
      </c>
    </row>
    <row r="760" spans="1:22">
      <c r="A760" t="s">
        <v>1608</v>
      </c>
      <c r="B760" s="1">
        <v>45019</v>
      </c>
      <c r="C760" t="s">
        <v>172</v>
      </c>
      <c r="D760">
        <v>2023</v>
      </c>
      <c r="E760" t="s">
        <v>154</v>
      </c>
      <c r="F760" t="s">
        <v>612</v>
      </c>
      <c r="G760" t="s">
        <v>86</v>
      </c>
      <c r="H760" t="s">
        <v>87</v>
      </c>
      <c r="I760" t="s">
        <v>66</v>
      </c>
      <c r="J760" t="s">
        <v>67</v>
      </c>
      <c r="K760" t="s">
        <v>164</v>
      </c>
      <c r="L760" t="s">
        <v>232</v>
      </c>
      <c r="M760">
        <v>4</v>
      </c>
      <c r="N760">
        <v>124.77</v>
      </c>
      <c r="O760">
        <v>499.08</v>
      </c>
      <c r="P760">
        <v>10</v>
      </c>
      <c r="Q760">
        <v>49.91</v>
      </c>
      <c r="R760">
        <v>449.17</v>
      </c>
      <c r="S760">
        <v>278.56</v>
      </c>
      <c r="T760">
        <v>170.61</v>
      </c>
      <c r="U760" t="s">
        <v>180</v>
      </c>
      <c r="V760" t="s">
        <v>186</v>
      </c>
    </row>
    <row r="761" spans="1:22">
      <c r="A761" t="s">
        <v>645</v>
      </c>
      <c r="B761" s="1">
        <v>45018</v>
      </c>
      <c r="C761" t="s">
        <v>172</v>
      </c>
      <c r="D761">
        <v>2023</v>
      </c>
      <c r="E761" t="s">
        <v>154</v>
      </c>
      <c r="F761" t="s">
        <v>646</v>
      </c>
      <c r="G761" t="s">
        <v>117</v>
      </c>
      <c r="H761" t="s">
        <v>118</v>
      </c>
      <c r="I761" t="s">
        <v>115</v>
      </c>
      <c r="J761" t="s">
        <v>119</v>
      </c>
      <c r="K761" t="s">
        <v>164</v>
      </c>
      <c r="L761" t="s">
        <v>232</v>
      </c>
      <c r="M761">
        <v>3</v>
      </c>
      <c r="N761">
        <v>93.41</v>
      </c>
      <c r="O761">
        <v>280.23</v>
      </c>
      <c r="P761">
        <v>0</v>
      </c>
      <c r="Q761">
        <v>0</v>
      </c>
      <c r="R761">
        <v>280.23</v>
      </c>
      <c r="S761">
        <v>192.15</v>
      </c>
      <c r="T761">
        <v>88.08</v>
      </c>
      <c r="U761" t="s">
        <v>190</v>
      </c>
      <c r="V761" t="s">
        <v>159</v>
      </c>
    </row>
    <row r="762" spans="1:22">
      <c r="A762" t="s">
        <v>1956</v>
      </c>
      <c r="B762" s="1">
        <v>45018</v>
      </c>
      <c r="C762" t="s">
        <v>172</v>
      </c>
      <c r="D762">
        <v>2023</v>
      </c>
      <c r="E762" t="s">
        <v>154</v>
      </c>
      <c r="F762" t="s">
        <v>1957</v>
      </c>
      <c r="G762" t="s">
        <v>35</v>
      </c>
      <c r="H762" t="s">
        <v>36</v>
      </c>
      <c r="I762" t="s">
        <v>14</v>
      </c>
      <c r="J762" t="s">
        <v>19</v>
      </c>
      <c r="K762" t="s">
        <v>156</v>
      </c>
      <c r="L762" t="s">
        <v>232</v>
      </c>
      <c r="M762">
        <v>1</v>
      </c>
      <c r="N762">
        <v>81.599999999999994</v>
      </c>
      <c r="O762">
        <v>81.599999999999994</v>
      </c>
      <c r="P762">
        <v>10</v>
      </c>
      <c r="Q762">
        <v>8.16</v>
      </c>
      <c r="R762">
        <v>73.44</v>
      </c>
      <c r="S762">
        <v>29.32</v>
      </c>
      <c r="T762">
        <v>44.12</v>
      </c>
      <c r="U762" t="s">
        <v>180</v>
      </c>
      <c r="V762" t="s">
        <v>159</v>
      </c>
    </row>
    <row r="763" spans="1:22">
      <c r="A763" t="s">
        <v>171</v>
      </c>
      <c r="B763" s="1">
        <v>45017</v>
      </c>
      <c r="C763" t="s">
        <v>172</v>
      </c>
      <c r="D763">
        <v>2023</v>
      </c>
      <c r="E763" t="s">
        <v>154</v>
      </c>
      <c r="F763" t="s">
        <v>173</v>
      </c>
      <c r="G763" t="s">
        <v>135</v>
      </c>
      <c r="H763" t="s">
        <v>136</v>
      </c>
      <c r="I763" t="s">
        <v>115</v>
      </c>
      <c r="J763" t="s">
        <v>119</v>
      </c>
      <c r="K763" t="s">
        <v>164</v>
      </c>
      <c r="L763" t="s">
        <v>174</v>
      </c>
      <c r="M763">
        <v>4</v>
      </c>
      <c r="N763">
        <v>89.62</v>
      </c>
      <c r="O763">
        <v>358.48</v>
      </c>
      <c r="P763">
        <v>0</v>
      </c>
      <c r="Q763">
        <v>0</v>
      </c>
      <c r="R763">
        <v>358.48</v>
      </c>
      <c r="S763">
        <v>152.52000000000001</v>
      </c>
      <c r="T763">
        <v>205.96</v>
      </c>
      <c r="U763" t="s">
        <v>166</v>
      </c>
      <c r="V763" t="s">
        <v>159</v>
      </c>
    </row>
    <row r="764" spans="1:22">
      <c r="A764" t="s">
        <v>1538</v>
      </c>
      <c r="B764" s="1">
        <v>45016</v>
      </c>
      <c r="C764" t="s">
        <v>217</v>
      </c>
      <c r="D764">
        <v>2023</v>
      </c>
      <c r="E764" t="s">
        <v>162</v>
      </c>
      <c r="F764" t="s">
        <v>428</v>
      </c>
      <c r="G764" t="s">
        <v>111</v>
      </c>
      <c r="H764" t="s">
        <v>112</v>
      </c>
      <c r="I764" t="s">
        <v>90</v>
      </c>
      <c r="J764" t="s">
        <v>97</v>
      </c>
      <c r="K764" t="s">
        <v>178</v>
      </c>
      <c r="L764" t="s">
        <v>179</v>
      </c>
      <c r="M764">
        <v>1</v>
      </c>
      <c r="N764">
        <v>189.99</v>
      </c>
      <c r="O764">
        <v>189.99</v>
      </c>
      <c r="P764">
        <v>20</v>
      </c>
      <c r="Q764">
        <v>38</v>
      </c>
      <c r="R764">
        <v>151.99</v>
      </c>
      <c r="S764">
        <v>63.51</v>
      </c>
      <c r="T764">
        <v>88.48</v>
      </c>
      <c r="U764" t="s">
        <v>195</v>
      </c>
      <c r="V764" t="s">
        <v>186</v>
      </c>
    </row>
    <row r="765" spans="1:22">
      <c r="A765" t="s">
        <v>374</v>
      </c>
      <c r="B765" s="1">
        <v>45016</v>
      </c>
      <c r="C765" t="s">
        <v>217</v>
      </c>
      <c r="D765">
        <v>2023</v>
      </c>
      <c r="E765" t="s">
        <v>162</v>
      </c>
      <c r="F765" t="s">
        <v>375</v>
      </c>
      <c r="G765" t="s">
        <v>53</v>
      </c>
      <c r="H765" t="s">
        <v>54</v>
      </c>
      <c r="I765" t="s">
        <v>41</v>
      </c>
      <c r="J765" t="s">
        <v>45</v>
      </c>
      <c r="K765" t="s">
        <v>209</v>
      </c>
      <c r="L765" t="s">
        <v>157</v>
      </c>
      <c r="M765">
        <v>3</v>
      </c>
      <c r="N765">
        <v>51.98</v>
      </c>
      <c r="O765">
        <v>155.94</v>
      </c>
      <c r="P765">
        <v>0</v>
      </c>
      <c r="Q765">
        <v>0</v>
      </c>
      <c r="R765">
        <v>155.94</v>
      </c>
      <c r="S765">
        <v>99.12</v>
      </c>
      <c r="T765">
        <v>56.82</v>
      </c>
      <c r="U765" t="s">
        <v>180</v>
      </c>
      <c r="V765" t="s">
        <v>181</v>
      </c>
    </row>
    <row r="766" spans="1:22">
      <c r="A766" t="s">
        <v>1786</v>
      </c>
      <c r="B766" s="1">
        <v>45016</v>
      </c>
      <c r="C766" t="s">
        <v>217</v>
      </c>
      <c r="D766">
        <v>2023</v>
      </c>
      <c r="E766" t="s">
        <v>162</v>
      </c>
      <c r="F766" t="s">
        <v>1787</v>
      </c>
      <c r="G766" t="s">
        <v>113</v>
      </c>
      <c r="H766" t="s">
        <v>114</v>
      </c>
      <c r="I766" t="s">
        <v>115</v>
      </c>
      <c r="J766" t="s">
        <v>116</v>
      </c>
      <c r="K766" t="s">
        <v>164</v>
      </c>
      <c r="L766" t="s">
        <v>165</v>
      </c>
      <c r="M766">
        <v>3</v>
      </c>
      <c r="N766">
        <v>18.7</v>
      </c>
      <c r="O766">
        <v>56.099999999999994</v>
      </c>
      <c r="P766">
        <v>5</v>
      </c>
      <c r="Q766">
        <v>2.81</v>
      </c>
      <c r="R766">
        <v>53.29</v>
      </c>
      <c r="S766">
        <v>20.58</v>
      </c>
      <c r="T766">
        <v>32.71</v>
      </c>
      <c r="U766" t="s">
        <v>166</v>
      </c>
      <c r="V766" t="s">
        <v>159</v>
      </c>
    </row>
    <row r="767" spans="1:22">
      <c r="A767" t="s">
        <v>372</v>
      </c>
      <c r="B767" s="1">
        <v>45016</v>
      </c>
      <c r="C767" t="s">
        <v>217</v>
      </c>
      <c r="D767">
        <v>2023</v>
      </c>
      <c r="E767" t="s">
        <v>162</v>
      </c>
      <c r="F767" t="s">
        <v>373</v>
      </c>
      <c r="G767" t="s">
        <v>101</v>
      </c>
      <c r="H767" t="s">
        <v>102</v>
      </c>
      <c r="I767" t="s">
        <v>90</v>
      </c>
      <c r="J767" t="s">
        <v>100</v>
      </c>
      <c r="K767" t="s">
        <v>209</v>
      </c>
      <c r="L767" t="s">
        <v>157</v>
      </c>
      <c r="M767">
        <v>3</v>
      </c>
      <c r="N767">
        <v>196.28</v>
      </c>
      <c r="O767">
        <v>588.84</v>
      </c>
      <c r="P767">
        <v>20</v>
      </c>
      <c r="Q767">
        <v>117.77</v>
      </c>
      <c r="R767">
        <v>471.07</v>
      </c>
      <c r="S767">
        <v>215.19</v>
      </c>
      <c r="T767">
        <v>255.88</v>
      </c>
      <c r="U767" t="s">
        <v>158</v>
      </c>
      <c r="V767" t="s">
        <v>159</v>
      </c>
    </row>
    <row r="768" spans="1:22">
      <c r="A768" t="s">
        <v>1719</v>
      </c>
      <c r="B768" s="1">
        <v>45014</v>
      </c>
      <c r="C768" t="s">
        <v>217</v>
      </c>
      <c r="D768">
        <v>2023</v>
      </c>
      <c r="E768" t="s">
        <v>162</v>
      </c>
      <c r="F768" t="s">
        <v>321</v>
      </c>
      <c r="G768" t="s">
        <v>86</v>
      </c>
      <c r="H768" t="s">
        <v>87</v>
      </c>
      <c r="I768" t="s">
        <v>66</v>
      </c>
      <c r="J768" t="s">
        <v>67</v>
      </c>
      <c r="K768" t="s">
        <v>178</v>
      </c>
      <c r="L768" t="s">
        <v>157</v>
      </c>
      <c r="M768">
        <v>4</v>
      </c>
      <c r="N768">
        <v>124.77</v>
      </c>
      <c r="O768">
        <v>499.08</v>
      </c>
      <c r="P768">
        <v>5</v>
      </c>
      <c r="Q768">
        <v>24.95</v>
      </c>
      <c r="R768">
        <v>474.13</v>
      </c>
      <c r="S768">
        <v>278.56</v>
      </c>
      <c r="T768">
        <v>195.57</v>
      </c>
      <c r="U768" t="s">
        <v>195</v>
      </c>
      <c r="V768" t="s">
        <v>181</v>
      </c>
    </row>
    <row r="769" spans="1:22">
      <c r="A769" t="s">
        <v>1871</v>
      </c>
      <c r="B769" s="1">
        <v>45013</v>
      </c>
      <c r="C769" t="s">
        <v>217</v>
      </c>
      <c r="D769">
        <v>2023</v>
      </c>
      <c r="E769" t="s">
        <v>162</v>
      </c>
      <c r="F769" t="s">
        <v>1872</v>
      </c>
      <c r="G769" t="s">
        <v>62</v>
      </c>
      <c r="H769" t="s">
        <v>63</v>
      </c>
      <c r="I769" t="s">
        <v>41</v>
      </c>
      <c r="J769" t="s">
        <v>45</v>
      </c>
      <c r="K769" t="s">
        <v>178</v>
      </c>
      <c r="L769" t="s">
        <v>174</v>
      </c>
      <c r="M769">
        <v>1</v>
      </c>
      <c r="N769">
        <v>160.35</v>
      </c>
      <c r="O769">
        <v>160.35</v>
      </c>
      <c r="P769">
        <v>0</v>
      </c>
      <c r="Q769">
        <v>0</v>
      </c>
      <c r="R769">
        <v>160.35</v>
      </c>
      <c r="S769">
        <v>72.47</v>
      </c>
      <c r="T769">
        <v>87.88</v>
      </c>
      <c r="U769" t="s">
        <v>180</v>
      </c>
      <c r="V769" t="s">
        <v>186</v>
      </c>
    </row>
    <row r="770" spans="1:22">
      <c r="A770" t="s">
        <v>1621</v>
      </c>
      <c r="B770" s="1">
        <v>45013</v>
      </c>
      <c r="C770" t="s">
        <v>217</v>
      </c>
      <c r="D770">
        <v>2023</v>
      </c>
      <c r="E770" t="s">
        <v>162</v>
      </c>
      <c r="F770" t="s">
        <v>1622</v>
      </c>
      <c r="G770" t="s">
        <v>23</v>
      </c>
      <c r="H770" t="s">
        <v>24</v>
      </c>
      <c r="I770" t="s">
        <v>14</v>
      </c>
      <c r="J770" t="s">
        <v>19</v>
      </c>
      <c r="K770" t="s">
        <v>209</v>
      </c>
      <c r="L770" t="s">
        <v>165</v>
      </c>
      <c r="M770">
        <v>4</v>
      </c>
      <c r="N770">
        <v>154.03</v>
      </c>
      <c r="O770">
        <v>616.12</v>
      </c>
      <c r="P770">
        <v>10</v>
      </c>
      <c r="Q770">
        <v>61.61</v>
      </c>
      <c r="R770">
        <v>554.51</v>
      </c>
      <c r="S770">
        <v>307.16000000000003</v>
      </c>
      <c r="T770">
        <v>247.35</v>
      </c>
      <c r="U770" t="s">
        <v>195</v>
      </c>
      <c r="V770" t="s">
        <v>181</v>
      </c>
    </row>
    <row r="771" spans="1:22">
      <c r="A771" t="s">
        <v>1329</v>
      </c>
      <c r="B771" s="1">
        <v>45012</v>
      </c>
      <c r="C771" t="s">
        <v>217</v>
      </c>
      <c r="D771">
        <v>2023</v>
      </c>
      <c r="E771" t="s">
        <v>162</v>
      </c>
      <c r="F771" t="s">
        <v>1330</v>
      </c>
      <c r="G771" t="s">
        <v>131</v>
      </c>
      <c r="H771" t="s">
        <v>132</v>
      </c>
      <c r="I771" t="s">
        <v>115</v>
      </c>
      <c r="J771" t="s">
        <v>119</v>
      </c>
      <c r="K771" t="s">
        <v>209</v>
      </c>
      <c r="L771" t="s">
        <v>174</v>
      </c>
      <c r="M771">
        <v>1</v>
      </c>
      <c r="N771">
        <v>75.69</v>
      </c>
      <c r="O771">
        <v>75.69</v>
      </c>
      <c r="P771">
        <v>0</v>
      </c>
      <c r="Q771">
        <v>0</v>
      </c>
      <c r="R771">
        <v>75.69</v>
      </c>
      <c r="S771">
        <v>35.630000000000003</v>
      </c>
      <c r="T771">
        <v>40.06</v>
      </c>
      <c r="U771" t="s">
        <v>158</v>
      </c>
      <c r="V771" t="s">
        <v>186</v>
      </c>
    </row>
    <row r="772" spans="1:22">
      <c r="A772" t="s">
        <v>1113</v>
      </c>
      <c r="B772" s="1">
        <v>45011</v>
      </c>
      <c r="C772" t="s">
        <v>217</v>
      </c>
      <c r="D772">
        <v>2023</v>
      </c>
      <c r="E772" t="s">
        <v>162</v>
      </c>
      <c r="F772" t="s">
        <v>1114</v>
      </c>
      <c r="G772" t="s">
        <v>125</v>
      </c>
      <c r="H772" t="s">
        <v>126</v>
      </c>
      <c r="I772" t="s">
        <v>115</v>
      </c>
      <c r="J772" t="s">
        <v>116</v>
      </c>
      <c r="K772" t="s">
        <v>156</v>
      </c>
      <c r="L772" t="s">
        <v>179</v>
      </c>
      <c r="M772">
        <v>1</v>
      </c>
      <c r="N772">
        <v>144.94999999999999</v>
      </c>
      <c r="O772">
        <v>144.94999999999999</v>
      </c>
      <c r="P772">
        <v>0</v>
      </c>
      <c r="Q772">
        <v>0</v>
      </c>
      <c r="R772">
        <v>144.94999999999999</v>
      </c>
      <c r="S772">
        <v>77.19</v>
      </c>
      <c r="T772">
        <v>67.760000000000005</v>
      </c>
      <c r="U772" t="s">
        <v>180</v>
      </c>
      <c r="V772" t="s">
        <v>159</v>
      </c>
    </row>
    <row r="773" spans="1:22">
      <c r="A773" t="s">
        <v>1098</v>
      </c>
      <c r="B773" s="1">
        <v>45011</v>
      </c>
      <c r="C773" t="s">
        <v>217</v>
      </c>
      <c r="D773">
        <v>2023</v>
      </c>
      <c r="E773" t="s">
        <v>162</v>
      </c>
      <c r="F773" t="s">
        <v>892</v>
      </c>
      <c r="G773" t="s">
        <v>88</v>
      </c>
      <c r="H773" t="s">
        <v>89</v>
      </c>
      <c r="I773" t="s">
        <v>90</v>
      </c>
      <c r="J773" t="s">
        <v>91</v>
      </c>
      <c r="K773" t="s">
        <v>164</v>
      </c>
      <c r="L773" t="s">
        <v>194</v>
      </c>
      <c r="M773">
        <v>4</v>
      </c>
      <c r="N773">
        <v>54.64</v>
      </c>
      <c r="O773">
        <v>218.56</v>
      </c>
      <c r="P773">
        <v>20</v>
      </c>
      <c r="Q773">
        <v>43.71</v>
      </c>
      <c r="R773">
        <v>174.85</v>
      </c>
      <c r="S773">
        <v>81.28</v>
      </c>
      <c r="T773">
        <v>93.57</v>
      </c>
      <c r="U773" t="s">
        <v>190</v>
      </c>
      <c r="V773" t="s">
        <v>159</v>
      </c>
    </row>
    <row r="774" spans="1:22">
      <c r="A774" t="s">
        <v>1688</v>
      </c>
      <c r="B774" s="1">
        <v>45011</v>
      </c>
      <c r="C774" t="s">
        <v>217</v>
      </c>
      <c r="D774">
        <v>2023</v>
      </c>
      <c r="E774" t="s">
        <v>162</v>
      </c>
      <c r="F774" t="s">
        <v>1689</v>
      </c>
      <c r="G774" t="s">
        <v>125</v>
      </c>
      <c r="H774" t="s">
        <v>126</v>
      </c>
      <c r="I774" t="s">
        <v>115</v>
      </c>
      <c r="J774" t="s">
        <v>116</v>
      </c>
      <c r="K774" t="s">
        <v>156</v>
      </c>
      <c r="L774" t="s">
        <v>232</v>
      </c>
      <c r="M774">
        <v>3</v>
      </c>
      <c r="N774">
        <v>144.94999999999999</v>
      </c>
      <c r="O774">
        <v>434.84999999999997</v>
      </c>
      <c r="P774">
        <v>10</v>
      </c>
      <c r="Q774">
        <v>43.48</v>
      </c>
      <c r="R774">
        <v>391.37</v>
      </c>
      <c r="S774">
        <v>231.57</v>
      </c>
      <c r="T774">
        <v>159.80000000000001</v>
      </c>
      <c r="U774" t="s">
        <v>158</v>
      </c>
      <c r="V774" t="s">
        <v>159</v>
      </c>
    </row>
    <row r="775" spans="1:22">
      <c r="A775" t="s">
        <v>221</v>
      </c>
      <c r="B775" s="1">
        <v>45010</v>
      </c>
      <c r="C775" t="s">
        <v>217</v>
      </c>
      <c r="D775">
        <v>2023</v>
      </c>
      <c r="E775" t="s">
        <v>162</v>
      </c>
      <c r="F775" t="s">
        <v>222</v>
      </c>
      <c r="G775" t="s">
        <v>131</v>
      </c>
      <c r="H775" t="s">
        <v>132</v>
      </c>
      <c r="I775" t="s">
        <v>115</v>
      </c>
      <c r="J775" t="s">
        <v>119</v>
      </c>
      <c r="K775" t="s">
        <v>178</v>
      </c>
      <c r="L775" t="s">
        <v>174</v>
      </c>
      <c r="M775">
        <v>1</v>
      </c>
      <c r="N775">
        <v>75.69</v>
      </c>
      <c r="O775">
        <v>75.69</v>
      </c>
      <c r="P775">
        <v>20</v>
      </c>
      <c r="Q775">
        <v>15.14</v>
      </c>
      <c r="R775">
        <v>60.55</v>
      </c>
      <c r="S775">
        <v>35.630000000000003</v>
      </c>
      <c r="T775">
        <v>24.92</v>
      </c>
      <c r="U775" t="s">
        <v>166</v>
      </c>
      <c r="V775" t="s">
        <v>159</v>
      </c>
    </row>
    <row r="776" spans="1:22">
      <c r="A776" t="s">
        <v>1516</v>
      </c>
      <c r="B776" s="1">
        <v>45009</v>
      </c>
      <c r="C776" t="s">
        <v>217</v>
      </c>
      <c r="D776">
        <v>2023</v>
      </c>
      <c r="E776" t="s">
        <v>162</v>
      </c>
      <c r="F776" t="s">
        <v>1517</v>
      </c>
      <c r="G776" t="s">
        <v>30</v>
      </c>
      <c r="H776" t="s">
        <v>31</v>
      </c>
      <c r="I776" t="s">
        <v>14</v>
      </c>
      <c r="J776" t="s">
        <v>32</v>
      </c>
      <c r="K776" t="s">
        <v>178</v>
      </c>
      <c r="L776" t="s">
        <v>232</v>
      </c>
      <c r="M776">
        <v>4</v>
      </c>
      <c r="N776">
        <v>113.18</v>
      </c>
      <c r="O776">
        <v>452.72</v>
      </c>
      <c r="P776">
        <v>0</v>
      </c>
      <c r="Q776">
        <v>0</v>
      </c>
      <c r="R776">
        <v>452.72</v>
      </c>
      <c r="S776">
        <v>156.04</v>
      </c>
      <c r="T776">
        <v>296.68</v>
      </c>
      <c r="U776" t="s">
        <v>166</v>
      </c>
      <c r="V776" t="s">
        <v>181</v>
      </c>
    </row>
    <row r="777" spans="1:22">
      <c r="A777" t="s">
        <v>1823</v>
      </c>
      <c r="B777" s="1">
        <v>45009</v>
      </c>
      <c r="C777" t="s">
        <v>217</v>
      </c>
      <c r="D777">
        <v>2023</v>
      </c>
      <c r="E777" t="s">
        <v>162</v>
      </c>
      <c r="F777" t="s">
        <v>1261</v>
      </c>
      <c r="G777" t="s">
        <v>107</v>
      </c>
      <c r="H777" t="s">
        <v>108</v>
      </c>
      <c r="I777" t="s">
        <v>90</v>
      </c>
      <c r="J777" t="s">
        <v>100</v>
      </c>
      <c r="K777" t="s">
        <v>156</v>
      </c>
      <c r="L777" t="s">
        <v>232</v>
      </c>
      <c r="M777">
        <v>3</v>
      </c>
      <c r="N777">
        <v>26.61</v>
      </c>
      <c r="O777">
        <v>79.83</v>
      </c>
      <c r="P777">
        <v>0</v>
      </c>
      <c r="Q777">
        <v>0</v>
      </c>
      <c r="R777">
        <v>79.83</v>
      </c>
      <c r="S777">
        <v>31.92</v>
      </c>
      <c r="T777">
        <v>47.91</v>
      </c>
      <c r="U777" t="s">
        <v>166</v>
      </c>
      <c r="V777" t="s">
        <v>159</v>
      </c>
    </row>
    <row r="778" spans="1:22">
      <c r="A778" t="s">
        <v>537</v>
      </c>
      <c r="B778" s="1">
        <v>45009</v>
      </c>
      <c r="C778" t="s">
        <v>217</v>
      </c>
      <c r="D778">
        <v>2023</v>
      </c>
      <c r="E778" t="s">
        <v>162</v>
      </c>
      <c r="F778" t="s">
        <v>538</v>
      </c>
      <c r="G778" t="s">
        <v>37</v>
      </c>
      <c r="H778" t="s">
        <v>38</v>
      </c>
      <c r="I778" t="s">
        <v>14</v>
      </c>
      <c r="J778" t="s">
        <v>27</v>
      </c>
      <c r="K778" t="s">
        <v>156</v>
      </c>
      <c r="L778" t="s">
        <v>194</v>
      </c>
      <c r="M778">
        <v>3</v>
      </c>
      <c r="N778">
        <v>133.99</v>
      </c>
      <c r="O778">
        <v>401.97</v>
      </c>
      <c r="P778">
        <v>0</v>
      </c>
      <c r="Q778">
        <v>0</v>
      </c>
      <c r="R778">
        <v>401.97</v>
      </c>
      <c r="S778">
        <v>220.47</v>
      </c>
      <c r="T778">
        <v>181.5</v>
      </c>
      <c r="U778" t="s">
        <v>166</v>
      </c>
      <c r="V778" t="s">
        <v>159</v>
      </c>
    </row>
    <row r="779" spans="1:22">
      <c r="A779" t="s">
        <v>470</v>
      </c>
      <c r="B779" s="1">
        <v>45009</v>
      </c>
      <c r="C779" t="s">
        <v>217</v>
      </c>
      <c r="D779">
        <v>2023</v>
      </c>
      <c r="E779" t="s">
        <v>162</v>
      </c>
      <c r="F779" t="s">
        <v>471</v>
      </c>
      <c r="G779" t="s">
        <v>33</v>
      </c>
      <c r="H779" t="s">
        <v>34</v>
      </c>
      <c r="I779" t="s">
        <v>14</v>
      </c>
      <c r="J779" t="s">
        <v>27</v>
      </c>
      <c r="K779" t="s">
        <v>164</v>
      </c>
      <c r="L779" t="s">
        <v>232</v>
      </c>
      <c r="M779">
        <v>3</v>
      </c>
      <c r="N779">
        <v>124.26</v>
      </c>
      <c r="O779">
        <v>372.78000000000003</v>
      </c>
      <c r="P779">
        <v>0</v>
      </c>
      <c r="Q779">
        <v>0</v>
      </c>
      <c r="R779">
        <v>372.78</v>
      </c>
      <c r="S779">
        <v>157.86000000000001</v>
      </c>
      <c r="T779">
        <v>214.92</v>
      </c>
      <c r="U779" t="s">
        <v>190</v>
      </c>
      <c r="V779" t="s">
        <v>186</v>
      </c>
    </row>
    <row r="780" spans="1:22">
      <c r="A780" t="s">
        <v>768</v>
      </c>
      <c r="B780" s="1">
        <v>45008</v>
      </c>
      <c r="C780" t="s">
        <v>217</v>
      </c>
      <c r="D780">
        <v>2023</v>
      </c>
      <c r="E780" t="s">
        <v>162</v>
      </c>
      <c r="F780" t="s">
        <v>769</v>
      </c>
      <c r="G780" t="s">
        <v>98</v>
      </c>
      <c r="H780" t="s">
        <v>99</v>
      </c>
      <c r="I780" t="s">
        <v>90</v>
      </c>
      <c r="J780" t="s">
        <v>100</v>
      </c>
      <c r="K780" t="s">
        <v>164</v>
      </c>
      <c r="L780" t="s">
        <v>204</v>
      </c>
      <c r="M780">
        <v>2</v>
      </c>
      <c r="N780">
        <v>194.87</v>
      </c>
      <c r="O780">
        <v>389.74</v>
      </c>
      <c r="P780">
        <v>10</v>
      </c>
      <c r="Q780">
        <v>38.97</v>
      </c>
      <c r="R780">
        <v>350.77</v>
      </c>
      <c r="S780">
        <v>157.58000000000001</v>
      </c>
      <c r="T780">
        <v>193.19</v>
      </c>
      <c r="U780" t="s">
        <v>190</v>
      </c>
      <c r="V780" t="s">
        <v>186</v>
      </c>
    </row>
    <row r="781" spans="1:22">
      <c r="A781" t="s">
        <v>1585</v>
      </c>
      <c r="B781" s="1">
        <v>45008</v>
      </c>
      <c r="C781" t="s">
        <v>217</v>
      </c>
      <c r="D781">
        <v>2023</v>
      </c>
      <c r="E781" t="s">
        <v>162</v>
      </c>
      <c r="F781" t="s">
        <v>1586</v>
      </c>
      <c r="G781" t="s">
        <v>53</v>
      </c>
      <c r="H781" t="s">
        <v>54</v>
      </c>
      <c r="I781" t="s">
        <v>41</v>
      </c>
      <c r="J781" t="s">
        <v>45</v>
      </c>
      <c r="K781" t="s">
        <v>164</v>
      </c>
      <c r="L781" t="s">
        <v>204</v>
      </c>
      <c r="M781">
        <v>2</v>
      </c>
      <c r="N781">
        <v>51.98</v>
      </c>
      <c r="O781">
        <v>103.96</v>
      </c>
      <c r="P781">
        <v>10</v>
      </c>
      <c r="Q781">
        <v>10.4</v>
      </c>
      <c r="R781">
        <v>93.56</v>
      </c>
      <c r="S781">
        <v>66.08</v>
      </c>
      <c r="T781">
        <v>27.48</v>
      </c>
      <c r="U781" t="s">
        <v>158</v>
      </c>
      <c r="V781" t="s">
        <v>159</v>
      </c>
    </row>
    <row r="782" spans="1:22">
      <c r="A782" t="s">
        <v>1690</v>
      </c>
      <c r="B782" s="1">
        <v>45007</v>
      </c>
      <c r="C782" t="s">
        <v>217</v>
      </c>
      <c r="D782">
        <v>2023</v>
      </c>
      <c r="E782" t="s">
        <v>162</v>
      </c>
      <c r="F782" t="s">
        <v>694</v>
      </c>
      <c r="G782" t="s">
        <v>30</v>
      </c>
      <c r="H782" t="s">
        <v>31</v>
      </c>
      <c r="I782" t="s">
        <v>14</v>
      </c>
      <c r="J782" t="s">
        <v>32</v>
      </c>
      <c r="K782" t="s">
        <v>164</v>
      </c>
      <c r="L782" t="s">
        <v>174</v>
      </c>
      <c r="M782">
        <v>4</v>
      </c>
      <c r="N782">
        <v>113.18</v>
      </c>
      <c r="O782">
        <v>452.72</v>
      </c>
      <c r="P782">
        <v>20</v>
      </c>
      <c r="Q782">
        <v>90.54</v>
      </c>
      <c r="R782">
        <v>362.18</v>
      </c>
      <c r="S782">
        <v>156.04</v>
      </c>
      <c r="T782">
        <v>206.14</v>
      </c>
      <c r="U782" t="s">
        <v>158</v>
      </c>
      <c r="V782" t="s">
        <v>159</v>
      </c>
    </row>
    <row r="783" spans="1:22">
      <c r="A783" t="s">
        <v>941</v>
      </c>
      <c r="B783" s="1">
        <v>45007</v>
      </c>
      <c r="C783" t="s">
        <v>217</v>
      </c>
      <c r="D783">
        <v>2023</v>
      </c>
      <c r="E783" t="s">
        <v>162</v>
      </c>
      <c r="F783" t="s">
        <v>942</v>
      </c>
      <c r="G783" t="s">
        <v>62</v>
      </c>
      <c r="H783" t="s">
        <v>63</v>
      </c>
      <c r="I783" t="s">
        <v>41</v>
      </c>
      <c r="J783" t="s">
        <v>45</v>
      </c>
      <c r="K783" t="s">
        <v>164</v>
      </c>
      <c r="L783" t="s">
        <v>179</v>
      </c>
      <c r="M783">
        <v>3</v>
      </c>
      <c r="N783">
        <v>160.35</v>
      </c>
      <c r="O783">
        <v>481.04999999999995</v>
      </c>
      <c r="P783">
        <v>0</v>
      </c>
      <c r="Q783">
        <v>0</v>
      </c>
      <c r="R783">
        <v>481.05</v>
      </c>
      <c r="S783">
        <v>217.41</v>
      </c>
      <c r="T783">
        <v>263.64</v>
      </c>
      <c r="U783" t="s">
        <v>180</v>
      </c>
      <c r="V783" t="s">
        <v>159</v>
      </c>
    </row>
    <row r="784" spans="1:22">
      <c r="A784" t="s">
        <v>408</v>
      </c>
      <c r="B784" s="1">
        <v>45006</v>
      </c>
      <c r="C784" t="s">
        <v>217</v>
      </c>
      <c r="D784">
        <v>2023</v>
      </c>
      <c r="E784" t="s">
        <v>162</v>
      </c>
      <c r="F784" t="s">
        <v>407</v>
      </c>
      <c r="G784" t="s">
        <v>109</v>
      </c>
      <c r="H784" t="s">
        <v>110</v>
      </c>
      <c r="I784" t="s">
        <v>90</v>
      </c>
      <c r="J784" t="s">
        <v>100</v>
      </c>
      <c r="K784" t="s">
        <v>209</v>
      </c>
      <c r="L784" t="s">
        <v>165</v>
      </c>
      <c r="M784">
        <v>1</v>
      </c>
      <c r="N784">
        <v>77.67</v>
      </c>
      <c r="O784">
        <v>77.67</v>
      </c>
      <c r="P784">
        <v>0</v>
      </c>
      <c r="Q784">
        <v>0</v>
      </c>
      <c r="R784">
        <v>77.67</v>
      </c>
      <c r="S784">
        <v>28.12</v>
      </c>
      <c r="T784">
        <v>49.55</v>
      </c>
      <c r="U784" t="s">
        <v>158</v>
      </c>
      <c r="V784" t="s">
        <v>159</v>
      </c>
    </row>
    <row r="785" spans="1:22">
      <c r="A785" t="s">
        <v>649</v>
      </c>
      <c r="B785" s="1">
        <v>45006</v>
      </c>
      <c r="C785" t="s">
        <v>217</v>
      </c>
      <c r="D785">
        <v>2023</v>
      </c>
      <c r="E785" t="s">
        <v>162</v>
      </c>
      <c r="F785" t="s">
        <v>650</v>
      </c>
      <c r="G785" t="s">
        <v>53</v>
      </c>
      <c r="H785" t="s">
        <v>54</v>
      </c>
      <c r="I785" t="s">
        <v>41</v>
      </c>
      <c r="J785" t="s">
        <v>45</v>
      </c>
      <c r="K785" t="s">
        <v>156</v>
      </c>
      <c r="L785" t="s">
        <v>165</v>
      </c>
      <c r="M785">
        <v>4</v>
      </c>
      <c r="N785">
        <v>51.98</v>
      </c>
      <c r="O785">
        <v>207.92</v>
      </c>
      <c r="P785">
        <v>0</v>
      </c>
      <c r="Q785">
        <v>0</v>
      </c>
      <c r="R785">
        <v>207.92</v>
      </c>
      <c r="S785">
        <v>132.16</v>
      </c>
      <c r="T785">
        <v>75.760000000000005</v>
      </c>
      <c r="U785" t="s">
        <v>158</v>
      </c>
      <c r="V785" t="s">
        <v>159</v>
      </c>
    </row>
    <row r="786" spans="1:22">
      <c r="A786" t="s">
        <v>1254</v>
      </c>
      <c r="B786" s="1">
        <v>45006</v>
      </c>
      <c r="C786" t="s">
        <v>217</v>
      </c>
      <c r="D786">
        <v>2023</v>
      </c>
      <c r="E786" t="s">
        <v>162</v>
      </c>
      <c r="F786" t="s">
        <v>1255</v>
      </c>
      <c r="G786" t="s">
        <v>80</v>
      </c>
      <c r="H786" t="s">
        <v>81</v>
      </c>
      <c r="I786" t="s">
        <v>66</v>
      </c>
      <c r="J786" t="s">
        <v>70</v>
      </c>
      <c r="K786" t="s">
        <v>178</v>
      </c>
      <c r="L786" t="s">
        <v>194</v>
      </c>
      <c r="M786">
        <v>3</v>
      </c>
      <c r="N786">
        <v>106.06</v>
      </c>
      <c r="O786">
        <v>318.18</v>
      </c>
      <c r="P786">
        <v>0</v>
      </c>
      <c r="Q786">
        <v>0</v>
      </c>
      <c r="R786">
        <v>318.18</v>
      </c>
      <c r="S786">
        <v>100.26</v>
      </c>
      <c r="T786">
        <v>217.92</v>
      </c>
      <c r="U786" t="s">
        <v>166</v>
      </c>
      <c r="V786" t="s">
        <v>186</v>
      </c>
    </row>
    <row r="787" spans="1:22">
      <c r="A787" t="s">
        <v>216</v>
      </c>
      <c r="B787" s="1">
        <v>45005</v>
      </c>
      <c r="C787" t="s">
        <v>217</v>
      </c>
      <c r="D787">
        <v>2023</v>
      </c>
      <c r="E787" t="s">
        <v>162</v>
      </c>
      <c r="F787" t="s">
        <v>218</v>
      </c>
      <c r="G787" t="s">
        <v>46</v>
      </c>
      <c r="H787" t="s">
        <v>47</v>
      </c>
      <c r="I787" t="s">
        <v>41</v>
      </c>
      <c r="J787" t="s">
        <v>45</v>
      </c>
      <c r="K787" t="s">
        <v>156</v>
      </c>
      <c r="L787" t="s">
        <v>204</v>
      </c>
      <c r="M787">
        <v>1</v>
      </c>
      <c r="N787">
        <v>16.95</v>
      </c>
      <c r="O787">
        <v>16.95</v>
      </c>
      <c r="P787">
        <v>10</v>
      </c>
      <c r="Q787">
        <v>1.7</v>
      </c>
      <c r="R787">
        <v>15.25</v>
      </c>
      <c r="S787">
        <v>9.76</v>
      </c>
      <c r="T787">
        <v>5.49</v>
      </c>
      <c r="U787" t="s">
        <v>158</v>
      </c>
      <c r="V787" t="s">
        <v>181</v>
      </c>
    </row>
    <row r="788" spans="1:22">
      <c r="A788" t="s">
        <v>1964</v>
      </c>
      <c r="B788" s="1">
        <v>45004</v>
      </c>
      <c r="C788" t="s">
        <v>217</v>
      </c>
      <c r="D788">
        <v>2023</v>
      </c>
      <c r="E788" t="s">
        <v>162</v>
      </c>
      <c r="F788" t="s">
        <v>1787</v>
      </c>
      <c r="G788" t="s">
        <v>131</v>
      </c>
      <c r="H788" t="s">
        <v>132</v>
      </c>
      <c r="I788" t="s">
        <v>115</v>
      </c>
      <c r="J788" t="s">
        <v>119</v>
      </c>
      <c r="K788" t="s">
        <v>164</v>
      </c>
      <c r="L788" t="s">
        <v>174</v>
      </c>
      <c r="M788">
        <v>4</v>
      </c>
      <c r="N788">
        <v>75.69</v>
      </c>
      <c r="O788">
        <v>302.76</v>
      </c>
      <c r="P788">
        <v>20</v>
      </c>
      <c r="Q788">
        <v>60.55</v>
      </c>
      <c r="R788">
        <v>242.21</v>
      </c>
      <c r="S788">
        <v>142.52000000000001</v>
      </c>
      <c r="T788">
        <v>99.69</v>
      </c>
      <c r="U788" t="s">
        <v>190</v>
      </c>
      <c r="V788" t="s">
        <v>159</v>
      </c>
    </row>
    <row r="789" spans="1:22">
      <c r="A789" t="s">
        <v>1748</v>
      </c>
      <c r="B789" s="1">
        <v>45004</v>
      </c>
      <c r="C789" t="s">
        <v>217</v>
      </c>
      <c r="D789">
        <v>2023</v>
      </c>
      <c r="E789" t="s">
        <v>162</v>
      </c>
      <c r="F789" t="s">
        <v>1181</v>
      </c>
      <c r="G789" t="s">
        <v>33</v>
      </c>
      <c r="H789" t="s">
        <v>34</v>
      </c>
      <c r="I789" t="s">
        <v>14</v>
      </c>
      <c r="J789" t="s">
        <v>27</v>
      </c>
      <c r="K789" t="s">
        <v>156</v>
      </c>
      <c r="L789" t="s">
        <v>232</v>
      </c>
      <c r="M789">
        <v>2</v>
      </c>
      <c r="N789">
        <v>124.26</v>
      </c>
      <c r="O789">
        <v>248.52</v>
      </c>
      <c r="P789">
        <v>5</v>
      </c>
      <c r="Q789">
        <v>12.43</v>
      </c>
      <c r="R789">
        <v>236.09</v>
      </c>
      <c r="S789">
        <v>105.24</v>
      </c>
      <c r="T789">
        <v>130.85</v>
      </c>
      <c r="U789" t="s">
        <v>158</v>
      </c>
      <c r="V789" t="s">
        <v>159</v>
      </c>
    </row>
    <row r="790" spans="1:22">
      <c r="A790" t="s">
        <v>1042</v>
      </c>
      <c r="B790" s="1">
        <v>45004</v>
      </c>
      <c r="C790" t="s">
        <v>217</v>
      </c>
      <c r="D790">
        <v>2023</v>
      </c>
      <c r="E790" t="s">
        <v>162</v>
      </c>
      <c r="F790" t="s">
        <v>1043</v>
      </c>
      <c r="G790" t="s">
        <v>62</v>
      </c>
      <c r="H790" t="s">
        <v>63</v>
      </c>
      <c r="I790" t="s">
        <v>41</v>
      </c>
      <c r="J790" t="s">
        <v>45</v>
      </c>
      <c r="K790" t="s">
        <v>156</v>
      </c>
      <c r="L790" t="s">
        <v>194</v>
      </c>
      <c r="M790">
        <v>4</v>
      </c>
      <c r="N790">
        <v>160.35</v>
      </c>
      <c r="O790">
        <v>641.4</v>
      </c>
      <c r="P790">
        <v>0</v>
      </c>
      <c r="Q790">
        <v>0</v>
      </c>
      <c r="R790">
        <v>641.4</v>
      </c>
      <c r="S790">
        <v>289.88</v>
      </c>
      <c r="T790">
        <v>351.52</v>
      </c>
      <c r="U790" t="s">
        <v>180</v>
      </c>
      <c r="V790" t="s">
        <v>181</v>
      </c>
    </row>
    <row r="791" spans="1:22">
      <c r="A791" t="s">
        <v>441</v>
      </c>
      <c r="B791" s="1">
        <v>45004</v>
      </c>
      <c r="C791" t="s">
        <v>217</v>
      </c>
      <c r="D791">
        <v>2023</v>
      </c>
      <c r="E791" t="s">
        <v>162</v>
      </c>
      <c r="F791" t="s">
        <v>442</v>
      </c>
      <c r="G791" t="s">
        <v>64</v>
      </c>
      <c r="H791" t="s">
        <v>65</v>
      </c>
      <c r="I791" t="s">
        <v>66</v>
      </c>
      <c r="J791" t="s">
        <v>67</v>
      </c>
      <c r="K791" t="s">
        <v>209</v>
      </c>
      <c r="L791" t="s">
        <v>204</v>
      </c>
      <c r="M791">
        <v>4</v>
      </c>
      <c r="N791">
        <v>24.9</v>
      </c>
      <c r="O791">
        <v>99.6</v>
      </c>
      <c r="P791">
        <v>10</v>
      </c>
      <c r="Q791">
        <v>9.9600000000000009</v>
      </c>
      <c r="R791">
        <v>89.64</v>
      </c>
      <c r="S791">
        <v>86.08</v>
      </c>
      <c r="T791">
        <v>3.56</v>
      </c>
      <c r="U791" t="s">
        <v>158</v>
      </c>
      <c r="V791" t="s">
        <v>159</v>
      </c>
    </row>
    <row r="792" spans="1:22">
      <c r="A792" t="s">
        <v>836</v>
      </c>
      <c r="B792" s="1">
        <v>45004</v>
      </c>
      <c r="C792" t="s">
        <v>217</v>
      </c>
      <c r="D792">
        <v>2023</v>
      </c>
      <c r="E792" t="s">
        <v>162</v>
      </c>
      <c r="F792" t="s">
        <v>837</v>
      </c>
      <c r="G792" t="s">
        <v>71</v>
      </c>
      <c r="H792" t="s">
        <v>72</v>
      </c>
      <c r="I792" t="s">
        <v>66</v>
      </c>
      <c r="J792" t="s">
        <v>70</v>
      </c>
      <c r="K792" t="s">
        <v>164</v>
      </c>
      <c r="L792" t="s">
        <v>232</v>
      </c>
      <c r="M792">
        <v>2</v>
      </c>
      <c r="N792">
        <v>26.7</v>
      </c>
      <c r="O792">
        <v>53.4</v>
      </c>
      <c r="P792">
        <v>15</v>
      </c>
      <c r="Q792">
        <v>8.01</v>
      </c>
      <c r="R792">
        <v>45.39</v>
      </c>
      <c r="S792">
        <v>24.54</v>
      </c>
      <c r="T792">
        <v>20.85</v>
      </c>
      <c r="U792" t="s">
        <v>180</v>
      </c>
      <c r="V792" t="s">
        <v>159</v>
      </c>
    </row>
    <row r="793" spans="1:22">
      <c r="A793" t="s">
        <v>663</v>
      </c>
      <c r="B793" s="1">
        <v>45003</v>
      </c>
      <c r="C793" t="s">
        <v>217</v>
      </c>
      <c r="D793">
        <v>2023</v>
      </c>
      <c r="E793" t="s">
        <v>162</v>
      </c>
      <c r="F793" t="s">
        <v>664</v>
      </c>
      <c r="G793" t="s">
        <v>64</v>
      </c>
      <c r="H793" t="s">
        <v>65</v>
      </c>
      <c r="I793" t="s">
        <v>66</v>
      </c>
      <c r="J793" t="s">
        <v>67</v>
      </c>
      <c r="K793" t="s">
        <v>164</v>
      </c>
      <c r="L793" t="s">
        <v>157</v>
      </c>
      <c r="M793">
        <v>4</v>
      </c>
      <c r="N793">
        <v>24.9</v>
      </c>
      <c r="O793">
        <v>99.6</v>
      </c>
      <c r="P793">
        <v>5</v>
      </c>
      <c r="Q793">
        <v>4.9800000000000004</v>
      </c>
      <c r="R793">
        <v>94.62</v>
      </c>
      <c r="S793">
        <v>86.08</v>
      </c>
      <c r="T793">
        <v>8.5399999999999991</v>
      </c>
      <c r="U793" t="s">
        <v>166</v>
      </c>
      <c r="V793" t="s">
        <v>186</v>
      </c>
    </row>
    <row r="794" spans="1:22">
      <c r="A794" t="s">
        <v>1701</v>
      </c>
      <c r="B794" s="1">
        <v>45003</v>
      </c>
      <c r="C794" t="s">
        <v>217</v>
      </c>
      <c r="D794">
        <v>2023</v>
      </c>
      <c r="E794" t="s">
        <v>162</v>
      </c>
      <c r="F794" t="s">
        <v>1702</v>
      </c>
      <c r="G794" t="s">
        <v>23</v>
      </c>
      <c r="H794" t="s">
        <v>24</v>
      </c>
      <c r="I794" t="s">
        <v>14</v>
      </c>
      <c r="J794" t="s">
        <v>19</v>
      </c>
      <c r="K794" t="s">
        <v>164</v>
      </c>
      <c r="L794" t="s">
        <v>204</v>
      </c>
      <c r="M794">
        <v>2</v>
      </c>
      <c r="N794">
        <v>154.03</v>
      </c>
      <c r="O794">
        <v>308.06</v>
      </c>
      <c r="P794">
        <v>0</v>
      </c>
      <c r="Q794">
        <v>0</v>
      </c>
      <c r="R794">
        <v>308.06</v>
      </c>
      <c r="S794">
        <v>153.58000000000001</v>
      </c>
      <c r="T794">
        <v>154.47999999999999</v>
      </c>
      <c r="U794" t="s">
        <v>190</v>
      </c>
      <c r="V794" t="s">
        <v>159</v>
      </c>
    </row>
    <row r="795" spans="1:22">
      <c r="A795" t="s">
        <v>1225</v>
      </c>
      <c r="B795" s="1">
        <v>45003</v>
      </c>
      <c r="C795" t="s">
        <v>217</v>
      </c>
      <c r="D795">
        <v>2023</v>
      </c>
      <c r="E795" t="s">
        <v>162</v>
      </c>
      <c r="F795" t="s">
        <v>1226</v>
      </c>
      <c r="G795" t="s">
        <v>117</v>
      </c>
      <c r="H795" t="s">
        <v>118</v>
      </c>
      <c r="I795" t="s">
        <v>115</v>
      </c>
      <c r="J795" t="s">
        <v>119</v>
      </c>
      <c r="K795" t="s">
        <v>156</v>
      </c>
      <c r="L795" t="s">
        <v>194</v>
      </c>
      <c r="M795">
        <v>3</v>
      </c>
      <c r="N795">
        <v>93.41</v>
      </c>
      <c r="O795">
        <v>280.23</v>
      </c>
      <c r="P795">
        <v>0</v>
      </c>
      <c r="Q795">
        <v>0</v>
      </c>
      <c r="R795">
        <v>280.23</v>
      </c>
      <c r="S795">
        <v>192.15</v>
      </c>
      <c r="T795">
        <v>88.08</v>
      </c>
      <c r="U795" t="s">
        <v>166</v>
      </c>
      <c r="V795" t="s">
        <v>159</v>
      </c>
    </row>
    <row r="796" spans="1:22">
      <c r="A796" t="s">
        <v>1206</v>
      </c>
      <c r="B796" s="1">
        <v>45003</v>
      </c>
      <c r="C796" t="s">
        <v>217</v>
      </c>
      <c r="D796">
        <v>2023</v>
      </c>
      <c r="E796" t="s">
        <v>162</v>
      </c>
      <c r="F796" t="s">
        <v>565</v>
      </c>
      <c r="G796" t="s">
        <v>101</v>
      </c>
      <c r="H796" t="s">
        <v>102</v>
      </c>
      <c r="I796" t="s">
        <v>90</v>
      </c>
      <c r="J796" t="s">
        <v>100</v>
      </c>
      <c r="K796" t="s">
        <v>164</v>
      </c>
      <c r="L796" t="s">
        <v>157</v>
      </c>
      <c r="M796">
        <v>4</v>
      </c>
      <c r="N796">
        <v>196.28</v>
      </c>
      <c r="O796">
        <v>785.12</v>
      </c>
      <c r="P796">
        <v>15</v>
      </c>
      <c r="Q796">
        <v>117.77</v>
      </c>
      <c r="R796">
        <v>667.35</v>
      </c>
      <c r="S796">
        <v>286.92</v>
      </c>
      <c r="T796">
        <v>380.43</v>
      </c>
      <c r="U796" t="s">
        <v>166</v>
      </c>
      <c r="V796" t="s">
        <v>159</v>
      </c>
    </row>
    <row r="797" spans="1:22">
      <c r="A797" t="s">
        <v>382</v>
      </c>
      <c r="B797" s="1">
        <v>45002</v>
      </c>
      <c r="C797" t="s">
        <v>217</v>
      </c>
      <c r="D797">
        <v>2023</v>
      </c>
      <c r="E797" t="s">
        <v>162</v>
      </c>
      <c r="F797" t="s">
        <v>383</v>
      </c>
      <c r="G797" t="s">
        <v>28</v>
      </c>
      <c r="H797" t="s">
        <v>29</v>
      </c>
      <c r="I797" t="s">
        <v>14</v>
      </c>
      <c r="J797" t="s">
        <v>19</v>
      </c>
      <c r="K797" t="s">
        <v>156</v>
      </c>
      <c r="L797" t="s">
        <v>194</v>
      </c>
      <c r="M797">
        <v>3</v>
      </c>
      <c r="N797">
        <v>26.46</v>
      </c>
      <c r="O797">
        <v>79.38</v>
      </c>
      <c r="P797">
        <v>10</v>
      </c>
      <c r="Q797">
        <v>7.94</v>
      </c>
      <c r="R797">
        <v>71.44</v>
      </c>
      <c r="S797">
        <v>58.26</v>
      </c>
      <c r="T797">
        <v>13.18</v>
      </c>
      <c r="U797" t="s">
        <v>166</v>
      </c>
      <c r="V797" t="s">
        <v>181</v>
      </c>
    </row>
    <row r="798" spans="1:22">
      <c r="A798" t="s">
        <v>1361</v>
      </c>
      <c r="B798" s="1">
        <v>45001</v>
      </c>
      <c r="C798" t="s">
        <v>217</v>
      </c>
      <c r="D798">
        <v>2023</v>
      </c>
      <c r="E798" t="s">
        <v>162</v>
      </c>
      <c r="F798" t="s">
        <v>1362</v>
      </c>
      <c r="G798" t="s">
        <v>68</v>
      </c>
      <c r="H798" t="s">
        <v>69</v>
      </c>
      <c r="I798" t="s">
        <v>66</v>
      </c>
      <c r="J798" t="s">
        <v>70</v>
      </c>
      <c r="K798" t="s">
        <v>178</v>
      </c>
      <c r="L798" t="s">
        <v>179</v>
      </c>
      <c r="M798">
        <v>1</v>
      </c>
      <c r="N798">
        <v>98.51</v>
      </c>
      <c r="O798">
        <v>98.51</v>
      </c>
      <c r="P798">
        <v>20</v>
      </c>
      <c r="Q798">
        <v>19.7</v>
      </c>
      <c r="R798">
        <v>78.81</v>
      </c>
      <c r="S798">
        <v>55.17</v>
      </c>
      <c r="T798">
        <v>23.64</v>
      </c>
      <c r="U798" t="s">
        <v>180</v>
      </c>
      <c r="V798" t="s">
        <v>159</v>
      </c>
    </row>
    <row r="799" spans="1:22">
      <c r="A799" t="s">
        <v>300</v>
      </c>
      <c r="B799" s="1">
        <v>45001</v>
      </c>
      <c r="C799" t="s">
        <v>217</v>
      </c>
      <c r="D799">
        <v>2023</v>
      </c>
      <c r="E799" t="s">
        <v>162</v>
      </c>
      <c r="F799" t="s">
        <v>301</v>
      </c>
      <c r="G799" t="s">
        <v>53</v>
      </c>
      <c r="H799" t="s">
        <v>54</v>
      </c>
      <c r="I799" t="s">
        <v>41</v>
      </c>
      <c r="J799" t="s">
        <v>45</v>
      </c>
      <c r="K799" t="s">
        <v>156</v>
      </c>
      <c r="L799" t="s">
        <v>232</v>
      </c>
      <c r="M799">
        <v>4</v>
      </c>
      <c r="N799">
        <v>51.98</v>
      </c>
      <c r="O799">
        <v>207.92</v>
      </c>
      <c r="P799">
        <v>10</v>
      </c>
      <c r="Q799">
        <v>20.79</v>
      </c>
      <c r="R799">
        <v>187.13</v>
      </c>
      <c r="S799">
        <v>132.16</v>
      </c>
      <c r="T799">
        <v>54.97</v>
      </c>
      <c r="U799" t="s">
        <v>166</v>
      </c>
      <c r="V799" t="s">
        <v>159</v>
      </c>
    </row>
    <row r="800" spans="1:22">
      <c r="A800" t="s">
        <v>1472</v>
      </c>
      <c r="B800" s="1">
        <v>45001</v>
      </c>
      <c r="C800" t="s">
        <v>217</v>
      </c>
      <c r="D800">
        <v>2023</v>
      </c>
      <c r="E800" t="s">
        <v>162</v>
      </c>
      <c r="F800" t="s">
        <v>1268</v>
      </c>
      <c r="G800" t="s">
        <v>125</v>
      </c>
      <c r="H800" t="s">
        <v>126</v>
      </c>
      <c r="I800" t="s">
        <v>115</v>
      </c>
      <c r="J800" t="s">
        <v>116</v>
      </c>
      <c r="K800" t="s">
        <v>156</v>
      </c>
      <c r="L800" t="s">
        <v>194</v>
      </c>
      <c r="M800">
        <v>2</v>
      </c>
      <c r="N800">
        <v>144.94999999999999</v>
      </c>
      <c r="O800">
        <v>289.89999999999998</v>
      </c>
      <c r="P800">
        <v>5</v>
      </c>
      <c r="Q800">
        <v>14.49</v>
      </c>
      <c r="R800">
        <v>275.41000000000003</v>
      </c>
      <c r="S800">
        <v>154.38</v>
      </c>
      <c r="T800">
        <v>121.03</v>
      </c>
      <c r="U800" t="s">
        <v>158</v>
      </c>
      <c r="V800" t="s">
        <v>181</v>
      </c>
    </row>
    <row r="801" spans="1:22">
      <c r="A801" t="s">
        <v>733</v>
      </c>
      <c r="B801" s="1">
        <v>45001</v>
      </c>
      <c r="C801" t="s">
        <v>217</v>
      </c>
      <c r="D801">
        <v>2023</v>
      </c>
      <c r="E801" t="s">
        <v>162</v>
      </c>
      <c r="F801" t="s">
        <v>734</v>
      </c>
      <c r="G801" t="s">
        <v>62</v>
      </c>
      <c r="H801" t="s">
        <v>63</v>
      </c>
      <c r="I801" t="s">
        <v>41</v>
      </c>
      <c r="J801" t="s">
        <v>45</v>
      </c>
      <c r="K801" t="s">
        <v>156</v>
      </c>
      <c r="L801" t="s">
        <v>204</v>
      </c>
      <c r="M801">
        <v>3</v>
      </c>
      <c r="N801">
        <v>160.35</v>
      </c>
      <c r="O801">
        <v>481.04999999999995</v>
      </c>
      <c r="P801">
        <v>5</v>
      </c>
      <c r="Q801">
        <v>24.05</v>
      </c>
      <c r="R801">
        <v>457</v>
      </c>
      <c r="S801">
        <v>217.41</v>
      </c>
      <c r="T801">
        <v>239.59</v>
      </c>
      <c r="U801" t="s">
        <v>195</v>
      </c>
      <c r="V801" t="s">
        <v>186</v>
      </c>
    </row>
    <row r="802" spans="1:22">
      <c r="A802" t="s">
        <v>1135</v>
      </c>
      <c r="B802" s="1">
        <v>45001</v>
      </c>
      <c r="C802" t="s">
        <v>217</v>
      </c>
      <c r="D802">
        <v>2023</v>
      </c>
      <c r="E802" t="s">
        <v>162</v>
      </c>
      <c r="F802" t="s">
        <v>1136</v>
      </c>
      <c r="G802" t="s">
        <v>30</v>
      </c>
      <c r="H802" t="s">
        <v>31</v>
      </c>
      <c r="I802" t="s">
        <v>14</v>
      </c>
      <c r="J802" t="s">
        <v>32</v>
      </c>
      <c r="K802" t="s">
        <v>209</v>
      </c>
      <c r="L802" t="s">
        <v>157</v>
      </c>
      <c r="M802">
        <v>1</v>
      </c>
      <c r="N802">
        <v>113.18</v>
      </c>
      <c r="O802">
        <v>113.18</v>
      </c>
      <c r="P802">
        <v>5</v>
      </c>
      <c r="Q802">
        <v>5.66</v>
      </c>
      <c r="R802">
        <v>107.52</v>
      </c>
      <c r="S802">
        <v>39.01</v>
      </c>
      <c r="T802">
        <v>68.510000000000005</v>
      </c>
      <c r="U802" t="s">
        <v>195</v>
      </c>
      <c r="V802" t="s">
        <v>159</v>
      </c>
    </row>
    <row r="803" spans="1:22">
      <c r="A803" t="s">
        <v>476</v>
      </c>
      <c r="B803" s="1">
        <v>45001</v>
      </c>
      <c r="C803" t="s">
        <v>217</v>
      </c>
      <c r="D803">
        <v>2023</v>
      </c>
      <c r="E803" t="s">
        <v>162</v>
      </c>
      <c r="F803" t="s">
        <v>458</v>
      </c>
      <c r="G803" t="s">
        <v>30</v>
      </c>
      <c r="H803" t="s">
        <v>31</v>
      </c>
      <c r="I803" t="s">
        <v>14</v>
      </c>
      <c r="J803" t="s">
        <v>32</v>
      </c>
      <c r="K803" t="s">
        <v>209</v>
      </c>
      <c r="L803" t="s">
        <v>194</v>
      </c>
      <c r="M803">
        <v>3</v>
      </c>
      <c r="N803">
        <v>113.18</v>
      </c>
      <c r="O803">
        <v>339.54</v>
      </c>
      <c r="P803">
        <v>20</v>
      </c>
      <c r="Q803">
        <v>67.91</v>
      </c>
      <c r="R803">
        <v>271.63</v>
      </c>
      <c r="S803">
        <v>117.03</v>
      </c>
      <c r="T803">
        <v>154.6</v>
      </c>
      <c r="U803" t="s">
        <v>180</v>
      </c>
      <c r="V803" t="s">
        <v>159</v>
      </c>
    </row>
    <row r="804" spans="1:22">
      <c r="A804" t="s">
        <v>1443</v>
      </c>
      <c r="B804" s="1">
        <v>45001</v>
      </c>
      <c r="C804" t="s">
        <v>217</v>
      </c>
      <c r="D804">
        <v>2023</v>
      </c>
      <c r="E804" t="s">
        <v>162</v>
      </c>
      <c r="F804" t="s">
        <v>1444</v>
      </c>
      <c r="G804" t="s">
        <v>71</v>
      </c>
      <c r="H804" t="s">
        <v>72</v>
      </c>
      <c r="I804" t="s">
        <v>66</v>
      </c>
      <c r="J804" t="s">
        <v>70</v>
      </c>
      <c r="K804" t="s">
        <v>209</v>
      </c>
      <c r="L804" t="s">
        <v>179</v>
      </c>
      <c r="M804">
        <v>4</v>
      </c>
      <c r="N804">
        <v>26.7</v>
      </c>
      <c r="O804">
        <v>106.8</v>
      </c>
      <c r="P804">
        <v>10</v>
      </c>
      <c r="Q804">
        <v>10.68</v>
      </c>
      <c r="R804">
        <v>96.12</v>
      </c>
      <c r="S804">
        <v>49.08</v>
      </c>
      <c r="T804">
        <v>47.04</v>
      </c>
      <c r="U804" t="s">
        <v>190</v>
      </c>
      <c r="V804" t="s">
        <v>159</v>
      </c>
    </row>
    <row r="805" spans="1:22">
      <c r="A805" t="s">
        <v>483</v>
      </c>
      <c r="B805" s="1">
        <v>45000</v>
      </c>
      <c r="C805" t="s">
        <v>217</v>
      </c>
      <c r="D805">
        <v>2023</v>
      </c>
      <c r="E805" t="s">
        <v>162</v>
      </c>
      <c r="F805" t="s">
        <v>484</v>
      </c>
      <c r="G805" t="s">
        <v>113</v>
      </c>
      <c r="H805" t="s">
        <v>114</v>
      </c>
      <c r="I805" t="s">
        <v>115</v>
      </c>
      <c r="J805" t="s">
        <v>116</v>
      </c>
      <c r="K805" t="s">
        <v>164</v>
      </c>
      <c r="L805" t="s">
        <v>174</v>
      </c>
      <c r="M805">
        <v>2</v>
      </c>
      <c r="N805">
        <v>18.7</v>
      </c>
      <c r="O805">
        <v>37.4</v>
      </c>
      <c r="P805">
        <v>15</v>
      </c>
      <c r="Q805">
        <v>5.61</v>
      </c>
      <c r="R805">
        <v>31.79</v>
      </c>
      <c r="S805">
        <v>13.72</v>
      </c>
      <c r="T805">
        <v>18.07</v>
      </c>
      <c r="U805" t="s">
        <v>166</v>
      </c>
      <c r="V805" t="s">
        <v>159</v>
      </c>
    </row>
    <row r="806" spans="1:22">
      <c r="A806" t="s">
        <v>1839</v>
      </c>
      <c r="B806" s="1">
        <v>45000</v>
      </c>
      <c r="C806" t="s">
        <v>217</v>
      </c>
      <c r="D806">
        <v>2023</v>
      </c>
      <c r="E806" t="s">
        <v>162</v>
      </c>
      <c r="F806" t="s">
        <v>1840</v>
      </c>
      <c r="G806" t="s">
        <v>120</v>
      </c>
      <c r="H806" t="s">
        <v>121</v>
      </c>
      <c r="I806" t="s">
        <v>115</v>
      </c>
      <c r="J806" t="s">
        <v>119</v>
      </c>
      <c r="K806" t="s">
        <v>164</v>
      </c>
      <c r="L806" t="s">
        <v>165</v>
      </c>
      <c r="M806">
        <v>1</v>
      </c>
      <c r="N806">
        <v>197.52</v>
      </c>
      <c r="O806">
        <v>197.52</v>
      </c>
      <c r="P806">
        <v>0</v>
      </c>
      <c r="Q806">
        <v>0</v>
      </c>
      <c r="R806">
        <v>197.52</v>
      </c>
      <c r="S806">
        <v>66.540000000000006</v>
      </c>
      <c r="T806">
        <v>130.97999999999999</v>
      </c>
      <c r="U806" t="s">
        <v>166</v>
      </c>
      <c r="V806" t="s">
        <v>159</v>
      </c>
    </row>
    <row r="807" spans="1:22">
      <c r="A807" t="s">
        <v>1237</v>
      </c>
      <c r="B807" s="1">
        <v>45000</v>
      </c>
      <c r="C807" t="s">
        <v>217</v>
      </c>
      <c r="D807">
        <v>2023</v>
      </c>
      <c r="E807" t="s">
        <v>162</v>
      </c>
      <c r="F807" t="s">
        <v>1238</v>
      </c>
      <c r="G807" t="s">
        <v>50</v>
      </c>
      <c r="H807" t="s">
        <v>51</v>
      </c>
      <c r="I807" t="s">
        <v>41</v>
      </c>
      <c r="J807" t="s">
        <v>52</v>
      </c>
      <c r="K807" t="s">
        <v>156</v>
      </c>
      <c r="L807" t="s">
        <v>232</v>
      </c>
      <c r="M807">
        <v>4</v>
      </c>
      <c r="N807">
        <v>143.80000000000001</v>
      </c>
      <c r="O807">
        <v>575.20000000000005</v>
      </c>
      <c r="P807">
        <v>10</v>
      </c>
      <c r="Q807">
        <v>57.52</v>
      </c>
      <c r="R807">
        <v>517.67999999999995</v>
      </c>
      <c r="S807">
        <v>248.6</v>
      </c>
      <c r="T807">
        <v>269.08</v>
      </c>
      <c r="U807" t="s">
        <v>166</v>
      </c>
      <c r="V807" t="s">
        <v>159</v>
      </c>
    </row>
    <row r="808" spans="1:22">
      <c r="A808" t="s">
        <v>404</v>
      </c>
      <c r="B808" s="1">
        <v>44999</v>
      </c>
      <c r="C808" t="s">
        <v>217</v>
      </c>
      <c r="D808">
        <v>2023</v>
      </c>
      <c r="E808" t="s">
        <v>162</v>
      </c>
      <c r="F808" t="s">
        <v>405</v>
      </c>
      <c r="G808" t="s">
        <v>37</v>
      </c>
      <c r="H808" t="s">
        <v>38</v>
      </c>
      <c r="I808" t="s">
        <v>14</v>
      </c>
      <c r="J808" t="s">
        <v>27</v>
      </c>
      <c r="K808" t="s">
        <v>209</v>
      </c>
      <c r="L808" t="s">
        <v>174</v>
      </c>
      <c r="M808">
        <v>4</v>
      </c>
      <c r="N808">
        <v>133.99</v>
      </c>
      <c r="O808">
        <v>535.96</v>
      </c>
      <c r="P808">
        <v>0</v>
      </c>
      <c r="Q808">
        <v>0</v>
      </c>
      <c r="R808">
        <v>535.96</v>
      </c>
      <c r="S808">
        <v>293.95999999999998</v>
      </c>
      <c r="T808">
        <v>242</v>
      </c>
      <c r="U808" t="s">
        <v>166</v>
      </c>
      <c r="V808" t="s">
        <v>159</v>
      </c>
    </row>
    <row r="809" spans="1:22">
      <c r="A809" t="s">
        <v>1566</v>
      </c>
      <c r="B809" s="1">
        <v>44999</v>
      </c>
      <c r="C809" t="s">
        <v>217</v>
      </c>
      <c r="D809">
        <v>2023</v>
      </c>
      <c r="E809" t="s">
        <v>162</v>
      </c>
      <c r="F809" t="s">
        <v>1567</v>
      </c>
      <c r="G809" t="s">
        <v>103</v>
      </c>
      <c r="H809" t="s">
        <v>104</v>
      </c>
      <c r="I809" t="s">
        <v>90</v>
      </c>
      <c r="J809" t="s">
        <v>94</v>
      </c>
      <c r="K809" t="s">
        <v>178</v>
      </c>
      <c r="L809" t="s">
        <v>232</v>
      </c>
      <c r="M809">
        <v>3</v>
      </c>
      <c r="N809">
        <v>98.58</v>
      </c>
      <c r="O809">
        <v>295.74</v>
      </c>
      <c r="P809">
        <v>0</v>
      </c>
      <c r="Q809">
        <v>0</v>
      </c>
      <c r="R809">
        <v>295.74</v>
      </c>
      <c r="S809">
        <v>157.71</v>
      </c>
      <c r="T809">
        <v>138.03</v>
      </c>
      <c r="U809" t="s">
        <v>190</v>
      </c>
      <c r="V809" t="s">
        <v>159</v>
      </c>
    </row>
    <row r="810" spans="1:22">
      <c r="A810" t="s">
        <v>1451</v>
      </c>
      <c r="B810" s="1">
        <v>44999</v>
      </c>
      <c r="C810" t="s">
        <v>217</v>
      </c>
      <c r="D810">
        <v>2023</v>
      </c>
      <c r="E810" t="s">
        <v>162</v>
      </c>
      <c r="F810" t="s">
        <v>1452</v>
      </c>
      <c r="G810" t="s">
        <v>103</v>
      </c>
      <c r="H810" t="s">
        <v>104</v>
      </c>
      <c r="I810" t="s">
        <v>90</v>
      </c>
      <c r="J810" t="s">
        <v>94</v>
      </c>
      <c r="K810" t="s">
        <v>209</v>
      </c>
      <c r="L810" t="s">
        <v>204</v>
      </c>
      <c r="M810">
        <v>4</v>
      </c>
      <c r="N810">
        <v>98.58</v>
      </c>
      <c r="O810">
        <v>394.32</v>
      </c>
      <c r="P810">
        <v>10</v>
      </c>
      <c r="Q810">
        <v>39.43</v>
      </c>
      <c r="R810">
        <v>354.89</v>
      </c>
      <c r="S810">
        <v>210.28</v>
      </c>
      <c r="T810">
        <v>144.61000000000001</v>
      </c>
      <c r="U810" t="s">
        <v>166</v>
      </c>
      <c r="V810" t="s">
        <v>181</v>
      </c>
    </row>
    <row r="811" spans="1:22">
      <c r="A811" t="s">
        <v>275</v>
      </c>
      <c r="B811" s="1">
        <v>44999</v>
      </c>
      <c r="C811" t="s">
        <v>217</v>
      </c>
      <c r="D811">
        <v>2023</v>
      </c>
      <c r="E811" t="s">
        <v>162</v>
      </c>
      <c r="F811" t="s">
        <v>276</v>
      </c>
      <c r="G811" t="s">
        <v>50</v>
      </c>
      <c r="H811" t="s">
        <v>51</v>
      </c>
      <c r="I811" t="s">
        <v>41</v>
      </c>
      <c r="J811" t="s">
        <v>52</v>
      </c>
      <c r="K811" t="s">
        <v>209</v>
      </c>
      <c r="L811" t="s">
        <v>157</v>
      </c>
      <c r="M811">
        <v>2</v>
      </c>
      <c r="N811">
        <v>143.80000000000001</v>
      </c>
      <c r="O811">
        <v>287.60000000000002</v>
      </c>
      <c r="P811">
        <v>0</v>
      </c>
      <c r="Q811">
        <v>0</v>
      </c>
      <c r="R811">
        <v>287.60000000000002</v>
      </c>
      <c r="S811">
        <v>124.3</v>
      </c>
      <c r="T811">
        <v>163.30000000000001</v>
      </c>
      <c r="U811" t="s">
        <v>195</v>
      </c>
      <c r="V811" t="s">
        <v>181</v>
      </c>
    </row>
    <row r="812" spans="1:22">
      <c r="A812" t="s">
        <v>527</v>
      </c>
      <c r="B812" s="1">
        <v>44998</v>
      </c>
      <c r="C812" t="s">
        <v>217</v>
      </c>
      <c r="D812">
        <v>2023</v>
      </c>
      <c r="E812" t="s">
        <v>162</v>
      </c>
      <c r="F812" t="s">
        <v>528</v>
      </c>
      <c r="G812" t="s">
        <v>50</v>
      </c>
      <c r="H812" t="s">
        <v>51</v>
      </c>
      <c r="I812" t="s">
        <v>41</v>
      </c>
      <c r="J812" t="s">
        <v>52</v>
      </c>
      <c r="K812" t="s">
        <v>164</v>
      </c>
      <c r="L812" t="s">
        <v>174</v>
      </c>
      <c r="M812">
        <v>1</v>
      </c>
      <c r="N812">
        <v>143.80000000000001</v>
      </c>
      <c r="O812">
        <v>143.80000000000001</v>
      </c>
      <c r="P812">
        <v>0</v>
      </c>
      <c r="Q812">
        <v>0</v>
      </c>
      <c r="R812">
        <v>143.80000000000001</v>
      </c>
      <c r="S812">
        <v>62.15</v>
      </c>
      <c r="T812">
        <v>81.650000000000006</v>
      </c>
      <c r="U812" t="s">
        <v>195</v>
      </c>
      <c r="V812" t="s">
        <v>181</v>
      </c>
    </row>
    <row r="813" spans="1:22">
      <c r="A813" t="s">
        <v>356</v>
      </c>
      <c r="B813" s="1">
        <v>44998</v>
      </c>
      <c r="C813" t="s">
        <v>217</v>
      </c>
      <c r="D813">
        <v>2023</v>
      </c>
      <c r="E813" t="s">
        <v>162</v>
      </c>
      <c r="F813" t="s">
        <v>357</v>
      </c>
      <c r="G813" t="s">
        <v>117</v>
      </c>
      <c r="H813" t="s">
        <v>118</v>
      </c>
      <c r="I813" t="s">
        <v>115</v>
      </c>
      <c r="J813" t="s">
        <v>119</v>
      </c>
      <c r="K813" t="s">
        <v>209</v>
      </c>
      <c r="L813" t="s">
        <v>194</v>
      </c>
      <c r="M813">
        <v>4</v>
      </c>
      <c r="N813">
        <v>93.41</v>
      </c>
      <c r="O813">
        <v>373.64</v>
      </c>
      <c r="P813">
        <v>0</v>
      </c>
      <c r="Q813">
        <v>0</v>
      </c>
      <c r="R813">
        <v>373.64</v>
      </c>
      <c r="S813">
        <v>256.2</v>
      </c>
      <c r="T813">
        <v>117.44</v>
      </c>
      <c r="U813" t="s">
        <v>180</v>
      </c>
      <c r="V813" t="s">
        <v>159</v>
      </c>
    </row>
    <row r="814" spans="1:22">
      <c r="A814" t="s">
        <v>1603</v>
      </c>
      <c r="B814" s="1">
        <v>44998</v>
      </c>
      <c r="C814" t="s">
        <v>217</v>
      </c>
      <c r="D814">
        <v>2023</v>
      </c>
      <c r="E814" t="s">
        <v>162</v>
      </c>
      <c r="F814" t="s">
        <v>1604</v>
      </c>
      <c r="G814" t="s">
        <v>120</v>
      </c>
      <c r="H814" t="s">
        <v>121</v>
      </c>
      <c r="I814" t="s">
        <v>115</v>
      </c>
      <c r="J814" t="s">
        <v>119</v>
      </c>
      <c r="K814" t="s">
        <v>164</v>
      </c>
      <c r="L814" t="s">
        <v>179</v>
      </c>
      <c r="M814">
        <v>2</v>
      </c>
      <c r="N814">
        <v>197.52</v>
      </c>
      <c r="O814">
        <v>395.04</v>
      </c>
      <c r="P814">
        <v>5</v>
      </c>
      <c r="Q814">
        <v>19.75</v>
      </c>
      <c r="R814">
        <v>375.29</v>
      </c>
      <c r="S814">
        <v>133.08000000000001</v>
      </c>
      <c r="T814">
        <v>242.21</v>
      </c>
      <c r="U814" t="s">
        <v>195</v>
      </c>
      <c r="V814" t="s">
        <v>186</v>
      </c>
    </row>
    <row r="815" spans="1:22">
      <c r="A815" t="s">
        <v>1223</v>
      </c>
      <c r="B815" s="1">
        <v>44998</v>
      </c>
      <c r="C815" t="s">
        <v>217</v>
      </c>
      <c r="D815">
        <v>2023</v>
      </c>
      <c r="E815" t="s">
        <v>162</v>
      </c>
      <c r="F815" t="s">
        <v>1224</v>
      </c>
      <c r="G815" t="s">
        <v>88</v>
      </c>
      <c r="H815" t="s">
        <v>89</v>
      </c>
      <c r="I815" t="s">
        <v>90</v>
      </c>
      <c r="J815" t="s">
        <v>91</v>
      </c>
      <c r="K815" t="s">
        <v>156</v>
      </c>
      <c r="L815" t="s">
        <v>157</v>
      </c>
      <c r="M815">
        <v>1</v>
      </c>
      <c r="N815">
        <v>54.64</v>
      </c>
      <c r="O815">
        <v>54.64</v>
      </c>
      <c r="P815">
        <v>10</v>
      </c>
      <c r="Q815">
        <v>5.46</v>
      </c>
      <c r="R815">
        <v>49.18</v>
      </c>
      <c r="S815">
        <v>20.32</v>
      </c>
      <c r="T815">
        <v>28.86</v>
      </c>
      <c r="U815" t="s">
        <v>158</v>
      </c>
      <c r="V815" t="s">
        <v>181</v>
      </c>
    </row>
    <row r="816" spans="1:22">
      <c r="A816" t="s">
        <v>1592</v>
      </c>
      <c r="B816" s="1">
        <v>44998</v>
      </c>
      <c r="C816" t="s">
        <v>217</v>
      </c>
      <c r="D816">
        <v>2023</v>
      </c>
      <c r="E816" t="s">
        <v>162</v>
      </c>
      <c r="F816" t="s">
        <v>1593</v>
      </c>
      <c r="G816" t="s">
        <v>28</v>
      </c>
      <c r="H816" t="s">
        <v>29</v>
      </c>
      <c r="I816" t="s">
        <v>14</v>
      </c>
      <c r="J816" t="s">
        <v>19</v>
      </c>
      <c r="K816" t="s">
        <v>209</v>
      </c>
      <c r="L816" t="s">
        <v>179</v>
      </c>
      <c r="M816">
        <v>2</v>
      </c>
      <c r="N816">
        <v>26.46</v>
      </c>
      <c r="O816">
        <v>52.92</v>
      </c>
      <c r="P816">
        <v>20</v>
      </c>
      <c r="Q816">
        <v>10.58</v>
      </c>
      <c r="R816">
        <v>42.34</v>
      </c>
      <c r="S816">
        <v>38.840000000000003</v>
      </c>
      <c r="T816">
        <v>3.5</v>
      </c>
      <c r="U816" t="s">
        <v>190</v>
      </c>
      <c r="V816" t="s">
        <v>159</v>
      </c>
    </row>
    <row r="817" spans="1:22">
      <c r="A817" t="s">
        <v>1260</v>
      </c>
      <c r="B817" s="1">
        <v>44997</v>
      </c>
      <c r="C817" t="s">
        <v>217</v>
      </c>
      <c r="D817">
        <v>2023</v>
      </c>
      <c r="E817" t="s">
        <v>162</v>
      </c>
      <c r="F817" t="s">
        <v>1261</v>
      </c>
      <c r="G817" t="s">
        <v>71</v>
      </c>
      <c r="H817" t="s">
        <v>72</v>
      </c>
      <c r="I817" t="s">
        <v>66</v>
      </c>
      <c r="J817" t="s">
        <v>70</v>
      </c>
      <c r="K817" t="s">
        <v>209</v>
      </c>
      <c r="L817" t="s">
        <v>165</v>
      </c>
      <c r="M817">
        <v>4</v>
      </c>
      <c r="N817">
        <v>26.7</v>
      </c>
      <c r="O817">
        <v>106.8</v>
      </c>
      <c r="P817">
        <v>15</v>
      </c>
      <c r="Q817">
        <v>16.02</v>
      </c>
      <c r="R817">
        <v>90.78</v>
      </c>
      <c r="S817">
        <v>49.08</v>
      </c>
      <c r="T817">
        <v>41.7</v>
      </c>
      <c r="U817" t="s">
        <v>190</v>
      </c>
      <c r="V817" t="s">
        <v>186</v>
      </c>
    </row>
    <row r="818" spans="1:22">
      <c r="A818" t="s">
        <v>358</v>
      </c>
      <c r="B818" s="1">
        <v>44996</v>
      </c>
      <c r="C818" t="s">
        <v>217</v>
      </c>
      <c r="D818">
        <v>2023</v>
      </c>
      <c r="E818" t="s">
        <v>162</v>
      </c>
      <c r="F818" t="s">
        <v>359</v>
      </c>
      <c r="G818" t="s">
        <v>30</v>
      </c>
      <c r="H818" t="s">
        <v>31</v>
      </c>
      <c r="I818" t="s">
        <v>14</v>
      </c>
      <c r="J818" t="s">
        <v>32</v>
      </c>
      <c r="K818" t="s">
        <v>164</v>
      </c>
      <c r="L818" t="s">
        <v>194</v>
      </c>
      <c r="M818">
        <v>2</v>
      </c>
      <c r="N818">
        <v>113.18</v>
      </c>
      <c r="O818">
        <v>226.36</v>
      </c>
      <c r="P818">
        <v>10</v>
      </c>
      <c r="Q818">
        <v>22.64</v>
      </c>
      <c r="R818">
        <v>203.72</v>
      </c>
      <c r="S818">
        <v>78.02</v>
      </c>
      <c r="T818">
        <v>125.7</v>
      </c>
      <c r="U818" t="s">
        <v>166</v>
      </c>
      <c r="V818" t="s">
        <v>186</v>
      </c>
    </row>
    <row r="819" spans="1:22">
      <c r="A819" t="s">
        <v>1539</v>
      </c>
      <c r="B819" s="1">
        <v>44996</v>
      </c>
      <c r="C819" t="s">
        <v>217</v>
      </c>
      <c r="D819">
        <v>2023</v>
      </c>
      <c r="E819" t="s">
        <v>162</v>
      </c>
      <c r="F819" t="s">
        <v>1540</v>
      </c>
      <c r="G819" t="s">
        <v>88</v>
      </c>
      <c r="H819" t="s">
        <v>89</v>
      </c>
      <c r="I819" t="s">
        <v>90</v>
      </c>
      <c r="J819" t="s">
        <v>91</v>
      </c>
      <c r="K819" t="s">
        <v>156</v>
      </c>
      <c r="L819" t="s">
        <v>165</v>
      </c>
      <c r="M819">
        <v>1</v>
      </c>
      <c r="N819">
        <v>54.64</v>
      </c>
      <c r="O819">
        <v>54.64</v>
      </c>
      <c r="P819">
        <v>15</v>
      </c>
      <c r="Q819">
        <v>8.1999999999999993</v>
      </c>
      <c r="R819">
        <v>46.44</v>
      </c>
      <c r="S819">
        <v>20.32</v>
      </c>
      <c r="T819">
        <v>26.12</v>
      </c>
      <c r="U819" t="s">
        <v>180</v>
      </c>
      <c r="V819" t="s">
        <v>181</v>
      </c>
    </row>
    <row r="820" spans="1:22">
      <c r="A820" t="s">
        <v>493</v>
      </c>
      <c r="B820" s="1">
        <v>44996</v>
      </c>
      <c r="C820" t="s">
        <v>217</v>
      </c>
      <c r="D820">
        <v>2023</v>
      </c>
      <c r="E820" t="s">
        <v>162</v>
      </c>
      <c r="F820" t="s">
        <v>494</v>
      </c>
      <c r="G820" t="s">
        <v>113</v>
      </c>
      <c r="H820" t="s">
        <v>114</v>
      </c>
      <c r="I820" t="s">
        <v>115</v>
      </c>
      <c r="J820" t="s">
        <v>116</v>
      </c>
      <c r="K820" t="s">
        <v>164</v>
      </c>
      <c r="L820" t="s">
        <v>174</v>
      </c>
      <c r="M820">
        <v>2</v>
      </c>
      <c r="N820">
        <v>18.7</v>
      </c>
      <c r="O820">
        <v>37.4</v>
      </c>
      <c r="P820">
        <v>20</v>
      </c>
      <c r="Q820">
        <v>7.48</v>
      </c>
      <c r="R820">
        <v>29.92</v>
      </c>
      <c r="S820">
        <v>13.72</v>
      </c>
      <c r="T820">
        <v>16.2</v>
      </c>
      <c r="U820" t="s">
        <v>195</v>
      </c>
      <c r="V820" t="s">
        <v>159</v>
      </c>
    </row>
    <row r="821" spans="1:22">
      <c r="A821" t="s">
        <v>1415</v>
      </c>
      <c r="B821" s="1">
        <v>44996</v>
      </c>
      <c r="C821" t="s">
        <v>217</v>
      </c>
      <c r="D821">
        <v>2023</v>
      </c>
      <c r="E821" t="s">
        <v>162</v>
      </c>
      <c r="F821" t="s">
        <v>1416</v>
      </c>
      <c r="G821" t="s">
        <v>109</v>
      </c>
      <c r="H821" t="s">
        <v>110</v>
      </c>
      <c r="I821" t="s">
        <v>90</v>
      </c>
      <c r="J821" t="s">
        <v>100</v>
      </c>
      <c r="K821" t="s">
        <v>178</v>
      </c>
      <c r="L821" t="s">
        <v>174</v>
      </c>
      <c r="M821">
        <v>1</v>
      </c>
      <c r="N821">
        <v>77.67</v>
      </c>
      <c r="O821">
        <v>77.67</v>
      </c>
      <c r="P821">
        <v>10</v>
      </c>
      <c r="Q821">
        <v>7.77</v>
      </c>
      <c r="R821">
        <v>69.900000000000006</v>
      </c>
      <c r="S821">
        <v>28.12</v>
      </c>
      <c r="T821">
        <v>41.78</v>
      </c>
      <c r="U821" t="s">
        <v>195</v>
      </c>
      <c r="V821" t="s">
        <v>159</v>
      </c>
    </row>
    <row r="822" spans="1:22">
      <c r="A822" t="s">
        <v>1125</v>
      </c>
      <c r="B822" s="1">
        <v>44995</v>
      </c>
      <c r="C822" t="s">
        <v>217</v>
      </c>
      <c r="D822">
        <v>2023</v>
      </c>
      <c r="E822" t="s">
        <v>162</v>
      </c>
      <c r="F822" t="s">
        <v>1126</v>
      </c>
      <c r="G822" t="s">
        <v>60</v>
      </c>
      <c r="H822" t="s">
        <v>61</v>
      </c>
      <c r="I822" t="s">
        <v>41</v>
      </c>
      <c r="J822" t="s">
        <v>59</v>
      </c>
      <c r="K822" t="s">
        <v>164</v>
      </c>
      <c r="L822" t="s">
        <v>232</v>
      </c>
      <c r="M822">
        <v>4</v>
      </c>
      <c r="N822">
        <v>103.56</v>
      </c>
      <c r="O822">
        <v>414.24</v>
      </c>
      <c r="P822">
        <v>20</v>
      </c>
      <c r="Q822">
        <v>82.85</v>
      </c>
      <c r="R822">
        <v>331.39</v>
      </c>
      <c r="S822">
        <v>178.32</v>
      </c>
      <c r="T822">
        <v>153.07</v>
      </c>
      <c r="U822" t="s">
        <v>166</v>
      </c>
      <c r="V822" t="s">
        <v>159</v>
      </c>
    </row>
    <row r="823" spans="1:22">
      <c r="A823" t="s">
        <v>1931</v>
      </c>
      <c r="B823" s="1">
        <v>44995</v>
      </c>
      <c r="C823" t="s">
        <v>217</v>
      </c>
      <c r="D823">
        <v>2023</v>
      </c>
      <c r="E823" t="s">
        <v>162</v>
      </c>
      <c r="F823" t="s">
        <v>1932</v>
      </c>
      <c r="G823" t="s">
        <v>64</v>
      </c>
      <c r="H823" t="s">
        <v>65</v>
      </c>
      <c r="I823" t="s">
        <v>66</v>
      </c>
      <c r="J823" t="s">
        <v>67</v>
      </c>
      <c r="K823" t="s">
        <v>156</v>
      </c>
      <c r="L823" t="s">
        <v>165</v>
      </c>
      <c r="M823">
        <v>4</v>
      </c>
      <c r="N823">
        <v>24.9</v>
      </c>
      <c r="O823">
        <v>99.6</v>
      </c>
      <c r="P823">
        <v>5</v>
      </c>
      <c r="Q823">
        <v>4.9800000000000004</v>
      </c>
      <c r="R823">
        <v>94.62</v>
      </c>
      <c r="S823">
        <v>86.08</v>
      </c>
      <c r="T823">
        <v>8.5399999999999991</v>
      </c>
      <c r="U823" t="s">
        <v>166</v>
      </c>
      <c r="V823" t="s">
        <v>159</v>
      </c>
    </row>
    <row r="824" spans="1:22">
      <c r="A824" t="s">
        <v>1379</v>
      </c>
      <c r="B824" s="1">
        <v>44995</v>
      </c>
      <c r="C824" t="s">
        <v>217</v>
      </c>
      <c r="D824">
        <v>2023</v>
      </c>
      <c r="E824" t="s">
        <v>162</v>
      </c>
      <c r="F824" t="s">
        <v>1380</v>
      </c>
      <c r="G824" t="s">
        <v>17</v>
      </c>
      <c r="H824" t="s">
        <v>18</v>
      </c>
      <c r="I824" t="s">
        <v>14</v>
      </c>
      <c r="J824" t="s">
        <v>19</v>
      </c>
      <c r="K824" t="s">
        <v>209</v>
      </c>
      <c r="L824" t="s">
        <v>204</v>
      </c>
      <c r="M824">
        <v>4</v>
      </c>
      <c r="N824">
        <v>53.26</v>
      </c>
      <c r="O824">
        <v>213.04</v>
      </c>
      <c r="P824">
        <v>0</v>
      </c>
      <c r="Q824">
        <v>0</v>
      </c>
      <c r="R824">
        <v>213.04</v>
      </c>
      <c r="S824">
        <v>146.56</v>
      </c>
      <c r="T824">
        <v>66.48</v>
      </c>
      <c r="U824" t="s">
        <v>180</v>
      </c>
      <c r="V824" t="s">
        <v>181</v>
      </c>
    </row>
    <row r="825" spans="1:22">
      <c r="A825" t="s">
        <v>626</v>
      </c>
      <c r="B825" s="1">
        <v>44995</v>
      </c>
      <c r="C825" t="s">
        <v>217</v>
      </c>
      <c r="D825">
        <v>2023</v>
      </c>
      <c r="E825" t="s">
        <v>162</v>
      </c>
      <c r="F825" t="s">
        <v>627</v>
      </c>
      <c r="G825" t="s">
        <v>73</v>
      </c>
      <c r="H825" t="s">
        <v>74</v>
      </c>
      <c r="I825" t="s">
        <v>66</v>
      </c>
      <c r="J825" t="s">
        <v>75</v>
      </c>
      <c r="K825" t="s">
        <v>156</v>
      </c>
      <c r="L825" t="s">
        <v>204</v>
      </c>
      <c r="M825">
        <v>2</v>
      </c>
      <c r="N825">
        <v>53.95</v>
      </c>
      <c r="O825">
        <v>107.9</v>
      </c>
      <c r="P825">
        <v>0</v>
      </c>
      <c r="Q825">
        <v>0</v>
      </c>
      <c r="R825">
        <v>107.9</v>
      </c>
      <c r="S825">
        <v>70.400000000000006</v>
      </c>
      <c r="T825">
        <v>37.5</v>
      </c>
      <c r="U825" t="s">
        <v>166</v>
      </c>
      <c r="V825" t="s">
        <v>159</v>
      </c>
    </row>
    <row r="826" spans="1:22">
      <c r="A826" t="s">
        <v>1574</v>
      </c>
      <c r="B826" s="1">
        <v>44994</v>
      </c>
      <c r="C826" t="s">
        <v>217</v>
      </c>
      <c r="D826">
        <v>2023</v>
      </c>
      <c r="E826" t="s">
        <v>162</v>
      </c>
      <c r="F826" t="s">
        <v>1575</v>
      </c>
      <c r="G826" t="s">
        <v>28</v>
      </c>
      <c r="H826" t="s">
        <v>29</v>
      </c>
      <c r="I826" t="s">
        <v>14</v>
      </c>
      <c r="J826" t="s">
        <v>19</v>
      </c>
      <c r="K826" t="s">
        <v>164</v>
      </c>
      <c r="L826" t="s">
        <v>174</v>
      </c>
      <c r="M826">
        <v>4</v>
      </c>
      <c r="N826">
        <v>26.46</v>
      </c>
      <c r="O826">
        <v>105.84</v>
      </c>
      <c r="P826">
        <v>10</v>
      </c>
      <c r="Q826">
        <v>10.58</v>
      </c>
      <c r="R826">
        <v>95.26</v>
      </c>
      <c r="S826">
        <v>77.680000000000007</v>
      </c>
      <c r="T826">
        <v>17.579999999999998</v>
      </c>
      <c r="U826" t="s">
        <v>180</v>
      </c>
      <c r="V826" t="s">
        <v>159</v>
      </c>
    </row>
    <row r="827" spans="1:22">
      <c r="A827" t="s">
        <v>342</v>
      </c>
      <c r="B827" s="1">
        <v>44994</v>
      </c>
      <c r="C827" t="s">
        <v>217</v>
      </c>
      <c r="D827">
        <v>2023</v>
      </c>
      <c r="E827" t="s">
        <v>162</v>
      </c>
      <c r="F827" t="s">
        <v>343</v>
      </c>
      <c r="G827" t="s">
        <v>107</v>
      </c>
      <c r="H827" t="s">
        <v>108</v>
      </c>
      <c r="I827" t="s">
        <v>90</v>
      </c>
      <c r="J827" t="s">
        <v>100</v>
      </c>
      <c r="K827" t="s">
        <v>178</v>
      </c>
      <c r="L827" t="s">
        <v>194</v>
      </c>
      <c r="M827">
        <v>3</v>
      </c>
      <c r="N827">
        <v>26.61</v>
      </c>
      <c r="O827">
        <v>79.83</v>
      </c>
      <c r="P827">
        <v>15</v>
      </c>
      <c r="Q827">
        <v>11.97</v>
      </c>
      <c r="R827">
        <v>67.86</v>
      </c>
      <c r="S827">
        <v>31.92</v>
      </c>
      <c r="T827">
        <v>35.94</v>
      </c>
      <c r="U827" t="s">
        <v>180</v>
      </c>
      <c r="V827" t="s">
        <v>159</v>
      </c>
    </row>
    <row r="828" spans="1:22">
      <c r="A828" t="s">
        <v>831</v>
      </c>
      <c r="B828" s="1">
        <v>44994</v>
      </c>
      <c r="C828" t="s">
        <v>217</v>
      </c>
      <c r="D828">
        <v>2023</v>
      </c>
      <c r="E828" t="s">
        <v>162</v>
      </c>
      <c r="F828" t="s">
        <v>832</v>
      </c>
      <c r="G828" t="s">
        <v>33</v>
      </c>
      <c r="H828" t="s">
        <v>34</v>
      </c>
      <c r="I828" t="s">
        <v>14</v>
      </c>
      <c r="J828" t="s">
        <v>27</v>
      </c>
      <c r="K828" t="s">
        <v>209</v>
      </c>
      <c r="L828" t="s">
        <v>157</v>
      </c>
      <c r="M828">
        <v>4</v>
      </c>
      <c r="N828">
        <v>124.26</v>
      </c>
      <c r="O828">
        <v>497.04</v>
      </c>
      <c r="P828">
        <v>15</v>
      </c>
      <c r="Q828">
        <v>74.56</v>
      </c>
      <c r="R828">
        <v>422.48</v>
      </c>
      <c r="S828">
        <v>210.48</v>
      </c>
      <c r="T828">
        <v>212</v>
      </c>
      <c r="U828" t="s">
        <v>180</v>
      </c>
      <c r="V828" t="s">
        <v>159</v>
      </c>
    </row>
    <row r="829" spans="1:22">
      <c r="A829" t="s">
        <v>1087</v>
      </c>
      <c r="B829" s="1">
        <v>44994</v>
      </c>
      <c r="C829" t="s">
        <v>217</v>
      </c>
      <c r="D829">
        <v>2023</v>
      </c>
      <c r="E829" t="s">
        <v>162</v>
      </c>
      <c r="F829" t="s">
        <v>1088</v>
      </c>
      <c r="G829" t="s">
        <v>117</v>
      </c>
      <c r="H829" t="s">
        <v>118</v>
      </c>
      <c r="I829" t="s">
        <v>115</v>
      </c>
      <c r="J829" t="s">
        <v>119</v>
      </c>
      <c r="K829" t="s">
        <v>209</v>
      </c>
      <c r="L829" t="s">
        <v>179</v>
      </c>
      <c r="M829">
        <v>2</v>
      </c>
      <c r="N829">
        <v>93.41</v>
      </c>
      <c r="O829">
        <v>186.82</v>
      </c>
      <c r="P829">
        <v>0</v>
      </c>
      <c r="Q829">
        <v>0</v>
      </c>
      <c r="R829">
        <v>186.82</v>
      </c>
      <c r="S829">
        <v>128.1</v>
      </c>
      <c r="T829">
        <v>58.72</v>
      </c>
      <c r="U829" t="s">
        <v>190</v>
      </c>
      <c r="V829" t="s">
        <v>159</v>
      </c>
    </row>
    <row r="830" spans="1:22">
      <c r="A830" t="s">
        <v>823</v>
      </c>
      <c r="B830" s="1">
        <v>44994</v>
      </c>
      <c r="C830" t="s">
        <v>217</v>
      </c>
      <c r="D830">
        <v>2023</v>
      </c>
      <c r="E830" t="s">
        <v>162</v>
      </c>
      <c r="F830" t="s">
        <v>824</v>
      </c>
      <c r="G830" t="s">
        <v>82</v>
      </c>
      <c r="H830" t="s">
        <v>83</v>
      </c>
      <c r="I830" t="s">
        <v>66</v>
      </c>
      <c r="J830" t="s">
        <v>67</v>
      </c>
      <c r="K830" t="s">
        <v>178</v>
      </c>
      <c r="L830" t="s">
        <v>157</v>
      </c>
      <c r="M830">
        <v>2</v>
      </c>
      <c r="N830">
        <v>34.479999999999997</v>
      </c>
      <c r="O830">
        <v>68.959999999999994</v>
      </c>
      <c r="P830">
        <v>15</v>
      </c>
      <c r="Q830">
        <v>10.34</v>
      </c>
      <c r="R830">
        <v>58.62</v>
      </c>
      <c r="S830">
        <v>38.479999999999997</v>
      </c>
      <c r="T830">
        <v>20.14</v>
      </c>
      <c r="U830" t="s">
        <v>195</v>
      </c>
      <c r="V830" t="s">
        <v>159</v>
      </c>
    </row>
    <row r="831" spans="1:22">
      <c r="A831" t="s">
        <v>535</v>
      </c>
      <c r="B831" s="1">
        <v>44993</v>
      </c>
      <c r="C831" t="s">
        <v>217</v>
      </c>
      <c r="D831">
        <v>2023</v>
      </c>
      <c r="E831" t="s">
        <v>162</v>
      </c>
      <c r="F831" t="s">
        <v>536</v>
      </c>
      <c r="G831" t="s">
        <v>35</v>
      </c>
      <c r="H831" t="s">
        <v>36</v>
      </c>
      <c r="I831" t="s">
        <v>14</v>
      </c>
      <c r="J831" t="s">
        <v>19</v>
      </c>
      <c r="K831" t="s">
        <v>209</v>
      </c>
      <c r="L831" t="s">
        <v>179</v>
      </c>
      <c r="M831">
        <v>2</v>
      </c>
      <c r="N831">
        <v>81.599999999999994</v>
      </c>
      <c r="O831">
        <v>163.19999999999999</v>
      </c>
      <c r="P831">
        <v>20</v>
      </c>
      <c r="Q831">
        <v>32.64</v>
      </c>
      <c r="R831">
        <v>130.56</v>
      </c>
      <c r="S831">
        <v>58.64</v>
      </c>
      <c r="T831">
        <v>71.92</v>
      </c>
      <c r="U831" t="s">
        <v>158</v>
      </c>
      <c r="V831" t="s">
        <v>181</v>
      </c>
    </row>
    <row r="832" spans="1:22">
      <c r="A832" t="s">
        <v>935</v>
      </c>
      <c r="B832" s="1">
        <v>44993</v>
      </c>
      <c r="C832" t="s">
        <v>217</v>
      </c>
      <c r="D832">
        <v>2023</v>
      </c>
      <c r="E832" t="s">
        <v>162</v>
      </c>
      <c r="F832" t="s">
        <v>936</v>
      </c>
      <c r="G832" t="s">
        <v>68</v>
      </c>
      <c r="H832" t="s">
        <v>69</v>
      </c>
      <c r="I832" t="s">
        <v>66</v>
      </c>
      <c r="J832" t="s">
        <v>70</v>
      </c>
      <c r="K832" t="s">
        <v>156</v>
      </c>
      <c r="L832" t="s">
        <v>179</v>
      </c>
      <c r="M832">
        <v>2</v>
      </c>
      <c r="N832">
        <v>98.51</v>
      </c>
      <c r="O832">
        <v>197.02</v>
      </c>
      <c r="P832">
        <v>20</v>
      </c>
      <c r="Q832">
        <v>39.4</v>
      </c>
      <c r="R832">
        <v>157.62</v>
      </c>
      <c r="S832">
        <v>110.34</v>
      </c>
      <c r="T832">
        <v>47.28</v>
      </c>
      <c r="U832" t="s">
        <v>195</v>
      </c>
      <c r="V832" t="s">
        <v>159</v>
      </c>
    </row>
    <row r="833" spans="1:22">
      <c r="A833" t="s">
        <v>910</v>
      </c>
      <c r="B833" s="1">
        <v>44992</v>
      </c>
      <c r="C833" t="s">
        <v>217</v>
      </c>
      <c r="D833">
        <v>2023</v>
      </c>
      <c r="E833" t="s">
        <v>162</v>
      </c>
      <c r="F833" t="s">
        <v>911</v>
      </c>
      <c r="G833" t="s">
        <v>117</v>
      </c>
      <c r="H833" t="s">
        <v>118</v>
      </c>
      <c r="I833" t="s">
        <v>115</v>
      </c>
      <c r="J833" t="s">
        <v>119</v>
      </c>
      <c r="K833" t="s">
        <v>178</v>
      </c>
      <c r="L833" t="s">
        <v>174</v>
      </c>
      <c r="M833">
        <v>4</v>
      </c>
      <c r="N833">
        <v>93.41</v>
      </c>
      <c r="O833">
        <v>373.64</v>
      </c>
      <c r="P833">
        <v>20</v>
      </c>
      <c r="Q833">
        <v>74.73</v>
      </c>
      <c r="R833">
        <v>298.91000000000003</v>
      </c>
      <c r="S833">
        <v>256.2</v>
      </c>
      <c r="T833">
        <v>42.71</v>
      </c>
      <c r="U833" t="s">
        <v>158</v>
      </c>
      <c r="V833" t="s">
        <v>186</v>
      </c>
    </row>
    <row r="834" spans="1:22">
      <c r="A834" t="s">
        <v>1190</v>
      </c>
      <c r="B834" s="1">
        <v>44992</v>
      </c>
      <c r="C834" t="s">
        <v>217</v>
      </c>
      <c r="D834">
        <v>2023</v>
      </c>
      <c r="E834" t="s">
        <v>162</v>
      </c>
      <c r="F834" t="s">
        <v>1191</v>
      </c>
      <c r="G834" t="s">
        <v>92</v>
      </c>
      <c r="H834" t="s">
        <v>93</v>
      </c>
      <c r="I834" t="s">
        <v>90</v>
      </c>
      <c r="J834" t="s">
        <v>94</v>
      </c>
      <c r="K834" t="s">
        <v>156</v>
      </c>
      <c r="L834" t="s">
        <v>174</v>
      </c>
      <c r="M834">
        <v>3</v>
      </c>
      <c r="N834">
        <v>230.34</v>
      </c>
      <c r="O834">
        <v>691.02</v>
      </c>
      <c r="P834">
        <v>0</v>
      </c>
      <c r="Q834">
        <v>0</v>
      </c>
      <c r="R834">
        <v>691.02</v>
      </c>
      <c r="S834">
        <v>224.04</v>
      </c>
      <c r="T834">
        <v>466.98</v>
      </c>
      <c r="U834" t="s">
        <v>195</v>
      </c>
      <c r="V834" t="s">
        <v>181</v>
      </c>
    </row>
    <row r="835" spans="1:22">
      <c r="A835" t="s">
        <v>1760</v>
      </c>
      <c r="B835" s="1">
        <v>44991</v>
      </c>
      <c r="C835" t="s">
        <v>217</v>
      </c>
      <c r="D835">
        <v>2023</v>
      </c>
      <c r="E835" t="s">
        <v>162</v>
      </c>
      <c r="F835" t="s">
        <v>1761</v>
      </c>
      <c r="G835" t="s">
        <v>21</v>
      </c>
      <c r="H835" t="s">
        <v>22</v>
      </c>
      <c r="I835" t="s">
        <v>14</v>
      </c>
      <c r="J835" t="s">
        <v>15</v>
      </c>
      <c r="K835" t="s">
        <v>178</v>
      </c>
      <c r="L835" t="s">
        <v>194</v>
      </c>
      <c r="M835">
        <v>3</v>
      </c>
      <c r="N835">
        <v>65.430000000000007</v>
      </c>
      <c r="O835">
        <v>196.29000000000002</v>
      </c>
      <c r="P835">
        <v>10</v>
      </c>
      <c r="Q835">
        <v>19.63</v>
      </c>
      <c r="R835">
        <v>176.66</v>
      </c>
      <c r="S835">
        <v>116.07</v>
      </c>
      <c r="T835">
        <v>60.59</v>
      </c>
      <c r="U835" t="s">
        <v>190</v>
      </c>
      <c r="V835" t="s">
        <v>159</v>
      </c>
    </row>
    <row r="836" spans="1:22">
      <c r="A836" t="s">
        <v>277</v>
      </c>
      <c r="B836" s="1">
        <v>44990</v>
      </c>
      <c r="C836" t="s">
        <v>217</v>
      </c>
      <c r="D836">
        <v>2023</v>
      </c>
      <c r="E836" t="s">
        <v>162</v>
      </c>
      <c r="F836" t="s">
        <v>278</v>
      </c>
      <c r="G836" t="s">
        <v>131</v>
      </c>
      <c r="H836" t="s">
        <v>132</v>
      </c>
      <c r="I836" t="s">
        <v>115</v>
      </c>
      <c r="J836" t="s">
        <v>119</v>
      </c>
      <c r="K836" t="s">
        <v>178</v>
      </c>
      <c r="L836" t="s">
        <v>165</v>
      </c>
      <c r="M836">
        <v>3</v>
      </c>
      <c r="N836">
        <v>75.69</v>
      </c>
      <c r="O836">
        <v>227.07</v>
      </c>
      <c r="P836">
        <v>5</v>
      </c>
      <c r="Q836">
        <v>11.35</v>
      </c>
      <c r="R836">
        <v>215.72</v>
      </c>
      <c r="S836">
        <v>106.89</v>
      </c>
      <c r="T836">
        <v>108.83</v>
      </c>
      <c r="U836" t="s">
        <v>180</v>
      </c>
      <c r="V836" t="s">
        <v>159</v>
      </c>
    </row>
    <row r="837" spans="1:22">
      <c r="A837" t="s">
        <v>1500</v>
      </c>
      <c r="B837" s="1">
        <v>44990</v>
      </c>
      <c r="C837" t="s">
        <v>217</v>
      </c>
      <c r="D837">
        <v>2023</v>
      </c>
      <c r="E837" t="s">
        <v>162</v>
      </c>
      <c r="F837" t="s">
        <v>828</v>
      </c>
      <c r="G837" t="s">
        <v>64</v>
      </c>
      <c r="H837" t="s">
        <v>65</v>
      </c>
      <c r="I837" t="s">
        <v>66</v>
      </c>
      <c r="J837" t="s">
        <v>67</v>
      </c>
      <c r="K837" t="s">
        <v>209</v>
      </c>
      <c r="L837" t="s">
        <v>165</v>
      </c>
      <c r="M837">
        <v>2</v>
      </c>
      <c r="N837">
        <v>24.9</v>
      </c>
      <c r="O837">
        <v>49.8</v>
      </c>
      <c r="P837">
        <v>15</v>
      </c>
      <c r="Q837">
        <v>7.47</v>
      </c>
      <c r="R837">
        <v>42.33</v>
      </c>
      <c r="S837">
        <v>43.04</v>
      </c>
      <c r="T837">
        <v>-0.71</v>
      </c>
      <c r="U837" t="s">
        <v>180</v>
      </c>
      <c r="V837" t="s">
        <v>159</v>
      </c>
    </row>
    <row r="838" spans="1:22">
      <c r="A838" t="s">
        <v>838</v>
      </c>
      <c r="B838" s="1">
        <v>44990</v>
      </c>
      <c r="C838" t="s">
        <v>217</v>
      </c>
      <c r="D838">
        <v>2023</v>
      </c>
      <c r="E838" t="s">
        <v>162</v>
      </c>
      <c r="F838" t="s">
        <v>839</v>
      </c>
      <c r="G838" t="s">
        <v>28</v>
      </c>
      <c r="H838" t="s">
        <v>29</v>
      </c>
      <c r="I838" t="s">
        <v>14</v>
      </c>
      <c r="J838" t="s">
        <v>19</v>
      </c>
      <c r="K838" t="s">
        <v>164</v>
      </c>
      <c r="L838" t="s">
        <v>194</v>
      </c>
      <c r="M838">
        <v>1</v>
      </c>
      <c r="N838">
        <v>26.46</v>
      </c>
      <c r="O838">
        <v>26.46</v>
      </c>
      <c r="P838">
        <v>0</v>
      </c>
      <c r="Q838">
        <v>0</v>
      </c>
      <c r="R838">
        <v>26.46</v>
      </c>
      <c r="S838">
        <v>19.420000000000002</v>
      </c>
      <c r="T838">
        <v>7.04</v>
      </c>
      <c r="U838" t="s">
        <v>180</v>
      </c>
      <c r="V838" t="s">
        <v>159</v>
      </c>
    </row>
    <row r="839" spans="1:22">
      <c r="A839" t="s">
        <v>821</v>
      </c>
      <c r="B839" s="1">
        <v>44990</v>
      </c>
      <c r="C839" t="s">
        <v>217</v>
      </c>
      <c r="D839">
        <v>2023</v>
      </c>
      <c r="E839" t="s">
        <v>162</v>
      </c>
      <c r="F839" t="s">
        <v>822</v>
      </c>
      <c r="G839" t="s">
        <v>30</v>
      </c>
      <c r="H839" t="s">
        <v>31</v>
      </c>
      <c r="I839" t="s">
        <v>14</v>
      </c>
      <c r="J839" t="s">
        <v>32</v>
      </c>
      <c r="K839" t="s">
        <v>156</v>
      </c>
      <c r="L839" t="s">
        <v>204</v>
      </c>
      <c r="M839">
        <v>4</v>
      </c>
      <c r="N839">
        <v>113.18</v>
      </c>
      <c r="O839">
        <v>452.72</v>
      </c>
      <c r="P839">
        <v>0</v>
      </c>
      <c r="Q839">
        <v>0</v>
      </c>
      <c r="R839">
        <v>452.72</v>
      </c>
      <c r="S839">
        <v>156.04</v>
      </c>
      <c r="T839">
        <v>296.68</v>
      </c>
      <c r="U839" t="s">
        <v>180</v>
      </c>
      <c r="V839" t="s">
        <v>159</v>
      </c>
    </row>
    <row r="840" spans="1:22">
      <c r="A840" t="s">
        <v>1522</v>
      </c>
      <c r="B840" s="1">
        <v>44989</v>
      </c>
      <c r="C840" t="s">
        <v>217</v>
      </c>
      <c r="D840">
        <v>2023</v>
      </c>
      <c r="E840" t="s">
        <v>162</v>
      </c>
      <c r="F840" t="s">
        <v>1523</v>
      </c>
      <c r="G840" t="s">
        <v>60</v>
      </c>
      <c r="H840" t="s">
        <v>61</v>
      </c>
      <c r="I840" t="s">
        <v>41</v>
      </c>
      <c r="J840" t="s">
        <v>59</v>
      </c>
      <c r="K840" t="s">
        <v>178</v>
      </c>
      <c r="L840" t="s">
        <v>194</v>
      </c>
      <c r="M840">
        <v>4</v>
      </c>
      <c r="N840">
        <v>103.56</v>
      </c>
      <c r="O840">
        <v>414.24</v>
      </c>
      <c r="P840">
        <v>0</v>
      </c>
      <c r="Q840">
        <v>0</v>
      </c>
      <c r="R840">
        <v>414.24</v>
      </c>
      <c r="S840">
        <v>178.32</v>
      </c>
      <c r="T840">
        <v>235.92</v>
      </c>
      <c r="U840" t="s">
        <v>166</v>
      </c>
      <c r="V840" t="s">
        <v>186</v>
      </c>
    </row>
    <row r="841" spans="1:22">
      <c r="A841" t="s">
        <v>1847</v>
      </c>
      <c r="B841" s="1">
        <v>44989</v>
      </c>
      <c r="C841" t="s">
        <v>217</v>
      </c>
      <c r="D841">
        <v>2023</v>
      </c>
      <c r="E841" t="s">
        <v>162</v>
      </c>
      <c r="F841" t="s">
        <v>1380</v>
      </c>
      <c r="G841" t="s">
        <v>37</v>
      </c>
      <c r="H841" t="s">
        <v>38</v>
      </c>
      <c r="I841" t="s">
        <v>14</v>
      </c>
      <c r="J841" t="s">
        <v>27</v>
      </c>
      <c r="K841" t="s">
        <v>164</v>
      </c>
      <c r="L841" t="s">
        <v>204</v>
      </c>
      <c r="M841">
        <v>4</v>
      </c>
      <c r="N841">
        <v>133.99</v>
      </c>
      <c r="O841">
        <v>535.96</v>
      </c>
      <c r="P841">
        <v>0</v>
      </c>
      <c r="Q841">
        <v>0</v>
      </c>
      <c r="R841">
        <v>535.96</v>
      </c>
      <c r="S841">
        <v>293.95999999999998</v>
      </c>
      <c r="T841">
        <v>242</v>
      </c>
      <c r="U841" t="s">
        <v>190</v>
      </c>
      <c r="V841" t="s">
        <v>159</v>
      </c>
    </row>
    <row r="842" spans="1:22">
      <c r="A842" t="s">
        <v>394</v>
      </c>
      <c r="B842" s="1">
        <v>44989</v>
      </c>
      <c r="C842" t="s">
        <v>217</v>
      </c>
      <c r="D842">
        <v>2023</v>
      </c>
      <c r="E842" t="s">
        <v>162</v>
      </c>
      <c r="F842" t="s">
        <v>395</v>
      </c>
      <c r="G842" t="s">
        <v>23</v>
      </c>
      <c r="H842" t="s">
        <v>24</v>
      </c>
      <c r="I842" t="s">
        <v>14</v>
      </c>
      <c r="J842" t="s">
        <v>19</v>
      </c>
      <c r="K842" t="s">
        <v>178</v>
      </c>
      <c r="L842" t="s">
        <v>179</v>
      </c>
      <c r="M842">
        <v>3</v>
      </c>
      <c r="N842">
        <v>154.03</v>
      </c>
      <c r="O842">
        <v>462.09000000000003</v>
      </c>
      <c r="P842">
        <v>15</v>
      </c>
      <c r="Q842">
        <v>69.31</v>
      </c>
      <c r="R842">
        <v>392.78</v>
      </c>
      <c r="S842">
        <v>230.37</v>
      </c>
      <c r="T842">
        <v>162.41</v>
      </c>
      <c r="U842" t="s">
        <v>180</v>
      </c>
      <c r="V842" t="s">
        <v>159</v>
      </c>
    </row>
    <row r="843" spans="1:22">
      <c r="A843" t="s">
        <v>521</v>
      </c>
      <c r="B843" s="1">
        <v>44989</v>
      </c>
      <c r="C843" t="s">
        <v>217</v>
      </c>
      <c r="D843">
        <v>2023</v>
      </c>
      <c r="E843" t="s">
        <v>162</v>
      </c>
      <c r="F843" t="s">
        <v>522</v>
      </c>
      <c r="G843" t="s">
        <v>125</v>
      </c>
      <c r="H843" t="s">
        <v>126</v>
      </c>
      <c r="I843" t="s">
        <v>115</v>
      </c>
      <c r="J843" t="s">
        <v>116</v>
      </c>
      <c r="K843" t="s">
        <v>209</v>
      </c>
      <c r="L843" t="s">
        <v>204</v>
      </c>
      <c r="M843">
        <v>4</v>
      </c>
      <c r="N843">
        <v>144.94999999999999</v>
      </c>
      <c r="O843">
        <v>579.79999999999995</v>
      </c>
      <c r="P843">
        <v>0</v>
      </c>
      <c r="Q843">
        <v>0</v>
      </c>
      <c r="R843">
        <v>579.79999999999995</v>
      </c>
      <c r="S843">
        <v>308.76</v>
      </c>
      <c r="T843">
        <v>271.04000000000002</v>
      </c>
      <c r="U843" t="s">
        <v>190</v>
      </c>
      <c r="V843" t="s">
        <v>186</v>
      </c>
    </row>
    <row r="844" spans="1:22">
      <c r="A844" t="s">
        <v>595</v>
      </c>
      <c r="B844" s="1">
        <v>44989</v>
      </c>
      <c r="C844" t="s">
        <v>217</v>
      </c>
      <c r="D844">
        <v>2023</v>
      </c>
      <c r="E844" t="s">
        <v>162</v>
      </c>
      <c r="F844" t="s">
        <v>596</v>
      </c>
      <c r="G844" t="s">
        <v>129</v>
      </c>
      <c r="H844" t="s">
        <v>130</v>
      </c>
      <c r="I844" t="s">
        <v>115</v>
      </c>
      <c r="J844" t="s">
        <v>124</v>
      </c>
      <c r="K844" t="s">
        <v>164</v>
      </c>
      <c r="L844" t="s">
        <v>204</v>
      </c>
      <c r="M844">
        <v>3</v>
      </c>
      <c r="N844">
        <v>99.34</v>
      </c>
      <c r="O844">
        <v>298.02</v>
      </c>
      <c r="P844">
        <v>0</v>
      </c>
      <c r="Q844">
        <v>0</v>
      </c>
      <c r="R844">
        <v>298.02</v>
      </c>
      <c r="S844">
        <v>112.05</v>
      </c>
      <c r="T844">
        <v>185.97</v>
      </c>
      <c r="U844" t="s">
        <v>195</v>
      </c>
      <c r="V844" t="s">
        <v>159</v>
      </c>
    </row>
    <row r="845" spans="1:22">
      <c r="A845" t="s">
        <v>1115</v>
      </c>
      <c r="B845" s="1">
        <v>44988</v>
      </c>
      <c r="C845" t="s">
        <v>217</v>
      </c>
      <c r="D845">
        <v>2023</v>
      </c>
      <c r="E845" t="s">
        <v>162</v>
      </c>
      <c r="F845" t="s">
        <v>1116</v>
      </c>
      <c r="G845" t="s">
        <v>55</v>
      </c>
      <c r="H845" t="s">
        <v>56</v>
      </c>
      <c r="I845" t="s">
        <v>41</v>
      </c>
      <c r="J845" t="s">
        <v>45</v>
      </c>
      <c r="K845" t="s">
        <v>164</v>
      </c>
      <c r="L845" t="s">
        <v>157</v>
      </c>
      <c r="M845">
        <v>2</v>
      </c>
      <c r="N845">
        <v>205.4</v>
      </c>
      <c r="O845">
        <v>410.8</v>
      </c>
      <c r="P845">
        <v>0</v>
      </c>
      <c r="Q845">
        <v>0</v>
      </c>
      <c r="R845">
        <v>410.8</v>
      </c>
      <c r="S845">
        <v>141.80000000000001</v>
      </c>
      <c r="T845">
        <v>269</v>
      </c>
      <c r="U845" t="s">
        <v>180</v>
      </c>
      <c r="V845" t="s">
        <v>159</v>
      </c>
    </row>
    <row r="846" spans="1:22">
      <c r="A846" t="s">
        <v>249</v>
      </c>
      <c r="B846" s="1">
        <v>44988</v>
      </c>
      <c r="C846" t="s">
        <v>217</v>
      </c>
      <c r="D846">
        <v>2023</v>
      </c>
      <c r="E846" t="s">
        <v>162</v>
      </c>
      <c r="F846" t="s">
        <v>250</v>
      </c>
      <c r="G846" t="s">
        <v>62</v>
      </c>
      <c r="H846" t="s">
        <v>63</v>
      </c>
      <c r="I846" t="s">
        <v>41</v>
      </c>
      <c r="J846" t="s">
        <v>45</v>
      </c>
      <c r="K846" t="s">
        <v>156</v>
      </c>
      <c r="L846" t="s">
        <v>194</v>
      </c>
      <c r="M846">
        <v>3</v>
      </c>
      <c r="N846">
        <v>160.35</v>
      </c>
      <c r="O846">
        <v>481.04999999999995</v>
      </c>
      <c r="P846">
        <v>0</v>
      </c>
      <c r="Q846">
        <v>0</v>
      </c>
      <c r="R846">
        <v>481.05</v>
      </c>
      <c r="S846">
        <v>217.41</v>
      </c>
      <c r="T846">
        <v>263.64</v>
      </c>
      <c r="U846" t="s">
        <v>158</v>
      </c>
      <c r="V846" t="s">
        <v>181</v>
      </c>
    </row>
    <row r="847" spans="1:22">
      <c r="A847" t="s">
        <v>1684</v>
      </c>
      <c r="B847" s="1">
        <v>44988</v>
      </c>
      <c r="C847" t="s">
        <v>217</v>
      </c>
      <c r="D847">
        <v>2023</v>
      </c>
      <c r="E847" t="s">
        <v>162</v>
      </c>
      <c r="F847" t="s">
        <v>1685</v>
      </c>
      <c r="G847" t="s">
        <v>68</v>
      </c>
      <c r="H847" t="s">
        <v>69</v>
      </c>
      <c r="I847" t="s">
        <v>66</v>
      </c>
      <c r="J847" t="s">
        <v>70</v>
      </c>
      <c r="K847" t="s">
        <v>156</v>
      </c>
      <c r="L847" t="s">
        <v>194</v>
      </c>
      <c r="M847">
        <v>4</v>
      </c>
      <c r="N847">
        <v>98.51</v>
      </c>
      <c r="O847">
        <v>394.04</v>
      </c>
      <c r="P847">
        <v>0</v>
      </c>
      <c r="Q847">
        <v>0</v>
      </c>
      <c r="R847">
        <v>394.04</v>
      </c>
      <c r="S847">
        <v>220.68</v>
      </c>
      <c r="T847">
        <v>173.36</v>
      </c>
      <c r="U847" t="s">
        <v>190</v>
      </c>
      <c r="V847" t="s">
        <v>159</v>
      </c>
    </row>
    <row r="848" spans="1:22">
      <c r="A848" t="s">
        <v>1647</v>
      </c>
      <c r="B848" s="1">
        <v>44988</v>
      </c>
      <c r="C848" t="s">
        <v>217</v>
      </c>
      <c r="D848">
        <v>2023</v>
      </c>
      <c r="E848" t="s">
        <v>162</v>
      </c>
      <c r="F848" t="s">
        <v>1648</v>
      </c>
      <c r="G848" t="s">
        <v>113</v>
      </c>
      <c r="H848" t="s">
        <v>114</v>
      </c>
      <c r="I848" t="s">
        <v>115</v>
      </c>
      <c r="J848" t="s">
        <v>116</v>
      </c>
      <c r="K848" t="s">
        <v>156</v>
      </c>
      <c r="L848" t="s">
        <v>204</v>
      </c>
      <c r="M848">
        <v>1</v>
      </c>
      <c r="N848">
        <v>18.7</v>
      </c>
      <c r="O848">
        <v>18.7</v>
      </c>
      <c r="P848">
        <v>15</v>
      </c>
      <c r="Q848">
        <v>2.81</v>
      </c>
      <c r="R848">
        <v>15.89</v>
      </c>
      <c r="S848">
        <v>6.86</v>
      </c>
      <c r="T848">
        <v>9.0299999999999994</v>
      </c>
      <c r="U848" t="s">
        <v>166</v>
      </c>
      <c r="V848" t="s">
        <v>159</v>
      </c>
    </row>
    <row r="849" spans="1:22">
      <c r="A849" t="s">
        <v>1038</v>
      </c>
      <c r="B849" s="1">
        <v>44987</v>
      </c>
      <c r="C849" t="s">
        <v>217</v>
      </c>
      <c r="D849">
        <v>2023</v>
      </c>
      <c r="E849" t="s">
        <v>162</v>
      </c>
      <c r="F849" t="s">
        <v>1039</v>
      </c>
      <c r="G849" t="s">
        <v>60</v>
      </c>
      <c r="H849" t="s">
        <v>61</v>
      </c>
      <c r="I849" t="s">
        <v>41</v>
      </c>
      <c r="J849" t="s">
        <v>59</v>
      </c>
      <c r="K849" t="s">
        <v>209</v>
      </c>
      <c r="L849" t="s">
        <v>179</v>
      </c>
      <c r="M849">
        <v>4</v>
      </c>
      <c r="N849">
        <v>103.56</v>
      </c>
      <c r="O849">
        <v>414.24</v>
      </c>
      <c r="P849">
        <v>20</v>
      </c>
      <c r="Q849">
        <v>82.85</v>
      </c>
      <c r="R849">
        <v>331.39</v>
      </c>
      <c r="S849">
        <v>178.32</v>
      </c>
      <c r="T849">
        <v>153.07</v>
      </c>
      <c r="U849" t="s">
        <v>166</v>
      </c>
      <c r="V849" t="s">
        <v>181</v>
      </c>
    </row>
    <row r="850" spans="1:22">
      <c r="A850" t="s">
        <v>263</v>
      </c>
      <c r="B850" s="1">
        <v>44987</v>
      </c>
      <c r="C850" t="s">
        <v>217</v>
      </c>
      <c r="D850">
        <v>2023</v>
      </c>
      <c r="E850" t="s">
        <v>162</v>
      </c>
      <c r="F850" t="s">
        <v>264</v>
      </c>
      <c r="G850" t="s">
        <v>62</v>
      </c>
      <c r="H850" t="s">
        <v>63</v>
      </c>
      <c r="I850" t="s">
        <v>41</v>
      </c>
      <c r="J850" t="s">
        <v>45</v>
      </c>
      <c r="K850" t="s">
        <v>164</v>
      </c>
      <c r="L850" t="s">
        <v>232</v>
      </c>
      <c r="M850">
        <v>1</v>
      </c>
      <c r="N850">
        <v>160.35</v>
      </c>
      <c r="O850">
        <v>160.35</v>
      </c>
      <c r="P850">
        <v>0</v>
      </c>
      <c r="Q850">
        <v>0</v>
      </c>
      <c r="R850">
        <v>160.35</v>
      </c>
      <c r="S850">
        <v>72.47</v>
      </c>
      <c r="T850">
        <v>87.88</v>
      </c>
      <c r="U850" t="s">
        <v>166</v>
      </c>
      <c r="V850" t="s">
        <v>181</v>
      </c>
    </row>
    <row r="851" spans="1:22">
      <c r="A851" t="s">
        <v>863</v>
      </c>
      <c r="B851" s="1">
        <v>44987</v>
      </c>
      <c r="C851" t="s">
        <v>217</v>
      </c>
      <c r="D851">
        <v>2023</v>
      </c>
      <c r="E851" t="s">
        <v>162</v>
      </c>
      <c r="F851" t="s">
        <v>864</v>
      </c>
      <c r="G851" t="s">
        <v>131</v>
      </c>
      <c r="H851" t="s">
        <v>132</v>
      </c>
      <c r="I851" t="s">
        <v>115</v>
      </c>
      <c r="J851" t="s">
        <v>119</v>
      </c>
      <c r="K851" t="s">
        <v>209</v>
      </c>
      <c r="L851" t="s">
        <v>194</v>
      </c>
      <c r="M851">
        <v>3</v>
      </c>
      <c r="N851">
        <v>75.69</v>
      </c>
      <c r="O851">
        <v>227.07</v>
      </c>
      <c r="P851">
        <v>15</v>
      </c>
      <c r="Q851">
        <v>34.06</v>
      </c>
      <c r="R851">
        <v>193.01</v>
      </c>
      <c r="S851">
        <v>106.89</v>
      </c>
      <c r="T851">
        <v>86.12</v>
      </c>
      <c r="U851" t="s">
        <v>180</v>
      </c>
      <c r="V851" t="s">
        <v>159</v>
      </c>
    </row>
    <row r="852" spans="1:22">
      <c r="A852" t="s">
        <v>1081</v>
      </c>
      <c r="B852" s="1">
        <v>44986</v>
      </c>
      <c r="C852" t="s">
        <v>217</v>
      </c>
      <c r="D852">
        <v>2023</v>
      </c>
      <c r="E852" t="s">
        <v>162</v>
      </c>
      <c r="F852" t="s">
        <v>1082</v>
      </c>
      <c r="G852" t="s">
        <v>73</v>
      </c>
      <c r="H852" t="s">
        <v>74</v>
      </c>
      <c r="I852" t="s">
        <v>66</v>
      </c>
      <c r="J852" t="s">
        <v>75</v>
      </c>
      <c r="K852" t="s">
        <v>209</v>
      </c>
      <c r="L852" t="s">
        <v>174</v>
      </c>
      <c r="M852">
        <v>3</v>
      </c>
      <c r="N852">
        <v>53.95</v>
      </c>
      <c r="O852">
        <v>161.85000000000002</v>
      </c>
      <c r="P852">
        <v>5</v>
      </c>
      <c r="Q852">
        <v>8.09</v>
      </c>
      <c r="R852">
        <v>153.76</v>
      </c>
      <c r="S852">
        <v>105.6</v>
      </c>
      <c r="T852">
        <v>48.16</v>
      </c>
      <c r="U852" t="s">
        <v>190</v>
      </c>
      <c r="V852" t="s">
        <v>159</v>
      </c>
    </row>
    <row r="853" spans="1:22">
      <c r="A853" t="s">
        <v>1131</v>
      </c>
      <c r="B853" s="1">
        <v>44986</v>
      </c>
      <c r="C853" t="s">
        <v>217</v>
      </c>
      <c r="D853">
        <v>2023</v>
      </c>
      <c r="E853" t="s">
        <v>162</v>
      </c>
      <c r="F853" t="s">
        <v>1132</v>
      </c>
      <c r="G853" t="s">
        <v>101</v>
      </c>
      <c r="H853" t="s">
        <v>102</v>
      </c>
      <c r="I853" t="s">
        <v>90</v>
      </c>
      <c r="J853" t="s">
        <v>100</v>
      </c>
      <c r="K853" t="s">
        <v>178</v>
      </c>
      <c r="L853" t="s">
        <v>232</v>
      </c>
      <c r="M853">
        <v>3</v>
      </c>
      <c r="N853">
        <v>196.28</v>
      </c>
      <c r="O853">
        <v>588.84</v>
      </c>
      <c r="P853">
        <v>15</v>
      </c>
      <c r="Q853">
        <v>88.33</v>
      </c>
      <c r="R853">
        <v>500.51</v>
      </c>
      <c r="S853">
        <v>215.19</v>
      </c>
      <c r="T853">
        <v>285.32</v>
      </c>
      <c r="U853" t="s">
        <v>180</v>
      </c>
      <c r="V853" t="s">
        <v>181</v>
      </c>
    </row>
    <row r="854" spans="1:22">
      <c r="A854" t="s">
        <v>1707</v>
      </c>
      <c r="B854" s="1">
        <v>44986</v>
      </c>
      <c r="C854" t="s">
        <v>217</v>
      </c>
      <c r="D854">
        <v>2023</v>
      </c>
      <c r="E854" t="s">
        <v>162</v>
      </c>
      <c r="F854" t="s">
        <v>1708</v>
      </c>
      <c r="G854" t="s">
        <v>17</v>
      </c>
      <c r="H854" t="s">
        <v>18</v>
      </c>
      <c r="I854" t="s">
        <v>14</v>
      </c>
      <c r="J854" t="s">
        <v>19</v>
      </c>
      <c r="K854" t="s">
        <v>156</v>
      </c>
      <c r="L854" t="s">
        <v>165</v>
      </c>
      <c r="M854">
        <v>4</v>
      </c>
      <c r="N854">
        <v>53.26</v>
      </c>
      <c r="O854">
        <v>213.04</v>
      </c>
      <c r="P854">
        <v>10</v>
      </c>
      <c r="Q854">
        <v>21.3</v>
      </c>
      <c r="R854">
        <v>191.74</v>
      </c>
      <c r="S854">
        <v>146.56</v>
      </c>
      <c r="T854">
        <v>45.18</v>
      </c>
      <c r="U854" t="s">
        <v>180</v>
      </c>
      <c r="V854" t="s">
        <v>181</v>
      </c>
    </row>
    <row r="855" spans="1:22">
      <c r="A855" t="s">
        <v>1069</v>
      </c>
      <c r="B855" s="1">
        <v>44985</v>
      </c>
      <c r="C855" t="s">
        <v>161</v>
      </c>
      <c r="D855">
        <v>2023</v>
      </c>
      <c r="E855" t="s">
        <v>162</v>
      </c>
      <c r="F855" t="s">
        <v>1070</v>
      </c>
      <c r="G855" t="s">
        <v>129</v>
      </c>
      <c r="H855" t="s">
        <v>130</v>
      </c>
      <c r="I855" t="s">
        <v>115</v>
      </c>
      <c r="J855" t="s">
        <v>124</v>
      </c>
      <c r="K855" t="s">
        <v>209</v>
      </c>
      <c r="L855" t="s">
        <v>204</v>
      </c>
      <c r="M855">
        <v>1</v>
      </c>
      <c r="N855">
        <v>99.34</v>
      </c>
      <c r="O855">
        <v>99.34</v>
      </c>
      <c r="P855">
        <v>0</v>
      </c>
      <c r="Q855">
        <v>0</v>
      </c>
      <c r="R855">
        <v>99.34</v>
      </c>
      <c r="S855">
        <v>37.35</v>
      </c>
      <c r="T855">
        <v>61.99</v>
      </c>
      <c r="U855" t="s">
        <v>190</v>
      </c>
      <c r="V855" t="s">
        <v>181</v>
      </c>
    </row>
    <row r="856" spans="1:22">
      <c r="A856" t="s">
        <v>421</v>
      </c>
      <c r="B856" s="1">
        <v>44985</v>
      </c>
      <c r="C856" t="s">
        <v>161</v>
      </c>
      <c r="D856">
        <v>2023</v>
      </c>
      <c r="E856" t="s">
        <v>162</v>
      </c>
      <c r="F856" t="s">
        <v>422</v>
      </c>
      <c r="G856" t="s">
        <v>78</v>
      </c>
      <c r="H856" t="s">
        <v>79</v>
      </c>
      <c r="I856" t="s">
        <v>66</v>
      </c>
      <c r="J856" t="s">
        <v>70</v>
      </c>
      <c r="K856" t="s">
        <v>209</v>
      </c>
      <c r="L856" t="s">
        <v>194</v>
      </c>
      <c r="M856">
        <v>4</v>
      </c>
      <c r="N856">
        <v>218.05</v>
      </c>
      <c r="O856">
        <v>872.2</v>
      </c>
      <c r="P856">
        <v>0</v>
      </c>
      <c r="Q856">
        <v>0</v>
      </c>
      <c r="R856">
        <v>872.2</v>
      </c>
      <c r="S856">
        <v>297.92</v>
      </c>
      <c r="T856">
        <v>574.28</v>
      </c>
      <c r="U856" t="s">
        <v>190</v>
      </c>
      <c r="V856" t="s">
        <v>181</v>
      </c>
    </row>
    <row r="857" spans="1:22">
      <c r="A857" t="s">
        <v>1738</v>
      </c>
      <c r="B857" s="1">
        <v>44985</v>
      </c>
      <c r="C857" t="s">
        <v>161</v>
      </c>
      <c r="D857">
        <v>2023</v>
      </c>
      <c r="E857" t="s">
        <v>162</v>
      </c>
      <c r="F857" t="s">
        <v>1739</v>
      </c>
      <c r="G857" t="s">
        <v>68</v>
      </c>
      <c r="H857" t="s">
        <v>69</v>
      </c>
      <c r="I857" t="s">
        <v>66</v>
      </c>
      <c r="J857" t="s">
        <v>70</v>
      </c>
      <c r="K857" t="s">
        <v>164</v>
      </c>
      <c r="L857" t="s">
        <v>165</v>
      </c>
      <c r="M857">
        <v>2</v>
      </c>
      <c r="N857">
        <v>98.51</v>
      </c>
      <c r="O857">
        <v>197.02</v>
      </c>
      <c r="P857">
        <v>10</v>
      </c>
      <c r="Q857">
        <v>19.7</v>
      </c>
      <c r="R857">
        <v>177.32</v>
      </c>
      <c r="S857">
        <v>110.34</v>
      </c>
      <c r="T857">
        <v>66.98</v>
      </c>
      <c r="U857" t="s">
        <v>166</v>
      </c>
      <c r="V857" t="s">
        <v>159</v>
      </c>
    </row>
    <row r="858" spans="1:22">
      <c r="A858" t="s">
        <v>517</v>
      </c>
      <c r="B858" s="1">
        <v>44985</v>
      </c>
      <c r="C858" t="s">
        <v>161</v>
      </c>
      <c r="D858">
        <v>2023</v>
      </c>
      <c r="E858" t="s">
        <v>162</v>
      </c>
      <c r="F858" t="s">
        <v>518</v>
      </c>
      <c r="G858" t="s">
        <v>64</v>
      </c>
      <c r="H858" t="s">
        <v>65</v>
      </c>
      <c r="I858" t="s">
        <v>66</v>
      </c>
      <c r="J858" t="s">
        <v>67</v>
      </c>
      <c r="K858" t="s">
        <v>156</v>
      </c>
      <c r="L858" t="s">
        <v>204</v>
      </c>
      <c r="M858">
        <v>3</v>
      </c>
      <c r="N858">
        <v>24.9</v>
      </c>
      <c r="O858">
        <v>74.699999999999989</v>
      </c>
      <c r="P858">
        <v>0</v>
      </c>
      <c r="Q858">
        <v>0</v>
      </c>
      <c r="R858">
        <v>74.7</v>
      </c>
      <c r="S858">
        <v>64.56</v>
      </c>
      <c r="T858">
        <v>10.14</v>
      </c>
      <c r="U858" t="s">
        <v>166</v>
      </c>
      <c r="V858" t="s">
        <v>186</v>
      </c>
    </row>
    <row r="859" spans="1:22">
      <c r="A859" t="s">
        <v>778</v>
      </c>
      <c r="B859" s="1">
        <v>44985</v>
      </c>
      <c r="C859" t="s">
        <v>161</v>
      </c>
      <c r="D859">
        <v>2023</v>
      </c>
      <c r="E859" t="s">
        <v>162</v>
      </c>
      <c r="F859" t="s">
        <v>286</v>
      </c>
      <c r="G859" t="s">
        <v>76</v>
      </c>
      <c r="H859" t="s">
        <v>77</v>
      </c>
      <c r="I859" t="s">
        <v>66</v>
      </c>
      <c r="J859" t="s">
        <v>67</v>
      </c>
      <c r="K859" t="s">
        <v>178</v>
      </c>
      <c r="L859" t="s">
        <v>179</v>
      </c>
      <c r="M859">
        <v>4</v>
      </c>
      <c r="N859">
        <v>118.07</v>
      </c>
      <c r="O859">
        <v>472.28</v>
      </c>
      <c r="P859">
        <v>10</v>
      </c>
      <c r="Q859">
        <v>47.23</v>
      </c>
      <c r="R859">
        <v>425.05</v>
      </c>
      <c r="S859">
        <v>158.80000000000001</v>
      </c>
      <c r="T859">
        <v>266.25</v>
      </c>
      <c r="U859" t="s">
        <v>180</v>
      </c>
      <c r="V859" t="s">
        <v>181</v>
      </c>
    </row>
    <row r="860" spans="1:22">
      <c r="A860" t="s">
        <v>1904</v>
      </c>
      <c r="B860" s="1">
        <v>44984</v>
      </c>
      <c r="C860" t="s">
        <v>161</v>
      </c>
      <c r="D860">
        <v>2023</v>
      </c>
      <c r="E860" t="s">
        <v>162</v>
      </c>
      <c r="F860" t="s">
        <v>1905</v>
      </c>
      <c r="G860" t="s">
        <v>129</v>
      </c>
      <c r="H860" t="s">
        <v>130</v>
      </c>
      <c r="I860" t="s">
        <v>115</v>
      </c>
      <c r="J860" t="s">
        <v>124</v>
      </c>
      <c r="K860" t="s">
        <v>209</v>
      </c>
      <c r="L860" t="s">
        <v>232</v>
      </c>
      <c r="M860">
        <v>2</v>
      </c>
      <c r="N860">
        <v>99.34</v>
      </c>
      <c r="O860">
        <v>198.68</v>
      </c>
      <c r="P860">
        <v>0</v>
      </c>
      <c r="Q860">
        <v>0</v>
      </c>
      <c r="R860">
        <v>198.68</v>
      </c>
      <c r="S860">
        <v>74.7</v>
      </c>
      <c r="T860">
        <v>123.98</v>
      </c>
      <c r="U860" t="s">
        <v>166</v>
      </c>
      <c r="V860" t="s">
        <v>181</v>
      </c>
    </row>
    <row r="861" spans="1:22">
      <c r="A861" t="s">
        <v>613</v>
      </c>
      <c r="B861" s="1">
        <v>44984</v>
      </c>
      <c r="C861" t="s">
        <v>161</v>
      </c>
      <c r="D861">
        <v>2023</v>
      </c>
      <c r="E861" t="s">
        <v>162</v>
      </c>
      <c r="F861" t="s">
        <v>248</v>
      </c>
      <c r="G861" t="s">
        <v>57</v>
      </c>
      <c r="H861" t="s">
        <v>58</v>
      </c>
      <c r="I861" t="s">
        <v>41</v>
      </c>
      <c r="J861" t="s">
        <v>59</v>
      </c>
      <c r="K861" t="s">
        <v>156</v>
      </c>
      <c r="L861" t="s">
        <v>165</v>
      </c>
      <c r="M861">
        <v>2</v>
      </c>
      <c r="N861">
        <v>56.33</v>
      </c>
      <c r="O861">
        <v>112.66</v>
      </c>
      <c r="P861">
        <v>20</v>
      </c>
      <c r="Q861">
        <v>22.53</v>
      </c>
      <c r="R861">
        <v>90.13</v>
      </c>
      <c r="S861">
        <v>82.9</v>
      </c>
      <c r="T861">
        <v>7.23</v>
      </c>
      <c r="U861" t="s">
        <v>180</v>
      </c>
      <c r="V861" t="s">
        <v>159</v>
      </c>
    </row>
    <row r="862" spans="1:22">
      <c r="A862" t="s">
        <v>1911</v>
      </c>
      <c r="B862" s="1">
        <v>44984</v>
      </c>
      <c r="C862" t="s">
        <v>161</v>
      </c>
      <c r="D862">
        <v>2023</v>
      </c>
      <c r="E862" t="s">
        <v>162</v>
      </c>
      <c r="F862" t="s">
        <v>1912</v>
      </c>
      <c r="G862" t="s">
        <v>92</v>
      </c>
      <c r="H862" t="s">
        <v>93</v>
      </c>
      <c r="I862" t="s">
        <v>90</v>
      </c>
      <c r="J862" t="s">
        <v>94</v>
      </c>
      <c r="K862" t="s">
        <v>164</v>
      </c>
      <c r="L862" t="s">
        <v>204</v>
      </c>
      <c r="M862">
        <v>3</v>
      </c>
      <c r="N862">
        <v>230.34</v>
      </c>
      <c r="O862">
        <v>691.02</v>
      </c>
      <c r="P862">
        <v>15</v>
      </c>
      <c r="Q862">
        <v>103.65</v>
      </c>
      <c r="R862">
        <v>587.37</v>
      </c>
      <c r="S862">
        <v>224.04</v>
      </c>
      <c r="T862">
        <v>363.33</v>
      </c>
      <c r="U862" t="s">
        <v>190</v>
      </c>
      <c r="V862" t="s">
        <v>159</v>
      </c>
    </row>
    <row r="863" spans="1:22">
      <c r="A863" t="s">
        <v>1551</v>
      </c>
      <c r="B863" s="1">
        <v>44984</v>
      </c>
      <c r="C863" t="s">
        <v>161</v>
      </c>
      <c r="D863">
        <v>2023</v>
      </c>
      <c r="E863" t="s">
        <v>162</v>
      </c>
      <c r="F863" t="s">
        <v>1552</v>
      </c>
      <c r="G863" t="s">
        <v>48</v>
      </c>
      <c r="H863" t="s">
        <v>49</v>
      </c>
      <c r="I863" t="s">
        <v>41</v>
      </c>
      <c r="J863" t="s">
        <v>42</v>
      </c>
      <c r="K863" t="s">
        <v>209</v>
      </c>
      <c r="L863" t="s">
        <v>179</v>
      </c>
      <c r="M863">
        <v>3</v>
      </c>
      <c r="N863">
        <v>84.95</v>
      </c>
      <c r="O863">
        <v>254.85000000000002</v>
      </c>
      <c r="P863">
        <v>0</v>
      </c>
      <c r="Q863">
        <v>0</v>
      </c>
      <c r="R863">
        <v>254.85</v>
      </c>
      <c r="S863">
        <v>159.21</v>
      </c>
      <c r="T863">
        <v>95.64</v>
      </c>
      <c r="U863" t="s">
        <v>190</v>
      </c>
      <c r="V863" t="s">
        <v>159</v>
      </c>
    </row>
    <row r="864" spans="1:22">
      <c r="A864" t="s">
        <v>411</v>
      </c>
      <c r="B864" s="1">
        <v>44983</v>
      </c>
      <c r="C864" t="s">
        <v>161</v>
      </c>
      <c r="D864">
        <v>2023</v>
      </c>
      <c r="E864" t="s">
        <v>162</v>
      </c>
      <c r="F864" t="s">
        <v>412</v>
      </c>
      <c r="G864" t="s">
        <v>33</v>
      </c>
      <c r="H864" t="s">
        <v>34</v>
      </c>
      <c r="I864" t="s">
        <v>14</v>
      </c>
      <c r="J864" t="s">
        <v>27</v>
      </c>
      <c r="K864" t="s">
        <v>164</v>
      </c>
      <c r="L864" t="s">
        <v>232</v>
      </c>
      <c r="M864">
        <v>3</v>
      </c>
      <c r="N864">
        <v>124.26</v>
      </c>
      <c r="O864">
        <v>372.78000000000003</v>
      </c>
      <c r="P864">
        <v>5</v>
      </c>
      <c r="Q864">
        <v>18.64</v>
      </c>
      <c r="R864">
        <v>354.14</v>
      </c>
      <c r="S864">
        <v>157.86000000000001</v>
      </c>
      <c r="T864">
        <v>196.28</v>
      </c>
      <c r="U864" t="s">
        <v>195</v>
      </c>
      <c r="V864" t="s">
        <v>159</v>
      </c>
    </row>
    <row r="865" spans="1:22">
      <c r="A865" t="s">
        <v>1735</v>
      </c>
      <c r="B865" s="1">
        <v>44983</v>
      </c>
      <c r="C865" t="s">
        <v>161</v>
      </c>
      <c r="D865">
        <v>2023</v>
      </c>
      <c r="E865" t="s">
        <v>162</v>
      </c>
      <c r="F865" t="s">
        <v>197</v>
      </c>
      <c r="G865" t="s">
        <v>122</v>
      </c>
      <c r="H865" t="s">
        <v>123</v>
      </c>
      <c r="I865" t="s">
        <v>115</v>
      </c>
      <c r="J865" t="s">
        <v>124</v>
      </c>
      <c r="K865" t="s">
        <v>178</v>
      </c>
      <c r="L865" t="s">
        <v>204</v>
      </c>
      <c r="M865">
        <v>3</v>
      </c>
      <c r="N865">
        <v>93.88</v>
      </c>
      <c r="O865">
        <v>281.64</v>
      </c>
      <c r="P865">
        <v>0</v>
      </c>
      <c r="Q865">
        <v>0</v>
      </c>
      <c r="R865">
        <v>281.64</v>
      </c>
      <c r="S865">
        <v>159.33000000000001</v>
      </c>
      <c r="T865">
        <v>122.31</v>
      </c>
      <c r="U865" t="s">
        <v>166</v>
      </c>
      <c r="V865" t="s">
        <v>159</v>
      </c>
    </row>
    <row r="866" spans="1:22">
      <c r="A866" t="s">
        <v>481</v>
      </c>
      <c r="B866" s="1">
        <v>44983</v>
      </c>
      <c r="C866" t="s">
        <v>161</v>
      </c>
      <c r="D866">
        <v>2023</v>
      </c>
      <c r="E866" t="s">
        <v>162</v>
      </c>
      <c r="F866" t="s">
        <v>482</v>
      </c>
      <c r="G866" t="s">
        <v>80</v>
      </c>
      <c r="H866" t="s">
        <v>81</v>
      </c>
      <c r="I866" t="s">
        <v>66</v>
      </c>
      <c r="J866" t="s">
        <v>70</v>
      </c>
      <c r="K866" t="s">
        <v>164</v>
      </c>
      <c r="L866" t="s">
        <v>232</v>
      </c>
      <c r="M866">
        <v>4</v>
      </c>
      <c r="N866">
        <v>106.06</v>
      </c>
      <c r="O866">
        <v>424.24</v>
      </c>
      <c r="P866">
        <v>0</v>
      </c>
      <c r="Q866">
        <v>0</v>
      </c>
      <c r="R866">
        <v>424.24</v>
      </c>
      <c r="S866">
        <v>133.68</v>
      </c>
      <c r="T866">
        <v>290.56</v>
      </c>
      <c r="U866" t="s">
        <v>166</v>
      </c>
      <c r="V866" t="s">
        <v>159</v>
      </c>
    </row>
    <row r="867" spans="1:22">
      <c r="A867" t="s">
        <v>1488</v>
      </c>
      <c r="B867" s="1">
        <v>44982</v>
      </c>
      <c r="C867" t="s">
        <v>161</v>
      </c>
      <c r="D867">
        <v>2023</v>
      </c>
      <c r="E867" t="s">
        <v>162</v>
      </c>
      <c r="F867" t="s">
        <v>1489</v>
      </c>
      <c r="G867" t="s">
        <v>109</v>
      </c>
      <c r="H867" t="s">
        <v>110</v>
      </c>
      <c r="I867" t="s">
        <v>90</v>
      </c>
      <c r="J867" t="s">
        <v>100</v>
      </c>
      <c r="K867" t="s">
        <v>164</v>
      </c>
      <c r="L867" t="s">
        <v>179</v>
      </c>
      <c r="M867">
        <v>1</v>
      </c>
      <c r="N867">
        <v>77.67</v>
      </c>
      <c r="O867">
        <v>77.67</v>
      </c>
      <c r="P867">
        <v>10</v>
      </c>
      <c r="Q867">
        <v>7.77</v>
      </c>
      <c r="R867">
        <v>69.900000000000006</v>
      </c>
      <c r="S867">
        <v>28.12</v>
      </c>
      <c r="T867">
        <v>41.78</v>
      </c>
      <c r="U867" t="s">
        <v>158</v>
      </c>
      <c r="V867" t="s">
        <v>159</v>
      </c>
    </row>
    <row r="868" spans="1:22">
      <c r="A868" t="s">
        <v>1023</v>
      </c>
      <c r="B868" s="1">
        <v>44982</v>
      </c>
      <c r="C868" t="s">
        <v>161</v>
      </c>
      <c r="D868">
        <v>2023</v>
      </c>
      <c r="E868" t="s">
        <v>162</v>
      </c>
      <c r="F868" t="s">
        <v>1024</v>
      </c>
      <c r="G868" t="s">
        <v>60</v>
      </c>
      <c r="H868" t="s">
        <v>61</v>
      </c>
      <c r="I868" t="s">
        <v>41</v>
      </c>
      <c r="J868" t="s">
        <v>59</v>
      </c>
      <c r="K868" t="s">
        <v>209</v>
      </c>
      <c r="L868" t="s">
        <v>194</v>
      </c>
      <c r="M868">
        <v>3</v>
      </c>
      <c r="N868">
        <v>103.56</v>
      </c>
      <c r="O868">
        <v>310.68</v>
      </c>
      <c r="P868">
        <v>15</v>
      </c>
      <c r="Q868">
        <v>46.6</v>
      </c>
      <c r="R868">
        <v>264.08</v>
      </c>
      <c r="S868">
        <v>133.74</v>
      </c>
      <c r="T868">
        <v>130.34</v>
      </c>
      <c r="U868" t="s">
        <v>195</v>
      </c>
      <c r="V868" t="s">
        <v>159</v>
      </c>
    </row>
    <row r="869" spans="1:22">
      <c r="A869" t="s">
        <v>1294</v>
      </c>
      <c r="B869" s="1">
        <v>44981</v>
      </c>
      <c r="C869" t="s">
        <v>161</v>
      </c>
      <c r="D869">
        <v>2023</v>
      </c>
      <c r="E869" t="s">
        <v>162</v>
      </c>
      <c r="F869" t="s">
        <v>416</v>
      </c>
      <c r="G869" t="s">
        <v>71</v>
      </c>
      <c r="H869" t="s">
        <v>72</v>
      </c>
      <c r="I869" t="s">
        <v>66</v>
      </c>
      <c r="J869" t="s">
        <v>70</v>
      </c>
      <c r="K869" t="s">
        <v>209</v>
      </c>
      <c r="L869" t="s">
        <v>165</v>
      </c>
      <c r="M869">
        <v>2</v>
      </c>
      <c r="N869">
        <v>26.7</v>
      </c>
      <c r="O869">
        <v>53.4</v>
      </c>
      <c r="P869">
        <v>20</v>
      </c>
      <c r="Q869">
        <v>10.68</v>
      </c>
      <c r="R869">
        <v>42.72</v>
      </c>
      <c r="S869">
        <v>24.54</v>
      </c>
      <c r="T869">
        <v>18.18</v>
      </c>
      <c r="U869" t="s">
        <v>180</v>
      </c>
      <c r="V869" t="s">
        <v>181</v>
      </c>
    </row>
    <row r="870" spans="1:22">
      <c r="A870" t="s">
        <v>737</v>
      </c>
      <c r="B870" s="1">
        <v>44981</v>
      </c>
      <c r="C870" t="s">
        <v>161</v>
      </c>
      <c r="D870">
        <v>2023</v>
      </c>
      <c r="E870" t="s">
        <v>162</v>
      </c>
      <c r="F870" t="s">
        <v>738</v>
      </c>
      <c r="G870" t="s">
        <v>111</v>
      </c>
      <c r="H870" t="s">
        <v>112</v>
      </c>
      <c r="I870" t="s">
        <v>90</v>
      </c>
      <c r="J870" t="s">
        <v>97</v>
      </c>
      <c r="K870" t="s">
        <v>178</v>
      </c>
      <c r="L870" t="s">
        <v>174</v>
      </c>
      <c r="M870">
        <v>2</v>
      </c>
      <c r="N870">
        <v>189.99</v>
      </c>
      <c r="O870">
        <v>379.98</v>
      </c>
      <c r="P870">
        <v>5</v>
      </c>
      <c r="Q870">
        <v>19</v>
      </c>
      <c r="R870">
        <v>360.98</v>
      </c>
      <c r="S870">
        <v>127.02</v>
      </c>
      <c r="T870">
        <v>233.96</v>
      </c>
      <c r="U870" t="s">
        <v>180</v>
      </c>
      <c r="V870" t="s">
        <v>159</v>
      </c>
    </row>
    <row r="871" spans="1:22">
      <c r="A871" t="s">
        <v>1705</v>
      </c>
      <c r="B871" s="1">
        <v>44980</v>
      </c>
      <c r="C871" t="s">
        <v>161</v>
      </c>
      <c r="D871">
        <v>2023</v>
      </c>
      <c r="E871" t="s">
        <v>162</v>
      </c>
      <c r="F871" t="s">
        <v>1706</v>
      </c>
      <c r="G871" t="s">
        <v>68</v>
      </c>
      <c r="H871" t="s">
        <v>69</v>
      </c>
      <c r="I871" t="s">
        <v>66</v>
      </c>
      <c r="J871" t="s">
        <v>70</v>
      </c>
      <c r="K871" t="s">
        <v>209</v>
      </c>
      <c r="L871" t="s">
        <v>232</v>
      </c>
      <c r="M871">
        <v>4</v>
      </c>
      <c r="N871">
        <v>98.51</v>
      </c>
      <c r="O871">
        <v>394.04</v>
      </c>
      <c r="P871">
        <v>0</v>
      </c>
      <c r="Q871">
        <v>0</v>
      </c>
      <c r="R871">
        <v>394.04</v>
      </c>
      <c r="S871">
        <v>220.68</v>
      </c>
      <c r="T871">
        <v>173.36</v>
      </c>
      <c r="U871" t="s">
        <v>190</v>
      </c>
      <c r="V871" t="s">
        <v>159</v>
      </c>
    </row>
    <row r="872" spans="1:22">
      <c r="A872" t="s">
        <v>396</v>
      </c>
      <c r="B872" s="1">
        <v>44980</v>
      </c>
      <c r="C872" t="s">
        <v>161</v>
      </c>
      <c r="D872">
        <v>2023</v>
      </c>
      <c r="E872" t="s">
        <v>162</v>
      </c>
      <c r="F872" t="s">
        <v>397</v>
      </c>
      <c r="G872" t="s">
        <v>60</v>
      </c>
      <c r="H872" t="s">
        <v>61</v>
      </c>
      <c r="I872" t="s">
        <v>41</v>
      </c>
      <c r="J872" t="s">
        <v>59</v>
      </c>
      <c r="K872" t="s">
        <v>156</v>
      </c>
      <c r="L872" t="s">
        <v>157</v>
      </c>
      <c r="M872">
        <v>3</v>
      </c>
      <c r="N872">
        <v>103.56</v>
      </c>
      <c r="O872">
        <v>310.68</v>
      </c>
      <c r="P872">
        <v>0</v>
      </c>
      <c r="Q872">
        <v>0</v>
      </c>
      <c r="R872">
        <v>310.68</v>
      </c>
      <c r="S872">
        <v>133.74</v>
      </c>
      <c r="T872">
        <v>176.94</v>
      </c>
      <c r="U872" t="s">
        <v>180</v>
      </c>
      <c r="V872" t="s">
        <v>159</v>
      </c>
    </row>
    <row r="873" spans="1:22">
      <c r="A873" t="s">
        <v>797</v>
      </c>
      <c r="B873" s="1">
        <v>44979</v>
      </c>
      <c r="C873" t="s">
        <v>161</v>
      </c>
      <c r="D873">
        <v>2023</v>
      </c>
      <c r="E873" t="s">
        <v>162</v>
      </c>
      <c r="F873" t="s">
        <v>798</v>
      </c>
      <c r="G873" t="s">
        <v>101</v>
      </c>
      <c r="H873" t="s">
        <v>102</v>
      </c>
      <c r="I873" t="s">
        <v>90</v>
      </c>
      <c r="J873" t="s">
        <v>100</v>
      </c>
      <c r="K873" t="s">
        <v>156</v>
      </c>
      <c r="L873" t="s">
        <v>194</v>
      </c>
      <c r="M873">
        <v>2</v>
      </c>
      <c r="N873">
        <v>196.28</v>
      </c>
      <c r="O873">
        <v>392.56</v>
      </c>
      <c r="P873">
        <v>5</v>
      </c>
      <c r="Q873">
        <v>19.63</v>
      </c>
      <c r="R873">
        <v>372.93</v>
      </c>
      <c r="S873">
        <v>143.46</v>
      </c>
      <c r="T873">
        <v>229.47</v>
      </c>
      <c r="U873" t="s">
        <v>158</v>
      </c>
      <c r="V873" t="s">
        <v>186</v>
      </c>
    </row>
    <row r="874" spans="1:22">
      <c r="A874" t="s">
        <v>1021</v>
      </c>
      <c r="B874" s="1">
        <v>44979</v>
      </c>
      <c r="C874" t="s">
        <v>161</v>
      </c>
      <c r="D874">
        <v>2023</v>
      </c>
      <c r="E874" t="s">
        <v>162</v>
      </c>
      <c r="F874" t="s">
        <v>1022</v>
      </c>
      <c r="G874" t="s">
        <v>122</v>
      </c>
      <c r="H874" t="s">
        <v>123</v>
      </c>
      <c r="I874" t="s">
        <v>115</v>
      </c>
      <c r="J874" t="s">
        <v>124</v>
      </c>
      <c r="K874" t="s">
        <v>178</v>
      </c>
      <c r="L874" t="s">
        <v>232</v>
      </c>
      <c r="M874">
        <v>4</v>
      </c>
      <c r="N874">
        <v>93.88</v>
      </c>
      <c r="O874">
        <v>375.52</v>
      </c>
      <c r="P874">
        <v>10</v>
      </c>
      <c r="Q874">
        <v>37.549999999999997</v>
      </c>
      <c r="R874">
        <v>337.97</v>
      </c>
      <c r="S874">
        <v>212.44</v>
      </c>
      <c r="T874">
        <v>125.53</v>
      </c>
      <c r="U874" t="s">
        <v>166</v>
      </c>
      <c r="V874" t="s">
        <v>181</v>
      </c>
    </row>
    <row r="875" spans="1:22">
      <c r="A875" t="s">
        <v>774</v>
      </c>
      <c r="B875" s="1">
        <v>44979</v>
      </c>
      <c r="C875" t="s">
        <v>161</v>
      </c>
      <c r="D875">
        <v>2023</v>
      </c>
      <c r="E875" t="s">
        <v>162</v>
      </c>
      <c r="F875" t="s">
        <v>775</v>
      </c>
      <c r="G875" t="s">
        <v>57</v>
      </c>
      <c r="H875" t="s">
        <v>58</v>
      </c>
      <c r="I875" t="s">
        <v>41</v>
      </c>
      <c r="J875" t="s">
        <v>59</v>
      </c>
      <c r="K875" t="s">
        <v>156</v>
      </c>
      <c r="L875" t="s">
        <v>194</v>
      </c>
      <c r="M875">
        <v>1</v>
      </c>
      <c r="N875">
        <v>56.33</v>
      </c>
      <c r="O875">
        <v>56.33</v>
      </c>
      <c r="P875">
        <v>10</v>
      </c>
      <c r="Q875">
        <v>5.63</v>
      </c>
      <c r="R875">
        <v>50.7</v>
      </c>
      <c r="S875">
        <v>41.45</v>
      </c>
      <c r="T875">
        <v>9.25</v>
      </c>
      <c r="U875" t="s">
        <v>195</v>
      </c>
      <c r="V875" t="s">
        <v>159</v>
      </c>
    </row>
    <row r="876" spans="1:22">
      <c r="A876" t="s">
        <v>926</v>
      </c>
      <c r="B876" s="1">
        <v>44978</v>
      </c>
      <c r="C876" t="s">
        <v>161</v>
      </c>
      <c r="D876">
        <v>2023</v>
      </c>
      <c r="E876" t="s">
        <v>162</v>
      </c>
      <c r="F876" t="s">
        <v>927</v>
      </c>
      <c r="G876" t="s">
        <v>71</v>
      </c>
      <c r="H876" t="s">
        <v>72</v>
      </c>
      <c r="I876" t="s">
        <v>66</v>
      </c>
      <c r="J876" t="s">
        <v>70</v>
      </c>
      <c r="K876" t="s">
        <v>156</v>
      </c>
      <c r="L876" t="s">
        <v>194</v>
      </c>
      <c r="M876">
        <v>2</v>
      </c>
      <c r="N876">
        <v>26.7</v>
      </c>
      <c r="O876">
        <v>53.4</v>
      </c>
      <c r="P876">
        <v>0</v>
      </c>
      <c r="Q876">
        <v>0</v>
      </c>
      <c r="R876">
        <v>53.4</v>
      </c>
      <c r="S876">
        <v>24.54</v>
      </c>
      <c r="T876">
        <v>28.86</v>
      </c>
      <c r="U876" t="s">
        <v>166</v>
      </c>
      <c r="V876" t="s">
        <v>159</v>
      </c>
    </row>
    <row r="877" spans="1:22">
      <c r="A877" t="s">
        <v>312</v>
      </c>
      <c r="B877" s="1">
        <v>44978</v>
      </c>
      <c r="C877" t="s">
        <v>161</v>
      </c>
      <c r="D877">
        <v>2023</v>
      </c>
      <c r="E877" t="s">
        <v>162</v>
      </c>
      <c r="F877" t="s">
        <v>313</v>
      </c>
      <c r="G877" t="s">
        <v>95</v>
      </c>
      <c r="H877" t="s">
        <v>96</v>
      </c>
      <c r="I877" t="s">
        <v>90</v>
      </c>
      <c r="J877" t="s">
        <v>97</v>
      </c>
      <c r="K877" t="s">
        <v>164</v>
      </c>
      <c r="L877" t="s">
        <v>174</v>
      </c>
      <c r="M877">
        <v>3</v>
      </c>
      <c r="N877">
        <v>177.41</v>
      </c>
      <c r="O877">
        <v>532.23</v>
      </c>
      <c r="P877">
        <v>20</v>
      </c>
      <c r="Q877">
        <v>106.45</v>
      </c>
      <c r="R877">
        <v>425.78</v>
      </c>
      <c r="S877">
        <v>224.97</v>
      </c>
      <c r="T877">
        <v>200.81</v>
      </c>
      <c r="U877" t="s">
        <v>166</v>
      </c>
      <c r="V877" t="s">
        <v>186</v>
      </c>
    </row>
    <row r="878" spans="1:22">
      <c r="A878" t="s">
        <v>715</v>
      </c>
      <c r="B878" s="1">
        <v>44977</v>
      </c>
      <c r="C878" t="s">
        <v>161</v>
      </c>
      <c r="D878">
        <v>2023</v>
      </c>
      <c r="E878" t="s">
        <v>162</v>
      </c>
      <c r="F878" t="s">
        <v>716</v>
      </c>
      <c r="G878" t="s">
        <v>95</v>
      </c>
      <c r="H878" t="s">
        <v>96</v>
      </c>
      <c r="I878" t="s">
        <v>90</v>
      </c>
      <c r="J878" t="s">
        <v>97</v>
      </c>
      <c r="K878" t="s">
        <v>156</v>
      </c>
      <c r="L878" t="s">
        <v>179</v>
      </c>
      <c r="M878">
        <v>3</v>
      </c>
      <c r="N878">
        <v>177.41</v>
      </c>
      <c r="O878">
        <v>532.23</v>
      </c>
      <c r="P878">
        <v>0</v>
      </c>
      <c r="Q878">
        <v>0</v>
      </c>
      <c r="R878">
        <v>532.23</v>
      </c>
      <c r="S878">
        <v>224.97</v>
      </c>
      <c r="T878">
        <v>307.26</v>
      </c>
      <c r="U878" t="s">
        <v>158</v>
      </c>
      <c r="V878" t="s">
        <v>159</v>
      </c>
    </row>
    <row r="879" spans="1:22">
      <c r="A879" t="s">
        <v>1313</v>
      </c>
      <c r="B879" s="1">
        <v>44977</v>
      </c>
      <c r="C879" t="s">
        <v>161</v>
      </c>
      <c r="D879">
        <v>2023</v>
      </c>
      <c r="E879" t="s">
        <v>162</v>
      </c>
      <c r="F879" t="s">
        <v>1138</v>
      </c>
      <c r="G879" t="s">
        <v>55</v>
      </c>
      <c r="H879" t="s">
        <v>56</v>
      </c>
      <c r="I879" t="s">
        <v>41</v>
      </c>
      <c r="J879" t="s">
        <v>45</v>
      </c>
      <c r="K879" t="s">
        <v>156</v>
      </c>
      <c r="L879" t="s">
        <v>174</v>
      </c>
      <c r="M879">
        <v>1</v>
      </c>
      <c r="N879">
        <v>205.4</v>
      </c>
      <c r="O879">
        <v>205.4</v>
      </c>
      <c r="P879">
        <v>5</v>
      </c>
      <c r="Q879">
        <v>10.27</v>
      </c>
      <c r="R879">
        <v>195.13</v>
      </c>
      <c r="S879">
        <v>70.900000000000006</v>
      </c>
      <c r="T879">
        <v>124.23</v>
      </c>
      <c r="U879" t="s">
        <v>190</v>
      </c>
      <c r="V879" t="s">
        <v>159</v>
      </c>
    </row>
    <row r="880" spans="1:22">
      <c r="A880" t="s">
        <v>320</v>
      </c>
      <c r="B880" s="1">
        <v>44977</v>
      </c>
      <c r="C880" t="s">
        <v>161</v>
      </c>
      <c r="D880">
        <v>2023</v>
      </c>
      <c r="E880" t="s">
        <v>162</v>
      </c>
      <c r="F880" t="s">
        <v>321</v>
      </c>
      <c r="G880" t="s">
        <v>131</v>
      </c>
      <c r="H880" t="s">
        <v>132</v>
      </c>
      <c r="I880" t="s">
        <v>115</v>
      </c>
      <c r="J880" t="s">
        <v>119</v>
      </c>
      <c r="K880" t="s">
        <v>209</v>
      </c>
      <c r="L880" t="s">
        <v>204</v>
      </c>
      <c r="M880">
        <v>1</v>
      </c>
      <c r="N880">
        <v>75.69</v>
      </c>
      <c r="O880">
        <v>75.69</v>
      </c>
      <c r="P880">
        <v>5</v>
      </c>
      <c r="Q880">
        <v>3.78</v>
      </c>
      <c r="R880">
        <v>71.91</v>
      </c>
      <c r="S880">
        <v>35.630000000000003</v>
      </c>
      <c r="T880">
        <v>36.28</v>
      </c>
      <c r="U880" t="s">
        <v>190</v>
      </c>
      <c r="V880" t="s">
        <v>159</v>
      </c>
    </row>
    <row r="881" spans="1:22">
      <c r="A881" t="s">
        <v>1868</v>
      </c>
      <c r="B881" s="1">
        <v>44976</v>
      </c>
      <c r="C881" t="s">
        <v>161</v>
      </c>
      <c r="D881">
        <v>2023</v>
      </c>
      <c r="E881" t="s">
        <v>162</v>
      </c>
      <c r="F881" t="s">
        <v>1869</v>
      </c>
      <c r="G881" t="s">
        <v>133</v>
      </c>
      <c r="H881" t="s">
        <v>134</v>
      </c>
      <c r="I881" t="s">
        <v>115</v>
      </c>
      <c r="J881" t="s">
        <v>119</v>
      </c>
      <c r="K881" t="s">
        <v>178</v>
      </c>
      <c r="L881" t="s">
        <v>194</v>
      </c>
      <c r="M881">
        <v>3</v>
      </c>
      <c r="N881">
        <v>78.84</v>
      </c>
      <c r="O881">
        <v>236.52</v>
      </c>
      <c r="P881">
        <v>5</v>
      </c>
      <c r="Q881">
        <v>11.83</v>
      </c>
      <c r="R881">
        <v>224.69</v>
      </c>
      <c r="S881">
        <v>143.04</v>
      </c>
      <c r="T881">
        <v>81.650000000000006</v>
      </c>
      <c r="U881" t="s">
        <v>180</v>
      </c>
      <c r="V881" t="s">
        <v>159</v>
      </c>
    </row>
    <row r="882" spans="1:22">
      <c r="A882" t="s">
        <v>1390</v>
      </c>
      <c r="B882" s="1">
        <v>44976</v>
      </c>
      <c r="C882" t="s">
        <v>161</v>
      </c>
      <c r="D882">
        <v>2023</v>
      </c>
      <c r="E882" t="s">
        <v>162</v>
      </c>
      <c r="F882" t="s">
        <v>1391</v>
      </c>
      <c r="G882" t="s">
        <v>80</v>
      </c>
      <c r="H882" t="s">
        <v>81</v>
      </c>
      <c r="I882" t="s">
        <v>66</v>
      </c>
      <c r="J882" t="s">
        <v>70</v>
      </c>
      <c r="K882" t="s">
        <v>209</v>
      </c>
      <c r="L882" t="s">
        <v>174</v>
      </c>
      <c r="M882">
        <v>3</v>
      </c>
      <c r="N882">
        <v>106.06</v>
      </c>
      <c r="O882">
        <v>318.18</v>
      </c>
      <c r="P882">
        <v>0</v>
      </c>
      <c r="Q882">
        <v>0</v>
      </c>
      <c r="R882">
        <v>318.18</v>
      </c>
      <c r="S882">
        <v>100.26</v>
      </c>
      <c r="T882">
        <v>217.92</v>
      </c>
      <c r="U882" t="s">
        <v>190</v>
      </c>
      <c r="V882" t="s">
        <v>159</v>
      </c>
    </row>
    <row r="883" spans="1:22">
      <c r="A883" t="s">
        <v>1590</v>
      </c>
      <c r="B883" s="1">
        <v>44976</v>
      </c>
      <c r="C883" t="s">
        <v>161</v>
      </c>
      <c r="D883">
        <v>2023</v>
      </c>
      <c r="E883" t="s">
        <v>162</v>
      </c>
      <c r="F883" t="s">
        <v>1162</v>
      </c>
      <c r="G883" t="s">
        <v>86</v>
      </c>
      <c r="H883" t="s">
        <v>87</v>
      </c>
      <c r="I883" t="s">
        <v>66</v>
      </c>
      <c r="J883" t="s">
        <v>67</v>
      </c>
      <c r="K883" t="s">
        <v>164</v>
      </c>
      <c r="L883" t="s">
        <v>157</v>
      </c>
      <c r="M883">
        <v>3</v>
      </c>
      <c r="N883">
        <v>124.77</v>
      </c>
      <c r="O883">
        <v>374.31</v>
      </c>
      <c r="P883">
        <v>10</v>
      </c>
      <c r="Q883">
        <v>37.43</v>
      </c>
      <c r="R883">
        <v>336.88</v>
      </c>
      <c r="S883">
        <v>208.92</v>
      </c>
      <c r="T883">
        <v>127.96</v>
      </c>
      <c r="U883" t="s">
        <v>195</v>
      </c>
      <c r="V883" t="s">
        <v>186</v>
      </c>
    </row>
    <row r="884" spans="1:22">
      <c r="A884" t="s">
        <v>764</v>
      </c>
      <c r="B884" s="1">
        <v>44976</v>
      </c>
      <c r="C884" t="s">
        <v>161</v>
      </c>
      <c r="D884">
        <v>2023</v>
      </c>
      <c r="E884" t="s">
        <v>162</v>
      </c>
      <c r="F884" t="s">
        <v>765</v>
      </c>
      <c r="G884" t="s">
        <v>88</v>
      </c>
      <c r="H884" t="s">
        <v>89</v>
      </c>
      <c r="I884" t="s">
        <v>90</v>
      </c>
      <c r="J884" t="s">
        <v>91</v>
      </c>
      <c r="K884" t="s">
        <v>164</v>
      </c>
      <c r="L884" t="s">
        <v>194</v>
      </c>
      <c r="M884">
        <v>3</v>
      </c>
      <c r="N884">
        <v>54.64</v>
      </c>
      <c r="O884">
        <v>163.92000000000002</v>
      </c>
      <c r="P884">
        <v>5</v>
      </c>
      <c r="Q884">
        <v>8.1999999999999993</v>
      </c>
      <c r="R884">
        <v>155.72</v>
      </c>
      <c r="S884">
        <v>60.96</v>
      </c>
      <c r="T884">
        <v>94.76</v>
      </c>
      <c r="U884" t="s">
        <v>158</v>
      </c>
      <c r="V884" t="s">
        <v>159</v>
      </c>
    </row>
    <row r="885" spans="1:22">
      <c r="A885" t="s">
        <v>1681</v>
      </c>
      <c r="B885" s="1">
        <v>44976</v>
      </c>
      <c r="C885" t="s">
        <v>161</v>
      </c>
      <c r="D885">
        <v>2023</v>
      </c>
      <c r="E885" t="s">
        <v>162</v>
      </c>
      <c r="F885" t="s">
        <v>1682</v>
      </c>
      <c r="G885" t="s">
        <v>43</v>
      </c>
      <c r="H885" t="s">
        <v>44</v>
      </c>
      <c r="I885" t="s">
        <v>41</v>
      </c>
      <c r="J885" t="s">
        <v>45</v>
      </c>
      <c r="K885" t="s">
        <v>156</v>
      </c>
      <c r="L885" t="s">
        <v>179</v>
      </c>
      <c r="M885">
        <v>1</v>
      </c>
      <c r="N885">
        <v>67.56</v>
      </c>
      <c r="O885">
        <v>67.56</v>
      </c>
      <c r="P885">
        <v>0</v>
      </c>
      <c r="Q885">
        <v>0</v>
      </c>
      <c r="R885">
        <v>67.56</v>
      </c>
      <c r="S885">
        <v>43.21</v>
      </c>
      <c r="T885">
        <v>24.35</v>
      </c>
      <c r="U885" t="s">
        <v>166</v>
      </c>
      <c r="V885" t="s">
        <v>159</v>
      </c>
    </row>
    <row r="886" spans="1:22">
      <c r="A886" t="s">
        <v>2065</v>
      </c>
      <c r="B886" s="1">
        <v>44974</v>
      </c>
      <c r="C886" t="s">
        <v>161</v>
      </c>
      <c r="D886">
        <v>2023</v>
      </c>
      <c r="E886" t="s">
        <v>162</v>
      </c>
      <c r="F886" t="s">
        <v>2066</v>
      </c>
      <c r="G886" t="s">
        <v>101</v>
      </c>
      <c r="H886" t="s">
        <v>102</v>
      </c>
      <c r="I886" t="s">
        <v>90</v>
      </c>
      <c r="J886" t="s">
        <v>100</v>
      </c>
      <c r="K886" t="s">
        <v>178</v>
      </c>
      <c r="L886" t="s">
        <v>232</v>
      </c>
      <c r="M886">
        <v>3</v>
      </c>
      <c r="N886">
        <v>196.28</v>
      </c>
      <c r="O886">
        <v>588.84</v>
      </c>
      <c r="P886">
        <v>0</v>
      </c>
      <c r="Q886">
        <v>0</v>
      </c>
      <c r="R886">
        <v>588.84</v>
      </c>
      <c r="S886">
        <v>215.19</v>
      </c>
      <c r="T886">
        <v>373.65</v>
      </c>
      <c r="U886" t="s">
        <v>195</v>
      </c>
      <c r="V886" t="s">
        <v>159</v>
      </c>
    </row>
    <row r="887" spans="1:22">
      <c r="A887" t="s">
        <v>1770</v>
      </c>
      <c r="B887" s="1">
        <v>44974</v>
      </c>
      <c r="C887" t="s">
        <v>161</v>
      </c>
      <c r="D887">
        <v>2023</v>
      </c>
      <c r="E887" t="s">
        <v>162</v>
      </c>
      <c r="F887" t="s">
        <v>1771</v>
      </c>
      <c r="G887" t="s">
        <v>50</v>
      </c>
      <c r="H887" t="s">
        <v>51</v>
      </c>
      <c r="I887" t="s">
        <v>41</v>
      </c>
      <c r="J887" t="s">
        <v>52</v>
      </c>
      <c r="K887" t="s">
        <v>209</v>
      </c>
      <c r="L887" t="s">
        <v>232</v>
      </c>
      <c r="M887">
        <v>4</v>
      </c>
      <c r="N887">
        <v>143.80000000000001</v>
      </c>
      <c r="O887">
        <v>575.20000000000005</v>
      </c>
      <c r="P887">
        <v>0</v>
      </c>
      <c r="Q887">
        <v>0</v>
      </c>
      <c r="R887">
        <v>575.20000000000005</v>
      </c>
      <c r="S887">
        <v>248.6</v>
      </c>
      <c r="T887">
        <v>326.60000000000002</v>
      </c>
      <c r="U887" t="s">
        <v>190</v>
      </c>
      <c r="V887" t="s">
        <v>181</v>
      </c>
    </row>
    <row r="888" spans="1:22">
      <c r="A888" t="s">
        <v>1105</v>
      </c>
      <c r="B888" s="1">
        <v>44973</v>
      </c>
      <c r="C888" t="s">
        <v>161</v>
      </c>
      <c r="D888">
        <v>2023</v>
      </c>
      <c r="E888" t="s">
        <v>162</v>
      </c>
      <c r="F888" t="s">
        <v>1106</v>
      </c>
      <c r="G888" t="s">
        <v>103</v>
      </c>
      <c r="H888" t="s">
        <v>104</v>
      </c>
      <c r="I888" t="s">
        <v>90</v>
      </c>
      <c r="J888" t="s">
        <v>94</v>
      </c>
      <c r="K888" t="s">
        <v>178</v>
      </c>
      <c r="L888" t="s">
        <v>232</v>
      </c>
      <c r="M888">
        <v>1</v>
      </c>
      <c r="N888">
        <v>98.58</v>
      </c>
      <c r="O888">
        <v>98.58</v>
      </c>
      <c r="P888">
        <v>20</v>
      </c>
      <c r="Q888">
        <v>19.72</v>
      </c>
      <c r="R888">
        <v>78.86</v>
      </c>
      <c r="S888">
        <v>52.57</v>
      </c>
      <c r="T888">
        <v>26.29</v>
      </c>
      <c r="U888" t="s">
        <v>166</v>
      </c>
      <c r="V888" t="s">
        <v>159</v>
      </c>
    </row>
    <row r="889" spans="1:22">
      <c r="A889" t="s">
        <v>1048</v>
      </c>
      <c r="B889" s="1">
        <v>44972</v>
      </c>
      <c r="C889" t="s">
        <v>161</v>
      </c>
      <c r="D889">
        <v>2023</v>
      </c>
      <c r="E889" t="s">
        <v>162</v>
      </c>
      <c r="F889" t="s">
        <v>1049</v>
      </c>
      <c r="G889" t="s">
        <v>133</v>
      </c>
      <c r="H889" t="s">
        <v>134</v>
      </c>
      <c r="I889" t="s">
        <v>115</v>
      </c>
      <c r="J889" t="s">
        <v>119</v>
      </c>
      <c r="K889" t="s">
        <v>164</v>
      </c>
      <c r="L889" t="s">
        <v>165</v>
      </c>
      <c r="M889">
        <v>2</v>
      </c>
      <c r="N889">
        <v>78.84</v>
      </c>
      <c r="O889">
        <v>157.68</v>
      </c>
      <c r="P889">
        <v>5</v>
      </c>
      <c r="Q889">
        <v>7.88</v>
      </c>
      <c r="R889">
        <v>149.80000000000001</v>
      </c>
      <c r="S889">
        <v>95.36</v>
      </c>
      <c r="T889">
        <v>54.44</v>
      </c>
      <c r="U889" t="s">
        <v>180</v>
      </c>
      <c r="V889" t="s">
        <v>186</v>
      </c>
    </row>
    <row r="890" spans="1:22">
      <c r="A890" t="s">
        <v>1373</v>
      </c>
      <c r="B890" s="1">
        <v>44972</v>
      </c>
      <c r="C890" t="s">
        <v>161</v>
      </c>
      <c r="D890">
        <v>2023</v>
      </c>
      <c r="E890" t="s">
        <v>162</v>
      </c>
      <c r="F890" t="s">
        <v>1374</v>
      </c>
      <c r="G890" t="s">
        <v>37</v>
      </c>
      <c r="H890" t="s">
        <v>38</v>
      </c>
      <c r="I890" t="s">
        <v>14</v>
      </c>
      <c r="J890" t="s">
        <v>27</v>
      </c>
      <c r="K890" t="s">
        <v>156</v>
      </c>
      <c r="L890" t="s">
        <v>204</v>
      </c>
      <c r="M890">
        <v>3</v>
      </c>
      <c r="N890">
        <v>133.99</v>
      </c>
      <c r="O890">
        <v>401.97</v>
      </c>
      <c r="P890">
        <v>20</v>
      </c>
      <c r="Q890">
        <v>80.39</v>
      </c>
      <c r="R890">
        <v>321.58</v>
      </c>
      <c r="S890">
        <v>220.47</v>
      </c>
      <c r="T890">
        <v>101.11</v>
      </c>
      <c r="U890" t="s">
        <v>158</v>
      </c>
      <c r="V890" t="s">
        <v>181</v>
      </c>
    </row>
    <row r="891" spans="1:22">
      <c r="A891" t="s">
        <v>918</v>
      </c>
      <c r="B891" s="1">
        <v>44971</v>
      </c>
      <c r="C891" t="s">
        <v>161</v>
      </c>
      <c r="D891">
        <v>2023</v>
      </c>
      <c r="E891" t="s">
        <v>162</v>
      </c>
      <c r="F891" t="s">
        <v>919</v>
      </c>
      <c r="G891" t="s">
        <v>80</v>
      </c>
      <c r="H891" t="s">
        <v>81</v>
      </c>
      <c r="I891" t="s">
        <v>66</v>
      </c>
      <c r="J891" t="s">
        <v>70</v>
      </c>
      <c r="K891" t="s">
        <v>164</v>
      </c>
      <c r="L891" t="s">
        <v>157</v>
      </c>
      <c r="M891">
        <v>4</v>
      </c>
      <c r="N891">
        <v>106.06</v>
      </c>
      <c r="O891">
        <v>424.24</v>
      </c>
      <c r="P891">
        <v>0</v>
      </c>
      <c r="Q891">
        <v>0</v>
      </c>
      <c r="R891">
        <v>424.24</v>
      </c>
      <c r="S891">
        <v>133.68</v>
      </c>
      <c r="T891">
        <v>290.56</v>
      </c>
      <c r="U891" t="s">
        <v>180</v>
      </c>
      <c r="V891" t="s">
        <v>159</v>
      </c>
    </row>
    <row r="892" spans="1:22">
      <c r="A892" t="s">
        <v>799</v>
      </c>
      <c r="B892" s="1">
        <v>44971</v>
      </c>
      <c r="C892" t="s">
        <v>161</v>
      </c>
      <c r="D892">
        <v>2023</v>
      </c>
      <c r="E892" t="s">
        <v>162</v>
      </c>
      <c r="F892" t="s">
        <v>800</v>
      </c>
      <c r="G892" t="s">
        <v>55</v>
      </c>
      <c r="H892" t="s">
        <v>56</v>
      </c>
      <c r="I892" t="s">
        <v>41</v>
      </c>
      <c r="J892" t="s">
        <v>45</v>
      </c>
      <c r="K892" t="s">
        <v>209</v>
      </c>
      <c r="L892" t="s">
        <v>179</v>
      </c>
      <c r="M892">
        <v>3</v>
      </c>
      <c r="N892">
        <v>205.4</v>
      </c>
      <c r="O892">
        <v>616.20000000000005</v>
      </c>
      <c r="P892">
        <v>20</v>
      </c>
      <c r="Q892">
        <v>123.24</v>
      </c>
      <c r="R892">
        <v>492.96</v>
      </c>
      <c r="S892">
        <v>212.7</v>
      </c>
      <c r="T892">
        <v>280.26</v>
      </c>
      <c r="U892" t="s">
        <v>190</v>
      </c>
      <c r="V892" t="s">
        <v>159</v>
      </c>
    </row>
    <row r="893" spans="1:22">
      <c r="A893" t="s">
        <v>1669</v>
      </c>
      <c r="B893" s="1">
        <v>44970</v>
      </c>
      <c r="C893" t="s">
        <v>161</v>
      </c>
      <c r="D893">
        <v>2023</v>
      </c>
      <c r="E893" t="s">
        <v>162</v>
      </c>
      <c r="F893" t="s">
        <v>1670</v>
      </c>
      <c r="G893" t="s">
        <v>113</v>
      </c>
      <c r="H893" t="s">
        <v>114</v>
      </c>
      <c r="I893" t="s">
        <v>115</v>
      </c>
      <c r="J893" t="s">
        <v>116</v>
      </c>
      <c r="K893" t="s">
        <v>164</v>
      </c>
      <c r="L893" t="s">
        <v>165</v>
      </c>
      <c r="M893">
        <v>3</v>
      </c>
      <c r="N893">
        <v>18.7</v>
      </c>
      <c r="O893">
        <v>56.099999999999994</v>
      </c>
      <c r="P893">
        <v>5</v>
      </c>
      <c r="Q893">
        <v>2.81</v>
      </c>
      <c r="R893">
        <v>53.29</v>
      </c>
      <c r="S893">
        <v>20.58</v>
      </c>
      <c r="T893">
        <v>32.71</v>
      </c>
      <c r="U893" t="s">
        <v>190</v>
      </c>
      <c r="V893" t="s">
        <v>159</v>
      </c>
    </row>
    <row r="894" spans="1:22">
      <c r="A894" t="s">
        <v>2063</v>
      </c>
      <c r="B894" s="1">
        <v>44970</v>
      </c>
      <c r="C894" t="s">
        <v>161</v>
      </c>
      <c r="D894">
        <v>2023</v>
      </c>
      <c r="E894" t="s">
        <v>162</v>
      </c>
      <c r="F894" t="s">
        <v>2064</v>
      </c>
      <c r="G894" t="s">
        <v>135</v>
      </c>
      <c r="H894" t="s">
        <v>136</v>
      </c>
      <c r="I894" t="s">
        <v>115</v>
      </c>
      <c r="J894" t="s">
        <v>119</v>
      </c>
      <c r="K894" t="s">
        <v>178</v>
      </c>
      <c r="L894" t="s">
        <v>204</v>
      </c>
      <c r="M894">
        <v>2</v>
      </c>
      <c r="N894">
        <v>89.62</v>
      </c>
      <c r="O894">
        <v>179.24</v>
      </c>
      <c r="P894">
        <v>0</v>
      </c>
      <c r="Q894">
        <v>0</v>
      </c>
      <c r="R894">
        <v>179.24</v>
      </c>
      <c r="S894">
        <v>76.260000000000005</v>
      </c>
      <c r="T894">
        <v>102.98</v>
      </c>
      <c r="U894" t="s">
        <v>190</v>
      </c>
      <c r="V894" t="s">
        <v>181</v>
      </c>
    </row>
    <row r="895" spans="1:22">
      <c r="A895" t="s">
        <v>1629</v>
      </c>
      <c r="B895" s="1">
        <v>44970</v>
      </c>
      <c r="C895" t="s">
        <v>161</v>
      </c>
      <c r="D895">
        <v>2023</v>
      </c>
      <c r="E895" t="s">
        <v>162</v>
      </c>
      <c r="F895" t="s">
        <v>347</v>
      </c>
      <c r="G895" t="s">
        <v>43</v>
      </c>
      <c r="H895" t="s">
        <v>44</v>
      </c>
      <c r="I895" t="s">
        <v>41</v>
      </c>
      <c r="J895" t="s">
        <v>45</v>
      </c>
      <c r="K895" t="s">
        <v>156</v>
      </c>
      <c r="L895" t="s">
        <v>232</v>
      </c>
      <c r="M895">
        <v>1</v>
      </c>
      <c r="N895">
        <v>67.56</v>
      </c>
      <c r="O895">
        <v>67.56</v>
      </c>
      <c r="P895">
        <v>0</v>
      </c>
      <c r="Q895">
        <v>0</v>
      </c>
      <c r="R895">
        <v>67.56</v>
      </c>
      <c r="S895">
        <v>43.21</v>
      </c>
      <c r="T895">
        <v>24.35</v>
      </c>
      <c r="U895" t="s">
        <v>190</v>
      </c>
      <c r="V895" t="s">
        <v>186</v>
      </c>
    </row>
    <row r="896" spans="1:22">
      <c r="A896" t="s">
        <v>1445</v>
      </c>
      <c r="B896" s="1">
        <v>44970</v>
      </c>
      <c r="C896" t="s">
        <v>161</v>
      </c>
      <c r="D896">
        <v>2023</v>
      </c>
      <c r="E896" t="s">
        <v>162</v>
      </c>
      <c r="F896" t="s">
        <v>1446</v>
      </c>
      <c r="G896" t="s">
        <v>122</v>
      </c>
      <c r="H896" t="s">
        <v>123</v>
      </c>
      <c r="I896" t="s">
        <v>115</v>
      </c>
      <c r="J896" t="s">
        <v>124</v>
      </c>
      <c r="K896" t="s">
        <v>209</v>
      </c>
      <c r="L896" t="s">
        <v>157</v>
      </c>
      <c r="M896">
        <v>3</v>
      </c>
      <c r="N896">
        <v>93.88</v>
      </c>
      <c r="O896">
        <v>281.64</v>
      </c>
      <c r="P896">
        <v>0</v>
      </c>
      <c r="Q896">
        <v>0</v>
      </c>
      <c r="R896">
        <v>281.64</v>
      </c>
      <c r="S896">
        <v>159.33000000000001</v>
      </c>
      <c r="T896">
        <v>122.31</v>
      </c>
      <c r="U896" t="s">
        <v>166</v>
      </c>
      <c r="V896" t="s">
        <v>159</v>
      </c>
    </row>
    <row r="897" spans="1:22">
      <c r="A897" t="s">
        <v>1251</v>
      </c>
      <c r="B897" s="1">
        <v>44969</v>
      </c>
      <c r="C897" t="s">
        <v>161</v>
      </c>
      <c r="D897">
        <v>2023</v>
      </c>
      <c r="E897" t="s">
        <v>162</v>
      </c>
      <c r="F897" t="s">
        <v>412</v>
      </c>
      <c r="G897" t="s">
        <v>88</v>
      </c>
      <c r="H897" t="s">
        <v>89</v>
      </c>
      <c r="I897" t="s">
        <v>90</v>
      </c>
      <c r="J897" t="s">
        <v>91</v>
      </c>
      <c r="K897" t="s">
        <v>164</v>
      </c>
      <c r="L897" t="s">
        <v>194</v>
      </c>
      <c r="M897">
        <v>2</v>
      </c>
      <c r="N897">
        <v>54.64</v>
      </c>
      <c r="O897">
        <v>109.28</v>
      </c>
      <c r="P897">
        <v>20</v>
      </c>
      <c r="Q897">
        <v>21.86</v>
      </c>
      <c r="R897">
        <v>87.42</v>
      </c>
      <c r="S897">
        <v>40.64</v>
      </c>
      <c r="T897">
        <v>46.78</v>
      </c>
      <c r="U897" t="s">
        <v>190</v>
      </c>
      <c r="V897" t="s">
        <v>159</v>
      </c>
    </row>
    <row r="898" spans="1:22">
      <c r="A898" t="s">
        <v>853</v>
      </c>
      <c r="B898" s="1">
        <v>44969</v>
      </c>
      <c r="C898" t="s">
        <v>161</v>
      </c>
      <c r="D898">
        <v>2023</v>
      </c>
      <c r="E898" t="s">
        <v>162</v>
      </c>
      <c r="F898" t="s">
        <v>854</v>
      </c>
      <c r="G898" t="s">
        <v>113</v>
      </c>
      <c r="H898" t="s">
        <v>114</v>
      </c>
      <c r="I898" t="s">
        <v>115</v>
      </c>
      <c r="J898" t="s">
        <v>116</v>
      </c>
      <c r="K898" t="s">
        <v>209</v>
      </c>
      <c r="L898" t="s">
        <v>232</v>
      </c>
      <c r="M898">
        <v>2</v>
      </c>
      <c r="N898">
        <v>18.7</v>
      </c>
      <c r="O898">
        <v>37.4</v>
      </c>
      <c r="P898">
        <v>0</v>
      </c>
      <c r="Q898">
        <v>0</v>
      </c>
      <c r="R898">
        <v>37.4</v>
      </c>
      <c r="S898">
        <v>13.72</v>
      </c>
      <c r="T898">
        <v>23.68</v>
      </c>
      <c r="U898" t="s">
        <v>190</v>
      </c>
      <c r="V898" t="s">
        <v>159</v>
      </c>
    </row>
    <row r="899" spans="1:22">
      <c r="A899" t="s">
        <v>825</v>
      </c>
      <c r="B899" s="1">
        <v>44969</v>
      </c>
      <c r="C899" t="s">
        <v>161</v>
      </c>
      <c r="D899">
        <v>2023</v>
      </c>
      <c r="E899" t="s">
        <v>162</v>
      </c>
      <c r="F899" t="s">
        <v>826</v>
      </c>
      <c r="G899" t="s">
        <v>117</v>
      </c>
      <c r="H899" t="s">
        <v>118</v>
      </c>
      <c r="I899" t="s">
        <v>115</v>
      </c>
      <c r="J899" t="s">
        <v>119</v>
      </c>
      <c r="K899" t="s">
        <v>156</v>
      </c>
      <c r="L899" t="s">
        <v>174</v>
      </c>
      <c r="M899">
        <v>3</v>
      </c>
      <c r="N899">
        <v>93.41</v>
      </c>
      <c r="O899">
        <v>280.23</v>
      </c>
      <c r="P899">
        <v>0</v>
      </c>
      <c r="Q899">
        <v>0</v>
      </c>
      <c r="R899">
        <v>280.23</v>
      </c>
      <c r="S899">
        <v>192.15</v>
      </c>
      <c r="T899">
        <v>88.08</v>
      </c>
      <c r="U899" t="s">
        <v>180</v>
      </c>
      <c r="V899" t="s">
        <v>159</v>
      </c>
    </row>
    <row r="900" spans="1:22">
      <c r="A900" t="s">
        <v>1623</v>
      </c>
      <c r="B900" s="1">
        <v>44969</v>
      </c>
      <c r="C900" t="s">
        <v>161</v>
      </c>
      <c r="D900">
        <v>2023</v>
      </c>
      <c r="E900" t="s">
        <v>162</v>
      </c>
      <c r="F900" t="s">
        <v>1624</v>
      </c>
      <c r="G900" t="s">
        <v>17</v>
      </c>
      <c r="H900" t="s">
        <v>18</v>
      </c>
      <c r="I900" t="s">
        <v>14</v>
      </c>
      <c r="J900" t="s">
        <v>19</v>
      </c>
      <c r="K900" t="s">
        <v>209</v>
      </c>
      <c r="L900" t="s">
        <v>179</v>
      </c>
      <c r="M900">
        <v>3</v>
      </c>
      <c r="N900">
        <v>53.26</v>
      </c>
      <c r="O900">
        <v>159.78</v>
      </c>
      <c r="P900">
        <v>5</v>
      </c>
      <c r="Q900">
        <v>7.99</v>
      </c>
      <c r="R900">
        <v>151.79</v>
      </c>
      <c r="S900">
        <v>109.92</v>
      </c>
      <c r="T900">
        <v>41.87</v>
      </c>
      <c r="U900" t="s">
        <v>195</v>
      </c>
      <c r="V900" t="s">
        <v>159</v>
      </c>
    </row>
    <row r="901" spans="1:22">
      <c r="A901" t="s">
        <v>316</v>
      </c>
      <c r="B901" s="1">
        <v>44968</v>
      </c>
      <c r="C901" t="s">
        <v>161</v>
      </c>
      <c r="D901">
        <v>2023</v>
      </c>
      <c r="E901" t="s">
        <v>162</v>
      </c>
      <c r="F901" t="s">
        <v>317</v>
      </c>
      <c r="G901" t="s">
        <v>68</v>
      </c>
      <c r="H901" t="s">
        <v>69</v>
      </c>
      <c r="I901" t="s">
        <v>66</v>
      </c>
      <c r="J901" t="s">
        <v>70</v>
      </c>
      <c r="K901" t="s">
        <v>178</v>
      </c>
      <c r="L901" t="s">
        <v>179</v>
      </c>
      <c r="M901">
        <v>4</v>
      </c>
      <c r="N901">
        <v>98.51</v>
      </c>
      <c r="O901">
        <v>394.04</v>
      </c>
      <c r="P901">
        <v>15</v>
      </c>
      <c r="Q901">
        <v>59.11</v>
      </c>
      <c r="R901">
        <v>334.93</v>
      </c>
      <c r="S901">
        <v>220.68</v>
      </c>
      <c r="T901">
        <v>114.25</v>
      </c>
      <c r="U901" t="s">
        <v>166</v>
      </c>
      <c r="V901" t="s">
        <v>186</v>
      </c>
    </row>
    <row r="902" spans="1:22">
      <c r="A902" t="s">
        <v>1976</v>
      </c>
      <c r="B902" s="1">
        <v>44968</v>
      </c>
      <c r="C902" t="s">
        <v>161</v>
      </c>
      <c r="D902">
        <v>2023</v>
      </c>
      <c r="E902" t="s">
        <v>162</v>
      </c>
      <c r="F902" t="s">
        <v>1420</v>
      </c>
      <c r="G902" t="s">
        <v>64</v>
      </c>
      <c r="H902" t="s">
        <v>65</v>
      </c>
      <c r="I902" t="s">
        <v>66</v>
      </c>
      <c r="J902" t="s">
        <v>67</v>
      </c>
      <c r="K902" t="s">
        <v>164</v>
      </c>
      <c r="L902" t="s">
        <v>204</v>
      </c>
      <c r="M902">
        <v>2</v>
      </c>
      <c r="N902">
        <v>24.9</v>
      </c>
      <c r="O902">
        <v>49.8</v>
      </c>
      <c r="P902">
        <v>0</v>
      </c>
      <c r="Q902">
        <v>0</v>
      </c>
      <c r="R902">
        <v>49.8</v>
      </c>
      <c r="S902">
        <v>43.04</v>
      </c>
      <c r="T902">
        <v>6.76</v>
      </c>
      <c r="U902" t="s">
        <v>195</v>
      </c>
      <c r="V902" t="s">
        <v>181</v>
      </c>
    </row>
    <row r="903" spans="1:22">
      <c r="A903" t="s">
        <v>279</v>
      </c>
      <c r="B903" s="1">
        <v>44968</v>
      </c>
      <c r="C903" t="s">
        <v>161</v>
      </c>
      <c r="D903">
        <v>2023</v>
      </c>
      <c r="E903" t="s">
        <v>162</v>
      </c>
      <c r="F903" t="s">
        <v>280</v>
      </c>
      <c r="G903" t="s">
        <v>95</v>
      </c>
      <c r="H903" t="s">
        <v>96</v>
      </c>
      <c r="I903" t="s">
        <v>90</v>
      </c>
      <c r="J903" t="s">
        <v>97</v>
      </c>
      <c r="K903" t="s">
        <v>209</v>
      </c>
      <c r="L903" t="s">
        <v>204</v>
      </c>
      <c r="M903">
        <v>4</v>
      </c>
      <c r="N903">
        <v>177.41</v>
      </c>
      <c r="O903">
        <v>709.64</v>
      </c>
      <c r="P903">
        <v>5</v>
      </c>
      <c r="Q903">
        <v>35.479999999999997</v>
      </c>
      <c r="R903">
        <v>674.16</v>
      </c>
      <c r="S903">
        <v>299.95999999999998</v>
      </c>
      <c r="T903">
        <v>374.2</v>
      </c>
      <c r="U903" t="s">
        <v>195</v>
      </c>
      <c r="V903" t="s">
        <v>181</v>
      </c>
    </row>
    <row r="904" spans="1:22">
      <c r="A904" t="s">
        <v>1349</v>
      </c>
      <c r="B904" s="1">
        <v>44967</v>
      </c>
      <c r="C904" t="s">
        <v>161</v>
      </c>
      <c r="D904">
        <v>2023</v>
      </c>
      <c r="E904" t="s">
        <v>162</v>
      </c>
      <c r="F904" t="s">
        <v>1350</v>
      </c>
      <c r="G904" t="s">
        <v>76</v>
      </c>
      <c r="H904" t="s">
        <v>77</v>
      </c>
      <c r="I904" t="s">
        <v>66</v>
      </c>
      <c r="J904" t="s">
        <v>67</v>
      </c>
      <c r="K904" t="s">
        <v>156</v>
      </c>
      <c r="L904" t="s">
        <v>232</v>
      </c>
      <c r="M904">
        <v>2</v>
      </c>
      <c r="N904">
        <v>118.07</v>
      </c>
      <c r="O904">
        <v>236.14</v>
      </c>
      <c r="P904">
        <v>0</v>
      </c>
      <c r="Q904">
        <v>0</v>
      </c>
      <c r="R904">
        <v>236.14</v>
      </c>
      <c r="S904">
        <v>79.400000000000006</v>
      </c>
      <c r="T904">
        <v>156.74</v>
      </c>
      <c r="U904" t="s">
        <v>166</v>
      </c>
      <c r="V904" t="s">
        <v>159</v>
      </c>
    </row>
    <row r="905" spans="1:22">
      <c r="A905" t="s">
        <v>597</v>
      </c>
      <c r="B905" s="1">
        <v>44967</v>
      </c>
      <c r="C905" t="s">
        <v>161</v>
      </c>
      <c r="D905">
        <v>2023</v>
      </c>
      <c r="E905" t="s">
        <v>162</v>
      </c>
      <c r="F905" t="s">
        <v>598</v>
      </c>
      <c r="G905" t="s">
        <v>60</v>
      </c>
      <c r="H905" t="s">
        <v>61</v>
      </c>
      <c r="I905" t="s">
        <v>41</v>
      </c>
      <c r="J905" t="s">
        <v>59</v>
      </c>
      <c r="K905" t="s">
        <v>164</v>
      </c>
      <c r="L905" t="s">
        <v>165</v>
      </c>
      <c r="M905">
        <v>1</v>
      </c>
      <c r="N905">
        <v>103.56</v>
      </c>
      <c r="O905">
        <v>103.56</v>
      </c>
      <c r="P905">
        <v>0</v>
      </c>
      <c r="Q905">
        <v>0</v>
      </c>
      <c r="R905">
        <v>103.56</v>
      </c>
      <c r="S905">
        <v>44.58</v>
      </c>
      <c r="T905">
        <v>58.98</v>
      </c>
      <c r="U905" t="s">
        <v>195</v>
      </c>
      <c r="V905" t="s">
        <v>186</v>
      </c>
    </row>
    <row r="906" spans="1:22">
      <c r="A906" t="s">
        <v>515</v>
      </c>
      <c r="B906" s="1">
        <v>44966</v>
      </c>
      <c r="C906" t="s">
        <v>161</v>
      </c>
      <c r="D906">
        <v>2023</v>
      </c>
      <c r="E906" t="s">
        <v>162</v>
      </c>
      <c r="F906" t="s">
        <v>516</v>
      </c>
      <c r="G906" t="s">
        <v>73</v>
      </c>
      <c r="H906" t="s">
        <v>74</v>
      </c>
      <c r="I906" t="s">
        <v>66</v>
      </c>
      <c r="J906" t="s">
        <v>75</v>
      </c>
      <c r="K906" t="s">
        <v>156</v>
      </c>
      <c r="L906" t="s">
        <v>232</v>
      </c>
      <c r="M906">
        <v>3</v>
      </c>
      <c r="N906">
        <v>53.95</v>
      </c>
      <c r="O906">
        <v>161.85000000000002</v>
      </c>
      <c r="P906">
        <v>5</v>
      </c>
      <c r="Q906">
        <v>8.09</v>
      </c>
      <c r="R906">
        <v>153.76</v>
      </c>
      <c r="S906">
        <v>105.6</v>
      </c>
      <c r="T906">
        <v>48.16</v>
      </c>
      <c r="U906" t="s">
        <v>195</v>
      </c>
      <c r="V906" t="s">
        <v>186</v>
      </c>
    </row>
    <row r="907" spans="1:22">
      <c r="A907" t="s">
        <v>735</v>
      </c>
      <c r="B907" s="1">
        <v>44966</v>
      </c>
      <c r="C907" t="s">
        <v>161</v>
      </c>
      <c r="D907">
        <v>2023</v>
      </c>
      <c r="E907" t="s">
        <v>162</v>
      </c>
      <c r="F907" t="s">
        <v>736</v>
      </c>
      <c r="G907" t="s">
        <v>62</v>
      </c>
      <c r="H907" t="s">
        <v>63</v>
      </c>
      <c r="I907" t="s">
        <v>41</v>
      </c>
      <c r="J907" t="s">
        <v>45</v>
      </c>
      <c r="K907" t="s">
        <v>178</v>
      </c>
      <c r="L907" t="s">
        <v>157</v>
      </c>
      <c r="M907">
        <v>4</v>
      </c>
      <c r="N907">
        <v>160.35</v>
      </c>
      <c r="O907">
        <v>641.4</v>
      </c>
      <c r="P907">
        <v>20</v>
      </c>
      <c r="Q907">
        <v>128.28</v>
      </c>
      <c r="R907">
        <v>513.12</v>
      </c>
      <c r="S907">
        <v>289.88</v>
      </c>
      <c r="T907">
        <v>223.24</v>
      </c>
      <c r="U907" t="s">
        <v>180</v>
      </c>
      <c r="V907" t="s">
        <v>181</v>
      </c>
    </row>
    <row r="908" spans="1:22">
      <c r="A908" t="s">
        <v>1973</v>
      </c>
      <c r="B908" s="1">
        <v>44966</v>
      </c>
      <c r="C908" t="s">
        <v>161</v>
      </c>
      <c r="D908">
        <v>2023</v>
      </c>
      <c r="E908" t="s">
        <v>162</v>
      </c>
      <c r="F908" t="s">
        <v>1974</v>
      </c>
      <c r="G908" t="s">
        <v>135</v>
      </c>
      <c r="H908" t="s">
        <v>136</v>
      </c>
      <c r="I908" t="s">
        <v>115</v>
      </c>
      <c r="J908" t="s">
        <v>119</v>
      </c>
      <c r="K908" t="s">
        <v>164</v>
      </c>
      <c r="L908" t="s">
        <v>165</v>
      </c>
      <c r="M908">
        <v>2</v>
      </c>
      <c r="N908">
        <v>89.62</v>
      </c>
      <c r="O908">
        <v>179.24</v>
      </c>
      <c r="P908">
        <v>5</v>
      </c>
      <c r="Q908">
        <v>8.9600000000000009</v>
      </c>
      <c r="R908">
        <v>170.28</v>
      </c>
      <c r="S908">
        <v>76.260000000000005</v>
      </c>
      <c r="T908">
        <v>94.02</v>
      </c>
      <c r="U908" t="s">
        <v>158</v>
      </c>
      <c r="V908" t="s">
        <v>159</v>
      </c>
    </row>
    <row r="909" spans="1:22">
      <c r="A909" t="s">
        <v>1423</v>
      </c>
      <c r="B909" s="1">
        <v>44966</v>
      </c>
      <c r="C909" t="s">
        <v>161</v>
      </c>
      <c r="D909">
        <v>2023</v>
      </c>
      <c r="E909" t="s">
        <v>162</v>
      </c>
      <c r="F909" t="s">
        <v>1424</v>
      </c>
      <c r="G909" t="s">
        <v>105</v>
      </c>
      <c r="H909" t="s">
        <v>106</v>
      </c>
      <c r="I909" t="s">
        <v>90</v>
      </c>
      <c r="J909" t="s">
        <v>91</v>
      </c>
      <c r="K909" t="s">
        <v>178</v>
      </c>
      <c r="L909" t="s">
        <v>179</v>
      </c>
      <c r="M909">
        <v>2</v>
      </c>
      <c r="N909">
        <v>36.35</v>
      </c>
      <c r="O909">
        <v>72.7</v>
      </c>
      <c r="P909">
        <v>15</v>
      </c>
      <c r="Q909">
        <v>10.9</v>
      </c>
      <c r="R909">
        <v>61.8</v>
      </c>
      <c r="S909">
        <v>60.04</v>
      </c>
      <c r="T909">
        <v>1.76</v>
      </c>
      <c r="U909" t="s">
        <v>180</v>
      </c>
      <c r="V909" t="s">
        <v>159</v>
      </c>
    </row>
    <row r="910" spans="1:22">
      <c r="A910" t="s">
        <v>419</v>
      </c>
      <c r="B910" s="1">
        <v>44966</v>
      </c>
      <c r="C910" t="s">
        <v>161</v>
      </c>
      <c r="D910">
        <v>2023</v>
      </c>
      <c r="E910" t="s">
        <v>162</v>
      </c>
      <c r="F910" t="s">
        <v>420</v>
      </c>
      <c r="G910" t="s">
        <v>82</v>
      </c>
      <c r="H910" t="s">
        <v>83</v>
      </c>
      <c r="I910" t="s">
        <v>66</v>
      </c>
      <c r="J910" t="s">
        <v>67</v>
      </c>
      <c r="K910" t="s">
        <v>178</v>
      </c>
      <c r="L910" t="s">
        <v>232</v>
      </c>
      <c r="M910">
        <v>1</v>
      </c>
      <c r="N910">
        <v>34.479999999999997</v>
      </c>
      <c r="O910">
        <v>34.479999999999997</v>
      </c>
      <c r="P910">
        <v>5</v>
      </c>
      <c r="Q910">
        <v>1.72</v>
      </c>
      <c r="R910">
        <v>32.76</v>
      </c>
      <c r="S910">
        <v>19.239999999999998</v>
      </c>
      <c r="T910">
        <v>13.52</v>
      </c>
      <c r="U910" t="s">
        <v>180</v>
      </c>
      <c r="V910" t="s">
        <v>181</v>
      </c>
    </row>
    <row r="911" spans="1:22">
      <c r="A911" t="s">
        <v>895</v>
      </c>
      <c r="B911" s="1">
        <v>44965</v>
      </c>
      <c r="C911" t="s">
        <v>161</v>
      </c>
      <c r="D911">
        <v>2023</v>
      </c>
      <c r="E911" t="s">
        <v>162</v>
      </c>
      <c r="F911" t="s">
        <v>896</v>
      </c>
      <c r="G911" t="s">
        <v>84</v>
      </c>
      <c r="H911" t="s">
        <v>85</v>
      </c>
      <c r="I911" t="s">
        <v>66</v>
      </c>
      <c r="J911" t="s">
        <v>67</v>
      </c>
      <c r="K911" t="s">
        <v>156</v>
      </c>
      <c r="L911" t="s">
        <v>157</v>
      </c>
      <c r="M911">
        <v>3</v>
      </c>
      <c r="N911">
        <v>174.23</v>
      </c>
      <c r="O911">
        <v>522.68999999999994</v>
      </c>
      <c r="P911">
        <v>0</v>
      </c>
      <c r="Q911">
        <v>0</v>
      </c>
      <c r="R911">
        <v>522.69000000000005</v>
      </c>
      <c r="S911">
        <v>221.85</v>
      </c>
      <c r="T911">
        <v>300.83999999999997</v>
      </c>
      <c r="U911" t="s">
        <v>166</v>
      </c>
      <c r="V911" t="s">
        <v>159</v>
      </c>
    </row>
    <row r="912" spans="1:22">
      <c r="A912" t="s">
        <v>269</v>
      </c>
      <c r="B912" s="1">
        <v>44965</v>
      </c>
      <c r="C912" t="s">
        <v>161</v>
      </c>
      <c r="D912">
        <v>2023</v>
      </c>
      <c r="E912" t="s">
        <v>162</v>
      </c>
      <c r="F912" t="s">
        <v>270</v>
      </c>
      <c r="G912" t="s">
        <v>53</v>
      </c>
      <c r="H912" t="s">
        <v>54</v>
      </c>
      <c r="I912" t="s">
        <v>41</v>
      </c>
      <c r="J912" t="s">
        <v>45</v>
      </c>
      <c r="K912" t="s">
        <v>209</v>
      </c>
      <c r="L912" t="s">
        <v>204</v>
      </c>
      <c r="M912">
        <v>2</v>
      </c>
      <c r="N912">
        <v>51.98</v>
      </c>
      <c r="O912">
        <v>103.96</v>
      </c>
      <c r="P912">
        <v>10</v>
      </c>
      <c r="Q912">
        <v>10.4</v>
      </c>
      <c r="R912">
        <v>93.56</v>
      </c>
      <c r="S912">
        <v>66.08</v>
      </c>
      <c r="T912">
        <v>27.48</v>
      </c>
      <c r="U912" t="s">
        <v>180</v>
      </c>
      <c r="V912" t="s">
        <v>181</v>
      </c>
    </row>
    <row r="913" spans="1:22">
      <c r="A913" t="s">
        <v>533</v>
      </c>
      <c r="B913" s="1">
        <v>44964</v>
      </c>
      <c r="C913" t="s">
        <v>161</v>
      </c>
      <c r="D913">
        <v>2023</v>
      </c>
      <c r="E913" t="s">
        <v>162</v>
      </c>
      <c r="F913" t="s">
        <v>534</v>
      </c>
      <c r="G913" t="s">
        <v>35</v>
      </c>
      <c r="H913" t="s">
        <v>36</v>
      </c>
      <c r="I913" t="s">
        <v>14</v>
      </c>
      <c r="J913" t="s">
        <v>19</v>
      </c>
      <c r="K913" t="s">
        <v>164</v>
      </c>
      <c r="L913" t="s">
        <v>165</v>
      </c>
      <c r="M913">
        <v>3</v>
      </c>
      <c r="N913">
        <v>81.599999999999994</v>
      </c>
      <c r="O913">
        <v>244.79999999999998</v>
      </c>
      <c r="P913">
        <v>15</v>
      </c>
      <c r="Q913">
        <v>36.72</v>
      </c>
      <c r="R913">
        <v>208.08</v>
      </c>
      <c r="S913">
        <v>87.96</v>
      </c>
      <c r="T913">
        <v>120.12</v>
      </c>
      <c r="U913" t="s">
        <v>166</v>
      </c>
      <c r="V913" t="s">
        <v>159</v>
      </c>
    </row>
    <row r="914" spans="1:22">
      <c r="A914" t="s">
        <v>1279</v>
      </c>
      <c r="B914" s="1">
        <v>44964</v>
      </c>
      <c r="C914" t="s">
        <v>161</v>
      </c>
      <c r="D914">
        <v>2023</v>
      </c>
      <c r="E914" t="s">
        <v>162</v>
      </c>
      <c r="F914" t="s">
        <v>1280</v>
      </c>
      <c r="G914" t="s">
        <v>95</v>
      </c>
      <c r="H914" t="s">
        <v>96</v>
      </c>
      <c r="I914" t="s">
        <v>90</v>
      </c>
      <c r="J914" t="s">
        <v>97</v>
      </c>
      <c r="K914" t="s">
        <v>178</v>
      </c>
      <c r="L914" t="s">
        <v>194</v>
      </c>
      <c r="M914">
        <v>1</v>
      </c>
      <c r="N914">
        <v>177.41</v>
      </c>
      <c r="O914">
        <v>177.41</v>
      </c>
      <c r="P914">
        <v>10</v>
      </c>
      <c r="Q914">
        <v>17.739999999999998</v>
      </c>
      <c r="R914">
        <v>159.66999999999999</v>
      </c>
      <c r="S914">
        <v>74.989999999999995</v>
      </c>
      <c r="T914">
        <v>84.68</v>
      </c>
      <c r="U914" t="s">
        <v>158</v>
      </c>
      <c r="V914" t="s">
        <v>181</v>
      </c>
    </row>
    <row r="915" spans="1:22">
      <c r="A915" t="s">
        <v>160</v>
      </c>
      <c r="B915" s="1">
        <v>44964</v>
      </c>
      <c r="C915" t="s">
        <v>161</v>
      </c>
      <c r="D915">
        <v>2023</v>
      </c>
      <c r="E915" t="s">
        <v>162</v>
      </c>
      <c r="F915" t="s">
        <v>163</v>
      </c>
      <c r="G915" t="s">
        <v>53</v>
      </c>
      <c r="H915" t="s">
        <v>54</v>
      </c>
      <c r="I915" t="s">
        <v>41</v>
      </c>
      <c r="J915" t="s">
        <v>45</v>
      </c>
      <c r="K915" t="s">
        <v>164</v>
      </c>
      <c r="L915" t="s">
        <v>165</v>
      </c>
      <c r="M915">
        <v>4</v>
      </c>
      <c r="N915">
        <v>51.98</v>
      </c>
      <c r="O915">
        <v>207.92</v>
      </c>
      <c r="P915">
        <v>10</v>
      </c>
      <c r="Q915">
        <v>20.79</v>
      </c>
      <c r="R915">
        <v>187.13</v>
      </c>
      <c r="S915">
        <v>132.16</v>
      </c>
      <c r="T915">
        <v>54.97</v>
      </c>
      <c r="U915" t="s">
        <v>166</v>
      </c>
      <c r="V915" t="s">
        <v>159</v>
      </c>
    </row>
    <row r="916" spans="1:22">
      <c r="A916" t="s">
        <v>1167</v>
      </c>
      <c r="B916" s="1">
        <v>44963</v>
      </c>
      <c r="C916" t="s">
        <v>161</v>
      </c>
      <c r="D916">
        <v>2023</v>
      </c>
      <c r="E916" t="s">
        <v>162</v>
      </c>
      <c r="F916" t="s">
        <v>1168</v>
      </c>
      <c r="G916" t="s">
        <v>48</v>
      </c>
      <c r="H916" t="s">
        <v>49</v>
      </c>
      <c r="I916" t="s">
        <v>41</v>
      </c>
      <c r="J916" t="s">
        <v>42</v>
      </c>
      <c r="K916" t="s">
        <v>156</v>
      </c>
      <c r="L916" t="s">
        <v>174</v>
      </c>
      <c r="M916">
        <v>4</v>
      </c>
      <c r="N916">
        <v>84.95</v>
      </c>
      <c r="O916">
        <v>339.8</v>
      </c>
      <c r="P916">
        <v>15</v>
      </c>
      <c r="Q916">
        <v>50.97</v>
      </c>
      <c r="R916">
        <v>288.83</v>
      </c>
      <c r="S916">
        <v>212.28</v>
      </c>
      <c r="T916">
        <v>76.55</v>
      </c>
      <c r="U916" t="s">
        <v>180</v>
      </c>
      <c r="V916" t="s">
        <v>159</v>
      </c>
    </row>
    <row r="917" spans="1:22">
      <c r="A917" t="s">
        <v>1883</v>
      </c>
      <c r="B917" s="1">
        <v>44961</v>
      </c>
      <c r="C917" t="s">
        <v>161</v>
      </c>
      <c r="D917">
        <v>2023</v>
      </c>
      <c r="E917" t="s">
        <v>162</v>
      </c>
      <c r="F917" t="s">
        <v>1884</v>
      </c>
      <c r="G917" t="s">
        <v>107</v>
      </c>
      <c r="H917" t="s">
        <v>108</v>
      </c>
      <c r="I917" t="s">
        <v>90</v>
      </c>
      <c r="J917" t="s">
        <v>100</v>
      </c>
      <c r="K917" t="s">
        <v>164</v>
      </c>
      <c r="L917" t="s">
        <v>204</v>
      </c>
      <c r="M917">
        <v>3</v>
      </c>
      <c r="N917">
        <v>26.61</v>
      </c>
      <c r="O917">
        <v>79.83</v>
      </c>
      <c r="P917">
        <v>0</v>
      </c>
      <c r="Q917">
        <v>0</v>
      </c>
      <c r="R917">
        <v>79.83</v>
      </c>
      <c r="S917">
        <v>31.92</v>
      </c>
      <c r="T917">
        <v>47.91</v>
      </c>
      <c r="U917" t="s">
        <v>190</v>
      </c>
      <c r="V917" t="s">
        <v>159</v>
      </c>
    </row>
    <row r="918" spans="1:22">
      <c r="A918" t="s">
        <v>1520</v>
      </c>
      <c r="B918" s="1">
        <v>44961</v>
      </c>
      <c r="C918" t="s">
        <v>161</v>
      </c>
      <c r="D918">
        <v>2023</v>
      </c>
      <c r="E918" t="s">
        <v>162</v>
      </c>
      <c r="F918" t="s">
        <v>1521</v>
      </c>
      <c r="G918" t="s">
        <v>73</v>
      </c>
      <c r="H918" t="s">
        <v>74</v>
      </c>
      <c r="I918" t="s">
        <v>66</v>
      </c>
      <c r="J918" t="s">
        <v>75</v>
      </c>
      <c r="K918" t="s">
        <v>164</v>
      </c>
      <c r="L918" t="s">
        <v>179</v>
      </c>
      <c r="M918">
        <v>4</v>
      </c>
      <c r="N918">
        <v>53.95</v>
      </c>
      <c r="O918">
        <v>215.8</v>
      </c>
      <c r="P918">
        <v>20</v>
      </c>
      <c r="Q918">
        <v>43.16</v>
      </c>
      <c r="R918">
        <v>172.64</v>
      </c>
      <c r="S918">
        <v>140.80000000000001</v>
      </c>
      <c r="T918">
        <v>31.84</v>
      </c>
      <c r="U918" t="s">
        <v>166</v>
      </c>
      <c r="V918" t="s">
        <v>159</v>
      </c>
    </row>
    <row r="919" spans="1:22">
      <c r="A919" t="s">
        <v>985</v>
      </c>
      <c r="B919" s="1">
        <v>44961</v>
      </c>
      <c r="C919" t="s">
        <v>161</v>
      </c>
      <c r="D919">
        <v>2023</v>
      </c>
      <c r="E919" t="s">
        <v>162</v>
      </c>
      <c r="F919" t="s">
        <v>986</v>
      </c>
      <c r="G919" t="s">
        <v>55</v>
      </c>
      <c r="H919" t="s">
        <v>56</v>
      </c>
      <c r="I919" t="s">
        <v>41</v>
      </c>
      <c r="J919" t="s">
        <v>45</v>
      </c>
      <c r="K919" t="s">
        <v>164</v>
      </c>
      <c r="L919" t="s">
        <v>232</v>
      </c>
      <c r="M919">
        <v>3</v>
      </c>
      <c r="N919">
        <v>205.4</v>
      </c>
      <c r="O919">
        <v>616.20000000000005</v>
      </c>
      <c r="P919">
        <v>15</v>
      </c>
      <c r="Q919">
        <v>92.43</v>
      </c>
      <c r="R919">
        <v>523.77</v>
      </c>
      <c r="S919">
        <v>212.7</v>
      </c>
      <c r="T919">
        <v>311.07</v>
      </c>
      <c r="U919" t="s">
        <v>180</v>
      </c>
      <c r="V919" t="s">
        <v>181</v>
      </c>
    </row>
    <row r="920" spans="1:22">
      <c r="A920" t="s">
        <v>1924</v>
      </c>
      <c r="B920" s="1">
        <v>44960</v>
      </c>
      <c r="C920" t="s">
        <v>161</v>
      </c>
      <c r="D920">
        <v>2023</v>
      </c>
      <c r="E920" t="s">
        <v>162</v>
      </c>
      <c r="F920" t="s">
        <v>1925</v>
      </c>
      <c r="G920" t="s">
        <v>125</v>
      </c>
      <c r="H920" t="s">
        <v>126</v>
      </c>
      <c r="I920" t="s">
        <v>115</v>
      </c>
      <c r="J920" t="s">
        <v>116</v>
      </c>
      <c r="K920" t="s">
        <v>164</v>
      </c>
      <c r="L920" t="s">
        <v>232</v>
      </c>
      <c r="M920">
        <v>3</v>
      </c>
      <c r="N920">
        <v>144.94999999999999</v>
      </c>
      <c r="O920">
        <v>434.84999999999997</v>
      </c>
      <c r="P920">
        <v>10</v>
      </c>
      <c r="Q920">
        <v>43.48</v>
      </c>
      <c r="R920">
        <v>391.37</v>
      </c>
      <c r="S920">
        <v>231.57</v>
      </c>
      <c r="T920">
        <v>159.80000000000001</v>
      </c>
      <c r="U920" t="s">
        <v>166</v>
      </c>
      <c r="V920" t="s">
        <v>159</v>
      </c>
    </row>
    <row r="921" spans="1:22">
      <c r="A921" t="s">
        <v>1165</v>
      </c>
      <c r="B921" s="1">
        <v>44960</v>
      </c>
      <c r="C921" t="s">
        <v>161</v>
      </c>
      <c r="D921">
        <v>2023</v>
      </c>
      <c r="E921" t="s">
        <v>162</v>
      </c>
      <c r="F921" t="s">
        <v>1166</v>
      </c>
      <c r="G921" t="s">
        <v>39</v>
      </c>
      <c r="H921" t="s">
        <v>40</v>
      </c>
      <c r="I921" t="s">
        <v>41</v>
      </c>
      <c r="J921" t="s">
        <v>42</v>
      </c>
      <c r="K921" t="s">
        <v>156</v>
      </c>
      <c r="L921" t="s">
        <v>179</v>
      </c>
      <c r="M921">
        <v>1</v>
      </c>
      <c r="N921">
        <v>35.11</v>
      </c>
      <c r="O921">
        <v>35.11</v>
      </c>
      <c r="P921">
        <v>15</v>
      </c>
      <c r="Q921">
        <v>5.27</v>
      </c>
      <c r="R921">
        <v>29.84</v>
      </c>
      <c r="S921">
        <v>24.87</v>
      </c>
      <c r="T921">
        <v>4.97</v>
      </c>
      <c r="U921" t="s">
        <v>180</v>
      </c>
      <c r="V921" t="s">
        <v>159</v>
      </c>
    </row>
    <row r="922" spans="1:22">
      <c r="A922" t="s">
        <v>1265</v>
      </c>
      <c r="B922" s="1">
        <v>44959</v>
      </c>
      <c r="C922" t="s">
        <v>161</v>
      </c>
      <c r="D922">
        <v>2023</v>
      </c>
      <c r="E922" t="s">
        <v>162</v>
      </c>
      <c r="F922" t="s">
        <v>1266</v>
      </c>
      <c r="G922" t="s">
        <v>88</v>
      </c>
      <c r="H922" t="s">
        <v>89</v>
      </c>
      <c r="I922" t="s">
        <v>90</v>
      </c>
      <c r="J922" t="s">
        <v>91</v>
      </c>
      <c r="K922" t="s">
        <v>156</v>
      </c>
      <c r="L922" t="s">
        <v>194</v>
      </c>
      <c r="M922">
        <v>4</v>
      </c>
      <c r="N922">
        <v>54.64</v>
      </c>
      <c r="O922">
        <v>218.56</v>
      </c>
      <c r="P922">
        <v>0</v>
      </c>
      <c r="Q922">
        <v>0</v>
      </c>
      <c r="R922">
        <v>218.56</v>
      </c>
      <c r="S922">
        <v>81.28</v>
      </c>
      <c r="T922">
        <v>137.28</v>
      </c>
      <c r="U922" t="s">
        <v>158</v>
      </c>
      <c r="V922" t="s">
        <v>181</v>
      </c>
    </row>
    <row r="923" spans="1:22">
      <c r="A923" t="s">
        <v>1092</v>
      </c>
      <c r="B923" s="1">
        <v>44959</v>
      </c>
      <c r="C923" t="s">
        <v>161</v>
      </c>
      <c r="D923">
        <v>2023</v>
      </c>
      <c r="E923" t="s">
        <v>162</v>
      </c>
      <c r="F923" t="s">
        <v>1093</v>
      </c>
      <c r="G923" t="s">
        <v>80</v>
      </c>
      <c r="H923" t="s">
        <v>81</v>
      </c>
      <c r="I923" t="s">
        <v>66</v>
      </c>
      <c r="J923" t="s">
        <v>70</v>
      </c>
      <c r="K923" t="s">
        <v>178</v>
      </c>
      <c r="L923" t="s">
        <v>174</v>
      </c>
      <c r="M923">
        <v>4</v>
      </c>
      <c r="N923">
        <v>106.06</v>
      </c>
      <c r="O923">
        <v>424.24</v>
      </c>
      <c r="P923">
        <v>0</v>
      </c>
      <c r="Q923">
        <v>0</v>
      </c>
      <c r="R923">
        <v>424.24</v>
      </c>
      <c r="S923">
        <v>133.68</v>
      </c>
      <c r="T923">
        <v>290.56</v>
      </c>
      <c r="U923" t="s">
        <v>166</v>
      </c>
      <c r="V923" t="s">
        <v>181</v>
      </c>
    </row>
    <row r="924" spans="1:22">
      <c r="A924" t="s">
        <v>1686</v>
      </c>
      <c r="B924" s="1">
        <v>44959</v>
      </c>
      <c r="C924" t="s">
        <v>161</v>
      </c>
      <c r="D924">
        <v>2023</v>
      </c>
      <c r="E924" t="s">
        <v>162</v>
      </c>
      <c r="F924" t="s">
        <v>1687</v>
      </c>
      <c r="G924" t="s">
        <v>107</v>
      </c>
      <c r="H924" t="s">
        <v>108</v>
      </c>
      <c r="I924" t="s">
        <v>90</v>
      </c>
      <c r="J924" t="s">
        <v>100</v>
      </c>
      <c r="K924" t="s">
        <v>178</v>
      </c>
      <c r="L924" t="s">
        <v>157</v>
      </c>
      <c r="M924">
        <v>2</v>
      </c>
      <c r="N924">
        <v>26.61</v>
      </c>
      <c r="O924">
        <v>53.22</v>
      </c>
      <c r="P924">
        <v>0</v>
      </c>
      <c r="Q924">
        <v>0</v>
      </c>
      <c r="R924">
        <v>53.22</v>
      </c>
      <c r="S924">
        <v>21.28</v>
      </c>
      <c r="T924">
        <v>31.94</v>
      </c>
      <c r="U924" t="s">
        <v>180</v>
      </c>
      <c r="V924" t="s">
        <v>159</v>
      </c>
    </row>
    <row r="925" spans="1:22">
      <c r="A925" t="s">
        <v>1902</v>
      </c>
      <c r="B925" s="1">
        <v>44959</v>
      </c>
      <c r="C925" t="s">
        <v>161</v>
      </c>
      <c r="D925">
        <v>2023</v>
      </c>
      <c r="E925" t="s">
        <v>162</v>
      </c>
      <c r="F925" t="s">
        <v>1903</v>
      </c>
      <c r="G925" t="s">
        <v>109</v>
      </c>
      <c r="H925" t="s">
        <v>110</v>
      </c>
      <c r="I925" t="s">
        <v>90</v>
      </c>
      <c r="J925" t="s">
        <v>100</v>
      </c>
      <c r="K925" t="s">
        <v>164</v>
      </c>
      <c r="L925" t="s">
        <v>194</v>
      </c>
      <c r="M925">
        <v>3</v>
      </c>
      <c r="N925">
        <v>77.67</v>
      </c>
      <c r="O925">
        <v>233.01</v>
      </c>
      <c r="P925">
        <v>20</v>
      </c>
      <c r="Q925">
        <v>46.6</v>
      </c>
      <c r="R925">
        <v>186.41</v>
      </c>
      <c r="S925">
        <v>84.36</v>
      </c>
      <c r="T925">
        <v>102.05</v>
      </c>
      <c r="U925" t="s">
        <v>158</v>
      </c>
      <c r="V925" t="s">
        <v>186</v>
      </c>
    </row>
    <row r="926" spans="1:22">
      <c r="A926" t="s">
        <v>2018</v>
      </c>
      <c r="B926" s="1">
        <v>44958</v>
      </c>
      <c r="C926" t="s">
        <v>161</v>
      </c>
      <c r="D926">
        <v>2023</v>
      </c>
      <c r="E926" t="s">
        <v>162</v>
      </c>
      <c r="F926" t="s">
        <v>2019</v>
      </c>
      <c r="G926" t="s">
        <v>122</v>
      </c>
      <c r="H926" t="s">
        <v>123</v>
      </c>
      <c r="I926" t="s">
        <v>115</v>
      </c>
      <c r="J926" t="s">
        <v>124</v>
      </c>
      <c r="K926" t="s">
        <v>209</v>
      </c>
      <c r="L926" t="s">
        <v>204</v>
      </c>
      <c r="M926">
        <v>4</v>
      </c>
      <c r="N926">
        <v>93.88</v>
      </c>
      <c r="O926">
        <v>375.52</v>
      </c>
      <c r="P926">
        <v>0</v>
      </c>
      <c r="Q926">
        <v>0</v>
      </c>
      <c r="R926">
        <v>375.52</v>
      </c>
      <c r="S926">
        <v>212.44</v>
      </c>
      <c r="T926">
        <v>163.08000000000001</v>
      </c>
      <c r="U926" t="s">
        <v>166</v>
      </c>
      <c r="V926" t="s">
        <v>159</v>
      </c>
    </row>
    <row r="927" spans="1:22">
      <c r="A927" t="s">
        <v>906</v>
      </c>
      <c r="B927" s="1">
        <v>44958</v>
      </c>
      <c r="C927" t="s">
        <v>161</v>
      </c>
      <c r="D927">
        <v>2023</v>
      </c>
      <c r="E927" t="s">
        <v>162</v>
      </c>
      <c r="F927" t="s">
        <v>907</v>
      </c>
      <c r="G927" t="s">
        <v>35</v>
      </c>
      <c r="H927" t="s">
        <v>36</v>
      </c>
      <c r="I927" t="s">
        <v>14</v>
      </c>
      <c r="J927" t="s">
        <v>19</v>
      </c>
      <c r="K927" t="s">
        <v>156</v>
      </c>
      <c r="L927" t="s">
        <v>157</v>
      </c>
      <c r="M927">
        <v>1</v>
      </c>
      <c r="N927">
        <v>81.599999999999994</v>
      </c>
      <c r="O927">
        <v>81.599999999999994</v>
      </c>
      <c r="P927">
        <v>0</v>
      </c>
      <c r="Q927">
        <v>0</v>
      </c>
      <c r="R927">
        <v>81.599999999999994</v>
      </c>
      <c r="S927">
        <v>29.32</v>
      </c>
      <c r="T927">
        <v>52.28</v>
      </c>
      <c r="U927" t="s">
        <v>190</v>
      </c>
      <c r="V927" t="s">
        <v>186</v>
      </c>
    </row>
    <row r="928" spans="1:22">
      <c r="A928" t="s">
        <v>977</v>
      </c>
      <c r="B928" s="1">
        <v>44958</v>
      </c>
      <c r="C928" t="s">
        <v>161</v>
      </c>
      <c r="D928">
        <v>2023</v>
      </c>
      <c r="E928" t="s">
        <v>162</v>
      </c>
      <c r="F928" t="s">
        <v>978</v>
      </c>
      <c r="G928" t="s">
        <v>80</v>
      </c>
      <c r="H928" t="s">
        <v>81</v>
      </c>
      <c r="I928" t="s">
        <v>66</v>
      </c>
      <c r="J928" t="s">
        <v>70</v>
      </c>
      <c r="K928" t="s">
        <v>164</v>
      </c>
      <c r="L928" t="s">
        <v>179</v>
      </c>
      <c r="M928">
        <v>2</v>
      </c>
      <c r="N928">
        <v>106.06</v>
      </c>
      <c r="O928">
        <v>212.12</v>
      </c>
      <c r="P928">
        <v>10</v>
      </c>
      <c r="Q928">
        <v>21.21</v>
      </c>
      <c r="R928">
        <v>190.91</v>
      </c>
      <c r="S928">
        <v>66.84</v>
      </c>
      <c r="T928">
        <v>124.07</v>
      </c>
      <c r="U928" t="s">
        <v>166</v>
      </c>
      <c r="V928" t="s">
        <v>186</v>
      </c>
    </row>
    <row r="929" spans="1:22">
      <c r="A929" t="s">
        <v>1463</v>
      </c>
      <c r="B929" s="1">
        <v>44958</v>
      </c>
      <c r="C929" t="s">
        <v>161</v>
      </c>
      <c r="D929">
        <v>2023</v>
      </c>
      <c r="E929" t="s">
        <v>162</v>
      </c>
      <c r="F929" t="s">
        <v>1464</v>
      </c>
      <c r="G929" t="s">
        <v>95</v>
      </c>
      <c r="H929" t="s">
        <v>96</v>
      </c>
      <c r="I929" t="s">
        <v>90</v>
      </c>
      <c r="J929" t="s">
        <v>97</v>
      </c>
      <c r="K929" t="s">
        <v>178</v>
      </c>
      <c r="L929" t="s">
        <v>204</v>
      </c>
      <c r="M929">
        <v>3</v>
      </c>
      <c r="N929">
        <v>177.41</v>
      </c>
      <c r="O929">
        <v>532.23</v>
      </c>
      <c r="P929">
        <v>20</v>
      </c>
      <c r="Q929">
        <v>106.45</v>
      </c>
      <c r="R929">
        <v>425.78</v>
      </c>
      <c r="S929">
        <v>224.97</v>
      </c>
      <c r="T929">
        <v>200.81</v>
      </c>
      <c r="U929" t="s">
        <v>158</v>
      </c>
      <c r="V929" t="s">
        <v>181</v>
      </c>
    </row>
    <row r="930" spans="1:22">
      <c r="A930" t="s">
        <v>1137</v>
      </c>
      <c r="B930" s="1">
        <v>44958</v>
      </c>
      <c r="C930" t="s">
        <v>161</v>
      </c>
      <c r="D930">
        <v>2023</v>
      </c>
      <c r="E930" t="s">
        <v>162</v>
      </c>
      <c r="F930" t="s">
        <v>1138</v>
      </c>
      <c r="G930" t="s">
        <v>60</v>
      </c>
      <c r="H930" t="s">
        <v>61</v>
      </c>
      <c r="I930" t="s">
        <v>41</v>
      </c>
      <c r="J930" t="s">
        <v>59</v>
      </c>
      <c r="K930" t="s">
        <v>178</v>
      </c>
      <c r="L930" t="s">
        <v>157</v>
      </c>
      <c r="M930">
        <v>3</v>
      </c>
      <c r="N930">
        <v>103.56</v>
      </c>
      <c r="O930">
        <v>310.68</v>
      </c>
      <c r="P930">
        <v>0</v>
      </c>
      <c r="Q930">
        <v>0</v>
      </c>
      <c r="R930">
        <v>310.68</v>
      </c>
      <c r="S930">
        <v>133.74</v>
      </c>
      <c r="T930">
        <v>176.94</v>
      </c>
      <c r="U930" t="s">
        <v>166</v>
      </c>
      <c r="V930" t="s">
        <v>159</v>
      </c>
    </row>
    <row r="931" spans="1:22">
      <c r="A931" t="s">
        <v>1952</v>
      </c>
      <c r="B931" s="1">
        <v>44957</v>
      </c>
      <c r="C931" t="s">
        <v>240</v>
      </c>
      <c r="D931">
        <v>2023</v>
      </c>
      <c r="E931" t="s">
        <v>162</v>
      </c>
      <c r="F931" t="s">
        <v>1953</v>
      </c>
      <c r="G931" t="s">
        <v>25</v>
      </c>
      <c r="H931" t="s">
        <v>26</v>
      </c>
      <c r="I931" t="s">
        <v>14</v>
      </c>
      <c r="J931" t="s">
        <v>27</v>
      </c>
      <c r="K931" t="s">
        <v>178</v>
      </c>
      <c r="L931" t="s">
        <v>157</v>
      </c>
      <c r="M931">
        <v>1</v>
      </c>
      <c r="N931">
        <v>18.39</v>
      </c>
      <c r="O931">
        <v>18.39</v>
      </c>
      <c r="P931">
        <v>10</v>
      </c>
      <c r="Q931">
        <v>1.84</v>
      </c>
      <c r="R931">
        <v>16.55</v>
      </c>
      <c r="S931">
        <v>8.26</v>
      </c>
      <c r="T931">
        <v>8.2899999999999991</v>
      </c>
      <c r="U931" t="s">
        <v>180</v>
      </c>
      <c r="V931" t="s">
        <v>159</v>
      </c>
    </row>
    <row r="932" spans="1:22">
      <c r="A932" t="s">
        <v>2069</v>
      </c>
      <c r="B932" s="1">
        <v>44957</v>
      </c>
      <c r="C932" t="s">
        <v>240</v>
      </c>
      <c r="D932">
        <v>2023</v>
      </c>
      <c r="E932" t="s">
        <v>162</v>
      </c>
      <c r="F932" t="s">
        <v>2070</v>
      </c>
      <c r="G932" t="s">
        <v>95</v>
      </c>
      <c r="H932" t="s">
        <v>96</v>
      </c>
      <c r="I932" t="s">
        <v>90</v>
      </c>
      <c r="J932" t="s">
        <v>97</v>
      </c>
      <c r="K932" t="s">
        <v>178</v>
      </c>
      <c r="L932" t="s">
        <v>194</v>
      </c>
      <c r="M932">
        <v>1</v>
      </c>
      <c r="N932">
        <v>177.41</v>
      </c>
      <c r="O932">
        <v>177.41</v>
      </c>
      <c r="P932">
        <v>15</v>
      </c>
      <c r="Q932">
        <v>26.61</v>
      </c>
      <c r="R932">
        <v>150.80000000000001</v>
      </c>
      <c r="S932">
        <v>74.989999999999995</v>
      </c>
      <c r="T932">
        <v>75.81</v>
      </c>
      <c r="U932" t="s">
        <v>166</v>
      </c>
      <c r="V932" t="s">
        <v>159</v>
      </c>
    </row>
    <row r="933" spans="1:22">
      <c r="A933" t="s">
        <v>803</v>
      </c>
      <c r="B933" s="1">
        <v>44957</v>
      </c>
      <c r="C933" t="s">
        <v>240</v>
      </c>
      <c r="D933">
        <v>2023</v>
      </c>
      <c r="E933" t="s">
        <v>162</v>
      </c>
      <c r="F933" t="s">
        <v>804</v>
      </c>
      <c r="G933" t="s">
        <v>48</v>
      </c>
      <c r="H933" t="s">
        <v>49</v>
      </c>
      <c r="I933" t="s">
        <v>41</v>
      </c>
      <c r="J933" t="s">
        <v>42</v>
      </c>
      <c r="K933" t="s">
        <v>178</v>
      </c>
      <c r="L933" t="s">
        <v>232</v>
      </c>
      <c r="M933">
        <v>2</v>
      </c>
      <c r="N933">
        <v>84.95</v>
      </c>
      <c r="O933">
        <v>169.9</v>
      </c>
      <c r="P933">
        <v>20</v>
      </c>
      <c r="Q933">
        <v>33.979999999999997</v>
      </c>
      <c r="R933">
        <v>135.91999999999999</v>
      </c>
      <c r="S933">
        <v>106.14</v>
      </c>
      <c r="T933">
        <v>29.78</v>
      </c>
      <c r="U933" t="s">
        <v>195</v>
      </c>
      <c r="V933" t="s">
        <v>181</v>
      </c>
    </row>
    <row r="934" spans="1:22">
      <c r="A934" t="s">
        <v>1453</v>
      </c>
      <c r="B934" s="1">
        <v>44957</v>
      </c>
      <c r="C934" t="s">
        <v>240</v>
      </c>
      <c r="D934">
        <v>2023</v>
      </c>
      <c r="E934" t="s">
        <v>162</v>
      </c>
      <c r="F934" t="s">
        <v>1454</v>
      </c>
      <c r="G934" t="s">
        <v>21</v>
      </c>
      <c r="H934" t="s">
        <v>22</v>
      </c>
      <c r="I934" t="s">
        <v>14</v>
      </c>
      <c r="J934" t="s">
        <v>15</v>
      </c>
      <c r="K934" t="s">
        <v>156</v>
      </c>
      <c r="L934" t="s">
        <v>179</v>
      </c>
      <c r="M934">
        <v>3</v>
      </c>
      <c r="N934">
        <v>65.430000000000007</v>
      </c>
      <c r="O934">
        <v>196.29000000000002</v>
      </c>
      <c r="P934">
        <v>0</v>
      </c>
      <c r="Q934">
        <v>0</v>
      </c>
      <c r="R934">
        <v>196.29</v>
      </c>
      <c r="S934">
        <v>116.07</v>
      </c>
      <c r="T934">
        <v>80.22</v>
      </c>
      <c r="U934" t="s">
        <v>166</v>
      </c>
      <c r="V934" t="s">
        <v>159</v>
      </c>
    </row>
    <row r="935" spans="1:22">
      <c r="A935" t="s">
        <v>413</v>
      </c>
      <c r="B935" s="1">
        <v>44955</v>
      </c>
      <c r="C935" t="s">
        <v>240</v>
      </c>
      <c r="D935">
        <v>2023</v>
      </c>
      <c r="E935" t="s">
        <v>162</v>
      </c>
      <c r="F935" t="s">
        <v>414</v>
      </c>
      <c r="G935" t="s">
        <v>50</v>
      </c>
      <c r="H935" t="s">
        <v>51</v>
      </c>
      <c r="I935" t="s">
        <v>41</v>
      </c>
      <c r="J935" t="s">
        <v>52</v>
      </c>
      <c r="K935" t="s">
        <v>156</v>
      </c>
      <c r="L935" t="s">
        <v>194</v>
      </c>
      <c r="M935">
        <v>4</v>
      </c>
      <c r="N935">
        <v>143.80000000000001</v>
      </c>
      <c r="O935">
        <v>575.20000000000005</v>
      </c>
      <c r="P935">
        <v>10</v>
      </c>
      <c r="Q935">
        <v>57.52</v>
      </c>
      <c r="R935">
        <v>517.67999999999995</v>
      </c>
      <c r="S935">
        <v>248.6</v>
      </c>
      <c r="T935">
        <v>269.08</v>
      </c>
      <c r="U935" t="s">
        <v>190</v>
      </c>
      <c r="V935" t="s">
        <v>159</v>
      </c>
    </row>
    <row r="936" spans="1:22">
      <c r="A936" t="s">
        <v>322</v>
      </c>
      <c r="B936" s="1">
        <v>44955</v>
      </c>
      <c r="C936" t="s">
        <v>240</v>
      </c>
      <c r="D936">
        <v>2023</v>
      </c>
      <c r="E936" t="s">
        <v>162</v>
      </c>
      <c r="F936" t="s">
        <v>323</v>
      </c>
      <c r="G936" t="s">
        <v>17</v>
      </c>
      <c r="H936" t="s">
        <v>18</v>
      </c>
      <c r="I936" t="s">
        <v>14</v>
      </c>
      <c r="J936" t="s">
        <v>19</v>
      </c>
      <c r="K936" t="s">
        <v>178</v>
      </c>
      <c r="L936" t="s">
        <v>194</v>
      </c>
      <c r="M936">
        <v>1</v>
      </c>
      <c r="N936">
        <v>53.26</v>
      </c>
      <c r="O936">
        <v>53.26</v>
      </c>
      <c r="P936">
        <v>0</v>
      </c>
      <c r="Q936">
        <v>0</v>
      </c>
      <c r="R936">
        <v>53.26</v>
      </c>
      <c r="S936">
        <v>36.64</v>
      </c>
      <c r="T936">
        <v>16.62</v>
      </c>
      <c r="U936" t="s">
        <v>180</v>
      </c>
      <c r="V936" t="s">
        <v>159</v>
      </c>
    </row>
    <row r="937" spans="1:22">
      <c r="A937" t="s">
        <v>290</v>
      </c>
      <c r="B937" s="1">
        <v>44954</v>
      </c>
      <c r="C937" t="s">
        <v>240</v>
      </c>
      <c r="D937">
        <v>2023</v>
      </c>
      <c r="E937" t="s">
        <v>162</v>
      </c>
      <c r="F937" t="s">
        <v>291</v>
      </c>
      <c r="G937" t="s">
        <v>12</v>
      </c>
      <c r="H937" t="s">
        <v>13</v>
      </c>
      <c r="I937" t="s">
        <v>14</v>
      </c>
      <c r="J937" t="s">
        <v>15</v>
      </c>
      <c r="K937" t="s">
        <v>178</v>
      </c>
      <c r="L937" t="s">
        <v>232</v>
      </c>
      <c r="M937">
        <v>4</v>
      </c>
      <c r="N937">
        <v>76.53</v>
      </c>
      <c r="O937">
        <v>306.12</v>
      </c>
      <c r="P937">
        <v>5</v>
      </c>
      <c r="Q937">
        <v>15.31</v>
      </c>
      <c r="R937">
        <v>290.81</v>
      </c>
      <c r="S937">
        <v>211.84</v>
      </c>
      <c r="T937">
        <v>78.97</v>
      </c>
      <c r="U937" t="s">
        <v>180</v>
      </c>
      <c r="V937" t="s">
        <v>186</v>
      </c>
    </row>
    <row r="938" spans="1:22">
      <c r="A938" t="s">
        <v>1848</v>
      </c>
      <c r="B938" s="1">
        <v>44954</v>
      </c>
      <c r="C938" t="s">
        <v>240</v>
      </c>
      <c r="D938">
        <v>2023</v>
      </c>
      <c r="E938" t="s">
        <v>162</v>
      </c>
      <c r="F938" t="s">
        <v>1849</v>
      </c>
      <c r="G938" t="s">
        <v>17</v>
      </c>
      <c r="H938" t="s">
        <v>18</v>
      </c>
      <c r="I938" t="s">
        <v>14</v>
      </c>
      <c r="J938" t="s">
        <v>19</v>
      </c>
      <c r="K938" t="s">
        <v>209</v>
      </c>
      <c r="L938" t="s">
        <v>204</v>
      </c>
      <c r="M938">
        <v>1</v>
      </c>
      <c r="N938">
        <v>53.26</v>
      </c>
      <c r="O938">
        <v>53.26</v>
      </c>
      <c r="P938">
        <v>15</v>
      </c>
      <c r="Q938">
        <v>7.99</v>
      </c>
      <c r="R938">
        <v>45.27</v>
      </c>
      <c r="S938">
        <v>36.64</v>
      </c>
      <c r="T938">
        <v>8.6300000000000008</v>
      </c>
      <c r="U938" t="s">
        <v>158</v>
      </c>
      <c r="V938" t="s">
        <v>159</v>
      </c>
    </row>
    <row r="939" spans="1:22">
      <c r="A939" t="s">
        <v>1616</v>
      </c>
      <c r="B939" s="1">
        <v>44954</v>
      </c>
      <c r="C939" t="s">
        <v>240</v>
      </c>
      <c r="D939">
        <v>2023</v>
      </c>
      <c r="E939" t="s">
        <v>162</v>
      </c>
      <c r="F939" t="s">
        <v>1495</v>
      </c>
      <c r="G939" t="s">
        <v>107</v>
      </c>
      <c r="H939" t="s">
        <v>108</v>
      </c>
      <c r="I939" t="s">
        <v>90</v>
      </c>
      <c r="J939" t="s">
        <v>100</v>
      </c>
      <c r="K939" t="s">
        <v>178</v>
      </c>
      <c r="L939" t="s">
        <v>232</v>
      </c>
      <c r="M939">
        <v>3</v>
      </c>
      <c r="N939">
        <v>26.61</v>
      </c>
      <c r="O939">
        <v>79.83</v>
      </c>
      <c r="P939">
        <v>10</v>
      </c>
      <c r="Q939">
        <v>7.98</v>
      </c>
      <c r="R939">
        <v>71.849999999999994</v>
      </c>
      <c r="S939">
        <v>31.92</v>
      </c>
      <c r="T939">
        <v>39.93</v>
      </c>
      <c r="U939" t="s">
        <v>158</v>
      </c>
      <c r="V939" t="s">
        <v>186</v>
      </c>
    </row>
    <row r="940" spans="1:22">
      <c r="A940" t="s">
        <v>1169</v>
      </c>
      <c r="B940" s="1">
        <v>44954</v>
      </c>
      <c r="C940" t="s">
        <v>240</v>
      </c>
      <c r="D940">
        <v>2023</v>
      </c>
      <c r="E940" t="s">
        <v>162</v>
      </c>
      <c r="F940" t="s">
        <v>1170</v>
      </c>
      <c r="G940" t="s">
        <v>21</v>
      </c>
      <c r="H940" t="s">
        <v>22</v>
      </c>
      <c r="I940" t="s">
        <v>14</v>
      </c>
      <c r="J940" t="s">
        <v>15</v>
      </c>
      <c r="K940" t="s">
        <v>178</v>
      </c>
      <c r="L940" t="s">
        <v>232</v>
      </c>
      <c r="M940">
        <v>1</v>
      </c>
      <c r="N940">
        <v>65.430000000000007</v>
      </c>
      <c r="O940">
        <v>65.430000000000007</v>
      </c>
      <c r="P940">
        <v>0</v>
      </c>
      <c r="Q940">
        <v>0</v>
      </c>
      <c r="R940">
        <v>65.430000000000007</v>
      </c>
      <c r="S940">
        <v>38.69</v>
      </c>
      <c r="T940">
        <v>26.74</v>
      </c>
      <c r="U940" t="s">
        <v>158</v>
      </c>
      <c r="V940" t="s">
        <v>181</v>
      </c>
    </row>
    <row r="941" spans="1:22">
      <c r="A941" t="s">
        <v>1926</v>
      </c>
      <c r="B941" s="1">
        <v>44953</v>
      </c>
      <c r="C941" t="s">
        <v>240</v>
      </c>
      <c r="D941">
        <v>2023</v>
      </c>
      <c r="E941" t="s">
        <v>162</v>
      </c>
      <c r="F941" t="s">
        <v>1174</v>
      </c>
      <c r="G941" t="s">
        <v>86</v>
      </c>
      <c r="H941" t="s">
        <v>87</v>
      </c>
      <c r="I941" t="s">
        <v>66</v>
      </c>
      <c r="J941" t="s">
        <v>67</v>
      </c>
      <c r="K941" t="s">
        <v>156</v>
      </c>
      <c r="L941" t="s">
        <v>165</v>
      </c>
      <c r="M941">
        <v>1</v>
      </c>
      <c r="N941">
        <v>124.77</v>
      </c>
      <c r="O941">
        <v>124.77</v>
      </c>
      <c r="P941">
        <v>20</v>
      </c>
      <c r="Q941">
        <v>24.95</v>
      </c>
      <c r="R941">
        <v>99.82</v>
      </c>
      <c r="S941">
        <v>69.64</v>
      </c>
      <c r="T941">
        <v>30.18</v>
      </c>
      <c r="U941" t="s">
        <v>180</v>
      </c>
      <c r="V941" t="s">
        <v>159</v>
      </c>
    </row>
    <row r="942" spans="1:22">
      <c r="A942" t="s">
        <v>1013</v>
      </c>
      <c r="B942" s="1">
        <v>44952</v>
      </c>
      <c r="C942" t="s">
        <v>240</v>
      </c>
      <c r="D942">
        <v>2023</v>
      </c>
      <c r="E942" t="s">
        <v>162</v>
      </c>
      <c r="F942" t="s">
        <v>1014</v>
      </c>
      <c r="G942" t="s">
        <v>60</v>
      </c>
      <c r="H942" t="s">
        <v>61</v>
      </c>
      <c r="I942" t="s">
        <v>41</v>
      </c>
      <c r="J942" t="s">
        <v>59</v>
      </c>
      <c r="K942" t="s">
        <v>156</v>
      </c>
      <c r="L942" t="s">
        <v>179</v>
      </c>
      <c r="M942">
        <v>1</v>
      </c>
      <c r="N942">
        <v>103.56</v>
      </c>
      <c r="O942">
        <v>103.56</v>
      </c>
      <c r="P942">
        <v>5</v>
      </c>
      <c r="Q942">
        <v>5.18</v>
      </c>
      <c r="R942">
        <v>98.38</v>
      </c>
      <c r="S942">
        <v>44.58</v>
      </c>
      <c r="T942">
        <v>53.8</v>
      </c>
      <c r="U942" t="s">
        <v>190</v>
      </c>
      <c r="V942" t="s">
        <v>159</v>
      </c>
    </row>
    <row r="943" spans="1:22">
      <c r="A943" t="s">
        <v>2038</v>
      </c>
      <c r="B943" s="1">
        <v>44952</v>
      </c>
      <c r="C943" t="s">
        <v>240</v>
      </c>
      <c r="D943">
        <v>2023</v>
      </c>
      <c r="E943" t="s">
        <v>162</v>
      </c>
      <c r="F943" t="s">
        <v>2039</v>
      </c>
      <c r="G943" t="s">
        <v>120</v>
      </c>
      <c r="H943" t="s">
        <v>121</v>
      </c>
      <c r="I943" t="s">
        <v>115</v>
      </c>
      <c r="J943" t="s">
        <v>119</v>
      </c>
      <c r="K943" t="s">
        <v>164</v>
      </c>
      <c r="L943" t="s">
        <v>179</v>
      </c>
      <c r="M943">
        <v>1</v>
      </c>
      <c r="N943">
        <v>197.52</v>
      </c>
      <c r="O943">
        <v>197.52</v>
      </c>
      <c r="P943">
        <v>15</v>
      </c>
      <c r="Q943">
        <v>29.63</v>
      </c>
      <c r="R943">
        <v>167.89</v>
      </c>
      <c r="S943">
        <v>66.540000000000006</v>
      </c>
      <c r="T943">
        <v>101.35</v>
      </c>
      <c r="U943" t="s">
        <v>180</v>
      </c>
      <c r="V943" t="s">
        <v>159</v>
      </c>
    </row>
    <row r="944" spans="1:22">
      <c r="A944" t="s">
        <v>1079</v>
      </c>
      <c r="B944" s="1">
        <v>44952</v>
      </c>
      <c r="C944" t="s">
        <v>240</v>
      </c>
      <c r="D944">
        <v>2023</v>
      </c>
      <c r="E944" t="s">
        <v>162</v>
      </c>
      <c r="F944" t="s">
        <v>1080</v>
      </c>
      <c r="G944" t="s">
        <v>60</v>
      </c>
      <c r="H944" t="s">
        <v>61</v>
      </c>
      <c r="I944" t="s">
        <v>41</v>
      </c>
      <c r="J944" t="s">
        <v>59</v>
      </c>
      <c r="K944" t="s">
        <v>156</v>
      </c>
      <c r="L944" t="s">
        <v>179</v>
      </c>
      <c r="M944">
        <v>3</v>
      </c>
      <c r="N944">
        <v>103.56</v>
      </c>
      <c r="O944">
        <v>310.68</v>
      </c>
      <c r="P944">
        <v>5</v>
      </c>
      <c r="Q944">
        <v>15.53</v>
      </c>
      <c r="R944">
        <v>295.14999999999998</v>
      </c>
      <c r="S944">
        <v>133.74</v>
      </c>
      <c r="T944">
        <v>161.41</v>
      </c>
      <c r="U944" t="s">
        <v>158</v>
      </c>
      <c r="V944" t="s">
        <v>159</v>
      </c>
    </row>
    <row r="945" spans="1:22">
      <c r="A945" t="s">
        <v>601</v>
      </c>
      <c r="B945" s="1">
        <v>44952</v>
      </c>
      <c r="C945" t="s">
        <v>240</v>
      </c>
      <c r="D945">
        <v>2023</v>
      </c>
      <c r="E945" t="s">
        <v>162</v>
      </c>
      <c r="F945" t="s">
        <v>602</v>
      </c>
      <c r="G945" t="s">
        <v>131</v>
      </c>
      <c r="H945" t="s">
        <v>132</v>
      </c>
      <c r="I945" t="s">
        <v>115</v>
      </c>
      <c r="J945" t="s">
        <v>119</v>
      </c>
      <c r="K945" t="s">
        <v>156</v>
      </c>
      <c r="L945" t="s">
        <v>165</v>
      </c>
      <c r="M945">
        <v>2</v>
      </c>
      <c r="N945">
        <v>75.69</v>
      </c>
      <c r="O945">
        <v>151.38</v>
      </c>
      <c r="P945">
        <v>0</v>
      </c>
      <c r="Q945">
        <v>0</v>
      </c>
      <c r="R945">
        <v>151.38</v>
      </c>
      <c r="S945">
        <v>71.260000000000005</v>
      </c>
      <c r="T945">
        <v>80.12</v>
      </c>
      <c r="U945" t="s">
        <v>190</v>
      </c>
      <c r="V945" t="s">
        <v>159</v>
      </c>
    </row>
    <row r="946" spans="1:22">
      <c r="A946" t="s">
        <v>1434</v>
      </c>
      <c r="B946" s="1">
        <v>44952</v>
      </c>
      <c r="C946" t="s">
        <v>240</v>
      </c>
      <c r="D946">
        <v>2023</v>
      </c>
      <c r="E946" t="s">
        <v>162</v>
      </c>
      <c r="F946" t="s">
        <v>1435</v>
      </c>
      <c r="G946" t="s">
        <v>28</v>
      </c>
      <c r="H946" t="s">
        <v>29</v>
      </c>
      <c r="I946" t="s">
        <v>14</v>
      </c>
      <c r="J946" t="s">
        <v>19</v>
      </c>
      <c r="K946" t="s">
        <v>164</v>
      </c>
      <c r="L946" t="s">
        <v>194</v>
      </c>
      <c r="M946">
        <v>4</v>
      </c>
      <c r="N946">
        <v>26.46</v>
      </c>
      <c r="O946">
        <v>105.84</v>
      </c>
      <c r="P946">
        <v>10</v>
      </c>
      <c r="Q946">
        <v>10.58</v>
      </c>
      <c r="R946">
        <v>95.26</v>
      </c>
      <c r="S946">
        <v>77.680000000000007</v>
      </c>
      <c r="T946">
        <v>17.579999999999998</v>
      </c>
      <c r="U946" t="s">
        <v>158</v>
      </c>
      <c r="V946" t="s">
        <v>186</v>
      </c>
    </row>
    <row r="947" spans="1:22">
      <c r="A947" t="s">
        <v>255</v>
      </c>
      <c r="B947" s="1">
        <v>44950</v>
      </c>
      <c r="C947" t="s">
        <v>240</v>
      </c>
      <c r="D947">
        <v>2023</v>
      </c>
      <c r="E947" t="s">
        <v>162</v>
      </c>
      <c r="F947" t="s">
        <v>256</v>
      </c>
      <c r="G947" t="s">
        <v>12</v>
      </c>
      <c r="H947" t="s">
        <v>13</v>
      </c>
      <c r="I947" t="s">
        <v>14</v>
      </c>
      <c r="J947" t="s">
        <v>15</v>
      </c>
      <c r="K947" t="s">
        <v>209</v>
      </c>
      <c r="L947" t="s">
        <v>232</v>
      </c>
      <c r="M947">
        <v>2</v>
      </c>
      <c r="N947">
        <v>76.53</v>
      </c>
      <c r="O947">
        <v>153.06</v>
      </c>
      <c r="P947">
        <v>0</v>
      </c>
      <c r="Q947">
        <v>0</v>
      </c>
      <c r="R947">
        <v>153.06</v>
      </c>
      <c r="S947">
        <v>105.92</v>
      </c>
      <c r="T947">
        <v>47.14</v>
      </c>
      <c r="U947" t="s">
        <v>195</v>
      </c>
      <c r="V947" t="s">
        <v>159</v>
      </c>
    </row>
    <row r="948" spans="1:22">
      <c r="A948" t="s">
        <v>1866</v>
      </c>
      <c r="B948" s="1">
        <v>44950</v>
      </c>
      <c r="C948" t="s">
        <v>240</v>
      </c>
      <c r="D948">
        <v>2023</v>
      </c>
      <c r="E948" t="s">
        <v>162</v>
      </c>
      <c r="F948" t="s">
        <v>1867</v>
      </c>
      <c r="G948" t="s">
        <v>23</v>
      </c>
      <c r="H948" t="s">
        <v>24</v>
      </c>
      <c r="I948" t="s">
        <v>14</v>
      </c>
      <c r="J948" t="s">
        <v>19</v>
      </c>
      <c r="K948" t="s">
        <v>178</v>
      </c>
      <c r="L948" t="s">
        <v>194</v>
      </c>
      <c r="M948">
        <v>1</v>
      </c>
      <c r="N948">
        <v>154.03</v>
      </c>
      <c r="O948">
        <v>154.03</v>
      </c>
      <c r="P948">
        <v>10</v>
      </c>
      <c r="Q948">
        <v>15.4</v>
      </c>
      <c r="R948">
        <v>138.63</v>
      </c>
      <c r="S948">
        <v>76.790000000000006</v>
      </c>
      <c r="T948">
        <v>61.84</v>
      </c>
      <c r="U948" t="s">
        <v>166</v>
      </c>
      <c r="V948" t="s">
        <v>159</v>
      </c>
    </row>
    <row r="949" spans="1:22">
      <c r="A949" t="s">
        <v>1977</v>
      </c>
      <c r="B949" s="1">
        <v>44949</v>
      </c>
      <c r="C949" t="s">
        <v>240</v>
      </c>
      <c r="D949">
        <v>2023</v>
      </c>
      <c r="E949" t="s">
        <v>162</v>
      </c>
      <c r="F949" t="s">
        <v>1268</v>
      </c>
      <c r="G949" t="s">
        <v>120</v>
      </c>
      <c r="H949" t="s">
        <v>121</v>
      </c>
      <c r="I949" t="s">
        <v>115</v>
      </c>
      <c r="J949" t="s">
        <v>119</v>
      </c>
      <c r="K949" t="s">
        <v>164</v>
      </c>
      <c r="L949" t="s">
        <v>194</v>
      </c>
      <c r="M949">
        <v>1</v>
      </c>
      <c r="N949">
        <v>197.52</v>
      </c>
      <c r="O949">
        <v>197.52</v>
      </c>
      <c r="P949">
        <v>0</v>
      </c>
      <c r="Q949">
        <v>0</v>
      </c>
      <c r="R949">
        <v>197.52</v>
      </c>
      <c r="S949">
        <v>66.540000000000006</v>
      </c>
      <c r="T949">
        <v>130.97999999999999</v>
      </c>
      <c r="U949" t="s">
        <v>166</v>
      </c>
      <c r="V949" t="s">
        <v>159</v>
      </c>
    </row>
    <row r="950" spans="1:22">
      <c r="A950" t="s">
        <v>378</v>
      </c>
      <c r="B950" s="1">
        <v>44949</v>
      </c>
      <c r="C950" t="s">
        <v>240</v>
      </c>
      <c r="D950">
        <v>2023</v>
      </c>
      <c r="E950" t="s">
        <v>162</v>
      </c>
      <c r="F950" t="s">
        <v>379</v>
      </c>
      <c r="G950" t="s">
        <v>84</v>
      </c>
      <c r="H950" t="s">
        <v>85</v>
      </c>
      <c r="I950" t="s">
        <v>66</v>
      </c>
      <c r="J950" t="s">
        <v>67</v>
      </c>
      <c r="K950" t="s">
        <v>178</v>
      </c>
      <c r="L950" t="s">
        <v>204</v>
      </c>
      <c r="M950">
        <v>2</v>
      </c>
      <c r="N950">
        <v>174.23</v>
      </c>
      <c r="O950">
        <v>348.46</v>
      </c>
      <c r="P950">
        <v>10</v>
      </c>
      <c r="Q950">
        <v>34.85</v>
      </c>
      <c r="R950">
        <v>313.61</v>
      </c>
      <c r="S950">
        <v>147.9</v>
      </c>
      <c r="T950">
        <v>165.71</v>
      </c>
      <c r="U950" t="s">
        <v>158</v>
      </c>
      <c r="V950" t="s">
        <v>159</v>
      </c>
    </row>
    <row r="951" spans="1:22">
      <c r="A951" t="s">
        <v>1675</v>
      </c>
      <c r="B951" s="1">
        <v>44948</v>
      </c>
      <c r="C951" t="s">
        <v>240</v>
      </c>
      <c r="D951">
        <v>2023</v>
      </c>
      <c r="E951" t="s">
        <v>162</v>
      </c>
      <c r="F951" t="s">
        <v>1676</v>
      </c>
      <c r="G951" t="s">
        <v>23</v>
      </c>
      <c r="H951" t="s">
        <v>24</v>
      </c>
      <c r="I951" t="s">
        <v>14</v>
      </c>
      <c r="J951" t="s">
        <v>19</v>
      </c>
      <c r="K951" t="s">
        <v>209</v>
      </c>
      <c r="L951" t="s">
        <v>157</v>
      </c>
      <c r="M951">
        <v>3</v>
      </c>
      <c r="N951">
        <v>154.03</v>
      </c>
      <c r="O951">
        <v>462.09000000000003</v>
      </c>
      <c r="P951">
        <v>20</v>
      </c>
      <c r="Q951">
        <v>92.42</v>
      </c>
      <c r="R951">
        <v>369.67</v>
      </c>
      <c r="S951">
        <v>230.37</v>
      </c>
      <c r="T951">
        <v>139.30000000000001</v>
      </c>
      <c r="U951" t="s">
        <v>166</v>
      </c>
      <c r="V951" t="s">
        <v>186</v>
      </c>
    </row>
    <row r="952" spans="1:22">
      <c r="A952" t="s">
        <v>1146</v>
      </c>
      <c r="B952" s="1">
        <v>44947</v>
      </c>
      <c r="C952" t="s">
        <v>240</v>
      </c>
      <c r="D952">
        <v>2023</v>
      </c>
      <c r="E952" t="s">
        <v>162</v>
      </c>
      <c r="F952" t="s">
        <v>1147</v>
      </c>
      <c r="G952" t="s">
        <v>43</v>
      </c>
      <c r="H952" t="s">
        <v>44</v>
      </c>
      <c r="I952" t="s">
        <v>41</v>
      </c>
      <c r="J952" t="s">
        <v>45</v>
      </c>
      <c r="K952" t="s">
        <v>178</v>
      </c>
      <c r="L952" t="s">
        <v>232</v>
      </c>
      <c r="M952">
        <v>1</v>
      </c>
      <c r="N952">
        <v>67.56</v>
      </c>
      <c r="O952">
        <v>67.56</v>
      </c>
      <c r="P952">
        <v>5</v>
      </c>
      <c r="Q952">
        <v>3.38</v>
      </c>
      <c r="R952">
        <v>64.180000000000007</v>
      </c>
      <c r="S952">
        <v>43.21</v>
      </c>
      <c r="T952">
        <v>20.97</v>
      </c>
      <c r="U952" t="s">
        <v>195</v>
      </c>
      <c r="V952" t="s">
        <v>159</v>
      </c>
    </row>
    <row r="953" spans="1:22">
      <c r="A953" t="s">
        <v>1724</v>
      </c>
      <c r="B953" s="1">
        <v>44947</v>
      </c>
      <c r="C953" t="s">
        <v>240</v>
      </c>
      <c r="D953">
        <v>2023</v>
      </c>
      <c r="E953" t="s">
        <v>162</v>
      </c>
      <c r="F953" t="s">
        <v>1039</v>
      </c>
      <c r="G953" t="s">
        <v>12</v>
      </c>
      <c r="H953" t="s">
        <v>13</v>
      </c>
      <c r="I953" t="s">
        <v>14</v>
      </c>
      <c r="J953" t="s">
        <v>15</v>
      </c>
      <c r="K953" t="s">
        <v>209</v>
      </c>
      <c r="L953" t="s">
        <v>204</v>
      </c>
      <c r="M953">
        <v>4</v>
      </c>
      <c r="N953">
        <v>76.53</v>
      </c>
      <c r="O953">
        <v>306.12</v>
      </c>
      <c r="P953">
        <v>0</v>
      </c>
      <c r="Q953">
        <v>0</v>
      </c>
      <c r="R953">
        <v>306.12</v>
      </c>
      <c r="S953">
        <v>211.84</v>
      </c>
      <c r="T953">
        <v>94.28</v>
      </c>
      <c r="U953" t="s">
        <v>166</v>
      </c>
      <c r="V953" t="s">
        <v>186</v>
      </c>
    </row>
    <row r="954" spans="1:22">
      <c r="A954" t="s">
        <v>1400</v>
      </c>
      <c r="B954" s="1">
        <v>44947</v>
      </c>
      <c r="C954" t="s">
        <v>240</v>
      </c>
      <c r="D954">
        <v>2023</v>
      </c>
      <c r="E954" t="s">
        <v>162</v>
      </c>
      <c r="F954" t="s">
        <v>552</v>
      </c>
      <c r="G954" t="s">
        <v>111</v>
      </c>
      <c r="H954" t="s">
        <v>112</v>
      </c>
      <c r="I954" t="s">
        <v>90</v>
      </c>
      <c r="J954" t="s">
        <v>97</v>
      </c>
      <c r="K954" t="s">
        <v>209</v>
      </c>
      <c r="L954" t="s">
        <v>179</v>
      </c>
      <c r="M954">
        <v>3</v>
      </c>
      <c r="N954">
        <v>189.99</v>
      </c>
      <c r="O954">
        <v>569.97</v>
      </c>
      <c r="P954">
        <v>10</v>
      </c>
      <c r="Q954">
        <v>57</v>
      </c>
      <c r="R954">
        <v>512.97</v>
      </c>
      <c r="S954">
        <v>190.53</v>
      </c>
      <c r="T954">
        <v>322.44</v>
      </c>
      <c r="U954" t="s">
        <v>195</v>
      </c>
      <c r="V954" t="s">
        <v>159</v>
      </c>
    </row>
    <row r="955" spans="1:22">
      <c r="A955" t="s">
        <v>1490</v>
      </c>
      <c r="B955" s="1">
        <v>44947</v>
      </c>
      <c r="C955" t="s">
        <v>240</v>
      </c>
      <c r="D955">
        <v>2023</v>
      </c>
      <c r="E955" t="s">
        <v>162</v>
      </c>
      <c r="F955" t="s">
        <v>1491</v>
      </c>
      <c r="G955" t="s">
        <v>98</v>
      </c>
      <c r="H955" t="s">
        <v>99</v>
      </c>
      <c r="I955" t="s">
        <v>90</v>
      </c>
      <c r="J955" t="s">
        <v>100</v>
      </c>
      <c r="K955" t="s">
        <v>164</v>
      </c>
      <c r="L955" t="s">
        <v>232</v>
      </c>
      <c r="M955">
        <v>4</v>
      </c>
      <c r="N955">
        <v>194.87</v>
      </c>
      <c r="O955">
        <v>779.48</v>
      </c>
      <c r="P955">
        <v>15</v>
      </c>
      <c r="Q955">
        <v>116.92</v>
      </c>
      <c r="R955">
        <v>662.56</v>
      </c>
      <c r="S955">
        <v>315.16000000000003</v>
      </c>
      <c r="T955">
        <v>347.4</v>
      </c>
      <c r="U955" t="s">
        <v>158</v>
      </c>
      <c r="V955" t="s">
        <v>159</v>
      </c>
    </row>
    <row r="956" spans="1:22">
      <c r="A956" t="s">
        <v>572</v>
      </c>
      <c r="B956" s="1">
        <v>44946</v>
      </c>
      <c r="C956" t="s">
        <v>240</v>
      </c>
      <c r="D956">
        <v>2023</v>
      </c>
      <c r="E956" t="s">
        <v>162</v>
      </c>
      <c r="F956" t="s">
        <v>573</v>
      </c>
      <c r="G956" t="s">
        <v>78</v>
      </c>
      <c r="H956" t="s">
        <v>79</v>
      </c>
      <c r="I956" t="s">
        <v>66</v>
      </c>
      <c r="J956" t="s">
        <v>70</v>
      </c>
      <c r="K956" t="s">
        <v>178</v>
      </c>
      <c r="L956" t="s">
        <v>179</v>
      </c>
      <c r="M956">
        <v>1</v>
      </c>
      <c r="N956">
        <v>218.05</v>
      </c>
      <c r="O956">
        <v>218.05</v>
      </c>
      <c r="P956">
        <v>0</v>
      </c>
      <c r="Q956">
        <v>0</v>
      </c>
      <c r="R956">
        <v>218.05</v>
      </c>
      <c r="S956">
        <v>74.48</v>
      </c>
      <c r="T956">
        <v>143.57</v>
      </c>
      <c r="U956" t="s">
        <v>180</v>
      </c>
      <c r="V956" t="s">
        <v>181</v>
      </c>
    </row>
    <row r="957" spans="1:22">
      <c r="A957" t="s">
        <v>1419</v>
      </c>
      <c r="B957" s="1">
        <v>44946</v>
      </c>
      <c r="C957" t="s">
        <v>240</v>
      </c>
      <c r="D957">
        <v>2023</v>
      </c>
      <c r="E957" t="s">
        <v>162</v>
      </c>
      <c r="F957" t="s">
        <v>1420</v>
      </c>
      <c r="G957" t="s">
        <v>105</v>
      </c>
      <c r="H957" t="s">
        <v>106</v>
      </c>
      <c r="I957" t="s">
        <v>90</v>
      </c>
      <c r="J957" t="s">
        <v>91</v>
      </c>
      <c r="K957" t="s">
        <v>178</v>
      </c>
      <c r="L957" t="s">
        <v>157</v>
      </c>
      <c r="M957">
        <v>2</v>
      </c>
      <c r="N957">
        <v>36.35</v>
      </c>
      <c r="O957">
        <v>72.7</v>
      </c>
      <c r="P957">
        <v>0</v>
      </c>
      <c r="Q957">
        <v>0</v>
      </c>
      <c r="R957">
        <v>72.7</v>
      </c>
      <c r="S957">
        <v>60.04</v>
      </c>
      <c r="T957">
        <v>12.66</v>
      </c>
      <c r="U957" t="s">
        <v>190</v>
      </c>
      <c r="V957" t="s">
        <v>159</v>
      </c>
    </row>
    <row r="958" spans="1:22">
      <c r="A958" t="s">
        <v>1965</v>
      </c>
      <c r="B958" s="1">
        <v>44945</v>
      </c>
      <c r="C958" t="s">
        <v>240</v>
      </c>
      <c r="D958">
        <v>2023</v>
      </c>
      <c r="E958" t="s">
        <v>162</v>
      </c>
      <c r="F958" t="s">
        <v>1966</v>
      </c>
      <c r="G958" t="s">
        <v>23</v>
      </c>
      <c r="H958" t="s">
        <v>24</v>
      </c>
      <c r="I958" t="s">
        <v>14</v>
      </c>
      <c r="J958" t="s">
        <v>19</v>
      </c>
      <c r="K958" t="s">
        <v>178</v>
      </c>
      <c r="L958" t="s">
        <v>157</v>
      </c>
      <c r="M958">
        <v>2</v>
      </c>
      <c r="N958">
        <v>154.03</v>
      </c>
      <c r="O958">
        <v>308.06</v>
      </c>
      <c r="P958">
        <v>0</v>
      </c>
      <c r="Q958">
        <v>0</v>
      </c>
      <c r="R958">
        <v>308.06</v>
      </c>
      <c r="S958">
        <v>153.58000000000001</v>
      </c>
      <c r="T958">
        <v>154.47999999999999</v>
      </c>
      <c r="U958" t="s">
        <v>180</v>
      </c>
      <c r="V958" t="s">
        <v>186</v>
      </c>
    </row>
    <row r="959" spans="1:22">
      <c r="A959" t="s">
        <v>956</v>
      </c>
      <c r="B959" s="1">
        <v>44944</v>
      </c>
      <c r="C959" t="s">
        <v>240</v>
      </c>
      <c r="D959">
        <v>2023</v>
      </c>
      <c r="E959" t="s">
        <v>162</v>
      </c>
      <c r="F959" t="s">
        <v>957</v>
      </c>
      <c r="G959" t="s">
        <v>39</v>
      </c>
      <c r="H959" t="s">
        <v>40</v>
      </c>
      <c r="I959" t="s">
        <v>41</v>
      </c>
      <c r="J959" t="s">
        <v>42</v>
      </c>
      <c r="K959" t="s">
        <v>209</v>
      </c>
      <c r="L959" t="s">
        <v>194</v>
      </c>
      <c r="M959">
        <v>4</v>
      </c>
      <c r="N959">
        <v>35.11</v>
      </c>
      <c r="O959">
        <v>140.44</v>
      </c>
      <c r="P959">
        <v>0</v>
      </c>
      <c r="Q959">
        <v>0</v>
      </c>
      <c r="R959">
        <v>140.44</v>
      </c>
      <c r="S959">
        <v>99.48</v>
      </c>
      <c r="T959">
        <v>40.96</v>
      </c>
      <c r="U959" t="s">
        <v>195</v>
      </c>
      <c r="V959" t="s">
        <v>159</v>
      </c>
    </row>
    <row r="960" spans="1:22">
      <c r="A960" t="s">
        <v>1731</v>
      </c>
      <c r="B960" s="1">
        <v>44943</v>
      </c>
      <c r="C960" t="s">
        <v>240</v>
      </c>
      <c r="D960">
        <v>2023</v>
      </c>
      <c r="E960" t="s">
        <v>162</v>
      </c>
      <c r="F960" t="s">
        <v>1732</v>
      </c>
      <c r="G960" t="s">
        <v>76</v>
      </c>
      <c r="H960" t="s">
        <v>77</v>
      </c>
      <c r="I960" t="s">
        <v>66</v>
      </c>
      <c r="J960" t="s">
        <v>67</v>
      </c>
      <c r="K960" t="s">
        <v>164</v>
      </c>
      <c r="L960" t="s">
        <v>179</v>
      </c>
      <c r="M960">
        <v>3</v>
      </c>
      <c r="N960">
        <v>118.07</v>
      </c>
      <c r="O960">
        <v>354.21</v>
      </c>
      <c r="P960">
        <v>10</v>
      </c>
      <c r="Q960">
        <v>35.42</v>
      </c>
      <c r="R960">
        <v>318.79000000000002</v>
      </c>
      <c r="S960">
        <v>119.1</v>
      </c>
      <c r="T960">
        <v>199.69</v>
      </c>
      <c r="U960" t="s">
        <v>195</v>
      </c>
      <c r="V960" t="s">
        <v>181</v>
      </c>
    </row>
    <row r="961" spans="1:22">
      <c r="A961" t="s">
        <v>1717</v>
      </c>
      <c r="B961" s="1">
        <v>44943</v>
      </c>
      <c r="C961" t="s">
        <v>240</v>
      </c>
      <c r="D961">
        <v>2023</v>
      </c>
      <c r="E961" t="s">
        <v>162</v>
      </c>
      <c r="F961" t="s">
        <v>1718</v>
      </c>
      <c r="G961" t="s">
        <v>46</v>
      </c>
      <c r="H961" t="s">
        <v>47</v>
      </c>
      <c r="I961" t="s">
        <v>41</v>
      </c>
      <c r="J961" t="s">
        <v>45</v>
      </c>
      <c r="K961" t="s">
        <v>209</v>
      </c>
      <c r="L961" t="s">
        <v>194</v>
      </c>
      <c r="M961">
        <v>3</v>
      </c>
      <c r="N961">
        <v>16.95</v>
      </c>
      <c r="O961">
        <v>50.849999999999994</v>
      </c>
      <c r="P961">
        <v>0</v>
      </c>
      <c r="Q961">
        <v>0</v>
      </c>
      <c r="R961">
        <v>50.85</v>
      </c>
      <c r="S961">
        <v>29.28</v>
      </c>
      <c r="T961">
        <v>21.57</v>
      </c>
      <c r="U961" t="s">
        <v>190</v>
      </c>
      <c r="V961" t="s">
        <v>159</v>
      </c>
    </row>
    <row r="962" spans="1:22">
      <c r="A962" t="s">
        <v>1009</v>
      </c>
      <c r="B962" s="1">
        <v>44942</v>
      </c>
      <c r="C962" t="s">
        <v>240</v>
      </c>
      <c r="D962">
        <v>2023</v>
      </c>
      <c r="E962" t="s">
        <v>162</v>
      </c>
      <c r="F962" t="s">
        <v>1010</v>
      </c>
      <c r="G962" t="s">
        <v>78</v>
      </c>
      <c r="H962" t="s">
        <v>79</v>
      </c>
      <c r="I962" t="s">
        <v>66</v>
      </c>
      <c r="J962" t="s">
        <v>70</v>
      </c>
      <c r="K962" t="s">
        <v>178</v>
      </c>
      <c r="L962" t="s">
        <v>204</v>
      </c>
      <c r="M962">
        <v>1</v>
      </c>
      <c r="N962">
        <v>218.05</v>
      </c>
      <c r="O962">
        <v>218.05</v>
      </c>
      <c r="P962">
        <v>15</v>
      </c>
      <c r="Q962">
        <v>32.71</v>
      </c>
      <c r="R962">
        <v>185.34</v>
      </c>
      <c r="S962">
        <v>74.48</v>
      </c>
      <c r="T962">
        <v>110.86</v>
      </c>
      <c r="U962" t="s">
        <v>166</v>
      </c>
      <c r="V962" t="s">
        <v>186</v>
      </c>
    </row>
    <row r="963" spans="1:22">
      <c r="A963" t="s">
        <v>1599</v>
      </c>
      <c r="B963" s="1">
        <v>44942</v>
      </c>
      <c r="C963" t="s">
        <v>240</v>
      </c>
      <c r="D963">
        <v>2023</v>
      </c>
      <c r="E963" t="s">
        <v>162</v>
      </c>
      <c r="F963" t="s">
        <v>1600</v>
      </c>
      <c r="G963" t="s">
        <v>33</v>
      </c>
      <c r="H963" t="s">
        <v>34</v>
      </c>
      <c r="I963" t="s">
        <v>14</v>
      </c>
      <c r="J963" t="s">
        <v>27</v>
      </c>
      <c r="K963" t="s">
        <v>164</v>
      </c>
      <c r="L963" t="s">
        <v>165</v>
      </c>
      <c r="M963">
        <v>3</v>
      </c>
      <c r="N963">
        <v>124.26</v>
      </c>
      <c r="O963">
        <v>372.78000000000003</v>
      </c>
      <c r="P963">
        <v>20</v>
      </c>
      <c r="Q963">
        <v>74.56</v>
      </c>
      <c r="R963">
        <v>298.22000000000003</v>
      </c>
      <c r="S963">
        <v>157.86000000000001</v>
      </c>
      <c r="T963">
        <v>140.36000000000001</v>
      </c>
      <c r="U963" t="s">
        <v>166</v>
      </c>
      <c r="V963" t="s">
        <v>186</v>
      </c>
    </row>
    <row r="964" spans="1:22">
      <c r="A964" t="s">
        <v>1545</v>
      </c>
      <c r="B964" s="1">
        <v>44942</v>
      </c>
      <c r="C964" t="s">
        <v>240</v>
      </c>
      <c r="D964">
        <v>2023</v>
      </c>
      <c r="E964" t="s">
        <v>162</v>
      </c>
      <c r="F964" t="s">
        <v>1546</v>
      </c>
      <c r="G964" t="s">
        <v>25</v>
      </c>
      <c r="H964" t="s">
        <v>26</v>
      </c>
      <c r="I964" t="s">
        <v>14</v>
      </c>
      <c r="J964" t="s">
        <v>27</v>
      </c>
      <c r="K964" t="s">
        <v>164</v>
      </c>
      <c r="L964" t="s">
        <v>165</v>
      </c>
      <c r="M964">
        <v>2</v>
      </c>
      <c r="N964">
        <v>18.39</v>
      </c>
      <c r="O964">
        <v>36.78</v>
      </c>
      <c r="P964">
        <v>0</v>
      </c>
      <c r="Q964">
        <v>0</v>
      </c>
      <c r="R964">
        <v>36.78</v>
      </c>
      <c r="S964">
        <v>16.52</v>
      </c>
      <c r="T964">
        <v>20.260000000000002</v>
      </c>
      <c r="U964" t="s">
        <v>166</v>
      </c>
      <c r="V964" t="s">
        <v>159</v>
      </c>
    </row>
    <row r="965" spans="1:22">
      <c r="A965" t="s">
        <v>791</v>
      </c>
      <c r="B965" s="1">
        <v>44942</v>
      </c>
      <c r="C965" t="s">
        <v>240</v>
      </c>
      <c r="D965">
        <v>2023</v>
      </c>
      <c r="E965" t="s">
        <v>162</v>
      </c>
      <c r="F965" t="s">
        <v>792</v>
      </c>
      <c r="G965" t="s">
        <v>39</v>
      </c>
      <c r="H965" t="s">
        <v>40</v>
      </c>
      <c r="I965" t="s">
        <v>41</v>
      </c>
      <c r="J965" t="s">
        <v>42</v>
      </c>
      <c r="K965" t="s">
        <v>156</v>
      </c>
      <c r="L965" t="s">
        <v>194</v>
      </c>
      <c r="M965">
        <v>1</v>
      </c>
      <c r="N965">
        <v>35.11</v>
      </c>
      <c r="O965">
        <v>35.11</v>
      </c>
      <c r="P965">
        <v>10</v>
      </c>
      <c r="Q965">
        <v>3.51</v>
      </c>
      <c r="R965">
        <v>31.6</v>
      </c>
      <c r="S965">
        <v>24.87</v>
      </c>
      <c r="T965">
        <v>6.73</v>
      </c>
      <c r="U965" t="s">
        <v>158</v>
      </c>
      <c r="V965" t="s">
        <v>159</v>
      </c>
    </row>
    <row r="966" spans="1:22">
      <c r="A966" t="s">
        <v>960</v>
      </c>
      <c r="B966" s="1">
        <v>44942</v>
      </c>
      <c r="C966" t="s">
        <v>240</v>
      </c>
      <c r="D966">
        <v>2023</v>
      </c>
      <c r="E966" t="s">
        <v>162</v>
      </c>
      <c r="F966" t="s">
        <v>961</v>
      </c>
      <c r="G966" t="s">
        <v>109</v>
      </c>
      <c r="H966" t="s">
        <v>110</v>
      </c>
      <c r="I966" t="s">
        <v>90</v>
      </c>
      <c r="J966" t="s">
        <v>100</v>
      </c>
      <c r="K966" t="s">
        <v>156</v>
      </c>
      <c r="L966" t="s">
        <v>232</v>
      </c>
      <c r="M966">
        <v>4</v>
      </c>
      <c r="N966">
        <v>77.67</v>
      </c>
      <c r="O966">
        <v>310.68</v>
      </c>
      <c r="P966">
        <v>15</v>
      </c>
      <c r="Q966">
        <v>46.6</v>
      </c>
      <c r="R966">
        <v>264.08</v>
      </c>
      <c r="S966">
        <v>112.48</v>
      </c>
      <c r="T966">
        <v>151.6</v>
      </c>
      <c r="U966" t="s">
        <v>180</v>
      </c>
      <c r="V966" t="s">
        <v>159</v>
      </c>
    </row>
    <row r="967" spans="1:22">
      <c r="A967" t="s">
        <v>1091</v>
      </c>
      <c r="B967" s="1">
        <v>44941</v>
      </c>
      <c r="C967" t="s">
        <v>240</v>
      </c>
      <c r="D967">
        <v>2023</v>
      </c>
      <c r="E967" t="s">
        <v>162</v>
      </c>
      <c r="F967" t="s">
        <v>777</v>
      </c>
      <c r="G967" t="s">
        <v>135</v>
      </c>
      <c r="H967" t="s">
        <v>136</v>
      </c>
      <c r="I967" t="s">
        <v>115</v>
      </c>
      <c r="J967" t="s">
        <v>119</v>
      </c>
      <c r="K967" t="s">
        <v>156</v>
      </c>
      <c r="L967" t="s">
        <v>204</v>
      </c>
      <c r="M967">
        <v>3</v>
      </c>
      <c r="N967">
        <v>89.62</v>
      </c>
      <c r="O967">
        <v>268.86</v>
      </c>
      <c r="P967">
        <v>10</v>
      </c>
      <c r="Q967">
        <v>26.89</v>
      </c>
      <c r="R967">
        <v>241.97</v>
      </c>
      <c r="S967">
        <v>114.39</v>
      </c>
      <c r="T967">
        <v>127.58</v>
      </c>
      <c r="U967" t="s">
        <v>180</v>
      </c>
      <c r="V967" t="s">
        <v>159</v>
      </c>
    </row>
    <row r="968" spans="1:22">
      <c r="A968" t="s">
        <v>929</v>
      </c>
      <c r="B968" s="1">
        <v>44941</v>
      </c>
      <c r="C968" t="s">
        <v>240</v>
      </c>
      <c r="D968">
        <v>2023</v>
      </c>
      <c r="E968" t="s">
        <v>162</v>
      </c>
      <c r="F968" t="s">
        <v>930</v>
      </c>
      <c r="G968" t="s">
        <v>64</v>
      </c>
      <c r="H968" t="s">
        <v>65</v>
      </c>
      <c r="I968" t="s">
        <v>66</v>
      </c>
      <c r="J968" t="s">
        <v>67</v>
      </c>
      <c r="K968" t="s">
        <v>178</v>
      </c>
      <c r="L968" t="s">
        <v>232</v>
      </c>
      <c r="M968">
        <v>3</v>
      </c>
      <c r="N968">
        <v>24.9</v>
      </c>
      <c r="O968">
        <v>74.699999999999989</v>
      </c>
      <c r="P968">
        <v>10</v>
      </c>
      <c r="Q968">
        <v>7.47</v>
      </c>
      <c r="R968">
        <v>67.23</v>
      </c>
      <c r="S968">
        <v>64.56</v>
      </c>
      <c r="T968">
        <v>2.67</v>
      </c>
      <c r="U968" t="s">
        <v>166</v>
      </c>
      <c r="V968" t="s">
        <v>159</v>
      </c>
    </row>
    <row r="969" spans="1:22">
      <c r="A969" t="s">
        <v>543</v>
      </c>
      <c r="B969" s="1">
        <v>44941</v>
      </c>
      <c r="C969" t="s">
        <v>240</v>
      </c>
      <c r="D969">
        <v>2023</v>
      </c>
      <c r="E969" t="s">
        <v>162</v>
      </c>
      <c r="F969" t="s">
        <v>544</v>
      </c>
      <c r="G969" t="s">
        <v>68</v>
      </c>
      <c r="H969" t="s">
        <v>69</v>
      </c>
      <c r="I969" t="s">
        <v>66</v>
      </c>
      <c r="J969" t="s">
        <v>70</v>
      </c>
      <c r="K969" t="s">
        <v>209</v>
      </c>
      <c r="L969" t="s">
        <v>165</v>
      </c>
      <c r="M969">
        <v>1</v>
      </c>
      <c r="N969">
        <v>98.51</v>
      </c>
      <c r="O969">
        <v>98.51</v>
      </c>
      <c r="P969">
        <v>20</v>
      </c>
      <c r="Q969">
        <v>19.7</v>
      </c>
      <c r="R969">
        <v>78.81</v>
      </c>
      <c r="S969">
        <v>55.17</v>
      </c>
      <c r="T969">
        <v>23.64</v>
      </c>
      <c r="U969" t="s">
        <v>166</v>
      </c>
      <c r="V969" t="s">
        <v>159</v>
      </c>
    </row>
    <row r="970" spans="1:22">
      <c r="A970" t="s">
        <v>1898</v>
      </c>
      <c r="B970" s="1">
        <v>44941</v>
      </c>
      <c r="C970" t="s">
        <v>240</v>
      </c>
      <c r="D970">
        <v>2023</v>
      </c>
      <c r="E970" t="s">
        <v>162</v>
      </c>
      <c r="F970" t="s">
        <v>1899</v>
      </c>
      <c r="G970" t="s">
        <v>39</v>
      </c>
      <c r="H970" t="s">
        <v>40</v>
      </c>
      <c r="I970" t="s">
        <v>41</v>
      </c>
      <c r="J970" t="s">
        <v>42</v>
      </c>
      <c r="K970" t="s">
        <v>178</v>
      </c>
      <c r="L970" t="s">
        <v>165</v>
      </c>
      <c r="M970">
        <v>3</v>
      </c>
      <c r="N970">
        <v>35.11</v>
      </c>
      <c r="O970">
        <v>105.33</v>
      </c>
      <c r="P970">
        <v>0</v>
      </c>
      <c r="Q970">
        <v>0</v>
      </c>
      <c r="R970">
        <v>105.33</v>
      </c>
      <c r="S970">
        <v>74.61</v>
      </c>
      <c r="T970">
        <v>30.72</v>
      </c>
      <c r="U970" t="s">
        <v>166</v>
      </c>
      <c r="V970" t="s">
        <v>159</v>
      </c>
    </row>
    <row r="971" spans="1:22">
      <c r="A971" t="s">
        <v>727</v>
      </c>
      <c r="B971" s="1">
        <v>44940</v>
      </c>
      <c r="C971" t="s">
        <v>240</v>
      </c>
      <c r="D971">
        <v>2023</v>
      </c>
      <c r="E971" t="s">
        <v>162</v>
      </c>
      <c r="F971" t="s">
        <v>728</v>
      </c>
      <c r="G971" t="s">
        <v>84</v>
      </c>
      <c r="H971" t="s">
        <v>85</v>
      </c>
      <c r="I971" t="s">
        <v>66</v>
      </c>
      <c r="J971" t="s">
        <v>67</v>
      </c>
      <c r="K971" t="s">
        <v>178</v>
      </c>
      <c r="L971" t="s">
        <v>232</v>
      </c>
      <c r="M971">
        <v>4</v>
      </c>
      <c r="N971">
        <v>174.23</v>
      </c>
      <c r="O971">
        <v>696.92</v>
      </c>
      <c r="P971">
        <v>0</v>
      </c>
      <c r="Q971">
        <v>0</v>
      </c>
      <c r="R971">
        <v>696.92</v>
      </c>
      <c r="S971">
        <v>295.8</v>
      </c>
      <c r="T971">
        <v>401.12</v>
      </c>
      <c r="U971" t="s">
        <v>158</v>
      </c>
      <c r="V971" t="s">
        <v>181</v>
      </c>
    </row>
    <row r="972" spans="1:22">
      <c r="A972" t="s">
        <v>967</v>
      </c>
      <c r="B972" s="1">
        <v>44940</v>
      </c>
      <c r="C972" t="s">
        <v>240</v>
      </c>
      <c r="D972">
        <v>2023</v>
      </c>
      <c r="E972" t="s">
        <v>162</v>
      </c>
      <c r="F972" t="s">
        <v>968</v>
      </c>
      <c r="G972" t="s">
        <v>88</v>
      </c>
      <c r="H972" t="s">
        <v>89</v>
      </c>
      <c r="I972" t="s">
        <v>90</v>
      </c>
      <c r="J972" t="s">
        <v>91</v>
      </c>
      <c r="K972" t="s">
        <v>156</v>
      </c>
      <c r="L972" t="s">
        <v>165</v>
      </c>
      <c r="M972">
        <v>2</v>
      </c>
      <c r="N972">
        <v>54.64</v>
      </c>
      <c r="O972">
        <v>109.28</v>
      </c>
      <c r="P972">
        <v>0</v>
      </c>
      <c r="Q972">
        <v>0</v>
      </c>
      <c r="R972">
        <v>109.28</v>
      </c>
      <c r="S972">
        <v>40.64</v>
      </c>
      <c r="T972">
        <v>68.64</v>
      </c>
      <c r="U972" t="s">
        <v>195</v>
      </c>
      <c r="V972" t="s">
        <v>159</v>
      </c>
    </row>
    <row r="973" spans="1:22">
      <c r="A973" t="s">
        <v>760</v>
      </c>
      <c r="B973" s="1">
        <v>44939</v>
      </c>
      <c r="C973" t="s">
        <v>240</v>
      </c>
      <c r="D973">
        <v>2023</v>
      </c>
      <c r="E973" t="s">
        <v>162</v>
      </c>
      <c r="F973" t="s">
        <v>761</v>
      </c>
      <c r="G973" t="s">
        <v>86</v>
      </c>
      <c r="H973" t="s">
        <v>87</v>
      </c>
      <c r="I973" t="s">
        <v>66</v>
      </c>
      <c r="J973" t="s">
        <v>67</v>
      </c>
      <c r="K973" t="s">
        <v>209</v>
      </c>
      <c r="L973" t="s">
        <v>194</v>
      </c>
      <c r="M973">
        <v>2</v>
      </c>
      <c r="N973">
        <v>124.77</v>
      </c>
      <c r="O973">
        <v>249.54</v>
      </c>
      <c r="P973">
        <v>0</v>
      </c>
      <c r="Q973">
        <v>0</v>
      </c>
      <c r="R973">
        <v>249.54</v>
      </c>
      <c r="S973">
        <v>139.28</v>
      </c>
      <c r="T973">
        <v>110.26</v>
      </c>
      <c r="U973" t="s">
        <v>180</v>
      </c>
      <c r="V973" t="s">
        <v>159</v>
      </c>
    </row>
    <row r="974" spans="1:22">
      <c r="A974" t="s">
        <v>1764</v>
      </c>
      <c r="B974" s="1">
        <v>44939</v>
      </c>
      <c r="C974" t="s">
        <v>240</v>
      </c>
      <c r="D974">
        <v>2023</v>
      </c>
      <c r="E974" t="s">
        <v>162</v>
      </c>
      <c r="F974" t="s">
        <v>1765</v>
      </c>
      <c r="G974" t="s">
        <v>39</v>
      </c>
      <c r="H974" t="s">
        <v>40</v>
      </c>
      <c r="I974" t="s">
        <v>41</v>
      </c>
      <c r="J974" t="s">
        <v>42</v>
      </c>
      <c r="K974" t="s">
        <v>164</v>
      </c>
      <c r="L974" t="s">
        <v>179</v>
      </c>
      <c r="M974">
        <v>3</v>
      </c>
      <c r="N974">
        <v>35.11</v>
      </c>
      <c r="O974">
        <v>105.33</v>
      </c>
      <c r="P974">
        <v>0</v>
      </c>
      <c r="Q974">
        <v>0</v>
      </c>
      <c r="R974">
        <v>105.33</v>
      </c>
      <c r="S974">
        <v>74.61</v>
      </c>
      <c r="T974">
        <v>30.72</v>
      </c>
      <c r="U974" t="s">
        <v>190</v>
      </c>
      <c r="V974" t="s">
        <v>186</v>
      </c>
    </row>
    <row r="975" spans="1:22">
      <c r="A975" t="s">
        <v>1355</v>
      </c>
      <c r="B975" s="1">
        <v>44938</v>
      </c>
      <c r="C975" t="s">
        <v>240</v>
      </c>
      <c r="D975">
        <v>2023</v>
      </c>
      <c r="E975" t="s">
        <v>162</v>
      </c>
      <c r="F975" t="s">
        <v>1356</v>
      </c>
      <c r="G975" t="s">
        <v>37</v>
      </c>
      <c r="H975" t="s">
        <v>38</v>
      </c>
      <c r="I975" t="s">
        <v>14</v>
      </c>
      <c r="J975" t="s">
        <v>27</v>
      </c>
      <c r="K975" t="s">
        <v>209</v>
      </c>
      <c r="L975" t="s">
        <v>194</v>
      </c>
      <c r="M975">
        <v>1</v>
      </c>
      <c r="N975">
        <v>133.99</v>
      </c>
      <c r="O975">
        <v>133.99</v>
      </c>
      <c r="P975">
        <v>10</v>
      </c>
      <c r="Q975">
        <v>13.4</v>
      </c>
      <c r="R975">
        <v>120.59</v>
      </c>
      <c r="S975">
        <v>73.489999999999995</v>
      </c>
      <c r="T975">
        <v>47.1</v>
      </c>
      <c r="U975" t="s">
        <v>195</v>
      </c>
      <c r="V975" t="s">
        <v>159</v>
      </c>
    </row>
    <row r="976" spans="1:22">
      <c r="A976" t="s">
        <v>1060</v>
      </c>
      <c r="B976" s="1">
        <v>44938</v>
      </c>
      <c r="C976" t="s">
        <v>240</v>
      </c>
      <c r="D976">
        <v>2023</v>
      </c>
      <c r="E976" t="s">
        <v>162</v>
      </c>
      <c r="F976" t="s">
        <v>274</v>
      </c>
      <c r="G976" t="s">
        <v>129</v>
      </c>
      <c r="H976" t="s">
        <v>130</v>
      </c>
      <c r="I976" t="s">
        <v>115</v>
      </c>
      <c r="J976" t="s">
        <v>124</v>
      </c>
      <c r="K976" t="s">
        <v>156</v>
      </c>
      <c r="L976" t="s">
        <v>174</v>
      </c>
      <c r="M976">
        <v>2</v>
      </c>
      <c r="N976">
        <v>99.34</v>
      </c>
      <c r="O976">
        <v>198.68</v>
      </c>
      <c r="P976">
        <v>0</v>
      </c>
      <c r="Q976">
        <v>0</v>
      </c>
      <c r="R976">
        <v>198.68</v>
      </c>
      <c r="S976">
        <v>74.7</v>
      </c>
      <c r="T976">
        <v>123.98</v>
      </c>
      <c r="U976" t="s">
        <v>195</v>
      </c>
      <c r="V976" t="s">
        <v>159</v>
      </c>
    </row>
    <row r="977" spans="1:22">
      <c r="A977" t="s">
        <v>2010</v>
      </c>
      <c r="B977" s="1">
        <v>44938</v>
      </c>
      <c r="C977" t="s">
        <v>240</v>
      </c>
      <c r="D977">
        <v>2023</v>
      </c>
      <c r="E977" t="s">
        <v>162</v>
      </c>
      <c r="F977" t="s">
        <v>2011</v>
      </c>
      <c r="G977" t="s">
        <v>37</v>
      </c>
      <c r="H977" t="s">
        <v>38</v>
      </c>
      <c r="I977" t="s">
        <v>14</v>
      </c>
      <c r="J977" t="s">
        <v>27</v>
      </c>
      <c r="K977" t="s">
        <v>156</v>
      </c>
      <c r="L977" t="s">
        <v>157</v>
      </c>
      <c r="M977">
        <v>4</v>
      </c>
      <c r="N977">
        <v>133.99</v>
      </c>
      <c r="O977">
        <v>535.96</v>
      </c>
      <c r="P977">
        <v>5</v>
      </c>
      <c r="Q977">
        <v>26.8</v>
      </c>
      <c r="R977">
        <v>509.16</v>
      </c>
      <c r="S977">
        <v>293.95999999999998</v>
      </c>
      <c r="T977">
        <v>215.2</v>
      </c>
      <c r="U977" t="s">
        <v>180</v>
      </c>
      <c r="V977" t="s">
        <v>186</v>
      </c>
    </row>
    <row r="978" spans="1:22">
      <c r="A978" t="s">
        <v>1873</v>
      </c>
      <c r="B978" s="1">
        <v>44937</v>
      </c>
      <c r="C978" t="s">
        <v>240</v>
      </c>
      <c r="D978">
        <v>2023</v>
      </c>
      <c r="E978" t="s">
        <v>162</v>
      </c>
      <c r="F978" t="s">
        <v>1874</v>
      </c>
      <c r="G978" t="s">
        <v>105</v>
      </c>
      <c r="H978" t="s">
        <v>106</v>
      </c>
      <c r="I978" t="s">
        <v>90</v>
      </c>
      <c r="J978" t="s">
        <v>91</v>
      </c>
      <c r="K978" t="s">
        <v>164</v>
      </c>
      <c r="L978" t="s">
        <v>232</v>
      </c>
      <c r="M978">
        <v>4</v>
      </c>
      <c r="N978">
        <v>36.35</v>
      </c>
      <c r="O978">
        <v>145.4</v>
      </c>
      <c r="P978">
        <v>0</v>
      </c>
      <c r="Q978">
        <v>0</v>
      </c>
      <c r="R978">
        <v>145.4</v>
      </c>
      <c r="S978">
        <v>120.08</v>
      </c>
      <c r="T978">
        <v>25.32</v>
      </c>
      <c r="U978" t="s">
        <v>158</v>
      </c>
      <c r="V978" t="s">
        <v>159</v>
      </c>
    </row>
    <row r="979" spans="1:22">
      <c r="A979" t="s">
        <v>1817</v>
      </c>
      <c r="B979" s="1">
        <v>44936</v>
      </c>
      <c r="C979" t="s">
        <v>240</v>
      </c>
      <c r="D979">
        <v>2023</v>
      </c>
      <c r="E979" t="s">
        <v>162</v>
      </c>
      <c r="F979" t="s">
        <v>1818</v>
      </c>
      <c r="G979" t="s">
        <v>82</v>
      </c>
      <c r="H979" t="s">
        <v>83</v>
      </c>
      <c r="I979" t="s">
        <v>66</v>
      </c>
      <c r="J979" t="s">
        <v>67</v>
      </c>
      <c r="K979" t="s">
        <v>164</v>
      </c>
      <c r="L979" t="s">
        <v>179</v>
      </c>
      <c r="M979">
        <v>1</v>
      </c>
      <c r="N979">
        <v>34.479999999999997</v>
      </c>
      <c r="O979">
        <v>34.479999999999997</v>
      </c>
      <c r="P979">
        <v>0</v>
      </c>
      <c r="Q979">
        <v>0</v>
      </c>
      <c r="R979">
        <v>34.479999999999997</v>
      </c>
      <c r="S979">
        <v>19.239999999999998</v>
      </c>
      <c r="T979">
        <v>15.24</v>
      </c>
      <c r="U979" t="s">
        <v>180</v>
      </c>
      <c r="V979" t="s">
        <v>159</v>
      </c>
    </row>
    <row r="980" spans="1:22">
      <c r="A980" t="s">
        <v>584</v>
      </c>
      <c r="B980" s="1">
        <v>44936</v>
      </c>
      <c r="C980" t="s">
        <v>240</v>
      </c>
      <c r="D980">
        <v>2023</v>
      </c>
      <c r="E980" t="s">
        <v>162</v>
      </c>
      <c r="F980" t="s">
        <v>585</v>
      </c>
      <c r="G980" t="s">
        <v>105</v>
      </c>
      <c r="H980" t="s">
        <v>106</v>
      </c>
      <c r="I980" t="s">
        <v>90</v>
      </c>
      <c r="J980" t="s">
        <v>91</v>
      </c>
      <c r="K980" t="s">
        <v>178</v>
      </c>
      <c r="L980" t="s">
        <v>204</v>
      </c>
      <c r="M980">
        <v>1</v>
      </c>
      <c r="N980">
        <v>36.35</v>
      </c>
      <c r="O980">
        <v>36.35</v>
      </c>
      <c r="P980">
        <v>0</v>
      </c>
      <c r="Q980">
        <v>0</v>
      </c>
      <c r="R980">
        <v>36.35</v>
      </c>
      <c r="S980">
        <v>30.02</v>
      </c>
      <c r="T980">
        <v>6.33</v>
      </c>
      <c r="U980" t="s">
        <v>190</v>
      </c>
      <c r="V980" t="s">
        <v>186</v>
      </c>
    </row>
    <row r="981" spans="1:22">
      <c r="A981" t="s">
        <v>651</v>
      </c>
      <c r="B981" s="1">
        <v>44935</v>
      </c>
      <c r="C981" t="s">
        <v>240</v>
      </c>
      <c r="D981">
        <v>2023</v>
      </c>
      <c r="E981" t="s">
        <v>162</v>
      </c>
      <c r="F981" t="s">
        <v>652</v>
      </c>
      <c r="G981" t="s">
        <v>120</v>
      </c>
      <c r="H981" t="s">
        <v>121</v>
      </c>
      <c r="I981" t="s">
        <v>115</v>
      </c>
      <c r="J981" t="s">
        <v>119</v>
      </c>
      <c r="K981" t="s">
        <v>156</v>
      </c>
      <c r="L981" t="s">
        <v>174</v>
      </c>
      <c r="M981">
        <v>4</v>
      </c>
      <c r="N981">
        <v>197.52</v>
      </c>
      <c r="O981">
        <v>790.08</v>
      </c>
      <c r="P981">
        <v>10</v>
      </c>
      <c r="Q981">
        <v>79.010000000000005</v>
      </c>
      <c r="R981">
        <v>711.07</v>
      </c>
      <c r="S981">
        <v>266.16000000000003</v>
      </c>
      <c r="T981">
        <v>444.91</v>
      </c>
      <c r="U981" t="s">
        <v>158</v>
      </c>
      <c r="V981" t="s">
        <v>181</v>
      </c>
    </row>
    <row r="982" spans="1:22">
      <c r="A982" t="s">
        <v>257</v>
      </c>
      <c r="B982" s="1">
        <v>44933</v>
      </c>
      <c r="C982" t="s">
        <v>240</v>
      </c>
      <c r="D982">
        <v>2023</v>
      </c>
      <c r="E982" t="s">
        <v>162</v>
      </c>
      <c r="F982" t="s">
        <v>258</v>
      </c>
      <c r="G982" t="s">
        <v>113</v>
      </c>
      <c r="H982" t="s">
        <v>114</v>
      </c>
      <c r="I982" t="s">
        <v>115</v>
      </c>
      <c r="J982" t="s">
        <v>116</v>
      </c>
      <c r="K982" t="s">
        <v>178</v>
      </c>
      <c r="L982" t="s">
        <v>204</v>
      </c>
      <c r="M982">
        <v>4</v>
      </c>
      <c r="N982">
        <v>18.7</v>
      </c>
      <c r="O982">
        <v>74.8</v>
      </c>
      <c r="P982">
        <v>0</v>
      </c>
      <c r="Q982">
        <v>0</v>
      </c>
      <c r="R982">
        <v>74.8</v>
      </c>
      <c r="S982">
        <v>27.44</v>
      </c>
      <c r="T982">
        <v>47.36</v>
      </c>
      <c r="U982" t="s">
        <v>180</v>
      </c>
      <c r="V982" t="s">
        <v>186</v>
      </c>
    </row>
    <row r="983" spans="1:22">
      <c r="A983" t="s">
        <v>859</v>
      </c>
      <c r="B983" s="1">
        <v>44933</v>
      </c>
      <c r="C983" t="s">
        <v>240</v>
      </c>
      <c r="D983">
        <v>2023</v>
      </c>
      <c r="E983" t="s">
        <v>162</v>
      </c>
      <c r="F983" t="s">
        <v>860</v>
      </c>
      <c r="G983" t="s">
        <v>62</v>
      </c>
      <c r="H983" t="s">
        <v>63</v>
      </c>
      <c r="I983" t="s">
        <v>41</v>
      </c>
      <c r="J983" t="s">
        <v>45</v>
      </c>
      <c r="K983" t="s">
        <v>156</v>
      </c>
      <c r="L983" t="s">
        <v>165</v>
      </c>
      <c r="M983">
        <v>2</v>
      </c>
      <c r="N983">
        <v>160.35</v>
      </c>
      <c r="O983">
        <v>320.7</v>
      </c>
      <c r="P983">
        <v>0</v>
      </c>
      <c r="Q983">
        <v>0</v>
      </c>
      <c r="R983">
        <v>320.7</v>
      </c>
      <c r="S983">
        <v>144.94</v>
      </c>
      <c r="T983">
        <v>175.76</v>
      </c>
      <c r="U983" t="s">
        <v>158</v>
      </c>
      <c r="V983" t="s">
        <v>159</v>
      </c>
    </row>
    <row r="984" spans="1:22">
      <c r="A984" t="s">
        <v>1948</v>
      </c>
      <c r="B984" s="1">
        <v>44932</v>
      </c>
      <c r="C984" t="s">
        <v>240</v>
      </c>
      <c r="D984">
        <v>2023</v>
      </c>
      <c r="E984" t="s">
        <v>162</v>
      </c>
      <c r="F984" t="s">
        <v>1949</v>
      </c>
      <c r="G984" t="s">
        <v>122</v>
      </c>
      <c r="H984" t="s">
        <v>123</v>
      </c>
      <c r="I984" t="s">
        <v>115</v>
      </c>
      <c r="J984" t="s">
        <v>124</v>
      </c>
      <c r="K984" t="s">
        <v>156</v>
      </c>
      <c r="L984" t="s">
        <v>179</v>
      </c>
      <c r="M984">
        <v>4</v>
      </c>
      <c r="N984">
        <v>93.88</v>
      </c>
      <c r="O984">
        <v>375.52</v>
      </c>
      <c r="P984">
        <v>0</v>
      </c>
      <c r="Q984">
        <v>0</v>
      </c>
      <c r="R984">
        <v>375.52</v>
      </c>
      <c r="S984">
        <v>212.44</v>
      </c>
      <c r="T984">
        <v>163.08000000000001</v>
      </c>
      <c r="U984" t="s">
        <v>195</v>
      </c>
      <c r="V984" t="s">
        <v>186</v>
      </c>
    </row>
    <row r="985" spans="1:22">
      <c r="A985" t="s">
        <v>239</v>
      </c>
      <c r="B985" s="1">
        <v>44932</v>
      </c>
      <c r="C985" t="s">
        <v>240</v>
      </c>
      <c r="D985">
        <v>2023</v>
      </c>
      <c r="E985" t="s">
        <v>162</v>
      </c>
      <c r="F985" t="s">
        <v>241</v>
      </c>
      <c r="G985" t="s">
        <v>125</v>
      </c>
      <c r="H985" t="s">
        <v>126</v>
      </c>
      <c r="I985" t="s">
        <v>115</v>
      </c>
      <c r="J985" t="s">
        <v>116</v>
      </c>
      <c r="K985" t="s">
        <v>156</v>
      </c>
      <c r="L985" t="s">
        <v>174</v>
      </c>
      <c r="M985">
        <v>3</v>
      </c>
      <c r="N985">
        <v>144.94999999999999</v>
      </c>
      <c r="O985">
        <v>434.84999999999997</v>
      </c>
      <c r="P985">
        <v>10</v>
      </c>
      <c r="Q985">
        <v>43.48</v>
      </c>
      <c r="R985">
        <v>391.37</v>
      </c>
      <c r="S985">
        <v>231.57</v>
      </c>
      <c r="T985">
        <v>159.80000000000001</v>
      </c>
      <c r="U985" t="s">
        <v>190</v>
      </c>
      <c r="V985" t="s">
        <v>186</v>
      </c>
    </row>
    <row r="986" spans="1:22">
      <c r="A986" t="s">
        <v>336</v>
      </c>
      <c r="B986" s="1">
        <v>44931</v>
      </c>
      <c r="C986" t="s">
        <v>240</v>
      </c>
      <c r="D986">
        <v>2023</v>
      </c>
      <c r="E986" t="s">
        <v>162</v>
      </c>
      <c r="F986" t="s">
        <v>337</v>
      </c>
      <c r="G986" t="s">
        <v>120</v>
      </c>
      <c r="H986" t="s">
        <v>121</v>
      </c>
      <c r="I986" t="s">
        <v>115</v>
      </c>
      <c r="J986" t="s">
        <v>119</v>
      </c>
      <c r="K986" t="s">
        <v>209</v>
      </c>
      <c r="L986" t="s">
        <v>232</v>
      </c>
      <c r="M986">
        <v>4</v>
      </c>
      <c r="N986">
        <v>197.52</v>
      </c>
      <c r="O986">
        <v>790.08</v>
      </c>
      <c r="P986">
        <v>0</v>
      </c>
      <c r="Q986">
        <v>0</v>
      </c>
      <c r="R986">
        <v>790.08</v>
      </c>
      <c r="S986">
        <v>266.16000000000003</v>
      </c>
      <c r="T986">
        <v>523.91999999999996</v>
      </c>
      <c r="U986" t="s">
        <v>180</v>
      </c>
      <c r="V986" t="s">
        <v>159</v>
      </c>
    </row>
    <row r="987" spans="1:22">
      <c r="A987" t="s">
        <v>1357</v>
      </c>
      <c r="B987" s="1">
        <v>44931</v>
      </c>
      <c r="C987" t="s">
        <v>240</v>
      </c>
      <c r="D987">
        <v>2023</v>
      </c>
      <c r="E987" t="s">
        <v>162</v>
      </c>
      <c r="F987" t="s">
        <v>1358</v>
      </c>
      <c r="G987" t="s">
        <v>127</v>
      </c>
      <c r="H987" t="s">
        <v>128</v>
      </c>
      <c r="I987" t="s">
        <v>115</v>
      </c>
      <c r="J987" t="s">
        <v>124</v>
      </c>
      <c r="K987" t="s">
        <v>209</v>
      </c>
      <c r="L987" t="s">
        <v>157</v>
      </c>
      <c r="M987">
        <v>4</v>
      </c>
      <c r="N987">
        <v>94.76</v>
      </c>
      <c r="O987">
        <v>379.04</v>
      </c>
      <c r="P987">
        <v>15</v>
      </c>
      <c r="Q987">
        <v>56.86</v>
      </c>
      <c r="R987">
        <v>322.18</v>
      </c>
      <c r="S987">
        <v>315.27999999999997</v>
      </c>
      <c r="T987">
        <v>6.9</v>
      </c>
      <c r="U987" t="s">
        <v>158</v>
      </c>
      <c r="V987" t="s">
        <v>186</v>
      </c>
    </row>
    <row r="988" spans="1:22">
      <c r="A988" t="s">
        <v>1344</v>
      </c>
      <c r="B988" s="1">
        <v>44931</v>
      </c>
      <c r="C988" t="s">
        <v>240</v>
      </c>
      <c r="D988">
        <v>2023</v>
      </c>
      <c r="E988" t="s">
        <v>162</v>
      </c>
      <c r="F988" t="s">
        <v>1345</v>
      </c>
      <c r="G988" t="s">
        <v>60</v>
      </c>
      <c r="H988" t="s">
        <v>61</v>
      </c>
      <c r="I988" t="s">
        <v>41</v>
      </c>
      <c r="J988" t="s">
        <v>59</v>
      </c>
      <c r="K988" t="s">
        <v>164</v>
      </c>
      <c r="L988" t="s">
        <v>179</v>
      </c>
      <c r="M988">
        <v>4</v>
      </c>
      <c r="N988">
        <v>103.56</v>
      </c>
      <c r="O988">
        <v>414.24</v>
      </c>
      <c r="P988">
        <v>10</v>
      </c>
      <c r="Q988">
        <v>41.42</v>
      </c>
      <c r="R988">
        <v>372.82</v>
      </c>
      <c r="S988">
        <v>178.32</v>
      </c>
      <c r="T988">
        <v>194.5</v>
      </c>
      <c r="U988" t="s">
        <v>180</v>
      </c>
      <c r="V988" t="s">
        <v>159</v>
      </c>
    </row>
    <row r="989" spans="1:22">
      <c r="A989" t="s">
        <v>1642</v>
      </c>
      <c r="B989" s="1">
        <v>44931</v>
      </c>
      <c r="C989" t="s">
        <v>240</v>
      </c>
      <c r="D989">
        <v>2023</v>
      </c>
      <c r="E989" t="s">
        <v>162</v>
      </c>
      <c r="F989" t="s">
        <v>1643</v>
      </c>
      <c r="G989" t="s">
        <v>64</v>
      </c>
      <c r="H989" t="s">
        <v>65</v>
      </c>
      <c r="I989" t="s">
        <v>66</v>
      </c>
      <c r="J989" t="s">
        <v>67</v>
      </c>
      <c r="K989" t="s">
        <v>209</v>
      </c>
      <c r="L989" t="s">
        <v>174</v>
      </c>
      <c r="M989">
        <v>1</v>
      </c>
      <c r="N989">
        <v>24.9</v>
      </c>
      <c r="O989">
        <v>24.9</v>
      </c>
      <c r="P989">
        <v>15</v>
      </c>
      <c r="Q989">
        <v>3.73</v>
      </c>
      <c r="R989">
        <v>21.17</v>
      </c>
      <c r="S989">
        <v>21.52</v>
      </c>
      <c r="T989">
        <v>-0.35</v>
      </c>
      <c r="U989" t="s">
        <v>180</v>
      </c>
      <c r="V989" t="s">
        <v>159</v>
      </c>
    </row>
    <row r="990" spans="1:22">
      <c r="A990" t="s">
        <v>1455</v>
      </c>
      <c r="B990" s="1">
        <v>44931</v>
      </c>
      <c r="C990" t="s">
        <v>240</v>
      </c>
      <c r="D990">
        <v>2023</v>
      </c>
      <c r="E990" t="s">
        <v>162</v>
      </c>
      <c r="F990" t="s">
        <v>1456</v>
      </c>
      <c r="G990" t="s">
        <v>23</v>
      </c>
      <c r="H990" t="s">
        <v>24</v>
      </c>
      <c r="I990" t="s">
        <v>14</v>
      </c>
      <c r="J990" t="s">
        <v>19</v>
      </c>
      <c r="K990" t="s">
        <v>164</v>
      </c>
      <c r="L990" t="s">
        <v>165</v>
      </c>
      <c r="M990">
        <v>4</v>
      </c>
      <c r="N990">
        <v>154.03</v>
      </c>
      <c r="O990">
        <v>616.12</v>
      </c>
      <c r="P990">
        <v>15</v>
      </c>
      <c r="Q990">
        <v>92.42</v>
      </c>
      <c r="R990">
        <v>523.70000000000005</v>
      </c>
      <c r="S990">
        <v>307.16000000000003</v>
      </c>
      <c r="T990">
        <v>216.54</v>
      </c>
      <c r="U990" t="s">
        <v>195</v>
      </c>
      <c r="V990" t="s">
        <v>159</v>
      </c>
    </row>
    <row r="991" spans="1:22">
      <c r="A991" t="s">
        <v>1017</v>
      </c>
      <c r="B991" s="1">
        <v>44931</v>
      </c>
      <c r="C991" t="s">
        <v>240</v>
      </c>
      <c r="D991">
        <v>2023</v>
      </c>
      <c r="E991" t="s">
        <v>162</v>
      </c>
      <c r="F991" t="s">
        <v>1018</v>
      </c>
      <c r="G991" t="s">
        <v>35</v>
      </c>
      <c r="H991" t="s">
        <v>36</v>
      </c>
      <c r="I991" t="s">
        <v>14</v>
      </c>
      <c r="J991" t="s">
        <v>19</v>
      </c>
      <c r="K991" t="s">
        <v>178</v>
      </c>
      <c r="L991" t="s">
        <v>232</v>
      </c>
      <c r="M991">
        <v>2</v>
      </c>
      <c r="N991">
        <v>81.599999999999994</v>
      </c>
      <c r="O991">
        <v>163.19999999999999</v>
      </c>
      <c r="P991">
        <v>10</v>
      </c>
      <c r="Q991">
        <v>16.32</v>
      </c>
      <c r="R991">
        <v>146.88</v>
      </c>
      <c r="S991">
        <v>58.64</v>
      </c>
      <c r="T991">
        <v>88.24</v>
      </c>
      <c r="U991" t="s">
        <v>195</v>
      </c>
      <c r="V991" t="s">
        <v>159</v>
      </c>
    </row>
    <row r="992" spans="1:22">
      <c r="A992" t="s">
        <v>2014</v>
      </c>
      <c r="B992" s="1">
        <v>44931</v>
      </c>
      <c r="C992" t="s">
        <v>240</v>
      </c>
      <c r="D992">
        <v>2023</v>
      </c>
      <c r="E992" t="s">
        <v>162</v>
      </c>
      <c r="F992" t="s">
        <v>2015</v>
      </c>
      <c r="G992" t="s">
        <v>78</v>
      </c>
      <c r="H992" t="s">
        <v>79</v>
      </c>
      <c r="I992" t="s">
        <v>66</v>
      </c>
      <c r="J992" t="s">
        <v>70</v>
      </c>
      <c r="K992" t="s">
        <v>164</v>
      </c>
      <c r="L992" t="s">
        <v>204</v>
      </c>
      <c r="M992">
        <v>1</v>
      </c>
      <c r="N992">
        <v>218.05</v>
      </c>
      <c r="O992">
        <v>218.05</v>
      </c>
      <c r="P992">
        <v>0</v>
      </c>
      <c r="Q992">
        <v>0</v>
      </c>
      <c r="R992">
        <v>218.05</v>
      </c>
      <c r="S992">
        <v>74.48</v>
      </c>
      <c r="T992">
        <v>143.57</v>
      </c>
      <c r="U992" t="s">
        <v>180</v>
      </c>
      <c r="V992" t="s">
        <v>181</v>
      </c>
    </row>
    <row r="993" spans="1:22">
      <c r="A993" t="s">
        <v>1536</v>
      </c>
      <c r="B993" s="1">
        <v>44930</v>
      </c>
      <c r="C993" t="s">
        <v>240</v>
      </c>
      <c r="D993">
        <v>2023</v>
      </c>
      <c r="E993" t="s">
        <v>162</v>
      </c>
      <c r="F993" t="s">
        <v>1537</v>
      </c>
      <c r="G993" t="s">
        <v>62</v>
      </c>
      <c r="H993" t="s">
        <v>63</v>
      </c>
      <c r="I993" t="s">
        <v>41</v>
      </c>
      <c r="J993" t="s">
        <v>45</v>
      </c>
      <c r="K993" t="s">
        <v>178</v>
      </c>
      <c r="L993" t="s">
        <v>194</v>
      </c>
      <c r="M993">
        <v>3</v>
      </c>
      <c r="N993">
        <v>160.35</v>
      </c>
      <c r="O993">
        <v>481.04999999999995</v>
      </c>
      <c r="P993">
        <v>20</v>
      </c>
      <c r="Q993">
        <v>96.21</v>
      </c>
      <c r="R993">
        <v>384.84</v>
      </c>
      <c r="S993">
        <v>217.41</v>
      </c>
      <c r="T993">
        <v>167.43</v>
      </c>
      <c r="U993" t="s">
        <v>180</v>
      </c>
      <c r="V993" t="s">
        <v>181</v>
      </c>
    </row>
    <row r="994" spans="1:22">
      <c r="A994" t="s">
        <v>2046</v>
      </c>
      <c r="B994" s="1">
        <v>44930</v>
      </c>
      <c r="C994" t="s">
        <v>240</v>
      </c>
      <c r="D994">
        <v>2023</v>
      </c>
      <c r="E994" t="s">
        <v>162</v>
      </c>
      <c r="F994" t="s">
        <v>2047</v>
      </c>
      <c r="G994" t="s">
        <v>46</v>
      </c>
      <c r="H994" t="s">
        <v>47</v>
      </c>
      <c r="I994" t="s">
        <v>41</v>
      </c>
      <c r="J994" t="s">
        <v>45</v>
      </c>
      <c r="K994" t="s">
        <v>164</v>
      </c>
      <c r="L994" t="s">
        <v>194</v>
      </c>
      <c r="M994">
        <v>4</v>
      </c>
      <c r="N994">
        <v>16.95</v>
      </c>
      <c r="O994">
        <v>67.8</v>
      </c>
      <c r="P994">
        <v>5</v>
      </c>
      <c r="Q994">
        <v>3.39</v>
      </c>
      <c r="R994">
        <v>64.41</v>
      </c>
      <c r="S994">
        <v>39.04</v>
      </c>
      <c r="T994">
        <v>25.37</v>
      </c>
      <c r="U994" t="s">
        <v>195</v>
      </c>
      <c r="V994" t="s">
        <v>181</v>
      </c>
    </row>
    <row r="995" spans="1:22">
      <c r="A995" t="s">
        <v>1173</v>
      </c>
      <c r="B995" s="1">
        <v>44930</v>
      </c>
      <c r="C995" t="s">
        <v>240</v>
      </c>
      <c r="D995">
        <v>2023</v>
      </c>
      <c r="E995" t="s">
        <v>162</v>
      </c>
      <c r="F995" t="s">
        <v>1174</v>
      </c>
      <c r="G995" t="s">
        <v>76</v>
      </c>
      <c r="H995" t="s">
        <v>77</v>
      </c>
      <c r="I995" t="s">
        <v>66</v>
      </c>
      <c r="J995" t="s">
        <v>67</v>
      </c>
      <c r="K995" t="s">
        <v>209</v>
      </c>
      <c r="L995" t="s">
        <v>179</v>
      </c>
      <c r="M995">
        <v>1</v>
      </c>
      <c r="N995">
        <v>118.07</v>
      </c>
      <c r="O995">
        <v>118.07</v>
      </c>
      <c r="P995">
        <v>10</v>
      </c>
      <c r="Q995">
        <v>11.81</v>
      </c>
      <c r="R995">
        <v>106.26</v>
      </c>
      <c r="S995">
        <v>39.700000000000003</v>
      </c>
      <c r="T995">
        <v>66.56</v>
      </c>
      <c r="U995" t="s">
        <v>166</v>
      </c>
      <c r="V995" t="s">
        <v>159</v>
      </c>
    </row>
    <row r="996" spans="1:22">
      <c r="A996" t="s">
        <v>883</v>
      </c>
      <c r="B996" s="1">
        <v>44930</v>
      </c>
      <c r="C996" t="s">
        <v>240</v>
      </c>
      <c r="D996">
        <v>2023</v>
      </c>
      <c r="E996" t="s">
        <v>162</v>
      </c>
      <c r="F996" t="s">
        <v>884</v>
      </c>
      <c r="G996" t="s">
        <v>133</v>
      </c>
      <c r="H996" t="s">
        <v>134</v>
      </c>
      <c r="I996" t="s">
        <v>115</v>
      </c>
      <c r="J996" t="s">
        <v>119</v>
      </c>
      <c r="K996" t="s">
        <v>164</v>
      </c>
      <c r="L996" t="s">
        <v>174</v>
      </c>
      <c r="M996">
        <v>2</v>
      </c>
      <c r="N996">
        <v>78.84</v>
      </c>
      <c r="O996">
        <v>157.68</v>
      </c>
      <c r="P996">
        <v>0</v>
      </c>
      <c r="Q996">
        <v>0</v>
      </c>
      <c r="R996">
        <v>157.68</v>
      </c>
      <c r="S996">
        <v>95.36</v>
      </c>
      <c r="T996">
        <v>62.32</v>
      </c>
      <c r="U996" t="s">
        <v>190</v>
      </c>
      <c r="V996" t="s">
        <v>181</v>
      </c>
    </row>
    <row r="997" spans="1:22">
      <c r="A997" t="s">
        <v>1119</v>
      </c>
      <c r="B997" s="1">
        <v>44929</v>
      </c>
      <c r="C997" t="s">
        <v>240</v>
      </c>
      <c r="D997">
        <v>2023</v>
      </c>
      <c r="E997" t="s">
        <v>162</v>
      </c>
      <c r="F997" t="s">
        <v>1120</v>
      </c>
      <c r="G997" t="s">
        <v>120</v>
      </c>
      <c r="H997" t="s">
        <v>121</v>
      </c>
      <c r="I997" t="s">
        <v>115</v>
      </c>
      <c r="J997" t="s">
        <v>119</v>
      </c>
      <c r="K997" t="s">
        <v>209</v>
      </c>
      <c r="L997" t="s">
        <v>232</v>
      </c>
      <c r="M997">
        <v>2</v>
      </c>
      <c r="N997">
        <v>197.52</v>
      </c>
      <c r="O997">
        <v>395.04</v>
      </c>
      <c r="P997">
        <v>5</v>
      </c>
      <c r="Q997">
        <v>19.75</v>
      </c>
      <c r="R997">
        <v>375.29</v>
      </c>
      <c r="S997">
        <v>133.08000000000001</v>
      </c>
      <c r="T997">
        <v>242.21</v>
      </c>
      <c r="U997" t="s">
        <v>180</v>
      </c>
      <c r="V997" t="s">
        <v>181</v>
      </c>
    </row>
    <row r="998" spans="1:22">
      <c r="A998" t="s">
        <v>1050</v>
      </c>
      <c r="B998" s="1">
        <v>44929</v>
      </c>
      <c r="C998" t="s">
        <v>240</v>
      </c>
      <c r="D998">
        <v>2023</v>
      </c>
      <c r="E998" t="s">
        <v>162</v>
      </c>
      <c r="F998" t="s">
        <v>1051</v>
      </c>
      <c r="G998" t="s">
        <v>82</v>
      </c>
      <c r="H998" t="s">
        <v>83</v>
      </c>
      <c r="I998" t="s">
        <v>66</v>
      </c>
      <c r="J998" t="s">
        <v>67</v>
      </c>
      <c r="K998" t="s">
        <v>156</v>
      </c>
      <c r="L998" t="s">
        <v>165</v>
      </c>
      <c r="M998">
        <v>4</v>
      </c>
      <c r="N998">
        <v>34.479999999999997</v>
      </c>
      <c r="O998">
        <v>137.91999999999999</v>
      </c>
      <c r="P998">
        <v>5</v>
      </c>
      <c r="Q998">
        <v>6.9</v>
      </c>
      <c r="R998">
        <v>131.02000000000001</v>
      </c>
      <c r="S998">
        <v>76.959999999999994</v>
      </c>
      <c r="T998">
        <v>54.06</v>
      </c>
      <c r="U998" t="s">
        <v>195</v>
      </c>
      <c r="V998" t="s">
        <v>159</v>
      </c>
    </row>
    <row r="999" spans="1:22">
      <c r="A999" t="s">
        <v>1272</v>
      </c>
      <c r="B999" s="1">
        <v>44927</v>
      </c>
      <c r="C999" t="s">
        <v>240</v>
      </c>
      <c r="D999">
        <v>2023</v>
      </c>
      <c r="E999" t="s">
        <v>162</v>
      </c>
      <c r="F999" t="s">
        <v>1273</v>
      </c>
      <c r="G999" t="s">
        <v>73</v>
      </c>
      <c r="H999" t="s">
        <v>74</v>
      </c>
      <c r="I999" t="s">
        <v>66</v>
      </c>
      <c r="J999" t="s">
        <v>75</v>
      </c>
      <c r="K999" t="s">
        <v>156</v>
      </c>
      <c r="L999" t="s">
        <v>174</v>
      </c>
      <c r="M999">
        <v>2</v>
      </c>
      <c r="N999">
        <v>53.95</v>
      </c>
      <c r="O999">
        <v>107.9</v>
      </c>
      <c r="P999">
        <v>15</v>
      </c>
      <c r="Q999">
        <v>16.18</v>
      </c>
      <c r="R999">
        <v>91.72</v>
      </c>
      <c r="S999">
        <v>70.400000000000006</v>
      </c>
      <c r="T999">
        <v>21.32</v>
      </c>
      <c r="U999" t="s">
        <v>195</v>
      </c>
      <c r="V999" t="s">
        <v>186</v>
      </c>
    </row>
    <row r="1000" spans="1:22">
      <c r="A1000" t="s">
        <v>945</v>
      </c>
      <c r="B1000" s="1">
        <v>44927</v>
      </c>
      <c r="C1000" t="s">
        <v>240</v>
      </c>
      <c r="D1000">
        <v>2023</v>
      </c>
      <c r="E1000" t="s">
        <v>162</v>
      </c>
      <c r="F1000" t="s">
        <v>946</v>
      </c>
      <c r="G1000" t="s">
        <v>35</v>
      </c>
      <c r="H1000" t="s">
        <v>36</v>
      </c>
      <c r="I1000" t="s">
        <v>14</v>
      </c>
      <c r="J1000" t="s">
        <v>19</v>
      </c>
      <c r="K1000" t="s">
        <v>164</v>
      </c>
      <c r="L1000" t="s">
        <v>179</v>
      </c>
      <c r="M1000">
        <v>2</v>
      </c>
      <c r="N1000">
        <v>81.599999999999994</v>
      </c>
      <c r="O1000">
        <v>163.19999999999999</v>
      </c>
      <c r="P1000">
        <v>15</v>
      </c>
      <c r="Q1000">
        <v>24.48</v>
      </c>
      <c r="R1000">
        <v>138.72</v>
      </c>
      <c r="S1000">
        <v>58.64</v>
      </c>
      <c r="T1000">
        <v>80.08</v>
      </c>
      <c r="U1000" t="s">
        <v>166</v>
      </c>
      <c r="V1000" t="s">
        <v>159</v>
      </c>
    </row>
    <row r="1001" spans="1:22">
      <c r="A1001" t="s">
        <v>885</v>
      </c>
      <c r="B1001" s="1">
        <v>44927</v>
      </c>
      <c r="C1001" t="s">
        <v>240</v>
      </c>
      <c r="D1001">
        <v>2023</v>
      </c>
      <c r="E1001" t="s">
        <v>162</v>
      </c>
      <c r="F1001" t="s">
        <v>886</v>
      </c>
      <c r="G1001" t="s">
        <v>71</v>
      </c>
      <c r="H1001" t="s">
        <v>72</v>
      </c>
      <c r="I1001" t="s">
        <v>66</v>
      </c>
      <c r="J1001" t="s">
        <v>70</v>
      </c>
      <c r="K1001" t="s">
        <v>164</v>
      </c>
      <c r="L1001" t="s">
        <v>179</v>
      </c>
      <c r="M1001">
        <v>1</v>
      </c>
      <c r="N1001">
        <v>26.7</v>
      </c>
      <c r="O1001">
        <v>26.7</v>
      </c>
      <c r="P1001">
        <v>0</v>
      </c>
      <c r="Q1001">
        <v>0</v>
      </c>
      <c r="R1001">
        <v>26.7</v>
      </c>
      <c r="S1001">
        <v>12.27</v>
      </c>
      <c r="T1001">
        <v>14.43</v>
      </c>
      <c r="U1001" t="s">
        <v>195</v>
      </c>
      <c r="V1001" t="s">
        <v>159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59497-4EB2-4536-B1A5-95AB6ED9A119}">
  <sheetPr codeName="Sheet12">
    <tabColor rgb="FFC00000"/>
  </sheetPr>
  <dimension ref="A1:O4002"/>
  <sheetViews>
    <sheetView zoomScaleNormal="100" workbookViewId="0"/>
  </sheetViews>
  <sheetFormatPr defaultRowHeight="15"/>
  <cols>
    <col min="1" max="1" width="14.7109375" bestFit="1" customWidth="1"/>
    <col min="2" max="2" width="16.5703125" bestFit="1" customWidth="1"/>
    <col min="3" max="3" width="21.7109375" bestFit="1" customWidth="1"/>
    <col min="4" max="4" width="11.5703125" bestFit="1" customWidth="1"/>
    <col min="5" max="5" width="17.42578125" bestFit="1" customWidth="1"/>
    <col min="6" max="6" width="23.140625" bestFit="1" customWidth="1"/>
    <col min="7" max="7" width="14.28515625" bestFit="1" customWidth="1"/>
    <col min="8" max="8" width="19.28515625" bestFit="1" customWidth="1"/>
    <col min="9" max="9" width="20.5703125" bestFit="1" customWidth="1"/>
    <col min="10" max="10" width="21.7109375" bestFit="1" customWidth="1"/>
    <col min="11" max="11" width="18.5703125" bestFit="1" customWidth="1"/>
    <col min="12" max="12" width="21.7109375" bestFit="1" customWidth="1"/>
    <col min="13" max="13" width="12.5703125" bestFit="1" customWidth="1"/>
    <col min="14" max="14" width="10" bestFit="1" customWidth="1"/>
    <col min="15" max="15" width="12.5703125" bestFit="1" customWidth="1"/>
  </cols>
  <sheetData>
    <row r="1" spans="1:15">
      <c r="A1" t="s">
        <v>141</v>
      </c>
      <c r="B1" t="s">
        <v>2071</v>
      </c>
      <c r="C1" t="s">
        <v>2072</v>
      </c>
      <c r="D1" t="s">
        <v>2073</v>
      </c>
      <c r="E1" t="s">
        <v>2074</v>
      </c>
      <c r="F1" t="s">
        <v>2075</v>
      </c>
      <c r="G1" t="s">
        <v>2076</v>
      </c>
      <c r="H1" t="s">
        <v>2077</v>
      </c>
      <c r="I1" t="s">
        <v>2078</v>
      </c>
      <c r="J1" t="s">
        <v>2079</v>
      </c>
      <c r="K1" t="s">
        <v>2080</v>
      </c>
      <c r="L1" t="s">
        <v>2081</v>
      </c>
      <c r="M1" t="s">
        <v>2082</v>
      </c>
      <c r="N1" t="s">
        <v>143</v>
      </c>
      <c r="O1" t="s">
        <v>2083</v>
      </c>
    </row>
    <row r="2" spans="1:15">
      <c r="A2" t="s">
        <v>2084</v>
      </c>
      <c r="B2" t="s">
        <v>2085</v>
      </c>
      <c r="C2" t="s">
        <v>2086</v>
      </c>
      <c r="D2" s="1">
        <v>44385</v>
      </c>
      <c r="E2" s="1">
        <v>45079</v>
      </c>
      <c r="F2">
        <v>213</v>
      </c>
      <c r="G2">
        <v>13</v>
      </c>
      <c r="H2">
        <v>2464.4299999999998</v>
      </c>
      <c r="I2">
        <v>288.27</v>
      </c>
      <c r="J2" t="s">
        <v>14</v>
      </c>
      <c r="K2" t="s">
        <v>16</v>
      </c>
      <c r="L2" t="s">
        <v>2087</v>
      </c>
      <c r="M2">
        <v>3</v>
      </c>
      <c r="N2" t="s">
        <v>179</v>
      </c>
      <c r="O2" t="s">
        <v>2088</v>
      </c>
    </row>
    <row r="3" spans="1:15">
      <c r="A3" t="s">
        <v>2089</v>
      </c>
      <c r="B3" t="s">
        <v>2090</v>
      </c>
      <c r="C3" t="s">
        <v>2091</v>
      </c>
      <c r="D3" s="1">
        <v>44558</v>
      </c>
      <c r="E3" s="1">
        <v>45231</v>
      </c>
      <c r="F3">
        <v>61</v>
      </c>
      <c r="G3">
        <v>7</v>
      </c>
      <c r="H3">
        <v>366.19</v>
      </c>
      <c r="I3">
        <v>90.22</v>
      </c>
      <c r="J3" t="s">
        <v>66</v>
      </c>
      <c r="K3" t="s">
        <v>16</v>
      </c>
      <c r="L3" t="s">
        <v>2087</v>
      </c>
      <c r="M3">
        <v>10</v>
      </c>
      <c r="N3" t="s">
        <v>179</v>
      </c>
      <c r="O3" t="s">
        <v>2088</v>
      </c>
    </row>
    <row r="4" spans="1:15">
      <c r="A4" t="s">
        <v>2092</v>
      </c>
      <c r="B4" t="s">
        <v>2093</v>
      </c>
      <c r="C4" t="s">
        <v>2094</v>
      </c>
      <c r="D4" s="1">
        <v>43973</v>
      </c>
      <c r="E4" s="1">
        <v>44980</v>
      </c>
      <c r="F4">
        <v>312</v>
      </c>
      <c r="G4">
        <v>2</v>
      </c>
      <c r="H4">
        <v>151.44</v>
      </c>
      <c r="I4">
        <v>51.18</v>
      </c>
      <c r="J4" t="s">
        <v>115</v>
      </c>
      <c r="K4" t="s">
        <v>20</v>
      </c>
      <c r="L4" t="s">
        <v>2095</v>
      </c>
      <c r="M4">
        <v>5</v>
      </c>
      <c r="N4" t="s">
        <v>204</v>
      </c>
      <c r="O4" t="s">
        <v>2096</v>
      </c>
    </row>
    <row r="5" spans="1:15">
      <c r="A5" t="s">
        <v>1661</v>
      </c>
      <c r="B5" t="s">
        <v>2097</v>
      </c>
      <c r="C5" t="s">
        <v>2091</v>
      </c>
      <c r="D5" s="1">
        <v>43593</v>
      </c>
      <c r="E5" s="1">
        <v>45144</v>
      </c>
      <c r="F5">
        <v>148</v>
      </c>
      <c r="G5">
        <v>9</v>
      </c>
      <c r="H5">
        <v>688.48</v>
      </c>
      <c r="I5">
        <v>58.19</v>
      </c>
      <c r="J5" t="s">
        <v>90</v>
      </c>
      <c r="K5" t="s">
        <v>16</v>
      </c>
      <c r="L5" t="s">
        <v>2087</v>
      </c>
      <c r="M5">
        <v>1</v>
      </c>
      <c r="N5" t="s">
        <v>194</v>
      </c>
      <c r="O5" t="s">
        <v>2088</v>
      </c>
    </row>
    <row r="6" spans="1:15">
      <c r="A6" t="s">
        <v>2098</v>
      </c>
      <c r="B6" t="s">
        <v>2099</v>
      </c>
      <c r="C6" t="s">
        <v>2100</v>
      </c>
      <c r="D6" s="1">
        <v>44769</v>
      </c>
      <c r="E6" s="1">
        <v>45143</v>
      </c>
      <c r="F6">
        <v>149</v>
      </c>
      <c r="G6">
        <v>2</v>
      </c>
      <c r="H6">
        <v>133.36000000000001</v>
      </c>
      <c r="I6">
        <v>66.739999999999995</v>
      </c>
      <c r="J6" t="s">
        <v>90</v>
      </c>
      <c r="K6" t="s">
        <v>20</v>
      </c>
      <c r="L6" t="s">
        <v>2087</v>
      </c>
      <c r="M6">
        <v>2</v>
      </c>
      <c r="N6" t="s">
        <v>157</v>
      </c>
      <c r="O6" t="s">
        <v>2088</v>
      </c>
    </row>
    <row r="7" spans="1:15">
      <c r="A7" t="s">
        <v>2101</v>
      </c>
      <c r="B7" t="s">
        <v>2097</v>
      </c>
      <c r="C7" t="s">
        <v>2086</v>
      </c>
      <c r="D7" s="1">
        <v>44908</v>
      </c>
      <c r="E7" s="1">
        <v>45189</v>
      </c>
      <c r="F7">
        <v>103</v>
      </c>
      <c r="G7">
        <v>10</v>
      </c>
      <c r="H7">
        <v>612.25</v>
      </c>
      <c r="I7">
        <v>62.94</v>
      </c>
      <c r="J7" t="s">
        <v>14</v>
      </c>
      <c r="K7" t="s">
        <v>20</v>
      </c>
      <c r="L7" t="s">
        <v>2095</v>
      </c>
      <c r="M7">
        <v>7</v>
      </c>
      <c r="N7" t="s">
        <v>204</v>
      </c>
      <c r="O7" t="s">
        <v>2096</v>
      </c>
    </row>
    <row r="8" spans="1:15">
      <c r="A8" t="s">
        <v>2102</v>
      </c>
      <c r="B8" t="s">
        <v>2093</v>
      </c>
      <c r="C8" t="s">
        <v>2100</v>
      </c>
      <c r="D8" s="1">
        <v>43709</v>
      </c>
      <c r="E8" s="1">
        <v>45235</v>
      </c>
      <c r="F8">
        <v>57</v>
      </c>
      <c r="G8">
        <v>2</v>
      </c>
      <c r="H8">
        <v>190.49</v>
      </c>
      <c r="I8">
        <v>42.16</v>
      </c>
      <c r="J8" t="s">
        <v>14</v>
      </c>
      <c r="K8" t="s">
        <v>16</v>
      </c>
      <c r="L8" t="s">
        <v>2087</v>
      </c>
      <c r="M8">
        <v>9</v>
      </c>
      <c r="N8" t="s">
        <v>194</v>
      </c>
      <c r="O8" t="s">
        <v>2096</v>
      </c>
    </row>
    <row r="9" spans="1:15">
      <c r="A9" t="s">
        <v>2103</v>
      </c>
      <c r="B9" t="s">
        <v>2090</v>
      </c>
      <c r="C9" t="s">
        <v>2094</v>
      </c>
      <c r="D9" s="1">
        <v>44232</v>
      </c>
      <c r="E9" s="1">
        <v>45082</v>
      </c>
      <c r="F9">
        <v>210</v>
      </c>
      <c r="G9">
        <v>3</v>
      </c>
      <c r="H9">
        <v>117.68</v>
      </c>
      <c r="I9">
        <v>64.39</v>
      </c>
      <c r="J9" t="s">
        <v>90</v>
      </c>
      <c r="K9" t="s">
        <v>16</v>
      </c>
      <c r="L9" t="s">
        <v>2095</v>
      </c>
      <c r="M9">
        <v>2</v>
      </c>
      <c r="N9" t="s">
        <v>179</v>
      </c>
      <c r="O9" t="s">
        <v>2088</v>
      </c>
    </row>
    <row r="10" spans="1:15">
      <c r="A10" t="s">
        <v>2104</v>
      </c>
      <c r="B10" t="s">
        <v>2099</v>
      </c>
      <c r="C10" t="s">
        <v>2091</v>
      </c>
      <c r="D10" s="1">
        <v>44046</v>
      </c>
      <c r="E10" s="1">
        <v>45037</v>
      </c>
      <c r="F10">
        <v>255</v>
      </c>
      <c r="G10">
        <v>1</v>
      </c>
      <c r="H10">
        <v>141.79</v>
      </c>
      <c r="I10">
        <v>44.41</v>
      </c>
      <c r="J10" t="s">
        <v>90</v>
      </c>
      <c r="K10" t="s">
        <v>16</v>
      </c>
      <c r="L10" t="s">
        <v>2095</v>
      </c>
      <c r="M10">
        <v>8</v>
      </c>
      <c r="N10" t="s">
        <v>194</v>
      </c>
      <c r="O10" t="s">
        <v>2096</v>
      </c>
    </row>
    <row r="11" spans="1:15">
      <c r="A11" t="s">
        <v>2105</v>
      </c>
      <c r="B11" t="s">
        <v>2085</v>
      </c>
      <c r="C11" t="s">
        <v>2100</v>
      </c>
      <c r="D11" s="1">
        <v>44392</v>
      </c>
      <c r="E11" s="1">
        <v>45099</v>
      </c>
      <c r="F11">
        <v>193</v>
      </c>
      <c r="G11">
        <v>25</v>
      </c>
      <c r="H11">
        <v>1858.59</v>
      </c>
      <c r="I11">
        <v>161.94</v>
      </c>
      <c r="J11" t="s">
        <v>90</v>
      </c>
      <c r="K11" t="s">
        <v>20</v>
      </c>
      <c r="L11" t="s">
        <v>2106</v>
      </c>
      <c r="M11">
        <v>2</v>
      </c>
      <c r="N11" t="s">
        <v>179</v>
      </c>
      <c r="O11" t="s">
        <v>2107</v>
      </c>
    </row>
    <row r="12" spans="1:15">
      <c r="A12" t="s">
        <v>870</v>
      </c>
      <c r="B12" t="s">
        <v>2090</v>
      </c>
      <c r="C12" t="s">
        <v>2108</v>
      </c>
      <c r="D12" s="1">
        <v>44385</v>
      </c>
      <c r="E12" s="1">
        <v>45003</v>
      </c>
      <c r="F12">
        <v>289</v>
      </c>
      <c r="G12">
        <v>7</v>
      </c>
      <c r="H12">
        <v>227.5</v>
      </c>
      <c r="I12">
        <v>75.989999999999995</v>
      </c>
      <c r="J12" t="s">
        <v>66</v>
      </c>
      <c r="K12" t="s">
        <v>16</v>
      </c>
      <c r="L12" t="s">
        <v>2106</v>
      </c>
      <c r="M12">
        <v>10</v>
      </c>
      <c r="N12" t="s">
        <v>232</v>
      </c>
      <c r="O12" t="s">
        <v>2109</v>
      </c>
    </row>
    <row r="13" spans="1:15">
      <c r="A13" t="s">
        <v>371</v>
      </c>
      <c r="B13" t="s">
        <v>2099</v>
      </c>
      <c r="C13" t="s">
        <v>2100</v>
      </c>
      <c r="D13" s="1">
        <v>43559</v>
      </c>
      <c r="E13" s="1">
        <v>45270</v>
      </c>
      <c r="F13">
        <v>22</v>
      </c>
      <c r="G13">
        <v>1</v>
      </c>
      <c r="H13">
        <v>137.03</v>
      </c>
      <c r="I13">
        <v>47.12</v>
      </c>
      <c r="J13" t="s">
        <v>66</v>
      </c>
      <c r="K13" t="s">
        <v>20</v>
      </c>
      <c r="L13" t="s">
        <v>2095</v>
      </c>
      <c r="M13">
        <v>2</v>
      </c>
      <c r="N13" t="s">
        <v>165</v>
      </c>
      <c r="O13" t="s">
        <v>2096</v>
      </c>
    </row>
    <row r="14" spans="1:15">
      <c r="A14" t="s">
        <v>2110</v>
      </c>
      <c r="B14" t="s">
        <v>2090</v>
      </c>
      <c r="C14" t="s">
        <v>2111</v>
      </c>
      <c r="D14" s="1">
        <v>44615</v>
      </c>
      <c r="E14" s="1">
        <v>45257</v>
      </c>
      <c r="F14">
        <v>35</v>
      </c>
      <c r="G14">
        <v>7</v>
      </c>
      <c r="H14">
        <v>334.77</v>
      </c>
      <c r="I14">
        <v>96.59</v>
      </c>
      <c r="J14" t="s">
        <v>115</v>
      </c>
      <c r="K14" t="s">
        <v>16</v>
      </c>
      <c r="L14" t="s">
        <v>2095</v>
      </c>
      <c r="M14">
        <v>9</v>
      </c>
      <c r="N14" t="s">
        <v>232</v>
      </c>
      <c r="O14" t="s">
        <v>2088</v>
      </c>
    </row>
    <row r="15" spans="1:15">
      <c r="A15" t="s">
        <v>1664</v>
      </c>
      <c r="B15" t="s">
        <v>2085</v>
      </c>
      <c r="C15" t="s">
        <v>2111</v>
      </c>
      <c r="D15" s="1">
        <v>44495</v>
      </c>
      <c r="E15" s="1">
        <v>44936</v>
      </c>
      <c r="F15">
        <v>356</v>
      </c>
      <c r="G15">
        <v>30</v>
      </c>
      <c r="H15">
        <v>1947.86</v>
      </c>
      <c r="I15">
        <v>250.11</v>
      </c>
      <c r="J15" t="s">
        <v>115</v>
      </c>
      <c r="K15" t="s">
        <v>16</v>
      </c>
      <c r="L15" t="s">
        <v>2095</v>
      </c>
      <c r="M15">
        <v>4</v>
      </c>
      <c r="N15" t="s">
        <v>179</v>
      </c>
      <c r="O15" t="s">
        <v>2107</v>
      </c>
    </row>
    <row r="16" spans="1:15">
      <c r="A16" t="s">
        <v>2112</v>
      </c>
      <c r="B16" t="s">
        <v>2097</v>
      </c>
      <c r="C16" t="s">
        <v>2086</v>
      </c>
      <c r="D16" s="1">
        <v>44122</v>
      </c>
      <c r="E16" s="1">
        <v>45132</v>
      </c>
      <c r="F16">
        <v>160</v>
      </c>
      <c r="G16">
        <v>10</v>
      </c>
      <c r="H16">
        <v>205.02</v>
      </c>
      <c r="I16">
        <v>103.35</v>
      </c>
      <c r="J16" t="s">
        <v>14</v>
      </c>
      <c r="K16" t="s">
        <v>16</v>
      </c>
      <c r="L16" t="s">
        <v>2095</v>
      </c>
      <c r="M16">
        <v>5</v>
      </c>
      <c r="N16" t="s">
        <v>204</v>
      </c>
      <c r="O16" t="s">
        <v>2107</v>
      </c>
    </row>
    <row r="17" spans="1:15">
      <c r="A17" t="s">
        <v>966</v>
      </c>
      <c r="B17" t="s">
        <v>2099</v>
      </c>
      <c r="C17" t="s">
        <v>2111</v>
      </c>
      <c r="D17" s="1">
        <v>43992</v>
      </c>
      <c r="E17" s="1">
        <v>44973</v>
      </c>
      <c r="F17">
        <v>319</v>
      </c>
      <c r="G17">
        <v>1</v>
      </c>
      <c r="H17">
        <v>131.75</v>
      </c>
      <c r="I17">
        <v>45.39</v>
      </c>
      <c r="J17" t="s">
        <v>14</v>
      </c>
      <c r="K17" t="s">
        <v>20</v>
      </c>
      <c r="L17" t="s">
        <v>2095</v>
      </c>
      <c r="M17">
        <v>4</v>
      </c>
      <c r="N17" t="s">
        <v>157</v>
      </c>
      <c r="O17" t="s">
        <v>2107</v>
      </c>
    </row>
    <row r="18" spans="1:15">
      <c r="A18" t="s">
        <v>1053</v>
      </c>
      <c r="B18" t="s">
        <v>2113</v>
      </c>
      <c r="C18" t="s">
        <v>2111</v>
      </c>
      <c r="D18" s="1">
        <v>44855</v>
      </c>
      <c r="E18" s="1">
        <v>45013</v>
      </c>
      <c r="F18">
        <v>279</v>
      </c>
      <c r="G18">
        <v>7</v>
      </c>
      <c r="H18">
        <v>177.11</v>
      </c>
      <c r="I18">
        <v>77.61</v>
      </c>
      <c r="J18" t="s">
        <v>115</v>
      </c>
      <c r="K18" t="s">
        <v>16</v>
      </c>
      <c r="L18" t="s">
        <v>2095</v>
      </c>
      <c r="M18">
        <v>0</v>
      </c>
      <c r="N18" t="s">
        <v>165</v>
      </c>
      <c r="O18" t="s">
        <v>2096</v>
      </c>
    </row>
    <row r="19" spans="1:15">
      <c r="A19" t="s">
        <v>2114</v>
      </c>
      <c r="B19" t="s">
        <v>2113</v>
      </c>
      <c r="C19" t="s">
        <v>2100</v>
      </c>
      <c r="D19" s="1">
        <v>44129</v>
      </c>
      <c r="E19" s="1">
        <v>45059</v>
      </c>
      <c r="F19">
        <v>233</v>
      </c>
      <c r="G19">
        <v>17</v>
      </c>
      <c r="H19">
        <v>149.37</v>
      </c>
      <c r="I19">
        <v>37.119999999999997</v>
      </c>
      <c r="J19" t="s">
        <v>14</v>
      </c>
      <c r="K19" t="s">
        <v>16</v>
      </c>
      <c r="L19" t="s">
        <v>2095</v>
      </c>
      <c r="M19">
        <v>3</v>
      </c>
      <c r="N19" t="s">
        <v>179</v>
      </c>
      <c r="O19" t="s">
        <v>2088</v>
      </c>
    </row>
    <row r="20" spans="1:15">
      <c r="A20" t="s">
        <v>2115</v>
      </c>
      <c r="B20" t="s">
        <v>2090</v>
      </c>
      <c r="C20" t="s">
        <v>2094</v>
      </c>
      <c r="D20" s="1">
        <v>44254</v>
      </c>
      <c r="E20" s="1">
        <v>44985</v>
      </c>
      <c r="F20">
        <v>307</v>
      </c>
      <c r="G20">
        <v>3</v>
      </c>
      <c r="H20">
        <v>237.75</v>
      </c>
      <c r="I20">
        <v>100.19</v>
      </c>
      <c r="J20" t="s">
        <v>14</v>
      </c>
      <c r="K20" t="s">
        <v>16</v>
      </c>
      <c r="L20" t="s">
        <v>2087</v>
      </c>
      <c r="M20">
        <v>8</v>
      </c>
      <c r="N20" t="s">
        <v>204</v>
      </c>
      <c r="O20" t="s">
        <v>2096</v>
      </c>
    </row>
    <row r="21" spans="1:15">
      <c r="A21" t="s">
        <v>2116</v>
      </c>
      <c r="B21" t="s">
        <v>2099</v>
      </c>
      <c r="C21" t="s">
        <v>2086</v>
      </c>
      <c r="D21" s="1">
        <v>43504</v>
      </c>
      <c r="E21" s="1">
        <v>45064</v>
      </c>
      <c r="F21">
        <v>228</v>
      </c>
      <c r="G21">
        <v>1</v>
      </c>
      <c r="H21">
        <v>72.97</v>
      </c>
      <c r="I21">
        <v>38.700000000000003</v>
      </c>
      <c r="J21" t="s">
        <v>115</v>
      </c>
      <c r="K21" t="s">
        <v>20</v>
      </c>
      <c r="L21" t="s">
        <v>2095</v>
      </c>
      <c r="M21">
        <v>3</v>
      </c>
      <c r="N21" t="s">
        <v>179</v>
      </c>
      <c r="O21" t="s">
        <v>2088</v>
      </c>
    </row>
    <row r="22" spans="1:15">
      <c r="A22" t="s">
        <v>2117</v>
      </c>
      <c r="B22" t="s">
        <v>2093</v>
      </c>
      <c r="C22" t="s">
        <v>2086</v>
      </c>
      <c r="D22" s="1">
        <v>43637</v>
      </c>
      <c r="E22" s="1">
        <v>45252</v>
      </c>
      <c r="F22">
        <v>40</v>
      </c>
      <c r="G22">
        <v>2</v>
      </c>
      <c r="H22">
        <v>81.78</v>
      </c>
      <c r="I22">
        <v>44.4</v>
      </c>
      <c r="J22" t="s">
        <v>41</v>
      </c>
      <c r="K22" t="s">
        <v>16</v>
      </c>
      <c r="L22" t="s">
        <v>2087</v>
      </c>
      <c r="M22">
        <v>8</v>
      </c>
      <c r="N22" t="s">
        <v>157</v>
      </c>
      <c r="O22" t="s">
        <v>2107</v>
      </c>
    </row>
    <row r="23" spans="1:15">
      <c r="A23" t="s">
        <v>478</v>
      </c>
      <c r="B23" t="s">
        <v>2090</v>
      </c>
      <c r="C23" t="s">
        <v>2100</v>
      </c>
      <c r="D23" s="1">
        <v>43551</v>
      </c>
      <c r="E23" s="1">
        <v>44927</v>
      </c>
      <c r="F23">
        <v>365</v>
      </c>
      <c r="G23">
        <v>5</v>
      </c>
      <c r="H23">
        <v>387.63</v>
      </c>
      <c r="I23">
        <v>84.41</v>
      </c>
      <c r="J23" t="s">
        <v>115</v>
      </c>
      <c r="K23" t="s">
        <v>16</v>
      </c>
      <c r="L23" t="s">
        <v>2106</v>
      </c>
      <c r="M23">
        <v>2</v>
      </c>
      <c r="N23" t="s">
        <v>174</v>
      </c>
      <c r="O23" t="s">
        <v>2096</v>
      </c>
    </row>
    <row r="24" spans="1:15">
      <c r="A24" t="s">
        <v>2118</v>
      </c>
      <c r="B24" t="s">
        <v>2099</v>
      </c>
      <c r="C24" t="s">
        <v>2108</v>
      </c>
      <c r="D24" s="1">
        <v>44244</v>
      </c>
      <c r="E24" s="1">
        <v>45106</v>
      </c>
      <c r="F24">
        <v>186</v>
      </c>
      <c r="G24">
        <v>2</v>
      </c>
      <c r="H24">
        <v>97.72</v>
      </c>
      <c r="I24">
        <v>87.16</v>
      </c>
      <c r="J24" t="s">
        <v>41</v>
      </c>
      <c r="K24" t="s">
        <v>20</v>
      </c>
      <c r="L24" t="s">
        <v>2106</v>
      </c>
      <c r="M24">
        <v>4</v>
      </c>
      <c r="N24" t="s">
        <v>174</v>
      </c>
      <c r="O24" t="s">
        <v>2107</v>
      </c>
    </row>
    <row r="25" spans="1:15">
      <c r="A25" t="s">
        <v>2119</v>
      </c>
      <c r="B25" t="s">
        <v>2093</v>
      </c>
      <c r="C25" t="s">
        <v>2111</v>
      </c>
      <c r="D25" s="1">
        <v>44275</v>
      </c>
      <c r="E25" s="1">
        <v>45284</v>
      </c>
      <c r="F25">
        <v>8</v>
      </c>
      <c r="G25">
        <v>5</v>
      </c>
      <c r="H25">
        <v>125.72</v>
      </c>
      <c r="I25">
        <v>38.04</v>
      </c>
      <c r="J25" t="s">
        <v>41</v>
      </c>
      <c r="K25" t="s">
        <v>20</v>
      </c>
      <c r="L25" t="s">
        <v>2106</v>
      </c>
      <c r="M25">
        <v>4</v>
      </c>
      <c r="N25" t="s">
        <v>204</v>
      </c>
      <c r="O25" t="s">
        <v>2107</v>
      </c>
    </row>
    <row r="26" spans="1:15">
      <c r="A26" t="s">
        <v>2120</v>
      </c>
      <c r="B26" t="s">
        <v>2090</v>
      </c>
      <c r="C26" t="s">
        <v>2108</v>
      </c>
      <c r="D26" s="1">
        <v>44862</v>
      </c>
      <c r="E26" s="1">
        <v>45102</v>
      </c>
      <c r="F26">
        <v>190</v>
      </c>
      <c r="G26">
        <v>6</v>
      </c>
      <c r="H26">
        <v>386.37</v>
      </c>
      <c r="I26">
        <v>65.459999999999994</v>
      </c>
      <c r="J26" t="s">
        <v>66</v>
      </c>
      <c r="K26" t="s">
        <v>20</v>
      </c>
      <c r="L26" t="s">
        <v>2087</v>
      </c>
      <c r="M26">
        <v>4</v>
      </c>
      <c r="N26" t="s">
        <v>157</v>
      </c>
      <c r="O26" t="s">
        <v>2121</v>
      </c>
    </row>
    <row r="27" spans="1:15">
      <c r="A27" t="s">
        <v>2122</v>
      </c>
      <c r="B27" t="s">
        <v>2113</v>
      </c>
      <c r="C27" t="s">
        <v>2091</v>
      </c>
      <c r="D27" s="1">
        <v>43498</v>
      </c>
      <c r="E27" s="1">
        <v>45281</v>
      </c>
      <c r="F27">
        <v>11</v>
      </c>
      <c r="G27">
        <v>11</v>
      </c>
      <c r="H27">
        <v>329.9</v>
      </c>
      <c r="I27">
        <v>59.98</v>
      </c>
      <c r="J27" t="s">
        <v>14</v>
      </c>
      <c r="K27" t="s">
        <v>20</v>
      </c>
      <c r="L27" t="s">
        <v>2087</v>
      </c>
      <c r="M27">
        <v>0</v>
      </c>
      <c r="N27" t="s">
        <v>174</v>
      </c>
      <c r="O27" t="s">
        <v>2107</v>
      </c>
    </row>
    <row r="28" spans="1:15">
      <c r="A28" t="s">
        <v>2123</v>
      </c>
      <c r="B28" t="s">
        <v>2099</v>
      </c>
      <c r="C28" t="s">
        <v>2108</v>
      </c>
      <c r="D28" s="1">
        <v>45078</v>
      </c>
      <c r="E28" s="1">
        <v>45259</v>
      </c>
      <c r="F28">
        <v>33</v>
      </c>
      <c r="G28">
        <v>2</v>
      </c>
      <c r="H28">
        <v>119.12</v>
      </c>
      <c r="I28">
        <v>63.05</v>
      </c>
      <c r="J28" t="s">
        <v>14</v>
      </c>
      <c r="K28" t="s">
        <v>20</v>
      </c>
      <c r="L28" t="s">
        <v>2095</v>
      </c>
      <c r="M28">
        <v>10</v>
      </c>
      <c r="N28" t="s">
        <v>204</v>
      </c>
      <c r="O28" t="s">
        <v>2096</v>
      </c>
    </row>
    <row r="29" spans="1:15">
      <c r="A29" t="s">
        <v>2124</v>
      </c>
      <c r="B29" t="s">
        <v>2113</v>
      </c>
      <c r="C29" t="s">
        <v>2111</v>
      </c>
      <c r="D29" s="1">
        <v>43828</v>
      </c>
      <c r="E29" s="1">
        <v>45283</v>
      </c>
      <c r="F29">
        <v>9</v>
      </c>
      <c r="G29">
        <v>17</v>
      </c>
      <c r="H29">
        <v>513.73</v>
      </c>
      <c r="I29">
        <v>47.9</v>
      </c>
      <c r="J29" t="s">
        <v>14</v>
      </c>
      <c r="K29" t="s">
        <v>16</v>
      </c>
      <c r="L29" t="s">
        <v>2087</v>
      </c>
      <c r="M29">
        <v>3</v>
      </c>
      <c r="N29" t="s">
        <v>204</v>
      </c>
      <c r="O29" t="s">
        <v>2096</v>
      </c>
    </row>
    <row r="30" spans="1:15">
      <c r="A30" t="s">
        <v>2125</v>
      </c>
      <c r="B30" t="s">
        <v>2097</v>
      </c>
      <c r="C30" t="s">
        <v>2091</v>
      </c>
      <c r="D30" s="1">
        <v>44918</v>
      </c>
      <c r="E30" s="1">
        <v>45110</v>
      </c>
      <c r="F30">
        <v>182</v>
      </c>
      <c r="G30">
        <v>3</v>
      </c>
      <c r="H30">
        <v>642.97</v>
      </c>
      <c r="I30">
        <v>118.06</v>
      </c>
      <c r="J30" t="s">
        <v>14</v>
      </c>
      <c r="K30" t="s">
        <v>20</v>
      </c>
      <c r="L30" t="s">
        <v>2106</v>
      </c>
      <c r="M30">
        <v>4</v>
      </c>
      <c r="N30" t="s">
        <v>179</v>
      </c>
      <c r="O30" t="s">
        <v>2107</v>
      </c>
    </row>
    <row r="31" spans="1:15">
      <c r="A31" t="s">
        <v>2126</v>
      </c>
      <c r="B31" t="s">
        <v>2097</v>
      </c>
      <c r="C31" t="s">
        <v>2108</v>
      </c>
      <c r="D31" s="1">
        <v>44475</v>
      </c>
      <c r="E31" s="1">
        <v>45287</v>
      </c>
      <c r="F31">
        <v>5</v>
      </c>
      <c r="G31">
        <v>10</v>
      </c>
      <c r="H31">
        <v>778.74</v>
      </c>
      <c r="I31">
        <v>53.68</v>
      </c>
      <c r="J31" t="s">
        <v>115</v>
      </c>
      <c r="K31" t="s">
        <v>16</v>
      </c>
      <c r="L31" t="s">
        <v>2095</v>
      </c>
      <c r="M31">
        <v>3</v>
      </c>
      <c r="N31" t="s">
        <v>179</v>
      </c>
      <c r="O31" t="s">
        <v>2109</v>
      </c>
    </row>
    <row r="32" spans="1:15">
      <c r="A32" t="s">
        <v>1022</v>
      </c>
      <c r="B32" t="s">
        <v>2085</v>
      </c>
      <c r="C32" t="s">
        <v>2091</v>
      </c>
      <c r="D32" s="1">
        <v>43815</v>
      </c>
      <c r="E32" s="1">
        <v>45209</v>
      </c>
      <c r="F32">
        <v>83</v>
      </c>
      <c r="G32">
        <v>39</v>
      </c>
      <c r="H32">
        <v>1410.16</v>
      </c>
      <c r="I32">
        <v>200.07</v>
      </c>
      <c r="J32" t="s">
        <v>115</v>
      </c>
      <c r="K32" t="s">
        <v>20</v>
      </c>
      <c r="L32" t="s">
        <v>2106</v>
      </c>
      <c r="M32">
        <v>9</v>
      </c>
      <c r="N32" t="s">
        <v>232</v>
      </c>
      <c r="O32" t="s">
        <v>2107</v>
      </c>
    </row>
    <row r="33" spans="1:15">
      <c r="A33" t="s">
        <v>414</v>
      </c>
      <c r="B33" t="s">
        <v>2085</v>
      </c>
      <c r="C33" t="s">
        <v>2091</v>
      </c>
      <c r="D33" s="1">
        <v>43997</v>
      </c>
      <c r="E33" s="1">
        <v>45218</v>
      </c>
      <c r="F33">
        <v>74</v>
      </c>
      <c r="G33">
        <v>30</v>
      </c>
      <c r="H33">
        <v>1082.1400000000001</v>
      </c>
      <c r="I33">
        <v>113.01</v>
      </c>
      <c r="J33" t="s">
        <v>115</v>
      </c>
      <c r="K33" t="s">
        <v>20</v>
      </c>
      <c r="L33" t="s">
        <v>2087</v>
      </c>
      <c r="M33">
        <v>3</v>
      </c>
      <c r="N33" t="s">
        <v>179</v>
      </c>
      <c r="O33" t="s">
        <v>2096</v>
      </c>
    </row>
    <row r="34" spans="1:15">
      <c r="A34" t="s">
        <v>2127</v>
      </c>
      <c r="B34" t="s">
        <v>2093</v>
      </c>
      <c r="C34" t="s">
        <v>2100</v>
      </c>
      <c r="D34" s="1">
        <v>44395</v>
      </c>
      <c r="E34" s="1">
        <v>44928</v>
      </c>
      <c r="F34">
        <v>364</v>
      </c>
      <c r="G34">
        <v>5</v>
      </c>
      <c r="H34">
        <v>134.46</v>
      </c>
      <c r="I34">
        <v>60.84</v>
      </c>
      <c r="J34" t="s">
        <v>14</v>
      </c>
      <c r="K34" t="s">
        <v>16</v>
      </c>
      <c r="L34" t="s">
        <v>2087</v>
      </c>
      <c r="M34">
        <v>6</v>
      </c>
      <c r="N34" t="s">
        <v>194</v>
      </c>
      <c r="O34" t="s">
        <v>2096</v>
      </c>
    </row>
    <row r="35" spans="1:15">
      <c r="A35" t="s">
        <v>563</v>
      </c>
      <c r="B35" t="s">
        <v>2093</v>
      </c>
      <c r="C35" t="s">
        <v>2108</v>
      </c>
      <c r="D35" s="1">
        <v>45020</v>
      </c>
      <c r="E35" s="1">
        <v>44949</v>
      </c>
      <c r="F35">
        <v>343</v>
      </c>
      <c r="G35">
        <v>5</v>
      </c>
      <c r="H35">
        <v>109.32</v>
      </c>
      <c r="I35">
        <v>41.69</v>
      </c>
      <c r="J35" t="s">
        <v>41</v>
      </c>
      <c r="K35" t="s">
        <v>16</v>
      </c>
      <c r="L35" t="s">
        <v>2087</v>
      </c>
      <c r="M35">
        <v>6</v>
      </c>
      <c r="N35" t="s">
        <v>232</v>
      </c>
      <c r="O35" t="s">
        <v>2109</v>
      </c>
    </row>
    <row r="36" spans="1:15">
      <c r="A36" t="s">
        <v>1302</v>
      </c>
      <c r="B36" t="s">
        <v>2113</v>
      </c>
      <c r="C36" t="s">
        <v>2108</v>
      </c>
      <c r="D36" s="1">
        <v>44637</v>
      </c>
      <c r="E36" s="1">
        <v>44939</v>
      </c>
      <c r="F36">
        <v>353</v>
      </c>
      <c r="G36">
        <v>5</v>
      </c>
      <c r="H36">
        <v>295.93</v>
      </c>
      <c r="I36">
        <v>46.74</v>
      </c>
      <c r="J36" t="s">
        <v>41</v>
      </c>
      <c r="K36" t="s">
        <v>20</v>
      </c>
      <c r="L36" t="s">
        <v>2087</v>
      </c>
      <c r="M36">
        <v>1</v>
      </c>
      <c r="N36" t="s">
        <v>157</v>
      </c>
      <c r="O36" t="s">
        <v>2107</v>
      </c>
    </row>
    <row r="37" spans="1:15">
      <c r="A37" t="s">
        <v>2128</v>
      </c>
      <c r="B37" t="s">
        <v>2097</v>
      </c>
      <c r="C37" t="s">
        <v>2100</v>
      </c>
      <c r="D37" s="1">
        <v>43664</v>
      </c>
      <c r="E37" s="1">
        <v>44941</v>
      </c>
      <c r="F37">
        <v>351</v>
      </c>
      <c r="G37">
        <v>8</v>
      </c>
      <c r="H37">
        <v>352.02</v>
      </c>
      <c r="I37">
        <v>112.6</v>
      </c>
      <c r="J37" t="s">
        <v>90</v>
      </c>
      <c r="K37" t="s">
        <v>16</v>
      </c>
      <c r="L37" t="s">
        <v>2106</v>
      </c>
      <c r="M37">
        <v>10</v>
      </c>
      <c r="N37" t="s">
        <v>194</v>
      </c>
      <c r="O37" t="s">
        <v>2121</v>
      </c>
    </row>
    <row r="38" spans="1:15">
      <c r="A38" t="s">
        <v>1372</v>
      </c>
      <c r="B38" t="s">
        <v>2097</v>
      </c>
      <c r="C38" t="s">
        <v>2094</v>
      </c>
      <c r="D38" s="1">
        <v>45170</v>
      </c>
      <c r="E38" s="1">
        <v>44954</v>
      </c>
      <c r="F38">
        <v>338</v>
      </c>
      <c r="G38">
        <v>4</v>
      </c>
      <c r="H38">
        <v>457.82</v>
      </c>
      <c r="I38">
        <v>145.88</v>
      </c>
      <c r="J38" t="s">
        <v>115</v>
      </c>
      <c r="K38" t="s">
        <v>16</v>
      </c>
      <c r="L38" t="s">
        <v>2095</v>
      </c>
      <c r="M38">
        <v>9</v>
      </c>
      <c r="N38" t="s">
        <v>232</v>
      </c>
      <c r="O38" t="s">
        <v>2109</v>
      </c>
    </row>
    <row r="39" spans="1:15">
      <c r="A39" t="s">
        <v>2129</v>
      </c>
      <c r="B39" t="s">
        <v>2085</v>
      </c>
      <c r="C39" t="s">
        <v>2100</v>
      </c>
      <c r="D39" s="1">
        <v>43590</v>
      </c>
      <c r="E39" s="1">
        <v>44944</v>
      </c>
      <c r="F39">
        <v>348</v>
      </c>
      <c r="G39">
        <v>32</v>
      </c>
      <c r="H39">
        <v>1782.2</v>
      </c>
      <c r="I39">
        <v>124.97</v>
      </c>
      <c r="J39" t="s">
        <v>66</v>
      </c>
      <c r="K39" t="s">
        <v>20</v>
      </c>
      <c r="L39" t="s">
        <v>2095</v>
      </c>
      <c r="M39">
        <v>2</v>
      </c>
      <c r="N39" t="s">
        <v>174</v>
      </c>
      <c r="O39" t="s">
        <v>2109</v>
      </c>
    </row>
    <row r="40" spans="1:15">
      <c r="A40" t="s">
        <v>2130</v>
      </c>
      <c r="B40" t="s">
        <v>2085</v>
      </c>
      <c r="C40" t="s">
        <v>2111</v>
      </c>
      <c r="D40" s="1">
        <v>43674</v>
      </c>
      <c r="E40" s="1">
        <v>45273</v>
      </c>
      <c r="F40">
        <v>19</v>
      </c>
      <c r="G40">
        <v>21</v>
      </c>
      <c r="H40">
        <v>2143.63</v>
      </c>
      <c r="I40">
        <v>186.37</v>
      </c>
      <c r="J40" t="s">
        <v>115</v>
      </c>
      <c r="K40" t="s">
        <v>16</v>
      </c>
      <c r="L40" t="s">
        <v>2087</v>
      </c>
      <c r="M40">
        <v>6</v>
      </c>
      <c r="N40" t="s">
        <v>204</v>
      </c>
      <c r="O40" t="s">
        <v>2096</v>
      </c>
    </row>
    <row r="41" spans="1:15">
      <c r="A41" t="s">
        <v>1288</v>
      </c>
      <c r="B41" t="s">
        <v>2090</v>
      </c>
      <c r="C41" t="s">
        <v>2086</v>
      </c>
      <c r="D41" s="1">
        <v>45078</v>
      </c>
      <c r="E41" s="1">
        <v>45264</v>
      </c>
      <c r="F41">
        <v>28</v>
      </c>
      <c r="G41">
        <v>8</v>
      </c>
      <c r="H41">
        <v>211.55</v>
      </c>
      <c r="I41">
        <v>109.17</v>
      </c>
      <c r="J41" t="s">
        <v>14</v>
      </c>
      <c r="K41" t="s">
        <v>16</v>
      </c>
      <c r="L41" t="s">
        <v>2087</v>
      </c>
      <c r="M41">
        <v>7</v>
      </c>
      <c r="N41" t="s">
        <v>179</v>
      </c>
      <c r="O41" t="s">
        <v>2109</v>
      </c>
    </row>
    <row r="42" spans="1:15">
      <c r="A42" t="s">
        <v>2131</v>
      </c>
      <c r="B42" t="s">
        <v>2090</v>
      </c>
      <c r="C42" t="s">
        <v>2100</v>
      </c>
      <c r="D42" s="1">
        <v>44849</v>
      </c>
      <c r="E42" s="1">
        <v>44940</v>
      </c>
      <c r="F42">
        <v>352</v>
      </c>
      <c r="G42">
        <v>6</v>
      </c>
      <c r="H42">
        <v>112.41</v>
      </c>
      <c r="I42">
        <v>92.07</v>
      </c>
      <c r="J42" t="s">
        <v>115</v>
      </c>
      <c r="K42" t="s">
        <v>16</v>
      </c>
      <c r="L42" t="s">
        <v>2106</v>
      </c>
      <c r="M42">
        <v>3</v>
      </c>
      <c r="N42" t="s">
        <v>174</v>
      </c>
      <c r="O42" t="s">
        <v>2096</v>
      </c>
    </row>
    <row r="43" spans="1:15">
      <c r="A43" t="s">
        <v>2132</v>
      </c>
      <c r="B43" t="s">
        <v>2085</v>
      </c>
      <c r="C43" t="s">
        <v>2086</v>
      </c>
      <c r="D43" s="1">
        <v>45187</v>
      </c>
      <c r="E43" s="1">
        <v>45026</v>
      </c>
      <c r="F43">
        <v>266</v>
      </c>
      <c r="G43">
        <v>31</v>
      </c>
      <c r="H43">
        <v>2369.2600000000002</v>
      </c>
      <c r="I43">
        <v>218.58</v>
      </c>
      <c r="J43" t="s">
        <v>41</v>
      </c>
      <c r="K43" t="s">
        <v>20</v>
      </c>
      <c r="L43" t="s">
        <v>2106</v>
      </c>
      <c r="M43">
        <v>4</v>
      </c>
      <c r="N43" t="s">
        <v>194</v>
      </c>
      <c r="O43" t="s">
        <v>2109</v>
      </c>
    </row>
    <row r="44" spans="1:15">
      <c r="A44" t="s">
        <v>1821</v>
      </c>
      <c r="B44" t="s">
        <v>2099</v>
      </c>
      <c r="C44" t="s">
        <v>2091</v>
      </c>
      <c r="D44" s="1">
        <v>43556</v>
      </c>
      <c r="E44" s="1">
        <v>44957</v>
      </c>
      <c r="F44">
        <v>335</v>
      </c>
      <c r="G44">
        <v>2</v>
      </c>
      <c r="H44">
        <v>44.17</v>
      </c>
      <c r="I44">
        <v>31.01</v>
      </c>
      <c r="J44" t="s">
        <v>66</v>
      </c>
      <c r="K44" t="s">
        <v>20</v>
      </c>
      <c r="L44" t="s">
        <v>2087</v>
      </c>
      <c r="M44">
        <v>8</v>
      </c>
      <c r="N44" t="s">
        <v>165</v>
      </c>
      <c r="O44" t="s">
        <v>2121</v>
      </c>
    </row>
    <row r="45" spans="1:15">
      <c r="A45" t="s">
        <v>1343</v>
      </c>
      <c r="B45" t="s">
        <v>2113</v>
      </c>
      <c r="C45" t="s">
        <v>2094</v>
      </c>
      <c r="D45" s="1">
        <v>44168</v>
      </c>
      <c r="E45" s="1">
        <v>45076</v>
      </c>
      <c r="F45">
        <v>216</v>
      </c>
      <c r="G45">
        <v>9</v>
      </c>
      <c r="H45">
        <v>173.7</v>
      </c>
      <c r="I45">
        <v>45.43</v>
      </c>
      <c r="J45" t="s">
        <v>14</v>
      </c>
      <c r="K45" t="s">
        <v>20</v>
      </c>
      <c r="L45" t="s">
        <v>2106</v>
      </c>
      <c r="M45">
        <v>10</v>
      </c>
      <c r="N45" t="s">
        <v>165</v>
      </c>
      <c r="O45" t="s">
        <v>2107</v>
      </c>
    </row>
    <row r="46" spans="1:15">
      <c r="A46" t="s">
        <v>2133</v>
      </c>
      <c r="B46" t="s">
        <v>2085</v>
      </c>
      <c r="C46" t="s">
        <v>2100</v>
      </c>
      <c r="D46" s="1">
        <v>45224</v>
      </c>
      <c r="E46" s="1">
        <v>44954</v>
      </c>
      <c r="F46">
        <v>338</v>
      </c>
      <c r="G46">
        <v>19</v>
      </c>
      <c r="H46">
        <v>1915.64</v>
      </c>
      <c r="I46">
        <v>267.02999999999997</v>
      </c>
      <c r="J46" t="s">
        <v>66</v>
      </c>
      <c r="K46" t="s">
        <v>16</v>
      </c>
      <c r="L46" t="s">
        <v>2095</v>
      </c>
      <c r="M46">
        <v>10</v>
      </c>
      <c r="N46" t="s">
        <v>157</v>
      </c>
      <c r="O46" t="s">
        <v>2096</v>
      </c>
    </row>
    <row r="47" spans="1:15">
      <c r="A47" t="s">
        <v>2134</v>
      </c>
      <c r="B47" t="s">
        <v>2113</v>
      </c>
      <c r="C47" t="s">
        <v>2108</v>
      </c>
      <c r="D47" s="1">
        <v>44423</v>
      </c>
      <c r="E47" s="1">
        <v>45234</v>
      </c>
      <c r="F47">
        <v>58</v>
      </c>
      <c r="G47">
        <v>11</v>
      </c>
      <c r="H47">
        <v>433.93</v>
      </c>
      <c r="I47">
        <v>64.739999999999995</v>
      </c>
      <c r="J47" t="s">
        <v>66</v>
      </c>
      <c r="K47" t="s">
        <v>20</v>
      </c>
      <c r="L47" t="s">
        <v>2106</v>
      </c>
      <c r="M47">
        <v>5</v>
      </c>
      <c r="N47" t="s">
        <v>232</v>
      </c>
      <c r="O47" t="s">
        <v>2121</v>
      </c>
    </row>
    <row r="48" spans="1:15">
      <c r="A48" t="s">
        <v>2135</v>
      </c>
      <c r="B48" t="s">
        <v>2099</v>
      </c>
      <c r="C48" t="s">
        <v>2100</v>
      </c>
      <c r="D48" s="1">
        <v>45082</v>
      </c>
      <c r="E48" s="1">
        <v>44948</v>
      </c>
      <c r="F48">
        <v>344</v>
      </c>
      <c r="G48">
        <v>2</v>
      </c>
      <c r="H48">
        <v>41.1</v>
      </c>
      <c r="I48">
        <v>56.34</v>
      </c>
      <c r="J48" t="s">
        <v>41</v>
      </c>
      <c r="K48" t="s">
        <v>16</v>
      </c>
      <c r="L48" t="s">
        <v>2106</v>
      </c>
      <c r="M48">
        <v>3</v>
      </c>
      <c r="N48" t="s">
        <v>165</v>
      </c>
      <c r="O48" t="s">
        <v>2107</v>
      </c>
    </row>
    <row r="49" spans="1:15">
      <c r="A49" t="s">
        <v>2136</v>
      </c>
      <c r="B49" t="s">
        <v>2099</v>
      </c>
      <c r="C49" t="s">
        <v>2108</v>
      </c>
      <c r="D49" s="1">
        <v>45134</v>
      </c>
      <c r="E49" s="1">
        <v>45096</v>
      </c>
      <c r="F49">
        <v>196</v>
      </c>
      <c r="G49">
        <v>1</v>
      </c>
      <c r="H49">
        <v>51.07</v>
      </c>
      <c r="I49">
        <v>78.77</v>
      </c>
      <c r="J49" t="s">
        <v>90</v>
      </c>
      <c r="K49" t="s">
        <v>16</v>
      </c>
      <c r="L49" t="s">
        <v>2087</v>
      </c>
      <c r="M49">
        <v>2</v>
      </c>
      <c r="N49" t="s">
        <v>179</v>
      </c>
      <c r="O49" t="s">
        <v>2096</v>
      </c>
    </row>
    <row r="50" spans="1:15">
      <c r="A50" t="s">
        <v>1636</v>
      </c>
      <c r="B50" t="s">
        <v>2113</v>
      </c>
      <c r="C50" t="s">
        <v>2094</v>
      </c>
      <c r="D50" s="1">
        <v>43701</v>
      </c>
      <c r="E50" s="1">
        <v>44999</v>
      </c>
      <c r="F50">
        <v>293</v>
      </c>
      <c r="G50">
        <v>5</v>
      </c>
      <c r="H50">
        <v>136.87</v>
      </c>
      <c r="I50">
        <v>31.5</v>
      </c>
      <c r="J50" t="s">
        <v>90</v>
      </c>
      <c r="K50" t="s">
        <v>16</v>
      </c>
      <c r="L50" t="s">
        <v>2106</v>
      </c>
      <c r="M50">
        <v>9</v>
      </c>
      <c r="N50" t="s">
        <v>179</v>
      </c>
      <c r="O50" t="s">
        <v>2121</v>
      </c>
    </row>
    <row r="51" spans="1:15">
      <c r="A51" t="s">
        <v>2137</v>
      </c>
      <c r="B51" t="s">
        <v>2085</v>
      </c>
      <c r="C51" t="s">
        <v>2108</v>
      </c>
      <c r="D51" s="1">
        <v>43914</v>
      </c>
      <c r="E51" s="1">
        <v>45061</v>
      </c>
      <c r="F51">
        <v>231</v>
      </c>
      <c r="G51">
        <v>12</v>
      </c>
      <c r="H51">
        <v>1238.07</v>
      </c>
      <c r="I51">
        <v>156.82</v>
      </c>
      <c r="J51" t="s">
        <v>41</v>
      </c>
      <c r="K51" t="s">
        <v>16</v>
      </c>
      <c r="L51" t="s">
        <v>2106</v>
      </c>
      <c r="M51">
        <v>3</v>
      </c>
      <c r="N51" t="s">
        <v>157</v>
      </c>
      <c r="O51" t="s">
        <v>2107</v>
      </c>
    </row>
    <row r="52" spans="1:15">
      <c r="A52" t="s">
        <v>730</v>
      </c>
      <c r="B52" t="s">
        <v>2085</v>
      </c>
      <c r="C52" t="s">
        <v>2091</v>
      </c>
      <c r="D52" s="1">
        <v>43508</v>
      </c>
      <c r="E52" s="1">
        <v>45273</v>
      </c>
      <c r="F52">
        <v>19</v>
      </c>
      <c r="G52">
        <v>17</v>
      </c>
      <c r="H52">
        <v>2654.34</v>
      </c>
      <c r="I52">
        <v>282.13</v>
      </c>
      <c r="J52" t="s">
        <v>90</v>
      </c>
      <c r="K52" t="s">
        <v>20</v>
      </c>
      <c r="L52" t="s">
        <v>2095</v>
      </c>
      <c r="M52">
        <v>5</v>
      </c>
      <c r="N52" t="s">
        <v>157</v>
      </c>
      <c r="O52" t="s">
        <v>2121</v>
      </c>
    </row>
    <row r="53" spans="1:15">
      <c r="A53" t="s">
        <v>2138</v>
      </c>
      <c r="B53" t="s">
        <v>2099</v>
      </c>
      <c r="C53" t="s">
        <v>2086</v>
      </c>
      <c r="D53" s="1">
        <v>43816</v>
      </c>
      <c r="E53" s="1">
        <v>45196</v>
      </c>
      <c r="F53">
        <v>96</v>
      </c>
      <c r="G53">
        <v>1</v>
      </c>
      <c r="H53">
        <v>68.05</v>
      </c>
      <c r="I53">
        <v>49.79</v>
      </c>
      <c r="J53" t="s">
        <v>90</v>
      </c>
      <c r="K53" t="s">
        <v>20</v>
      </c>
      <c r="L53" t="s">
        <v>2095</v>
      </c>
      <c r="M53">
        <v>1</v>
      </c>
      <c r="N53" t="s">
        <v>157</v>
      </c>
      <c r="O53" t="s">
        <v>2107</v>
      </c>
    </row>
    <row r="54" spans="1:15">
      <c r="A54" t="s">
        <v>2139</v>
      </c>
      <c r="B54" t="s">
        <v>2097</v>
      </c>
      <c r="C54" t="s">
        <v>2100</v>
      </c>
      <c r="D54" s="1">
        <v>44117</v>
      </c>
      <c r="E54" s="1">
        <v>45233</v>
      </c>
      <c r="F54">
        <v>59</v>
      </c>
      <c r="G54">
        <v>6</v>
      </c>
      <c r="H54">
        <v>496.16</v>
      </c>
      <c r="I54">
        <v>119.44</v>
      </c>
      <c r="J54" t="s">
        <v>41</v>
      </c>
      <c r="K54" t="s">
        <v>16</v>
      </c>
      <c r="L54" t="s">
        <v>2106</v>
      </c>
      <c r="M54">
        <v>9</v>
      </c>
      <c r="N54" t="s">
        <v>157</v>
      </c>
      <c r="O54" t="s">
        <v>2088</v>
      </c>
    </row>
    <row r="55" spans="1:15">
      <c r="A55" t="s">
        <v>2140</v>
      </c>
      <c r="B55" t="s">
        <v>2113</v>
      </c>
      <c r="C55" t="s">
        <v>2091</v>
      </c>
      <c r="D55" s="1">
        <v>45095</v>
      </c>
      <c r="E55" s="1">
        <v>45070</v>
      </c>
      <c r="F55">
        <v>222</v>
      </c>
      <c r="G55">
        <v>9</v>
      </c>
      <c r="H55">
        <v>263.83999999999997</v>
      </c>
      <c r="I55">
        <v>32.659999999999997</v>
      </c>
      <c r="J55" t="s">
        <v>115</v>
      </c>
      <c r="K55" t="s">
        <v>20</v>
      </c>
      <c r="L55" t="s">
        <v>2087</v>
      </c>
      <c r="M55">
        <v>3</v>
      </c>
      <c r="N55" t="s">
        <v>165</v>
      </c>
      <c r="O55" t="s">
        <v>2096</v>
      </c>
    </row>
    <row r="56" spans="1:15">
      <c r="A56" t="s">
        <v>2141</v>
      </c>
      <c r="B56" t="s">
        <v>2099</v>
      </c>
      <c r="C56" t="s">
        <v>2094</v>
      </c>
      <c r="D56" s="1">
        <v>44787</v>
      </c>
      <c r="E56" s="1">
        <v>45187</v>
      </c>
      <c r="F56">
        <v>105</v>
      </c>
      <c r="G56">
        <v>1</v>
      </c>
      <c r="H56">
        <v>41.77</v>
      </c>
      <c r="I56">
        <v>51.05</v>
      </c>
      <c r="J56" t="s">
        <v>90</v>
      </c>
      <c r="K56" t="s">
        <v>20</v>
      </c>
      <c r="L56" t="s">
        <v>2087</v>
      </c>
      <c r="M56">
        <v>2</v>
      </c>
      <c r="N56" t="s">
        <v>194</v>
      </c>
      <c r="O56" t="s">
        <v>2121</v>
      </c>
    </row>
    <row r="57" spans="1:15">
      <c r="A57" t="s">
        <v>2142</v>
      </c>
      <c r="B57" t="s">
        <v>2090</v>
      </c>
      <c r="C57" t="s">
        <v>2086</v>
      </c>
      <c r="D57" s="1">
        <v>44436</v>
      </c>
      <c r="E57" s="1">
        <v>45064</v>
      </c>
      <c r="F57">
        <v>228</v>
      </c>
      <c r="G57">
        <v>7</v>
      </c>
      <c r="H57">
        <v>234.66</v>
      </c>
      <c r="I57">
        <v>116.46</v>
      </c>
      <c r="J57" t="s">
        <v>90</v>
      </c>
      <c r="K57" t="s">
        <v>20</v>
      </c>
      <c r="L57" t="s">
        <v>2106</v>
      </c>
      <c r="M57">
        <v>10</v>
      </c>
      <c r="N57" t="s">
        <v>174</v>
      </c>
      <c r="O57" t="s">
        <v>2107</v>
      </c>
    </row>
    <row r="58" spans="1:15">
      <c r="A58" t="s">
        <v>2143</v>
      </c>
      <c r="B58" t="s">
        <v>2097</v>
      </c>
      <c r="C58" t="s">
        <v>2100</v>
      </c>
      <c r="D58" s="1">
        <v>43913</v>
      </c>
      <c r="E58" s="1">
        <v>45083</v>
      </c>
      <c r="F58">
        <v>209</v>
      </c>
      <c r="G58">
        <v>6</v>
      </c>
      <c r="H58">
        <v>443.85</v>
      </c>
      <c r="I58">
        <v>73.44</v>
      </c>
      <c r="J58" t="s">
        <v>90</v>
      </c>
      <c r="K58" t="s">
        <v>20</v>
      </c>
      <c r="L58" t="s">
        <v>2095</v>
      </c>
      <c r="M58">
        <v>5</v>
      </c>
      <c r="N58" t="s">
        <v>194</v>
      </c>
      <c r="O58" t="s">
        <v>2088</v>
      </c>
    </row>
    <row r="59" spans="1:15">
      <c r="A59" t="s">
        <v>2144</v>
      </c>
      <c r="B59" t="s">
        <v>2085</v>
      </c>
      <c r="C59" t="s">
        <v>2091</v>
      </c>
      <c r="D59" s="1">
        <v>44528</v>
      </c>
      <c r="E59" s="1">
        <v>45107</v>
      </c>
      <c r="F59">
        <v>185</v>
      </c>
      <c r="G59">
        <v>16</v>
      </c>
      <c r="H59">
        <v>2453.5700000000002</v>
      </c>
      <c r="I59">
        <v>159.01</v>
      </c>
      <c r="J59" t="s">
        <v>115</v>
      </c>
      <c r="K59" t="s">
        <v>16</v>
      </c>
      <c r="L59" t="s">
        <v>2087</v>
      </c>
      <c r="M59">
        <v>8</v>
      </c>
      <c r="N59" t="s">
        <v>232</v>
      </c>
      <c r="O59" t="s">
        <v>2121</v>
      </c>
    </row>
    <row r="60" spans="1:15">
      <c r="A60" t="s">
        <v>1626</v>
      </c>
      <c r="B60" t="s">
        <v>2099</v>
      </c>
      <c r="C60" t="s">
        <v>2094</v>
      </c>
      <c r="D60" s="1">
        <v>45113</v>
      </c>
      <c r="E60" s="1">
        <v>45181</v>
      </c>
      <c r="F60">
        <v>111</v>
      </c>
      <c r="G60">
        <v>2</v>
      </c>
      <c r="H60">
        <v>80.78</v>
      </c>
      <c r="I60">
        <v>52.72</v>
      </c>
      <c r="J60" t="s">
        <v>66</v>
      </c>
      <c r="K60" t="s">
        <v>16</v>
      </c>
      <c r="L60" t="s">
        <v>2095</v>
      </c>
      <c r="M60">
        <v>2</v>
      </c>
      <c r="N60" t="s">
        <v>204</v>
      </c>
      <c r="O60" t="s">
        <v>2107</v>
      </c>
    </row>
    <row r="61" spans="1:15">
      <c r="A61" t="s">
        <v>2145</v>
      </c>
      <c r="B61" t="s">
        <v>2113</v>
      </c>
      <c r="C61" t="s">
        <v>2086</v>
      </c>
      <c r="D61" s="1">
        <v>45191</v>
      </c>
      <c r="E61" s="1">
        <v>45183</v>
      </c>
      <c r="F61">
        <v>109</v>
      </c>
      <c r="G61">
        <v>7</v>
      </c>
      <c r="H61">
        <v>279.55</v>
      </c>
      <c r="I61">
        <v>34.119999999999997</v>
      </c>
      <c r="J61" t="s">
        <v>115</v>
      </c>
      <c r="K61" t="s">
        <v>20</v>
      </c>
      <c r="L61" t="s">
        <v>2095</v>
      </c>
      <c r="M61">
        <v>4</v>
      </c>
      <c r="N61" t="s">
        <v>157</v>
      </c>
      <c r="O61" t="s">
        <v>2096</v>
      </c>
    </row>
    <row r="62" spans="1:15">
      <c r="A62" t="s">
        <v>2146</v>
      </c>
      <c r="B62" t="s">
        <v>2085</v>
      </c>
      <c r="C62" t="s">
        <v>2108</v>
      </c>
      <c r="D62" s="1">
        <v>44149</v>
      </c>
      <c r="E62" s="1">
        <v>45027</v>
      </c>
      <c r="F62">
        <v>265</v>
      </c>
      <c r="G62">
        <v>14</v>
      </c>
      <c r="H62">
        <v>1592.52</v>
      </c>
      <c r="I62">
        <v>209.21</v>
      </c>
      <c r="J62" t="s">
        <v>66</v>
      </c>
      <c r="K62" t="s">
        <v>16</v>
      </c>
      <c r="L62" t="s">
        <v>2087</v>
      </c>
      <c r="M62">
        <v>10</v>
      </c>
      <c r="N62" t="s">
        <v>179</v>
      </c>
      <c r="O62" t="s">
        <v>2121</v>
      </c>
    </row>
    <row r="63" spans="1:15">
      <c r="A63" t="s">
        <v>2147</v>
      </c>
      <c r="B63" t="s">
        <v>2097</v>
      </c>
      <c r="C63" t="s">
        <v>2094</v>
      </c>
      <c r="D63" s="1">
        <v>44981</v>
      </c>
      <c r="E63" s="1">
        <v>45205</v>
      </c>
      <c r="F63">
        <v>87</v>
      </c>
      <c r="G63">
        <v>5</v>
      </c>
      <c r="H63">
        <v>798.96</v>
      </c>
      <c r="I63">
        <v>125.24</v>
      </c>
      <c r="J63" t="s">
        <v>14</v>
      </c>
      <c r="K63" t="s">
        <v>16</v>
      </c>
      <c r="L63" t="s">
        <v>2087</v>
      </c>
      <c r="M63">
        <v>5</v>
      </c>
      <c r="N63" t="s">
        <v>179</v>
      </c>
      <c r="O63" t="s">
        <v>2109</v>
      </c>
    </row>
    <row r="64" spans="1:15">
      <c r="A64" t="s">
        <v>2148</v>
      </c>
      <c r="B64" t="s">
        <v>2099</v>
      </c>
      <c r="C64" t="s">
        <v>2100</v>
      </c>
      <c r="D64" s="1">
        <v>45024</v>
      </c>
      <c r="E64" s="1">
        <v>45003</v>
      </c>
      <c r="F64">
        <v>289</v>
      </c>
      <c r="G64">
        <v>1</v>
      </c>
      <c r="H64">
        <v>81.36</v>
      </c>
      <c r="I64">
        <v>61.01</v>
      </c>
      <c r="J64" t="s">
        <v>41</v>
      </c>
      <c r="K64" t="s">
        <v>16</v>
      </c>
      <c r="L64" t="s">
        <v>2106</v>
      </c>
      <c r="M64">
        <v>3</v>
      </c>
      <c r="N64" t="s">
        <v>204</v>
      </c>
      <c r="O64" t="s">
        <v>2107</v>
      </c>
    </row>
    <row r="65" spans="1:15">
      <c r="A65" t="s">
        <v>2149</v>
      </c>
      <c r="B65" t="s">
        <v>2090</v>
      </c>
      <c r="C65" t="s">
        <v>2094</v>
      </c>
      <c r="D65" s="1">
        <v>44945</v>
      </c>
      <c r="E65" s="1">
        <v>45163</v>
      </c>
      <c r="F65">
        <v>129</v>
      </c>
      <c r="G65">
        <v>6</v>
      </c>
      <c r="H65">
        <v>331.51</v>
      </c>
      <c r="I65">
        <v>100.61</v>
      </c>
      <c r="J65" t="s">
        <v>14</v>
      </c>
      <c r="K65" t="s">
        <v>16</v>
      </c>
      <c r="L65" t="s">
        <v>2095</v>
      </c>
      <c r="M65">
        <v>6</v>
      </c>
      <c r="N65" t="s">
        <v>179</v>
      </c>
      <c r="O65" t="s">
        <v>2109</v>
      </c>
    </row>
    <row r="66" spans="1:15">
      <c r="A66" t="s">
        <v>694</v>
      </c>
      <c r="B66" t="s">
        <v>2097</v>
      </c>
      <c r="C66" t="s">
        <v>2086</v>
      </c>
      <c r="D66" s="1">
        <v>44233</v>
      </c>
      <c r="E66" s="1">
        <v>44998</v>
      </c>
      <c r="F66">
        <v>294</v>
      </c>
      <c r="G66">
        <v>10</v>
      </c>
      <c r="H66">
        <v>442.48</v>
      </c>
      <c r="I66">
        <v>105.84</v>
      </c>
      <c r="J66" t="s">
        <v>41</v>
      </c>
      <c r="K66" t="s">
        <v>16</v>
      </c>
      <c r="L66" t="s">
        <v>2106</v>
      </c>
      <c r="M66">
        <v>0</v>
      </c>
      <c r="N66" t="s">
        <v>204</v>
      </c>
      <c r="O66" t="s">
        <v>2121</v>
      </c>
    </row>
    <row r="67" spans="1:15">
      <c r="A67" t="s">
        <v>2150</v>
      </c>
      <c r="B67" t="s">
        <v>2113</v>
      </c>
      <c r="C67" t="s">
        <v>2086</v>
      </c>
      <c r="D67" s="1">
        <v>44292</v>
      </c>
      <c r="E67" s="1">
        <v>45280</v>
      </c>
      <c r="F67">
        <v>12</v>
      </c>
      <c r="G67">
        <v>12</v>
      </c>
      <c r="H67">
        <v>309.57</v>
      </c>
      <c r="I67">
        <v>64.290000000000006</v>
      </c>
      <c r="J67" t="s">
        <v>66</v>
      </c>
      <c r="K67" t="s">
        <v>16</v>
      </c>
      <c r="L67" t="s">
        <v>2106</v>
      </c>
      <c r="M67">
        <v>0</v>
      </c>
      <c r="N67" t="s">
        <v>232</v>
      </c>
      <c r="O67" t="s">
        <v>2096</v>
      </c>
    </row>
    <row r="68" spans="1:15">
      <c r="A68" t="s">
        <v>2151</v>
      </c>
      <c r="B68" t="s">
        <v>2097</v>
      </c>
      <c r="C68" t="s">
        <v>2086</v>
      </c>
      <c r="D68" s="1">
        <v>44629</v>
      </c>
      <c r="E68" s="1">
        <v>45249</v>
      </c>
      <c r="F68">
        <v>43</v>
      </c>
      <c r="G68">
        <v>5</v>
      </c>
      <c r="H68">
        <v>785.21</v>
      </c>
      <c r="I68">
        <v>149.43</v>
      </c>
      <c r="J68" t="s">
        <v>115</v>
      </c>
      <c r="K68" t="s">
        <v>20</v>
      </c>
      <c r="L68" t="s">
        <v>2087</v>
      </c>
      <c r="M68">
        <v>6</v>
      </c>
      <c r="N68" t="s">
        <v>157</v>
      </c>
      <c r="O68" t="s">
        <v>2109</v>
      </c>
    </row>
    <row r="69" spans="1:15">
      <c r="A69" t="s">
        <v>2152</v>
      </c>
      <c r="B69" t="s">
        <v>2085</v>
      </c>
      <c r="C69" t="s">
        <v>2100</v>
      </c>
      <c r="D69" s="1">
        <v>44139</v>
      </c>
      <c r="E69" s="1">
        <v>45218</v>
      </c>
      <c r="F69">
        <v>74</v>
      </c>
      <c r="G69">
        <v>29</v>
      </c>
      <c r="H69">
        <v>1650.15</v>
      </c>
      <c r="I69">
        <v>194.96</v>
      </c>
      <c r="J69" t="s">
        <v>66</v>
      </c>
      <c r="K69" t="s">
        <v>16</v>
      </c>
      <c r="L69" t="s">
        <v>2095</v>
      </c>
      <c r="M69">
        <v>1</v>
      </c>
      <c r="N69" t="s">
        <v>165</v>
      </c>
      <c r="O69" t="s">
        <v>2088</v>
      </c>
    </row>
    <row r="70" spans="1:15">
      <c r="A70" t="s">
        <v>2153</v>
      </c>
      <c r="B70" t="s">
        <v>2097</v>
      </c>
      <c r="C70" t="s">
        <v>2091</v>
      </c>
      <c r="D70" s="1">
        <v>43520</v>
      </c>
      <c r="E70" s="1">
        <v>45022</v>
      </c>
      <c r="F70">
        <v>270</v>
      </c>
      <c r="G70">
        <v>3</v>
      </c>
      <c r="H70">
        <v>687.21</v>
      </c>
      <c r="I70">
        <v>110.34</v>
      </c>
      <c r="J70" t="s">
        <v>14</v>
      </c>
      <c r="K70" t="s">
        <v>16</v>
      </c>
      <c r="L70" t="s">
        <v>2087</v>
      </c>
      <c r="M70">
        <v>3</v>
      </c>
      <c r="N70" t="s">
        <v>157</v>
      </c>
      <c r="O70" t="s">
        <v>2121</v>
      </c>
    </row>
    <row r="71" spans="1:15">
      <c r="A71" t="s">
        <v>2154</v>
      </c>
      <c r="B71" t="s">
        <v>2093</v>
      </c>
      <c r="C71" t="s">
        <v>2091</v>
      </c>
      <c r="D71" s="1">
        <v>44527</v>
      </c>
      <c r="E71" s="1">
        <v>44932</v>
      </c>
      <c r="F71">
        <v>360</v>
      </c>
      <c r="G71">
        <v>5</v>
      </c>
      <c r="H71">
        <v>41.9</v>
      </c>
      <c r="I71">
        <v>23.45</v>
      </c>
      <c r="J71" t="s">
        <v>66</v>
      </c>
      <c r="K71" t="s">
        <v>16</v>
      </c>
      <c r="L71" t="s">
        <v>2087</v>
      </c>
      <c r="M71">
        <v>2</v>
      </c>
      <c r="N71" t="s">
        <v>174</v>
      </c>
      <c r="O71" t="s">
        <v>2107</v>
      </c>
    </row>
    <row r="72" spans="1:15">
      <c r="A72" t="s">
        <v>2155</v>
      </c>
      <c r="B72" t="s">
        <v>2090</v>
      </c>
      <c r="C72" t="s">
        <v>2091</v>
      </c>
      <c r="D72" s="1">
        <v>45238</v>
      </c>
      <c r="E72" s="1">
        <v>45032</v>
      </c>
      <c r="F72">
        <v>260</v>
      </c>
      <c r="G72">
        <v>5</v>
      </c>
      <c r="H72">
        <v>233.04</v>
      </c>
      <c r="I72">
        <v>45.5</v>
      </c>
      <c r="J72" t="s">
        <v>41</v>
      </c>
      <c r="K72" t="s">
        <v>16</v>
      </c>
      <c r="L72" t="s">
        <v>2087</v>
      </c>
      <c r="M72">
        <v>10</v>
      </c>
      <c r="N72" t="s">
        <v>204</v>
      </c>
      <c r="O72" t="s">
        <v>2107</v>
      </c>
    </row>
    <row r="73" spans="1:15">
      <c r="A73" t="s">
        <v>2156</v>
      </c>
      <c r="B73" t="s">
        <v>2090</v>
      </c>
      <c r="C73" t="s">
        <v>2100</v>
      </c>
      <c r="D73" s="1">
        <v>44495</v>
      </c>
      <c r="E73" s="1">
        <v>45277</v>
      </c>
      <c r="F73">
        <v>15</v>
      </c>
      <c r="G73">
        <v>6</v>
      </c>
      <c r="H73">
        <v>380.53</v>
      </c>
      <c r="I73">
        <v>87</v>
      </c>
      <c r="J73" t="s">
        <v>66</v>
      </c>
      <c r="K73" t="s">
        <v>16</v>
      </c>
      <c r="L73" t="s">
        <v>2095</v>
      </c>
      <c r="M73">
        <v>2</v>
      </c>
      <c r="N73" t="s">
        <v>204</v>
      </c>
      <c r="O73" t="s">
        <v>2096</v>
      </c>
    </row>
    <row r="74" spans="1:15">
      <c r="A74" t="s">
        <v>1104</v>
      </c>
      <c r="B74" t="s">
        <v>2099</v>
      </c>
      <c r="C74" t="s">
        <v>2100</v>
      </c>
      <c r="D74" s="1">
        <v>45266</v>
      </c>
      <c r="E74" s="1">
        <v>45178</v>
      </c>
      <c r="F74">
        <v>114</v>
      </c>
      <c r="G74">
        <v>1</v>
      </c>
      <c r="H74">
        <v>88.36</v>
      </c>
      <c r="I74">
        <v>92.82</v>
      </c>
      <c r="J74" t="s">
        <v>90</v>
      </c>
      <c r="K74" t="s">
        <v>20</v>
      </c>
      <c r="L74" t="s">
        <v>2095</v>
      </c>
      <c r="M74">
        <v>1</v>
      </c>
      <c r="N74" t="s">
        <v>194</v>
      </c>
      <c r="O74" t="s">
        <v>2109</v>
      </c>
    </row>
    <row r="75" spans="1:15">
      <c r="A75" t="s">
        <v>2003</v>
      </c>
      <c r="B75" t="s">
        <v>2113</v>
      </c>
      <c r="C75" t="s">
        <v>2100</v>
      </c>
      <c r="D75" s="1">
        <v>45206</v>
      </c>
      <c r="E75" s="1">
        <v>45016</v>
      </c>
      <c r="F75">
        <v>276</v>
      </c>
      <c r="G75">
        <v>14</v>
      </c>
      <c r="H75">
        <v>295.55</v>
      </c>
      <c r="I75">
        <v>71.17</v>
      </c>
      <c r="J75" t="s">
        <v>41</v>
      </c>
      <c r="K75" t="s">
        <v>16</v>
      </c>
      <c r="L75" t="s">
        <v>2106</v>
      </c>
      <c r="M75">
        <v>6</v>
      </c>
      <c r="N75" t="s">
        <v>204</v>
      </c>
      <c r="O75" t="s">
        <v>2109</v>
      </c>
    </row>
    <row r="76" spans="1:15">
      <c r="A76" t="s">
        <v>456</v>
      </c>
      <c r="B76" t="s">
        <v>2093</v>
      </c>
      <c r="C76" t="s">
        <v>2091</v>
      </c>
      <c r="D76" s="1">
        <v>44896</v>
      </c>
      <c r="E76" s="1">
        <v>44949</v>
      </c>
      <c r="F76">
        <v>343</v>
      </c>
      <c r="G76">
        <v>2</v>
      </c>
      <c r="H76">
        <v>148.75</v>
      </c>
      <c r="I76">
        <v>25.73</v>
      </c>
      <c r="J76" t="s">
        <v>41</v>
      </c>
      <c r="K76" t="s">
        <v>16</v>
      </c>
      <c r="L76" t="s">
        <v>2106</v>
      </c>
      <c r="M76">
        <v>8</v>
      </c>
      <c r="N76" t="s">
        <v>194</v>
      </c>
      <c r="O76" t="s">
        <v>2096</v>
      </c>
    </row>
    <row r="77" spans="1:15">
      <c r="A77" t="s">
        <v>2157</v>
      </c>
      <c r="B77" t="s">
        <v>2093</v>
      </c>
      <c r="C77" t="s">
        <v>2111</v>
      </c>
      <c r="D77" s="1">
        <v>45026</v>
      </c>
      <c r="E77" s="1">
        <v>45210</v>
      </c>
      <c r="F77">
        <v>82</v>
      </c>
      <c r="G77">
        <v>2</v>
      </c>
      <c r="H77">
        <v>184.49</v>
      </c>
      <c r="I77">
        <v>44.68</v>
      </c>
      <c r="J77" t="s">
        <v>66</v>
      </c>
      <c r="K77" t="s">
        <v>16</v>
      </c>
      <c r="L77" t="s">
        <v>2095</v>
      </c>
      <c r="M77">
        <v>8</v>
      </c>
      <c r="N77" t="s">
        <v>179</v>
      </c>
      <c r="O77" t="s">
        <v>2121</v>
      </c>
    </row>
    <row r="78" spans="1:15">
      <c r="A78" t="s">
        <v>1544</v>
      </c>
      <c r="B78" t="s">
        <v>2099</v>
      </c>
      <c r="C78" t="s">
        <v>2111</v>
      </c>
      <c r="D78" s="1">
        <v>43557</v>
      </c>
      <c r="E78" s="1">
        <v>45163</v>
      </c>
      <c r="F78">
        <v>129</v>
      </c>
      <c r="G78">
        <v>2</v>
      </c>
      <c r="H78">
        <v>41.43</v>
      </c>
      <c r="I78">
        <v>36.590000000000003</v>
      </c>
      <c r="J78" t="s">
        <v>14</v>
      </c>
      <c r="K78" t="s">
        <v>20</v>
      </c>
      <c r="L78" t="s">
        <v>2106</v>
      </c>
      <c r="M78">
        <v>10</v>
      </c>
      <c r="N78" t="s">
        <v>165</v>
      </c>
      <c r="O78" t="s">
        <v>2109</v>
      </c>
    </row>
    <row r="79" spans="1:15">
      <c r="A79" t="s">
        <v>2158</v>
      </c>
      <c r="B79" t="s">
        <v>2099</v>
      </c>
      <c r="C79" t="s">
        <v>2111</v>
      </c>
      <c r="D79" s="1">
        <v>44278</v>
      </c>
      <c r="E79" s="1">
        <v>44946</v>
      </c>
      <c r="F79">
        <v>346</v>
      </c>
      <c r="G79">
        <v>2</v>
      </c>
      <c r="H79">
        <v>116.97</v>
      </c>
      <c r="I79">
        <v>88.46</v>
      </c>
      <c r="J79" t="s">
        <v>66</v>
      </c>
      <c r="K79" t="s">
        <v>16</v>
      </c>
      <c r="L79" t="s">
        <v>2106</v>
      </c>
      <c r="M79">
        <v>2</v>
      </c>
      <c r="N79" t="s">
        <v>194</v>
      </c>
      <c r="O79" t="s">
        <v>2109</v>
      </c>
    </row>
    <row r="80" spans="1:15">
      <c r="A80" t="s">
        <v>2159</v>
      </c>
      <c r="B80" t="s">
        <v>2099</v>
      </c>
      <c r="C80" t="s">
        <v>2091</v>
      </c>
      <c r="D80" s="1">
        <v>43962</v>
      </c>
      <c r="E80" s="1">
        <v>45151</v>
      </c>
      <c r="F80">
        <v>141</v>
      </c>
      <c r="G80">
        <v>2</v>
      </c>
      <c r="H80">
        <v>28.87</v>
      </c>
      <c r="I80">
        <v>63.87</v>
      </c>
      <c r="J80" t="s">
        <v>90</v>
      </c>
      <c r="K80" t="s">
        <v>16</v>
      </c>
      <c r="L80" t="s">
        <v>2095</v>
      </c>
      <c r="M80">
        <v>2</v>
      </c>
      <c r="N80" t="s">
        <v>179</v>
      </c>
      <c r="O80" t="s">
        <v>2096</v>
      </c>
    </row>
    <row r="81" spans="1:15">
      <c r="A81" t="s">
        <v>2160</v>
      </c>
      <c r="B81" t="s">
        <v>2090</v>
      </c>
      <c r="C81" t="s">
        <v>2091</v>
      </c>
      <c r="D81" s="1">
        <v>44984</v>
      </c>
      <c r="E81" s="1">
        <v>45127</v>
      </c>
      <c r="F81">
        <v>165</v>
      </c>
      <c r="G81">
        <v>2</v>
      </c>
      <c r="H81">
        <v>136.72</v>
      </c>
      <c r="I81">
        <v>49.93</v>
      </c>
      <c r="J81" t="s">
        <v>14</v>
      </c>
      <c r="K81" t="s">
        <v>20</v>
      </c>
      <c r="L81" t="s">
        <v>2095</v>
      </c>
      <c r="M81">
        <v>10</v>
      </c>
      <c r="N81" t="s">
        <v>194</v>
      </c>
      <c r="O81" t="s">
        <v>2107</v>
      </c>
    </row>
    <row r="82" spans="1:15">
      <c r="A82" t="s">
        <v>1872</v>
      </c>
      <c r="B82" t="s">
        <v>2099</v>
      </c>
      <c r="C82" t="s">
        <v>2091</v>
      </c>
      <c r="D82" s="1">
        <v>44848</v>
      </c>
      <c r="E82" s="1">
        <v>45199</v>
      </c>
      <c r="F82">
        <v>93</v>
      </c>
      <c r="G82">
        <v>2</v>
      </c>
      <c r="H82">
        <v>43.13</v>
      </c>
      <c r="I82">
        <v>77.150000000000006</v>
      </c>
      <c r="J82" t="s">
        <v>90</v>
      </c>
      <c r="K82" t="s">
        <v>20</v>
      </c>
      <c r="L82" t="s">
        <v>2095</v>
      </c>
      <c r="M82">
        <v>10</v>
      </c>
      <c r="N82" t="s">
        <v>179</v>
      </c>
      <c r="O82" t="s">
        <v>2088</v>
      </c>
    </row>
    <row r="83" spans="1:15">
      <c r="A83" t="s">
        <v>2161</v>
      </c>
      <c r="B83" t="s">
        <v>2093</v>
      </c>
      <c r="C83" t="s">
        <v>2111</v>
      </c>
      <c r="D83" s="1">
        <v>43573</v>
      </c>
      <c r="E83" s="1">
        <v>45233</v>
      </c>
      <c r="F83">
        <v>59</v>
      </c>
      <c r="G83">
        <v>1</v>
      </c>
      <c r="H83">
        <v>96.41</v>
      </c>
      <c r="I83">
        <v>38.5</v>
      </c>
      <c r="J83" t="s">
        <v>14</v>
      </c>
      <c r="K83" t="s">
        <v>16</v>
      </c>
      <c r="L83" t="s">
        <v>2095</v>
      </c>
      <c r="M83">
        <v>3</v>
      </c>
      <c r="N83" t="s">
        <v>194</v>
      </c>
      <c r="O83" t="s">
        <v>2107</v>
      </c>
    </row>
    <row r="84" spans="1:15">
      <c r="A84" t="s">
        <v>2162</v>
      </c>
      <c r="B84" t="s">
        <v>2097</v>
      </c>
      <c r="C84" t="s">
        <v>2091</v>
      </c>
      <c r="D84" s="1">
        <v>43495</v>
      </c>
      <c r="E84" s="1">
        <v>45099</v>
      </c>
      <c r="F84">
        <v>193</v>
      </c>
      <c r="G84">
        <v>4</v>
      </c>
      <c r="H84">
        <v>160.41999999999999</v>
      </c>
      <c r="I84">
        <v>52.79</v>
      </c>
      <c r="J84" t="s">
        <v>14</v>
      </c>
      <c r="K84" t="s">
        <v>16</v>
      </c>
      <c r="L84" t="s">
        <v>2095</v>
      </c>
      <c r="M84">
        <v>10</v>
      </c>
      <c r="N84" t="s">
        <v>157</v>
      </c>
      <c r="O84" t="s">
        <v>2107</v>
      </c>
    </row>
    <row r="85" spans="1:15">
      <c r="A85" t="s">
        <v>2163</v>
      </c>
      <c r="B85" t="s">
        <v>2085</v>
      </c>
      <c r="C85" t="s">
        <v>2108</v>
      </c>
      <c r="D85" s="1">
        <v>44126</v>
      </c>
      <c r="E85" s="1">
        <v>45214</v>
      </c>
      <c r="F85">
        <v>78</v>
      </c>
      <c r="G85">
        <v>25</v>
      </c>
      <c r="H85">
        <v>1927.5</v>
      </c>
      <c r="I85">
        <v>263.12</v>
      </c>
      <c r="J85" t="s">
        <v>41</v>
      </c>
      <c r="K85" t="s">
        <v>20</v>
      </c>
      <c r="L85" t="s">
        <v>2095</v>
      </c>
      <c r="M85">
        <v>8</v>
      </c>
      <c r="N85" t="s">
        <v>204</v>
      </c>
      <c r="O85" t="s">
        <v>2109</v>
      </c>
    </row>
    <row r="86" spans="1:15">
      <c r="A86" t="s">
        <v>2164</v>
      </c>
      <c r="B86" t="s">
        <v>2085</v>
      </c>
      <c r="C86" t="s">
        <v>2100</v>
      </c>
      <c r="D86" s="1">
        <v>43821</v>
      </c>
      <c r="E86" s="1">
        <v>44934</v>
      </c>
      <c r="F86">
        <v>358</v>
      </c>
      <c r="G86">
        <v>19</v>
      </c>
      <c r="H86">
        <v>1270.32</v>
      </c>
      <c r="I86">
        <v>171.32</v>
      </c>
      <c r="J86" t="s">
        <v>66</v>
      </c>
      <c r="K86" t="s">
        <v>16</v>
      </c>
      <c r="L86" t="s">
        <v>2087</v>
      </c>
      <c r="M86">
        <v>3</v>
      </c>
      <c r="N86" t="s">
        <v>204</v>
      </c>
      <c r="O86" t="s">
        <v>2107</v>
      </c>
    </row>
    <row r="87" spans="1:15">
      <c r="A87" t="s">
        <v>2165</v>
      </c>
      <c r="B87" t="s">
        <v>2085</v>
      </c>
      <c r="C87" t="s">
        <v>2111</v>
      </c>
      <c r="D87" s="1">
        <v>44221</v>
      </c>
      <c r="E87" s="1">
        <v>44949</v>
      </c>
      <c r="F87">
        <v>343</v>
      </c>
      <c r="G87">
        <v>33</v>
      </c>
      <c r="H87">
        <v>2593.19</v>
      </c>
      <c r="I87">
        <v>229.99</v>
      </c>
      <c r="J87" t="s">
        <v>41</v>
      </c>
      <c r="K87" t="s">
        <v>16</v>
      </c>
      <c r="L87" t="s">
        <v>2087</v>
      </c>
      <c r="M87">
        <v>9</v>
      </c>
      <c r="N87" t="s">
        <v>204</v>
      </c>
      <c r="O87" t="s">
        <v>2096</v>
      </c>
    </row>
    <row r="88" spans="1:15">
      <c r="A88" t="s">
        <v>2166</v>
      </c>
      <c r="B88" t="s">
        <v>2093</v>
      </c>
      <c r="C88" t="s">
        <v>2094</v>
      </c>
      <c r="D88" s="1">
        <v>44631</v>
      </c>
      <c r="E88" s="1">
        <v>45014</v>
      </c>
      <c r="F88">
        <v>278</v>
      </c>
      <c r="G88">
        <v>5</v>
      </c>
      <c r="H88">
        <v>164.51</v>
      </c>
      <c r="I88">
        <v>75.33</v>
      </c>
      <c r="J88" t="s">
        <v>14</v>
      </c>
      <c r="K88" t="s">
        <v>20</v>
      </c>
      <c r="L88" t="s">
        <v>2087</v>
      </c>
      <c r="M88">
        <v>10</v>
      </c>
      <c r="N88" t="s">
        <v>165</v>
      </c>
      <c r="O88" t="s">
        <v>2109</v>
      </c>
    </row>
    <row r="89" spans="1:15">
      <c r="A89" t="s">
        <v>2167</v>
      </c>
      <c r="B89" t="s">
        <v>2093</v>
      </c>
      <c r="C89" t="s">
        <v>2108</v>
      </c>
      <c r="D89" s="1">
        <v>44874</v>
      </c>
      <c r="E89" s="1">
        <v>45089</v>
      </c>
      <c r="F89">
        <v>203</v>
      </c>
      <c r="G89">
        <v>2</v>
      </c>
      <c r="H89">
        <v>86.45</v>
      </c>
      <c r="I89">
        <v>58.12</v>
      </c>
      <c r="J89" t="s">
        <v>90</v>
      </c>
      <c r="K89" t="s">
        <v>16</v>
      </c>
      <c r="L89" t="s">
        <v>2087</v>
      </c>
      <c r="M89">
        <v>0</v>
      </c>
      <c r="N89" t="s">
        <v>232</v>
      </c>
      <c r="O89" t="s">
        <v>2088</v>
      </c>
    </row>
    <row r="90" spans="1:15">
      <c r="A90" t="s">
        <v>2168</v>
      </c>
      <c r="B90" t="s">
        <v>2099</v>
      </c>
      <c r="C90" t="s">
        <v>2108</v>
      </c>
      <c r="D90" s="1">
        <v>44497</v>
      </c>
      <c r="E90" s="1">
        <v>45227</v>
      </c>
      <c r="F90">
        <v>65</v>
      </c>
      <c r="G90">
        <v>2</v>
      </c>
      <c r="H90">
        <v>86.43</v>
      </c>
      <c r="I90">
        <v>79.349999999999994</v>
      </c>
      <c r="J90" t="s">
        <v>14</v>
      </c>
      <c r="K90" t="s">
        <v>16</v>
      </c>
      <c r="L90" t="s">
        <v>2095</v>
      </c>
      <c r="M90">
        <v>9</v>
      </c>
      <c r="N90" t="s">
        <v>179</v>
      </c>
      <c r="O90" t="s">
        <v>2096</v>
      </c>
    </row>
    <row r="91" spans="1:15">
      <c r="A91" t="s">
        <v>2169</v>
      </c>
      <c r="B91" t="s">
        <v>2113</v>
      </c>
      <c r="C91" t="s">
        <v>2111</v>
      </c>
      <c r="D91" s="1">
        <v>44735</v>
      </c>
      <c r="E91" s="1">
        <v>44967</v>
      </c>
      <c r="F91">
        <v>325</v>
      </c>
      <c r="G91">
        <v>12</v>
      </c>
      <c r="H91">
        <v>468.96</v>
      </c>
      <c r="I91">
        <v>67.86</v>
      </c>
      <c r="J91" t="s">
        <v>41</v>
      </c>
      <c r="K91" t="s">
        <v>16</v>
      </c>
      <c r="L91" t="s">
        <v>2087</v>
      </c>
      <c r="M91">
        <v>4</v>
      </c>
      <c r="N91" t="s">
        <v>157</v>
      </c>
      <c r="O91" t="s">
        <v>2107</v>
      </c>
    </row>
    <row r="92" spans="1:15">
      <c r="A92" t="s">
        <v>2170</v>
      </c>
      <c r="B92" t="s">
        <v>2099</v>
      </c>
      <c r="C92" t="s">
        <v>2100</v>
      </c>
      <c r="D92" s="1">
        <v>44951</v>
      </c>
      <c r="E92" s="1">
        <v>45233</v>
      </c>
      <c r="F92">
        <v>59</v>
      </c>
      <c r="G92">
        <v>1</v>
      </c>
      <c r="H92">
        <v>103.47</v>
      </c>
      <c r="I92">
        <v>39.049999999999997</v>
      </c>
      <c r="J92" t="s">
        <v>66</v>
      </c>
      <c r="K92" t="s">
        <v>16</v>
      </c>
      <c r="L92" t="s">
        <v>2087</v>
      </c>
      <c r="M92">
        <v>5</v>
      </c>
      <c r="N92" t="s">
        <v>165</v>
      </c>
      <c r="O92" t="s">
        <v>2096</v>
      </c>
    </row>
    <row r="93" spans="1:15">
      <c r="A93" t="s">
        <v>1230</v>
      </c>
      <c r="B93" t="s">
        <v>2090</v>
      </c>
      <c r="C93" t="s">
        <v>2091</v>
      </c>
      <c r="D93" s="1">
        <v>44056</v>
      </c>
      <c r="E93" s="1">
        <v>44939</v>
      </c>
      <c r="F93">
        <v>353</v>
      </c>
      <c r="G93">
        <v>8</v>
      </c>
      <c r="H93">
        <v>392.82</v>
      </c>
      <c r="I93">
        <v>91.84</v>
      </c>
      <c r="J93" t="s">
        <v>66</v>
      </c>
      <c r="K93" t="s">
        <v>16</v>
      </c>
      <c r="L93" t="s">
        <v>2095</v>
      </c>
      <c r="M93">
        <v>3</v>
      </c>
      <c r="N93" t="s">
        <v>232</v>
      </c>
      <c r="O93" t="s">
        <v>2096</v>
      </c>
    </row>
    <row r="94" spans="1:15">
      <c r="A94" t="s">
        <v>2171</v>
      </c>
      <c r="B94" t="s">
        <v>2093</v>
      </c>
      <c r="C94" t="s">
        <v>2100</v>
      </c>
      <c r="D94" s="1">
        <v>43921</v>
      </c>
      <c r="E94" s="1">
        <v>45238</v>
      </c>
      <c r="F94">
        <v>54</v>
      </c>
      <c r="G94">
        <v>2</v>
      </c>
      <c r="H94">
        <v>166.25</v>
      </c>
      <c r="I94">
        <v>61.78</v>
      </c>
      <c r="J94" t="s">
        <v>115</v>
      </c>
      <c r="K94" t="s">
        <v>16</v>
      </c>
      <c r="L94" t="s">
        <v>2095</v>
      </c>
      <c r="M94">
        <v>7</v>
      </c>
      <c r="N94" t="s">
        <v>165</v>
      </c>
      <c r="O94" t="s">
        <v>2096</v>
      </c>
    </row>
    <row r="95" spans="1:15">
      <c r="A95" t="s">
        <v>2172</v>
      </c>
      <c r="B95" t="s">
        <v>2085</v>
      </c>
      <c r="C95" t="s">
        <v>2091</v>
      </c>
      <c r="D95" s="1">
        <v>43572</v>
      </c>
      <c r="E95" s="1">
        <v>45251</v>
      </c>
      <c r="F95">
        <v>41</v>
      </c>
      <c r="G95">
        <v>39</v>
      </c>
      <c r="H95">
        <v>1881.61</v>
      </c>
      <c r="I95">
        <v>290.73</v>
      </c>
      <c r="J95" t="s">
        <v>41</v>
      </c>
      <c r="K95" t="s">
        <v>16</v>
      </c>
      <c r="L95" t="s">
        <v>2095</v>
      </c>
      <c r="M95">
        <v>2</v>
      </c>
      <c r="N95" t="s">
        <v>232</v>
      </c>
      <c r="O95" t="s">
        <v>2088</v>
      </c>
    </row>
    <row r="96" spans="1:15">
      <c r="A96" t="s">
        <v>2173</v>
      </c>
      <c r="B96" t="s">
        <v>2097</v>
      </c>
      <c r="C96" t="s">
        <v>2091</v>
      </c>
      <c r="D96" s="1">
        <v>44422</v>
      </c>
      <c r="E96" s="1">
        <v>45086</v>
      </c>
      <c r="F96">
        <v>206</v>
      </c>
      <c r="G96">
        <v>6</v>
      </c>
      <c r="H96">
        <v>479.83</v>
      </c>
      <c r="I96">
        <v>92.62</v>
      </c>
      <c r="J96" t="s">
        <v>41</v>
      </c>
      <c r="K96" t="s">
        <v>16</v>
      </c>
      <c r="L96" t="s">
        <v>2087</v>
      </c>
      <c r="M96">
        <v>2</v>
      </c>
      <c r="N96" t="s">
        <v>232</v>
      </c>
      <c r="O96" t="s">
        <v>2107</v>
      </c>
    </row>
    <row r="97" spans="1:15">
      <c r="A97" t="s">
        <v>2174</v>
      </c>
      <c r="B97" t="s">
        <v>2113</v>
      </c>
      <c r="C97" t="s">
        <v>2100</v>
      </c>
      <c r="D97" s="1">
        <v>43878</v>
      </c>
      <c r="E97" s="1">
        <v>45066</v>
      </c>
      <c r="F97">
        <v>226</v>
      </c>
      <c r="G97">
        <v>14</v>
      </c>
      <c r="H97">
        <v>388.21</v>
      </c>
      <c r="I97">
        <v>78.39</v>
      </c>
      <c r="J97" t="s">
        <v>14</v>
      </c>
      <c r="K97" t="s">
        <v>16</v>
      </c>
      <c r="L97" t="s">
        <v>2087</v>
      </c>
      <c r="M97">
        <v>6</v>
      </c>
      <c r="N97" t="s">
        <v>157</v>
      </c>
      <c r="O97" t="s">
        <v>2109</v>
      </c>
    </row>
    <row r="98" spans="1:15">
      <c r="A98" t="s">
        <v>2175</v>
      </c>
      <c r="B98" t="s">
        <v>2099</v>
      </c>
      <c r="C98" t="s">
        <v>2100</v>
      </c>
      <c r="D98" s="1">
        <v>45023</v>
      </c>
      <c r="E98" s="1">
        <v>45006</v>
      </c>
      <c r="F98">
        <v>286</v>
      </c>
      <c r="G98">
        <v>2</v>
      </c>
      <c r="H98">
        <v>85.69</v>
      </c>
      <c r="I98">
        <v>78.790000000000006</v>
      </c>
      <c r="J98" t="s">
        <v>14</v>
      </c>
      <c r="K98" t="s">
        <v>16</v>
      </c>
      <c r="L98" t="s">
        <v>2087</v>
      </c>
      <c r="M98">
        <v>1</v>
      </c>
      <c r="N98" t="s">
        <v>179</v>
      </c>
      <c r="O98" t="s">
        <v>2121</v>
      </c>
    </row>
    <row r="99" spans="1:15">
      <c r="A99" t="s">
        <v>2176</v>
      </c>
      <c r="B99" t="s">
        <v>2090</v>
      </c>
      <c r="C99" t="s">
        <v>2100</v>
      </c>
      <c r="D99" s="1">
        <v>43992</v>
      </c>
      <c r="E99" s="1">
        <v>45121</v>
      </c>
      <c r="F99">
        <v>171</v>
      </c>
      <c r="G99">
        <v>6</v>
      </c>
      <c r="H99">
        <v>128.9</v>
      </c>
      <c r="I99">
        <v>98.13</v>
      </c>
      <c r="J99" t="s">
        <v>66</v>
      </c>
      <c r="K99" t="s">
        <v>16</v>
      </c>
      <c r="L99" t="s">
        <v>2087</v>
      </c>
      <c r="M99">
        <v>6</v>
      </c>
      <c r="N99" t="s">
        <v>232</v>
      </c>
      <c r="O99" t="s">
        <v>2088</v>
      </c>
    </row>
    <row r="100" spans="1:15">
      <c r="A100" t="s">
        <v>2177</v>
      </c>
      <c r="B100" t="s">
        <v>2099</v>
      </c>
      <c r="C100" t="s">
        <v>2091</v>
      </c>
      <c r="D100" s="1">
        <v>43866</v>
      </c>
      <c r="E100" s="1">
        <v>45006</v>
      </c>
      <c r="F100">
        <v>286</v>
      </c>
      <c r="G100">
        <v>1</v>
      </c>
      <c r="H100">
        <v>63.32</v>
      </c>
      <c r="I100">
        <v>77.19</v>
      </c>
      <c r="J100" t="s">
        <v>14</v>
      </c>
      <c r="K100" t="s">
        <v>16</v>
      </c>
      <c r="L100" t="s">
        <v>2106</v>
      </c>
      <c r="M100">
        <v>5</v>
      </c>
      <c r="N100" t="s">
        <v>204</v>
      </c>
      <c r="O100" t="s">
        <v>2109</v>
      </c>
    </row>
    <row r="101" spans="1:15">
      <c r="A101" t="s">
        <v>2178</v>
      </c>
      <c r="B101" t="s">
        <v>2099</v>
      </c>
      <c r="C101" t="s">
        <v>2108</v>
      </c>
      <c r="D101" s="1">
        <v>44468</v>
      </c>
      <c r="E101" s="1">
        <v>45084</v>
      </c>
      <c r="F101">
        <v>208</v>
      </c>
      <c r="G101">
        <v>2</v>
      </c>
      <c r="H101">
        <v>146.16</v>
      </c>
      <c r="I101">
        <v>49.85</v>
      </c>
      <c r="J101" t="s">
        <v>115</v>
      </c>
      <c r="K101" t="s">
        <v>16</v>
      </c>
      <c r="L101" t="s">
        <v>2087</v>
      </c>
      <c r="M101">
        <v>0</v>
      </c>
      <c r="N101" t="s">
        <v>174</v>
      </c>
      <c r="O101" t="s">
        <v>2109</v>
      </c>
    </row>
    <row r="102" spans="1:15">
      <c r="A102" t="s">
        <v>2179</v>
      </c>
      <c r="B102" t="s">
        <v>2090</v>
      </c>
      <c r="C102" t="s">
        <v>2086</v>
      </c>
      <c r="D102" s="1">
        <v>43988</v>
      </c>
      <c r="E102" s="1">
        <v>45105</v>
      </c>
      <c r="F102">
        <v>187</v>
      </c>
      <c r="G102">
        <v>3</v>
      </c>
      <c r="H102">
        <v>142.15</v>
      </c>
      <c r="I102">
        <v>74.900000000000006</v>
      </c>
      <c r="J102" t="s">
        <v>90</v>
      </c>
      <c r="K102" t="s">
        <v>20</v>
      </c>
      <c r="L102" t="s">
        <v>2106</v>
      </c>
      <c r="M102">
        <v>5</v>
      </c>
      <c r="N102" t="s">
        <v>165</v>
      </c>
      <c r="O102" t="s">
        <v>2096</v>
      </c>
    </row>
    <row r="103" spans="1:15">
      <c r="A103" t="s">
        <v>2180</v>
      </c>
      <c r="B103" t="s">
        <v>2093</v>
      </c>
      <c r="C103" t="s">
        <v>2111</v>
      </c>
      <c r="D103" s="1">
        <v>43962</v>
      </c>
      <c r="E103" s="1">
        <v>45171</v>
      </c>
      <c r="F103">
        <v>121</v>
      </c>
      <c r="G103">
        <v>4</v>
      </c>
      <c r="H103">
        <v>187.51</v>
      </c>
      <c r="I103">
        <v>64.14</v>
      </c>
      <c r="J103" t="s">
        <v>66</v>
      </c>
      <c r="K103" t="s">
        <v>20</v>
      </c>
      <c r="L103" t="s">
        <v>2106</v>
      </c>
      <c r="M103">
        <v>10</v>
      </c>
      <c r="N103" t="s">
        <v>174</v>
      </c>
      <c r="O103" t="s">
        <v>2107</v>
      </c>
    </row>
    <row r="104" spans="1:15">
      <c r="A104" t="s">
        <v>2181</v>
      </c>
      <c r="B104" t="s">
        <v>2113</v>
      </c>
      <c r="C104" t="s">
        <v>2086</v>
      </c>
      <c r="D104" s="1">
        <v>43972</v>
      </c>
      <c r="E104" s="1">
        <v>45235</v>
      </c>
      <c r="F104">
        <v>57</v>
      </c>
      <c r="G104">
        <v>19</v>
      </c>
      <c r="H104">
        <v>572.13</v>
      </c>
      <c r="I104">
        <v>37.369999999999997</v>
      </c>
      <c r="J104" t="s">
        <v>41</v>
      </c>
      <c r="K104" t="s">
        <v>16</v>
      </c>
      <c r="L104" t="s">
        <v>2095</v>
      </c>
      <c r="M104">
        <v>1</v>
      </c>
      <c r="N104" t="s">
        <v>165</v>
      </c>
      <c r="O104" t="s">
        <v>2109</v>
      </c>
    </row>
    <row r="105" spans="1:15">
      <c r="A105" t="s">
        <v>2182</v>
      </c>
      <c r="B105" t="s">
        <v>2099</v>
      </c>
      <c r="C105" t="s">
        <v>2100</v>
      </c>
      <c r="D105" s="1">
        <v>44332</v>
      </c>
      <c r="E105" s="1">
        <v>45011</v>
      </c>
      <c r="F105">
        <v>281</v>
      </c>
      <c r="G105">
        <v>1</v>
      </c>
      <c r="H105">
        <v>87.41</v>
      </c>
      <c r="I105">
        <v>35.11</v>
      </c>
      <c r="J105" t="s">
        <v>66</v>
      </c>
      <c r="K105" t="s">
        <v>20</v>
      </c>
      <c r="L105" t="s">
        <v>2087</v>
      </c>
      <c r="M105">
        <v>8</v>
      </c>
      <c r="N105" t="s">
        <v>232</v>
      </c>
      <c r="O105" t="s">
        <v>2109</v>
      </c>
    </row>
    <row r="106" spans="1:15">
      <c r="A106" t="s">
        <v>2183</v>
      </c>
      <c r="B106" t="s">
        <v>2090</v>
      </c>
      <c r="C106" t="s">
        <v>2111</v>
      </c>
      <c r="D106" s="1">
        <v>44956</v>
      </c>
      <c r="E106" s="1">
        <v>44972</v>
      </c>
      <c r="F106">
        <v>320</v>
      </c>
      <c r="G106">
        <v>4</v>
      </c>
      <c r="H106">
        <v>314.86</v>
      </c>
      <c r="I106">
        <v>100.2</v>
      </c>
      <c r="J106" t="s">
        <v>115</v>
      </c>
      <c r="K106" t="s">
        <v>16</v>
      </c>
      <c r="L106" t="s">
        <v>2095</v>
      </c>
      <c r="M106">
        <v>4</v>
      </c>
      <c r="N106" t="s">
        <v>165</v>
      </c>
      <c r="O106" t="s">
        <v>2107</v>
      </c>
    </row>
    <row r="107" spans="1:15">
      <c r="A107" t="s">
        <v>2184</v>
      </c>
      <c r="B107" t="s">
        <v>2093</v>
      </c>
      <c r="C107" t="s">
        <v>2111</v>
      </c>
      <c r="D107" s="1">
        <v>43810</v>
      </c>
      <c r="E107" s="1">
        <v>45178</v>
      </c>
      <c r="F107">
        <v>114</v>
      </c>
      <c r="G107">
        <v>4</v>
      </c>
      <c r="H107">
        <v>148.83000000000001</v>
      </c>
      <c r="I107">
        <v>20.39</v>
      </c>
      <c r="J107" t="s">
        <v>14</v>
      </c>
      <c r="K107" t="s">
        <v>16</v>
      </c>
      <c r="L107" t="s">
        <v>2106</v>
      </c>
      <c r="M107">
        <v>6</v>
      </c>
      <c r="N107" t="s">
        <v>232</v>
      </c>
      <c r="O107" t="s">
        <v>2109</v>
      </c>
    </row>
    <row r="108" spans="1:15">
      <c r="A108" t="s">
        <v>518</v>
      </c>
      <c r="B108" t="s">
        <v>2093</v>
      </c>
      <c r="C108" t="s">
        <v>2108</v>
      </c>
      <c r="D108" s="1">
        <v>44233</v>
      </c>
      <c r="E108" s="1">
        <v>45022</v>
      </c>
      <c r="F108">
        <v>270</v>
      </c>
      <c r="G108">
        <v>3</v>
      </c>
      <c r="H108">
        <v>154.62</v>
      </c>
      <c r="I108">
        <v>30.24</v>
      </c>
      <c r="J108" t="s">
        <v>41</v>
      </c>
      <c r="K108" t="s">
        <v>16</v>
      </c>
      <c r="L108" t="s">
        <v>2087</v>
      </c>
      <c r="M108">
        <v>2</v>
      </c>
      <c r="N108" t="s">
        <v>232</v>
      </c>
      <c r="O108" t="s">
        <v>2096</v>
      </c>
    </row>
    <row r="109" spans="1:15">
      <c r="A109" t="s">
        <v>2185</v>
      </c>
      <c r="B109" t="s">
        <v>2099</v>
      </c>
      <c r="C109" t="s">
        <v>2094</v>
      </c>
      <c r="D109" s="1">
        <v>43840</v>
      </c>
      <c r="E109" s="1">
        <v>45025</v>
      </c>
      <c r="F109">
        <v>267</v>
      </c>
      <c r="G109">
        <v>1</v>
      </c>
      <c r="H109">
        <v>44.13</v>
      </c>
      <c r="I109">
        <v>24.72</v>
      </c>
      <c r="J109" t="s">
        <v>90</v>
      </c>
      <c r="K109" t="s">
        <v>16</v>
      </c>
      <c r="L109" t="s">
        <v>2106</v>
      </c>
      <c r="M109">
        <v>9</v>
      </c>
      <c r="N109" t="s">
        <v>174</v>
      </c>
      <c r="O109" t="s">
        <v>2107</v>
      </c>
    </row>
    <row r="110" spans="1:15">
      <c r="A110" t="s">
        <v>2186</v>
      </c>
      <c r="B110" t="s">
        <v>2085</v>
      </c>
      <c r="C110" t="s">
        <v>2111</v>
      </c>
      <c r="D110" s="1">
        <v>43597</v>
      </c>
      <c r="E110" s="1">
        <v>45102</v>
      </c>
      <c r="F110">
        <v>190</v>
      </c>
      <c r="G110">
        <v>21</v>
      </c>
      <c r="H110">
        <v>988.56</v>
      </c>
      <c r="I110">
        <v>124.94</v>
      </c>
      <c r="J110" t="s">
        <v>115</v>
      </c>
      <c r="K110" t="s">
        <v>16</v>
      </c>
      <c r="L110" t="s">
        <v>2087</v>
      </c>
      <c r="M110">
        <v>7</v>
      </c>
      <c r="N110" t="s">
        <v>165</v>
      </c>
      <c r="O110" t="s">
        <v>2096</v>
      </c>
    </row>
    <row r="111" spans="1:15">
      <c r="A111" t="s">
        <v>843</v>
      </c>
      <c r="B111" t="s">
        <v>2085</v>
      </c>
      <c r="C111" t="s">
        <v>2111</v>
      </c>
      <c r="D111" s="1">
        <v>44828</v>
      </c>
      <c r="E111" s="1">
        <v>45225</v>
      </c>
      <c r="F111">
        <v>67</v>
      </c>
      <c r="G111">
        <v>13</v>
      </c>
      <c r="H111">
        <v>1385.38</v>
      </c>
      <c r="I111">
        <v>291.04000000000002</v>
      </c>
      <c r="J111" t="s">
        <v>14</v>
      </c>
      <c r="K111" t="s">
        <v>16</v>
      </c>
      <c r="L111" t="s">
        <v>2106</v>
      </c>
      <c r="M111">
        <v>0</v>
      </c>
      <c r="N111" t="s">
        <v>204</v>
      </c>
      <c r="O111" t="s">
        <v>2088</v>
      </c>
    </row>
    <row r="112" spans="1:15">
      <c r="A112" t="s">
        <v>748</v>
      </c>
      <c r="B112" t="s">
        <v>2090</v>
      </c>
      <c r="C112" t="s">
        <v>2086</v>
      </c>
      <c r="D112" s="1">
        <v>45016</v>
      </c>
      <c r="E112" s="1">
        <v>45099</v>
      </c>
      <c r="F112">
        <v>193</v>
      </c>
      <c r="G112">
        <v>8</v>
      </c>
      <c r="H112">
        <v>165.07</v>
      </c>
      <c r="I112">
        <v>78.87</v>
      </c>
      <c r="J112" t="s">
        <v>90</v>
      </c>
      <c r="K112" t="s">
        <v>16</v>
      </c>
      <c r="L112" t="s">
        <v>2087</v>
      </c>
      <c r="M112">
        <v>10</v>
      </c>
      <c r="N112" t="s">
        <v>194</v>
      </c>
      <c r="O112" t="s">
        <v>2121</v>
      </c>
    </row>
    <row r="113" spans="1:15">
      <c r="A113" t="s">
        <v>2187</v>
      </c>
      <c r="B113" t="s">
        <v>2097</v>
      </c>
      <c r="C113" t="s">
        <v>2094</v>
      </c>
      <c r="D113" s="1">
        <v>43583</v>
      </c>
      <c r="E113" s="1">
        <v>45109</v>
      </c>
      <c r="F113">
        <v>183</v>
      </c>
      <c r="G113">
        <v>8</v>
      </c>
      <c r="H113">
        <v>582.29999999999995</v>
      </c>
      <c r="I113">
        <v>87.84</v>
      </c>
      <c r="J113" t="s">
        <v>14</v>
      </c>
      <c r="K113" t="s">
        <v>16</v>
      </c>
      <c r="L113" t="s">
        <v>2087</v>
      </c>
      <c r="M113">
        <v>6</v>
      </c>
      <c r="N113" t="s">
        <v>165</v>
      </c>
      <c r="O113" t="s">
        <v>2107</v>
      </c>
    </row>
    <row r="114" spans="1:15">
      <c r="A114" t="s">
        <v>2188</v>
      </c>
      <c r="B114" t="s">
        <v>2085</v>
      </c>
      <c r="C114" t="s">
        <v>2094</v>
      </c>
      <c r="D114" s="1">
        <v>44898</v>
      </c>
      <c r="E114" s="1">
        <v>45054</v>
      </c>
      <c r="F114">
        <v>238</v>
      </c>
      <c r="G114">
        <v>31</v>
      </c>
      <c r="H114">
        <v>1070.3699999999999</v>
      </c>
      <c r="I114">
        <v>206.13</v>
      </c>
      <c r="J114" t="s">
        <v>90</v>
      </c>
      <c r="K114" t="s">
        <v>20</v>
      </c>
      <c r="L114" t="s">
        <v>2106</v>
      </c>
      <c r="M114">
        <v>10</v>
      </c>
      <c r="N114" t="s">
        <v>179</v>
      </c>
      <c r="O114" t="s">
        <v>2109</v>
      </c>
    </row>
    <row r="115" spans="1:15">
      <c r="A115" t="s">
        <v>2189</v>
      </c>
      <c r="B115" t="s">
        <v>2090</v>
      </c>
      <c r="C115" t="s">
        <v>2111</v>
      </c>
      <c r="D115" s="1">
        <v>44772</v>
      </c>
      <c r="E115" s="1">
        <v>45091</v>
      </c>
      <c r="F115">
        <v>201</v>
      </c>
      <c r="G115">
        <v>5</v>
      </c>
      <c r="H115">
        <v>291.27</v>
      </c>
      <c r="I115">
        <v>40.25</v>
      </c>
      <c r="J115" t="s">
        <v>66</v>
      </c>
      <c r="K115" t="s">
        <v>16</v>
      </c>
      <c r="L115" t="s">
        <v>2106</v>
      </c>
      <c r="M115">
        <v>5</v>
      </c>
      <c r="N115" t="s">
        <v>165</v>
      </c>
      <c r="O115" t="s">
        <v>2109</v>
      </c>
    </row>
    <row r="116" spans="1:15">
      <c r="A116" t="s">
        <v>2190</v>
      </c>
      <c r="B116" t="s">
        <v>2097</v>
      </c>
      <c r="C116" t="s">
        <v>2100</v>
      </c>
      <c r="D116" s="1">
        <v>43632</v>
      </c>
      <c r="E116" s="1">
        <v>45105</v>
      </c>
      <c r="F116">
        <v>187</v>
      </c>
      <c r="G116">
        <v>10</v>
      </c>
      <c r="H116">
        <v>410.11</v>
      </c>
      <c r="I116">
        <v>111.26</v>
      </c>
      <c r="J116" t="s">
        <v>90</v>
      </c>
      <c r="K116" t="s">
        <v>20</v>
      </c>
      <c r="L116" t="s">
        <v>2106</v>
      </c>
      <c r="M116">
        <v>1</v>
      </c>
      <c r="N116" t="s">
        <v>165</v>
      </c>
      <c r="O116" t="s">
        <v>2109</v>
      </c>
    </row>
    <row r="117" spans="1:15">
      <c r="A117" t="s">
        <v>2191</v>
      </c>
      <c r="B117" t="s">
        <v>2113</v>
      </c>
      <c r="C117" t="s">
        <v>2108</v>
      </c>
      <c r="D117" s="1">
        <v>45260</v>
      </c>
      <c r="E117" s="1">
        <v>45219</v>
      </c>
      <c r="F117">
        <v>73</v>
      </c>
      <c r="G117">
        <v>11</v>
      </c>
      <c r="H117">
        <v>455.97</v>
      </c>
      <c r="I117">
        <v>73.489999999999995</v>
      </c>
      <c r="J117" t="s">
        <v>115</v>
      </c>
      <c r="K117" t="s">
        <v>16</v>
      </c>
      <c r="L117" t="s">
        <v>2095</v>
      </c>
      <c r="M117">
        <v>7</v>
      </c>
      <c r="N117" t="s">
        <v>179</v>
      </c>
      <c r="O117" t="s">
        <v>2096</v>
      </c>
    </row>
    <row r="118" spans="1:15">
      <c r="A118" t="s">
        <v>2192</v>
      </c>
      <c r="B118" t="s">
        <v>2113</v>
      </c>
      <c r="C118" t="s">
        <v>2108</v>
      </c>
      <c r="D118" s="1">
        <v>43702</v>
      </c>
      <c r="E118" s="1">
        <v>45173</v>
      </c>
      <c r="F118">
        <v>119</v>
      </c>
      <c r="G118">
        <v>19</v>
      </c>
      <c r="H118">
        <v>184.03</v>
      </c>
      <c r="I118">
        <v>52.31</v>
      </c>
      <c r="J118" t="s">
        <v>115</v>
      </c>
      <c r="K118" t="s">
        <v>16</v>
      </c>
      <c r="L118" t="s">
        <v>2095</v>
      </c>
      <c r="M118">
        <v>3</v>
      </c>
      <c r="N118" t="s">
        <v>157</v>
      </c>
      <c r="O118" t="s">
        <v>2096</v>
      </c>
    </row>
    <row r="119" spans="1:15">
      <c r="A119" t="s">
        <v>2193</v>
      </c>
      <c r="B119" t="s">
        <v>2085</v>
      </c>
      <c r="C119" t="s">
        <v>2094</v>
      </c>
      <c r="D119" s="1">
        <v>44134</v>
      </c>
      <c r="E119" s="1">
        <v>45123</v>
      </c>
      <c r="F119">
        <v>169</v>
      </c>
      <c r="G119">
        <v>25</v>
      </c>
      <c r="H119">
        <v>2985.4</v>
      </c>
      <c r="I119">
        <v>105.84</v>
      </c>
      <c r="J119" t="s">
        <v>41</v>
      </c>
      <c r="K119" t="s">
        <v>20</v>
      </c>
      <c r="L119" t="s">
        <v>2087</v>
      </c>
      <c r="M119">
        <v>10</v>
      </c>
      <c r="N119" t="s">
        <v>204</v>
      </c>
      <c r="O119" t="s">
        <v>2096</v>
      </c>
    </row>
    <row r="120" spans="1:15">
      <c r="A120" t="s">
        <v>2194</v>
      </c>
      <c r="B120" t="s">
        <v>2093</v>
      </c>
      <c r="C120" t="s">
        <v>2108</v>
      </c>
      <c r="D120" s="1">
        <v>44473</v>
      </c>
      <c r="E120" s="1">
        <v>44973</v>
      </c>
      <c r="F120">
        <v>319</v>
      </c>
      <c r="G120">
        <v>2</v>
      </c>
      <c r="H120">
        <v>186.87</v>
      </c>
      <c r="I120">
        <v>58.01</v>
      </c>
      <c r="J120" t="s">
        <v>66</v>
      </c>
      <c r="K120" t="s">
        <v>16</v>
      </c>
      <c r="L120" t="s">
        <v>2106</v>
      </c>
      <c r="M120">
        <v>9</v>
      </c>
      <c r="N120" t="s">
        <v>174</v>
      </c>
      <c r="O120" t="s">
        <v>2121</v>
      </c>
    </row>
    <row r="121" spans="1:15">
      <c r="A121" t="s">
        <v>2195</v>
      </c>
      <c r="B121" t="s">
        <v>2099</v>
      </c>
      <c r="C121" t="s">
        <v>2091</v>
      </c>
      <c r="D121" s="1">
        <v>45219</v>
      </c>
      <c r="E121" s="1">
        <v>45150</v>
      </c>
      <c r="F121">
        <v>142</v>
      </c>
      <c r="G121">
        <v>2</v>
      </c>
      <c r="H121">
        <v>105.01</v>
      </c>
      <c r="I121">
        <v>82.81</v>
      </c>
      <c r="J121" t="s">
        <v>41</v>
      </c>
      <c r="K121" t="s">
        <v>16</v>
      </c>
      <c r="L121" t="s">
        <v>2095</v>
      </c>
      <c r="M121">
        <v>4</v>
      </c>
      <c r="N121" t="s">
        <v>174</v>
      </c>
      <c r="O121" t="s">
        <v>2096</v>
      </c>
    </row>
    <row r="122" spans="1:15">
      <c r="A122" t="s">
        <v>925</v>
      </c>
      <c r="B122" t="s">
        <v>2085</v>
      </c>
      <c r="C122" t="s">
        <v>2086</v>
      </c>
      <c r="D122" s="1">
        <v>44990</v>
      </c>
      <c r="E122" s="1">
        <v>44986</v>
      </c>
      <c r="F122">
        <v>306</v>
      </c>
      <c r="G122">
        <v>22</v>
      </c>
      <c r="H122">
        <v>2429.2800000000002</v>
      </c>
      <c r="I122">
        <v>287.44</v>
      </c>
      <c r="J122" t="s">
        <v>66</v>
      </c>
      <c r="K122" t="s">
        <v>16</v>
      </c>
      <c r="L122" t="s">
        <v>2087</v>
      </c>
      <c r="M122">
        <v>6</v>
      </c>
      <c r="N122" t="s">
        <v>232</v>
      </c>
      <c r="O122" t="s">
        <v>2096</v>
      </c>
    </row>
    <row r="123" spans="1:15">
      <c r="A123" t="s">
        <v>718</v>
      </c>
      <c r="B123" t="s">
        <v>2113</v>
      </c>
      <c r="C123" t="s">
        <v>2094</v>
      </c>
      <c r="D123" s="1">
        <v>44260</v>
      </c>
      <c r="E123" s="1">
        <v>45143</v>
      </c>
      <c r="F123">
        <v>149</v>
      </c>
      <c r="G123">
        <v>6</v>
      </c>
      <c r="H123">
        <v>395.03</v>
      </c>
      <c r="I123">
        <v>39.49</v>
      </c>
      <c r="J123" t="s">
        <v>66</v>
      </c>
      <c r="K123" t="s">
        <v>20</v>
      </c>
      <c r="L123" t="s">
        <v>2095</v>
      </c>
      <c r="M123">
        <v>8</v>
      </c>
      <c r="N123" t="s">
        <v>165</v>
      </c>
      <c r="O123" t="s">
        <v>2088</v>
      </c>
    </row>
    <row r="124" spans="1:15">
      <c r="A124" t="s">
        <v>2196</v>
      </c>
      <c r="B124" t="s">
        <v>2090</v>
      </c>
      <c r="C124" t="s">
        <v>2094</v>
      </c>
      <c r="D124" s="1">
        <v>45211</v>
      </c>
      <c r="E124" s="1">
        <v>45162</v>
      </c>
      <c r="F124">
        <v>130</v>
      </c>
      <c r="G124">
        <v>3</v>
      </c>
      <c r="H124">
        <v>114.11</v>
      </c>
      <c r="I124">
        <v>40.74</v>
      </c>
      <c r="J124" t="s">
        <v>41</v>
      </c>
      <c r="K124" t="s">
        <v>16</v>
      </c>
      <c r="L124" t="s">
        <v>2095</v>
      </c>
      <c r="M124">
        <v>7</v>
      </c>
      <c r="N124" t="s">
        <v>165</v>
      </c>
      <c r="O124" t="s">
        <v>2109</v>
      </c>
    </row>
    <row r="125" spans="1:15">
      <c r="A125" t="s">
        <v>2197</v>
      </c>
      <c r="B125" t="s">
        <v>2097</v>
      </c>
      <c r="C125" t="s">
        <v>2111</v>
      </c>
      <c r="D125" s="1">
        <v>45107</v>
      </c>
      <c r="E125" s="1">
        <v>45286</v>
      </c>
      <c r="F125">
        <v>6</v>
      </c>
      <c r="G125">
        <v>7</v>
      </c>
      <c r="H125">
        <v>244.82</v>
      </c>
      <c r="I125">
        <v>116.54</v>
      </c>
      <c r="J125" t="s">
        <v>115</v>
      </c>
      <c r="K125" t="s">
        <v>16</v>
      </c>
      <c r="L125" t="s">
        <v>2087</v>
      </c>
      <c r="M125">
        <v>8</v>
      </c>
      <c r="N125" t="s">
        <v>165</v>
      </c>
      <c r="O125" t="s">
        <v>2096</v>
      </c>
    </row>
    <row r="126" spans="1:15">
      <c r="A126" t="s">
        <v>2198</v>
      </c>
      <c r="B126" t="s">
        <v>2113</v>
      </c>
      <c r="C126" t="s">
        <v>2100</v>
      </c>
      <c r="D126" s="1">
        <v>44062</v>
      </c>
      <c r="E126" s="1">
        <v>45287</v>
      </c>
      <c r="F126">
        <v>5</v>
      </c>
      <c r="G126">
        <v>20</v>
      </c>
      <c r="H126">
        <v>415.54</v>
      </c>
      <c r="I126">
        <v>40.79</v>
      </c>
      <c r="J126" t="s">
        <v>14</v>
      </c>
      <c r="K126" t="s">
        <v>16</v>
      </c>
      <c r="L126" t="s">
        <v>2095</v>
      </c>
      <c r="M126">
        <v>3</v>
      </c>
      <c r="N126" t="s">
        <v>179</v>
      </c>
      <c r="O126" t="s">
        <v>2107</v>
      </c>
    </row>
    <row r="127" spans="1:15">
      <c r="A127" t="s">
        <v>2199</v>
      </c>
      <c r="B127" t="s">
        <v>2093</v>
      </c>
      <c r="C127" t="s">
        <v>2108</v>
      </c>
      <c r="D127" s="1">
        <v>45220</v>
      </c>
      <c r="E127" s="1">
        <v>45176</v>
      </c>
      <c r="F127">
        <v>116</v>
      </c>
      <c r="G127">
        <v>1</v>
      </c>
      <c r="H127">
        <v>186.94</v>
      </c>
      <c r="I127">
        <v>66.56</v>
      </c>
      <c r="J127" t="s">
        <v>90</v>
      </c>
      <c r="K127" t="s">
        <v>16</v>
      </c>
      <c r="L127" t="s">
        <v>2106</v>
      </c>
      <c r="M127">
        <v>2</v>
      </c>
      <c r="N127" t="s">
        <v>174</v>
      </c>
      <c r="O127" t="s">
        <v>2088</v>
      </c>
    </row>
    <row r="128" spans="1:15">
      <c r="A128" t="s">
        <v>2200</v>
      </c>
      <c r="B128" t="s">
        <v>2099</v>
      </c>
      <c r="C128" t="s">
        <v>2100</v>
      </c>
      <c r="D128" s="1">
        <v>44179</v>
      </c>
      <c r="E128" s="1">
        <v>45127</v>
      </c>
      <c r="F128">
        <v>165</v>
      </c>
      <c r="G128">
        <v>2</v>
      </c>
      <c r="H128">
        <v>74.92</v>
      </c>
      <c r="I128">
        <v>57.87</v>
      </c>
      <c r="J128" t="s">
        <v>14</v>
      </c>
      <c r="K128" t="s">
        <v>20</v>
      </c>
      <c r="L128" t="s">
        <v>2106</v>
      </c>
      <c r="M128">
        <v>4</v>
      </c>
      <c r="N128" t="s">
        <v>194</v>
      </c>
      <c r="O128" t="s">
        <v>2107</v>
      </c>
    </row>
    <row r="129" spans="1:15">
      <c r="A129" t="s">
        <v>2201</v>
      </c>
      <c r="B129" t="s">
        <v>2093</v>
      </c>
      <c r="C129" t="s">
        <v>2111</v>
      </c>
      <c r="D129" s="1">
        <v>45006</v>
      </c>
      <c r="E129" s="1">
        <v>45224</v>
      </c>
      <c r="F129">
        <v>68</v>
      </c>
      <c r="G129">
        <v>5</v>
      </c>
      <c r="H129">
        <v>96.94</v>
      </c>
      <c r="I129">
        <v>27.85</v>
      </c>
      <c r="J129" t="s">
        <v>66</v>
      </c>
      <c r="K129" t="s">
        <v>16</v>
      </c>
      <c r="L129" t="s">
        <v>2106</v>
      </c>
      <c r="M129">
        <v>2</v>
      </c>
      <c r="N129" t="s">
        <v>232</v>
      </c>
      <c r="O129" t="s">
        <v>2107</v>
      </c>
    </row>
    <row r="130" spans="1:15">
      <c r="A130" t="s">
        <v>2202</v>
      </c>
      <c r="B130" t="s">
        <v>2099</v>
      </c>
      <c r="C130" t="s">
        <v>2108</v>
      </c>
      <c r="D130" s="1">
        <v>43912</v>
      </c>
      <c r="E130" s="1">
        <v>45027</v>
      </c>
      <c r="F130">
        <v>265</v>
      </c>
      <c r="G130">
        <v>2</v>
      </c>
      <c r="H130">
        <v>57.84</v>
      </c>
      <c r="I130">
        <v>31.59</v>
      </c>
      <c r="J130" t="s">
        <v>14</v>
      </c>
      <c r="K130" t="s">
        <v>16</v>
      </c>
      <c r="L130" t="s">
        <v>2106</v>
      </c>
      <c r="M130">
        <v>9</v>
      </c>
      <c r="N130" t="s">
        <v>174</v>
      </c>
      <c r="O130" t="s">
        <v>2107</v>
      </c>
    </row>
    <row r="131" spans="1:15">
      <c r="A131" t="s">
        <v>2203</v>
      </c>
      <c r="B131" t="s">
        <v>2099</v>
      </c>
      <c r="C131" t="s">
        <v>2094</v>
      </c>
      <c r="D131" s="1">
        <v>43581</v>
      </c>
      <c r="E131" s="1">
        <v>44976</v>
      </c>
      <c r="F131">
        <v>316</v>
      </c>
      <c r="G131">
        <v>2</v>
      </c>
      <c r="H131">
        <v>108.33</v>
      </c>
      <c r="I131">
        <v>33.46</v>
      </c>
      <c r="J131" t="s">
        <v>90</v>
      </c>
      <c r="K131" t="s">
        <v>16</v>
      </c>
      <c r="L131" t="s">
        <v>2095</v>
      </c>
      <c r="M131">
        <v>1</v>
      </c>
      <c r="N131" t="s">
        <v>232</v>
      </c>
      <c r="O131" t="s">
        <v>2121</v>
      </c>
    </row>
    <row r="132" spans="1:15">
      <c r="A132" t="s">
        <v>2033</v>
      </c>
      <c r="B132" t="s">
        <v>2090</v>
      </c>
      <c r="C132" t="s">
        <v>2111</v>
      </c>
      <c r="D132" s="1">
        <v>44293</v>
      </c>
      <c r="E132" s="1">
        <v>45052</v>
      </c>
      <c r="F132">
        <v>240</v>
      </c>
      <c r="G132">
        <v>5</v>
      </c>
      <c r="H132">
        <v>390.31</v>
      </c>
      <c r="I132">
        <v>90.16</v>
      </c>
      <c r="J132" t="s">
        <v>14</v>
      </c>
      <c r="K132" t="s">
        <v>16</v>
      </c>
      <c r="L132" t="s">
        <v>2087</v>
      </c>
      <c r="M132">
        <v>7</v>
      </c>
      <c r="N132" t="s">
        <v>194</v>
      </c>
      <c r="O132" t="s">
        <v>2088</v>
      </c>
    </row>
    <row r="133" spans="1:15">
      <c r="A133" t="s">
        <v>2204</v>
      </c>
      <c r="B133" t="s">
        <v>2097</v>
      </c>
      <c r="C133" t="s">
        <v>2111</v>
      </c>
      <c r="D133" s="1">
        <v>44839</v>
      </c>
      <c r="E133" s="1">
        <v>45264</v>
      </c>
      <c r="F133">
        <v>28</v>
      </c>
      <c r="G133">
        <v>9</v>
      </c>
      <c r="H133">
        <v>654.29999999999995</v>
      </c>
      <c r="I133">
        <v>149.12</v>
      </c>
      <c r="J133" t="s">
        <v>90</v>
      </c>
      <c r="K133" t="s">
        <v>20</v>
      </c>
      <c r="L133" t="s">
        <v>2087</v>
      </c>
      <c r="M133">
        <v>4</v>
      </c>
      <c r="N133" t="s">
        <v>165</v>
      </c>
      <c r="O133" t="s">
        <v>2109</v>
      </c>
    </row>
    <row r="134" spans="1:15">
      <c r="A134" t="s">
        <v>2205</v>
      </c>
      <c r="B134" t="s">
        <v>2113</v>
      </c>
      <c r="C134" t="s">
        <v>2108</v>
      </c>
      <c r="D134" s="1">
        <v>44467</v>
      </c>
      <c r="E134" s="1">
        <v>45255</v>
      </c>
      <c r="F134">
        <v>37</v>
      </c>
      <c r="G134">
        <v>5</v>
      </c>
      <c r="H134">
        <v>160</v>
      </c>
      <c r="I134">
        <v>34.130000000000003</v>
      </c>
      <c r="J134" t="s">
        <v>115</v>
      </c>
      <c r="K134" t="s">
        <v>16</v>
      </c>
      <c r="L134" t="s">
        <v>2095</v>
      </c>
      <c r="M134">
        <v>9</v>
      </c>
      <c r="N134" t="s">
        <v>232</v>
      </c>
      <c r="O134" t="s">
        <v>2088</v>
      </c>
    </row>
    <row r="135" spans="1:15">
      <c r="A135" t="s">
        <v>1300</v>
      </c>
      <c r="B135" t="s">
        <v>2099</v>
      </c>
      <c r="C135" t="s">
        <v>2100</v>
      </c>
      <c r="D135" s="1">
        <v>44680</v>
      </c>
      <c r="E135" s="1">
        <v>45019</v>
      </c>
      <c r="F135">
        <v>273</v>
      </c>
      <c r="G135">
        <v>2</v>
      </c>
      <c r="H135">
        <v>110.18</v>
      </c>
      <c r="I135">
        <v>27.56</v>
      </c>
      <c r="J135" t="s">
        <v>90</v>
      </c>
      <c r="K135" t="s">
        <v>20</v>
      </c>
      <c r="L135" t="s">
        <v>2106</v>
      </c>
      <c r="M135">
        <v>6</v>
      </c>
      <c r="N135" t="s">
        <v>194</v>
      </c>
      <c r="O135" t="s">
        <v>2088</v>
      </c>
    </row>
    <row r="136" spans="1:15">
      <c r="A136" t="s">
        <v>2206</v>
      </c>
      <c r="B136" t="s">
        <v>2097</v>
      </c>
      <c r="C136" t="s">
        <v>2091</v>
      </c>
      <c r="D136" s="1">
        <v>45231</v>
      </c>
      <c r="E136" s="1">
        <v>45202</v>
      </c>
      <c r="F136">
        <v>90</v>
      </c>
      <c r="G136">
        <v>4</v>
      </c>
      <c r="H136">
        <v>361.4</v>
      </c>
      <c r="I136">
        <v>121.38</v>
      </c>
      <c r="J136" t="s">
        <v>90</v>
      </c>
      <c r="K136" t="s">
        <v>20</v>
      </c>
      <c r="L136" t="s">
        <v>2095</v>
      </c>
      <c r="M136">
        <v>6</v>
      </c>
      <c r="N136" t="s">
        <v>232</v>
      </c>
      <c r="O136" t="s">
        <v>2088</v>
      </c>
    </row>
    <row r="137" spans="1:15">
      <c r="A137" t="s">
        <v>2207</v>
      </c>
      <c r="B137" t="s">
        <v>2090</v>
      </c>
      <c r="C137" t="s">
        <v>2111</v>
      </c>
      <c r="D137" s="1">
        <v>44569</v>
      </c>
      <c r="E137" s="1">
        <v>45260</v>
      </c>
      <c r="F137">
        <v>32</v>
      </c>
      <c r="G137">
        <v>5</v>
      </c>
      <c r="H137">
        <v>100.46</v>
      </c>
      <c r="I137">
        <v>106.97</v>
      </c>
      <c r="J137" t="s">
        <v>41</v>
      </c>
      <c r="K137" t="s">
        <v>20</v>
      </c>
      <c r="L137" t="s">
        <v>2095</v>
      </c>
      <c r="M137">
        <v>2</v>
      </c>
      <c r="N137" t="s">
        <v>179</v>
      </c>
      <c r="O137" t="s">
        <v>2088</v>
      </c>
    </row>
    <row r="138" spans="1:15">
      <c r="A138" t="s">
        <v>2208</v>
      </c>
      <c r="B138" t="s">
        <v>2093</v>
      </c>
      <c r="C138" t="s">
        <v>2111</v>
      </c>
      <c r="D138" s="1">
        <v>44109</v>
      </c>
      <c r="E138" s="1">
        <v>44989</v>
      </c>
      <c r="F138">
        <v>303</v>
      </c>
      <c r="G138">
        <v>2</v>
      </c>
      <c r="H138">
        <v>30.91</v>
      </c>
      <c r="I138">
        <v>46.83</v>
      </c>
      <c r="J138" t="s">
        <v>41</v>
      </c>
      <c r="K138" t="s">
        <v>20</v>
      </c>
      <c r="L138" t="s">
        <v>2095</v>
      </c>
      <c r="M138">
        <v>10</v>
      </c>
      <c r="N138" t="s">
        <v>157</v>
      </c>
      <c r="O138" t="s">
        <v>2096</v>
      </c>
    </row>
    <row r="139" spans="1:15">
      <c r="A139" t="s">
        <v>2209</v>
      </c>
      <c r="B139" t="s">
        <v>2090</v>
      </c>
      <c r="C139" t="s">
        <v>2094</v>
      </c>
      <c r="D139" s="1">
        <v>43721</v>
      </c>
      <c r="E139" s="1">
        <v>45186</v>
      </c>
      <c r="F139">
        <v>106</v>
      </c>
      <c r="G139">
        <v>4</v>
      </c>
      <c r="H139">
        <v>352.46</v>
      </c>
      <c r="I139">
        <v>42.8</v>
      </c>
      <c r="J139" t="s">
        <v>66</v>
      </c>
      <c r="K139" t="s">
        <v>20</v>
      </c>
      <c r="L139" t="s">
        <v>2095</v>
      </c>
      <c r="M139">
        <v>6</v>
      </c>
      <c r="N139" t="s">
        <v>165</v>
      </c>
      <c r="O139" t="s">
        <v>2096</v>
      </c>
    </row>
    <row r="140" spans="1:15">
      <c r="A140" t="s">
        <v>2210</v>
      </c>
      <c r="B140" t="s">
        <v>2097</v>
      </c>
      <c r="C140" t="s">
        <v>2108</v>
      </c>
      <c r="D140" s="1">
        <v>45069</v>
      </c>
      <c r="E140" s="1">
        <v>45077</v>
      </c>
      <c r="F140">
        <v>215</v>
      </c>
      <c r="G140">
        <v>7</v>
      </c>
      <c r="H140">
        <v>180.01</v>
      </c>
      <c r="I140">
        <v>144.58000000000001</v>
      </c>
      <c r="J140" t="s">
        <v>115</v>
      </c>
      <c r="K140" t="s">
        <v>16</v>
      </c>
      <c r="L140" t="s">
        <v>2095</v>
      </c>
      <c r="M140">
        <v>9</v>
      </c>
      <c r="N140" t="s">
        <v>204</v>
      </c>
      <c r="O140" t="s">
        <v>2121</v>
      </c>
    </row>
    <row r="141" spans="1:15">
      <c r="A141" t="s">
        <v>2211</v>
      </c>
      <c r="B141" t="s">
        <v>2090</v>
      </c>
      <c r="C141" t="s">
        <v>2108</v>
      </c>
      <c r="D141" s="1">
        <v>44874</v>
      </c>
      <c r="E141" s="1">
        <v>44977</v>
      </c>
      <c r="F141">
        <v>315</v>
      </c>
      <c r="G141">
        <v>4</v>
      </c>
      <c r="H141">
        <v>273.98</v>
      </c>
      <c r="I141">
        <v>80.849999999999994</v>
      </c>
      <c r="J141" t="s">
        <v>14</v>
      </c>
      <c r="K141" t="s">
        <v>16</v>
      </c>
      <c r="L141" t="s">
        <v>2095</v>
      </c>
      <c r="M141">
        <v>3</v>
      </c>
      <c r="N141" t="s">
        <v>157</v>
      </c>
      <c r="O141" t="s">
        <v>2121</v>
      </c>
    </row>
    <row r="142" spans="1:15">
      <c r="A142" t="s">
        <v>2212</v>
      </c>
      <c r="B142" t="s">
        <v>2097</v>
      </c>
      <c r="C142" t="s">
        <v>2091</v>
      </c>
      <c r="D142" s="1">
        <v>44201</v>
      </c>
      <c r="E142" s="1">
        <v>45069</v>
      </c>
      <c r="F142">
        <v>223</v>
      </c>
      <c r="G142">
        <v>5</v>
      </c>
      <c r="H142">
        <v>541.39</v>
      </c>
      <c r="I142">
        <v>71.599999999999994</v>
      </c>
      <c r="J142" t="s">
        <v>115</v>
      </c>
      <c r="K142" t="s">
        <v>16</v>
      </c>
      <c r="L142" t="s">
        <v>2095</v>
      </c>
      <c r="M142">
        <v>8</v>
      </c>
      <c r="N142" t="s">
        <v>194</v>
      </c>
      <c r="O142" t="s">
        <v>2121</v>
      </c>
    </row>
    <row r="143" spans="1:15">
      <c r="A143" t="s">
        <v>2213</v>
      </c>
      <c r="B143" t="s">
        <v>2099</v>
      </c>
      <c r="C143" t="s">
        <v>2100</v>
      </c>
      <c r="D143" s="1">
        <v>43986</v>
      </c>
      <c r="E143" s="1">
        <v>45273</v>
      </c>
      <c r="F143">
        <v>19</v>
      </c>
      <c r="G143">
        <v>1</v>
      </c>
      <c r="H143">
        <v>72.010000000000005</v>
      </c>
      <c r="I143">
        <v>26.66</v>
      </c>
      <c r="J143" t="s">
        <v>41</v>
      </c>
      <c r="K143" t="s">
        <v>20</v>
      </c>
      <c r="L143" t="s">
        <v>2095</v>
      </c>
      <c r="M143">
        <v>1</v>
      </c>
      <c r="N143" t="s">
        <v>165</v>
      </c>
      <c r="O143" t="s">
        <v>2121</v>
      </c>
    </row>
    <row r="144" spans="1:15">
      <c r="A144" t="s">
        <v>2214</v>
      </c>
      <c r="B144" t="s">
        <v>2093</v>
      </c>
      <c r="C144" t="s">
        <v>2086</v>
      </c>
      <c r="D144" s="1">
        <v>44792</v>
      </c>
      <c r="E144" s="1">
        <v>45188</v>
      </c>
      <c r="F144">
        <v>104</v>
      </c>
      <c r="G144">
        <v>2</v>
      </c>
      <c r="H144">
        <v>151.46</v>
      </c>
      <c r="I144">
        <v>53.82</v>
      </c>
      <c r="J144" t="s">
        <v>41</v>
      </c>
      <c r="K144" t="s">
        <v>16</v>
      </c>
      <c r="L144" t="s">
        <v>2095</v>
      </c>
      <c r="M144">
        <v>5</v>
      </c>
      <c r="N144" t="s">
        <v>179</v>
      </c>
      <c r="O144" t="s">
        <v>2109</v>
      </c>
    </row>
    <row r="145" spans="1:15">
      <c r="A145" t="s">
        <v>2215</v>
      </c>
      <c r="B145" t="s">
        <v>2099</v>
      </c>
      <c r="C145" t="s">
        <v>2086</v>
      </c>
      <c r="D145" s="1">
        <v>44019</v>
      </c>
      <c r="E145" s="1">
        <v>44990</v>
      </c>
      <c r="F145">
        <v>302</v>
      </c>
      <c r="G145">
        <v>1</v>
      </c>
      <c r="H145">
        <v>145.32</v>
      </c>
      <c r="I145">
        <v>39.799999999999997</v>
      </c>
      <c r="J145" t="s">
        <v>14</v>
      </c>
      <c r="K145" t="s">
        <v>20</v>
      </c>
      <c r="L145" t="s">
        <v>2106</v>
      </c>
      <c r="M145">
        <v>6</v>
      </c>
      <c r="N145" t="s">
        <v>174</v>
      </c>
      <c r="O145" t="s">
        <v>2121</v>
      </c>
    </row>
    <row r="146" spans="1:15">
      <c r="A146" t="s">
        <v>2216</v>
      </c>
      <c r="B146" t="s">
        <v>2093</v>
      </c>
      <c r="C146" t="s">
        <v>2091</v>
      </c>
      <c r="D146" s="1">
        <v>44025</v>
      </c>
      <c r="E146" s="1">
        <v>45001</v>
      </c>
      <c r="F146">
        <v>291</v>
      </c>
      <c r="G146">
        <v>1</v>
      </c>
      <c r="H146">
        <v>91.68</v>
      </c>
      <c r="I146">
        <v>40.01</v>
      </c>
      <c r="J146" t="s">
        <v>66</v>
      </c>
      <c r="K146" t="s">
        <v>16</v>
      </c>
      <c r="L146" t="s">
        <v>2095</v>
      </c>
      <c r="M146">
        <v>6</v>
      </c>
      <c r="N146" t="s">
        <v>157</v>
      </c>
      <c r="O146" t="s">
        <v>2109</v>
      </c>
    </row>
    <row r="147" spans="1:15">
      <c r="A147" t="s">
        <v>2217</v>
      </c>
      <c r="B147" t="s">
        <v>2085</v>
      </c>
      <c r="C147" t="s">
        <v>2086</v>
      </c>
      <c r="D147" s="1">
        <v>44957</v>
      </c>
      <c r="E147" s="1">
        <v>45083</v>
      </c>
      <c r="F147">
        <v>209</v>
      </c>
      <c r="G147">
        <v>37</v>
      </c>
      <c r="H147">
        <v>2836.4</v>
      </c>
      <c r="I147">
        <v>135.15</v>
      </c>
      <c r="J147" t="s">
        <v>90</v>
      </c>
      <c r="K147" t="s">
        <v>16</v>
      </c>
      <c r="L147" t="s">
        <v>2106</v>
      </c>
      <c r="M147">
        <v>5</v>
      </c>
      <c r="N147" t="s">
        <v>165</v>
      </c>
      <c r="O147" t="s">
        <v>2088</v>
      </c>
    </row>
    <row r="148" spans="1:15">
      <c r="A148" t="s">
        <v>2218</v>
      </c>
      <c r="B148" t="s">
        <v>2113</v>
      </c>
      <c r="C148" t="s">
        <v>2100</v>
      </c>
      <c r="D148" s="1">
        <v>43815</v>
      </c>
      <c r="E148" s="1">
        <v>45089</v>
      </c>
      <c r="F148">
        <v>203</v>
      </c>
      <c r="G148">
        <v>13</v>
      </c>
      <c r="H148">
        <v>403.73</v>
      </c>
      <c r="I148">
        <v>74.83</v>
      </c>
      <c r="J148" t="s">
        <v>41</v>
      </c>
      <c r="K148" t="s">
        <v>16</v>
      </c>
      <c r="L148" t="s">
        <v>2106</v>
      </c>
      <c r="M148">
        <v>10</v>
      </c>
      <c r="N148" t="s">
        <v>179</v>
      </c>
      <c r="O148" t="s">
        <v>2088</v>
      </c>
    </row>
    <row r="149" spans="1:15">
      <c r="A149" t="s">
        <v>319</v>
      </c>
      <c r="B149" t="s">
        <v>2090</v>
      </c>
      <c r="C149" t="s">
        <v>2094</v>
      </c>
      <c r="D149" s="1">
        <v>44679</v>
      </c>
      <c r="E149" s="1">
        <v>44992</v>
      </c>
      <c r="F149">
        <v>300</v>
      </c>
      <c r="G149">
        <v>6</v>
      </c>
      <c r="H149">
        <v>362.25</v>
      </c>
      <c r="I149">
        <v>72.209999999999994</v>
      </c>
      <c r="J149" t="s">
        <v>14</v>
      </c>
      <c r="K149" t="s">
        <v>20</v>
      </c>
      <c r="L149" t="s">
        <v>2106</v>
      </c>
      <c r="M149">
        <v>2</v>
      </c>
      <c r="N149" t="s">
        <v>165</v>
      </c>
      <c r="O149" t="s">
        <v>2107</v>
      </c>
    </row>
    <row r="150" spans="1:15">
      <c r="A150" t="s">
        <v>2219</v>
      </c>
      <c r="B150" t="s">
        <v>2097</v>
      </c>
      <c r="C150" t="s">
        <v>2094</v>
      </c>
      <c r="D150" s="1">
        <v>44951</v>
      </c>
      <c r="E150" s="1">
        <v>45254</v>
      </c>
      <c r="F150">
        <v>38</v>
      </c>
      <c r="G150">
        <v>9</v>
      </c>
      <c r="H150">
        <v>518.91</v>
      </c>
      <c r="I150">
        <v>76.739999999999995</v>
      </c>
      <c r="J150" t="s">
        <v>41</v>
      </c>
      <c r="K150" t="s">
        <v>20</v>
      </c>
      <c r="L150" t="s">
        <v>2106</v>
      </c>
      <c r="M150">
        <v>6</v>
      </c>
      <c r="N150" t="s">
        <v>165</v>
      </c>
      <c r="O150" t="s">
        <v>2109</v>
      </c>
    </row>
    <row r="151" spans="1:15">
      <c r="A151" t="s">
        <v>2220</v>
      </c>
      <c r="B151" t="s">
        <v>2097</v>
      </c>
      <c r="C151" t="s">
        <v>2094</v>
      </c>
      <c r="D151" s="1">
        <v>44494</v>
      </c>
      <c r="E151" s="1">
        <v>45073</v>
      </c>
      <c r="F151">
        <v>219</v>
      </c>
      <c r="G151">
        <v>10</v>
      </c>
      <c r="H151">
        <v>791.06</v>
      </c>
      <c r="I151">
        <v>129.85</v>
      </c>
      <c r="J151" t="s">
        <v>90</v>
      </c>
      <c r="K151" t="s">
        <v>20</v>
      </c>
      <c r="L151" t="s">
        <v>2106</v>
      </c>
      <c r="M151">
        <v>3</v>
      </c>
      <c r="N151" t="s">
        <v>194</v>
      </c>
      <c r="O151" t="s">
        <v>2096</v>
      </c>
    </row>
    <row r="152" spans="1:15">
      <c r="A152" t="s">
        <v>2221</v>
      </c>
      <c r="B152" t="s">
        <v>2113</v>
      </c>
      <c r="C152" t="s">
        <v>2111</v>
      </c>
      <c r="D152" s="1">
        <v>44765</v>
      </c>
      <c r="E152" s="1">
        <v>44967</v>
      </c>
      <c r="F152">
        <v>325</v>
      </c>
      <c r="G152">
        <v>18</v>
      </c>
      <c r="H152">
        <v>485.29</v>
      </c>
      <c r="I152">
        <v>72.260000000000005</v>
      </c>
      <c r="J152" t="s">
        <v>41</v>
      </c>
      <c r="K152" t="s">
        <v>16</v>
      </c>
      <c r="L152" t="s">
        <v>2095</v>
      </c>
      <c r="M152">
        <v>9</v>
      </c>
      <c r="N152" t="s">
        <v>174</v>
      </c>
      <c r="O152" t="s">
        <v>2096</v>
      </c>
    </row>
    <row r="153" spans="1:15">
      <c r="A153" t="s">
        <v>2064</v>
      </c>
      <c r="B153" t="s">
        <v>2093</v>
      </c>
      <c r="C153" t="s">
        <v>2100</v>
      </c>
      <c r="D153" s="1">
        <v>45256</v>
      </c>
      <c r="E153" s="1">
        <v>44932</v>
      </c>
      <c r="F153">
        <v>360</v>
      </c>
      <c r="G153">
        <v>3</v>
      </c>
      <c r="H153">
        <v>124.21</v>
      </c>
      <c r="I153">
        <v>49.57</v>
      </c>
      <c r="J153" t="s">
        <v>115</v>
      </c>
      <c r="K153" t="s">
        <v>20</v>
      </c>
      <c r="L153" t="s">
        <v>2095</v>
      </c>
      <c r="M153">
        <v>7</v>
      </c>
      <c r="N153" t="s">
        <v>204</v>
      </c>
      <c r="O153" t="s">
        <v>2088</v>
      </c>
    </row>
    <row r="154" spans="1:15">
      <c r="A154" t="s">
        <v>2222</v>
      </c>
      <c r="B154" t="s">
        <v>2093</v>
      </c>
      <c r="C154" t="s">
        <v>2108</v>
      </c>
      <c r="D154" s="1">
        <v>44728</v>
      </c>
      <c r="E154" s="1">
        <v>45024</v>
      </c>
      <c r="F154">
        <v>268</v>
      </c>
      <c r="G154">
        <v>5</v>
      </c>
      <c r="H154">
        <v>148.63999999999999</v>
      </c>
      <c r="I154">
        <v>44.33</v>
      </c>
      <c r="J154" t="s">
        <v>14</v>
      </c>
      <c r="K154" t="s">
        <v>20</v>
      </c>
      <c r="L154" t="s">
        <v>2087</v>
      </c>
      <c r="M154">
        <v>8</v>
      </c>
      <c r="N154" t="s">
        <v>165</v>
      </c>
      <c r="O154" t="s">
        <v>2121</v>
      </c>
    </row>
    <row r="155" spans="1:15">
      <c r="A155" t="s">
        <v>2223</v>
      </c>
      <c r="B155" t="s">
        <v>2097</v>
      </c>
      <c r="C155" t="s">
        <v>2108</v>
      </c>
      <c r="D155" s="1">
        <v>44384</v>
      </c>
      <c r="E155" s="1">
        <v>45013</v>
      </c>
      <c r="F155">
        <v>279</v>
      </c>
      <c r="G155">
        <v>11</v>
      </c>
      <c r="H155">
        <v>594.65</v>
      </c>
      <c r="I155">
        <v>54.24</v>
      </c>
      <c r="J155" t="s">
        <v>115</v>
      </c>
      <c r="K155" t="s">
        <v>16</v>
      </c>
      <c r="L155" t="s">
        <v>2095</v>
      </c>
      <c r="M155">
        <v>1</v>
      </c>
      <c r="N155" t="s">
        <v>194</v>
      </c>
      <c r="O155" t="s">
        <v>2107</v>
      </c>
    </row>
    <row r="156" spans="1:15">
      <c r="A156" t="s">
        <v>1051</v>
      </c>
      <c r="B156" t="s">
        <v>2090</v>
      </c>
      <c r="C156" t="s">
        <v>2094</v>
      </c>
      <c r="D156" s="1">
        <v>44242</v>
      </c>
      <c r="E156" s="1">
        <v>45014</v>
      </c>
      <c r="F156">
        <v>278</v>
      </c>
      <c r="G156">
        <v>4</v>
      </c>
      <c r="H156">
        <v>384.79</v>
      </c>
      <c r="I156">
        <v>73.819999999999993</v>
      </c>
      <c r="J156" t="s">
        <v>14</v>
      </c>
      <c r="K156" t="s">
        <v>16</v>
      </c>
      <c r="L156" t="s">
        <v>2106</v>
      </c>
      <c r="M156">
        <v>3</v>
      </c>
      <c r="N156" t="s">
        <v>179</v>
      </c>
      <c r="O156" t="s">
        <v>2088</v>
      </c>
    </row>
    <row r="157" spans="1:15">
      <c r="A157" t="s">
        <v>2224</v>
      </c>
      <c r="B157" t="s">
        <v>2085</v>
      </c>
      <c r="C157" t="s">
        <v>2108</v>
      </c>
      <c r="D157" s="1">
        <v>43902</v>
      </c>
      <c r="E157" s="1">
        <v>44928</v>
      </c>
      <c r="F157">
        <v>364</v>
      </c>
      <c r="G157">
        <v>21</v>
      </c>
      <c r="H157">
        <v>1458.19</v>
      </c>
      <c r="I157">
        <v>158.71</v>
      </c>
      <c r="J157" t="s">
        <v>115</v>
      </c>
      <c r="K157" t="s">
        <v>16</v>
      </c>
      <c r="L157" t="s">
        <v>2095</v>
      </c>
      <c r="M157">
        <v>4</v>
      </c>
      <c r="N157" t="s">
        <v>165</v>
      </c>
      <c r="O157" t="s">
        <v>2088</v>
      </c>
    </row>
    <row r="158" spans="1:15">
      <c r="A158" t="s">
        <v>2225</v>
      </c>
      <c r="B158" t="s">
        <v>2085</v>
      </c>
      <c r="C158" t="s">
        <v>2111</v>
      </c>
      <c r="D158" s="1">
        <v>43583</v>
      </c>
      <c r="E158" s="1">
        <v>45109</v>
      </c>
      <c r="F158">
        <v>183</v>
      </c>
      <c r="G158">
        <v>26</v>
      </c>
      <c r="H158">
        <v>2763.49</v>
      </c>
      <c r="I158">
        <v>269.67</v>
      </c>
      <c r="J158" t="s">
        <v>115</v>
      </c>
      <c r="K158" t="s">
        <v>16</v>
      </c>
      <c r="L158" t="s">
        <v>2087</v>
      </c>
      <c r="M158">
        <v>4</v>
      </c>
      <c r="N158" t="s">
        <v>194</v>
      </c>
      <c r="O158" t="s">
        <v>2096</v>
      </c>
    </row>
    <row r="159" spans="1:15">
      <c r="A159" t="s">
        <v>2226</v>
      </c>
      <c r="B159" t="s">
        <v>2085</v>
      </c>
      <c r="C159" t="s">
        <v>2111</v>
      </c>
      <c r="D159" s="1">
        <v>44192</v>
      </c>
      <c r="E159" s="1">
        <v>44931</v>
      </c>
      <c r="F159">
        <v>361</v>
      </c>
      <c r="G159">
        <v>23</v>
      </c>
      <c r="H159">
        <v>2758.43</v>
      </c>
      <c r="I159">
        <v>137.22999999999999</v>
      </c>
      <c r="J159" t="s">
        <v>90</v>
      </c>
      <c r="K159" t="s">
        <v>16</v>
      </c>
      <c r="L159" t="s">
        <v>2095</v>
      </c>
      <c r="M159">
        <v>1</v>
      </c>
      <c r="N159" t="s">
        <v>232</v>
      </c>
      <c r="O159" t="s">
        <v>2088</v>
      </c>
    </row>
    <row r="160" spans="1:15">
      <c r="A160" t="s">
        <v>2227</v>
      </c>
      <c r="B160" t="s">
        <v>2097</v>
      </c>
      <c r="C160" t="s">
        <v>2094</v>
      </c>
      <c r="D160" s="1">
        <v>43784</v>
      </c>
      <c r="E160" s="1">
        <v>45263</v>
      </c>
      <c r="F160">
        <v>29</v>
      </c>
      <c r="G160">
        <v>9</v>
      </c>
      <c r="H160">
        <v>230.5</v>
      </c>
      <c r="I160">
        <v>98.74</v>
      </c>
      <c r="J160" t="s">
        <v>41</v>
      </c>
      <c r="K160" t="s">
        <v>16</v>
      </c>
      <c r="L160" t="s">
        <v>2087</v>
      </c>
      <c r="M160">
        <v>5</v>
      </c>
      <c r="N160" t="s">
        <v>194</v>
      </c>
      <c r="O160" t="s">
        <v>2121</v>
      </c>
    </row>
    <row r="161" spans="1:15">
      <c r="A161" t="s">
        <v>2228</v>
      </c>
      <c r="B161" t="s">
        <v>2099</v>
      </c>
      <c r="C161" t="s">
        <v>2100</v>
      </c>
      <c r="D161" s="1">
        <v>44364</v>
      </c>
      <c r="E161" s="1">
        <v>45263</v>
      </c>
      <c r="F161">
        <v>29</v>
      </c>
      <c r="G161">
        <v>1</v>
      </c>
      <c r="H161">
        <v>89.74</v>
      </c>
      <c r="I161">
        <v>41.56</v>
      </c>
      <c r="J161" t="s">
        <v>41</v>
      </c>
      <c r="K161" t="s">
        <v>16</v>
      </c>
      <c r="L161" t="s">
        <v>2087</v>
      </c>
      <c r="M161">
        <v>6</v>
      </c>
      <c r="N161" t="s">
        <v>174</v>
      </c>
      <c r="O161" t="s">
        <v>2121</v>
      </c>
    </row>
    <row r="162" spans="1:15">
      <c r="A162" t="s">
        <v>2229</v>
      </c>
      <c r="B162" t="s">
        <v>2093</v>
      </c>
      <c r="C162" t="s">
        <v>2100</v>
      </c>
      <c r="D162" s="1">
        <v>43739</v>
      </c>
      <c r="E162" s="1">
        <v>45129</v>
      </c>
      <c r="F162">
        <v>163</v>
      </c>
      <c r="G162">
        <v>2</v>
      </c>
      <c r="H162">
        <v>48.81</v>
      </c>
      <c r="I162">
        <v>37.090000000000003</v>
      </c>
      <c r="J162" t="s">
        <v>66</v>
      </c>
      <c r="K162" t="s">
        <v>16</v>
      </c>
      <c r="L162" t="s">
        <v>2095</v>
      </c>
      <c r="M162">
        <v>10</v>
      </c>
      <c r="N162" t="s">
        <v>157</v>
      </c>
      <c r="O162" t="s">
        <v>2109</v>
      </c>
    </row>
    <row r="163" spans="1:15">
      <c r="A163" t="s">
        <v>341</v>
      </c>
      <c r="B163" t="s">
        <v>2093</v>
      </c>
      <c r="C163" t="s">
        <v>2108</v>
      </c>
      <c r="D163" s="1">
        <v>44480</v>
      </c>
      <c r="E163" s="1">
        <v>45276</v>
      </c>
      <c r="F163">
        <v>16</v>
      </c>
      <c r="G163">
        <v>3</v>
      </c>
      <c r="H163">
        <v>50.19</v>
      </c>
      <c r="I163">
        <v>49.34</v>
      </c>
      <c r="J163" t="s">
        <v>41</v>
      </c>
      <c r="K163" t="s">
        <v>16</v>
      </c>
      <c r="L163" t="s">
        <v>2087</v>
      </c>
      <c r="M163">
        <v>8</v>
      </c>
      <c r="N163" t="s">
        <v>165</v>
      </c>
      <c r="O163" t="s">
        <v>2109</v>
      </c>
    </row>
    <row r="164" spans="1:15">
      <c r="A164" t="s">
        <v>2230</v>
      </c>
      <c r="B164" t="s">
        <v>2097</v>
      </c>
      <c r="C164" t="s">
        <v>2094</v>
      </c>
      <c r="D164" s="1">
        <v>43724</v>
      </c>
      <c r="E164" s="1">
        <v>45006</v>
      </c>
      <c r="F164">
        <v>286</v>
      </c>
      <c r="G164">
        <v>4</v>
      </c>
      <c r="H164">
        <v>772.49</v>
      </c>
      <c r="I164">
        <v>129.27000000000001</v>
      </c>
      <c r="J164" t="s">
        <v>115</v>
      </c>
      <c r="K164" t="s">
        <v>16</v>
      </c>
      <c r="L164" t="s">
        <v>2106</v>
      </c>
      <c r="M164">
        <v>3</v>
      </c>
      <c r="N164" t="s">
        <v>174</v>
      </c>
      <c r="O164" t="s">
        <v>2121</v>
      </c>
    </row>
    <row r="165" spans="1:15">
      <c r="A165" t="s">
        <v>2231</v>
      </c>
      <c r="B165" t="s">
        <v>2099</v>
      </c>
      <c r="C165" t="s">
        <v>2100</v>
      </c>
      <c r="D165" s="1">
        <v>44461</v>
      </c>
      <c r="E165" s="1">
        <v>44969</v>
      </c>
      <c r="F165">
        <v>323</v>
      </c>
      <c r="G165">
        <v>1</v>
      </c>
      <c r="H165">
        <v>76.459999999999994</v>
      </c>
      <c r="I165">
        <v>43.16</v>
      </c>
      <c r="J165" t="s">
        <v>41</v>
      </c>
      <c r="K165" t="s">
        <v>20</v>
      </c>
      <c r="L165" t="s">
        <v>2095</v>
      </c>
      <c r="M165">
        <v>8</v>
      </c>
      <c r="N165" t="s">
        <v>157</v>
      </c>
      <c r="O165" t="s">
        <v>2107</v>
      </c>
    </row>
    <row r="166" spans="1:15">
      <c r="A166" t="s">
        <v>2232</v>
      </c>
      <c r="B166" t="s">
        <v>2113</v>
      </c>
      <c r="C166" t="s">
        <v>2100</v>
      </c>
      <c r="D166" s="1">
        <v>43972</v>
      </c>
      <c r="E166" s="1">
        <v>45268</v>
      </c>
      <c r="F166">
        <v>24</v>
      </c>
      <c r="G166">
        <v>8</v>
      </c>
      <c r="H166">
        <v>532.08000000000004</v>
      </c>
      <c r="I166">
        <v>79.709999999999994</v>
      </c>
      <c r="J166" t="s">
        <v>41</v>
      </c>
      <c r="K166" t="s">
        <v>16</v>
      </c>
      <c r="L166" t="s">
        <v>2106</v>
      </c>
      <c r="M166">
        <v>1</v>
      </c>
      <c r="N166" t="s">
        <v>165</v>
      </c>
      <c r="O166" t="s">
        <v>2088</v>
      </c>
    </row>
    <row r="167" spans="1:15">
      <c r="A167" t="s">
        <v>2233</v>
      </c>
      <c r="B167" t="s">
        <v>2090</v>
      </c>
      <c r="C167" t="s">
        <v>2091</v>
      </c>
      <c r="D167" s="1">
        <v>44754</v>
      </c>
      <c r="E167" s="1">
        <v>45251</v>
      </c>
      <c r="F167">
        <v>41</v>
      </c>
      <c r="G167">
        <v>3</v>
      </c>
      <c r="H167">
        <v>140.37</v>
      </c>
      <c r="I167">
        <v>108.39</v>
      </c>
      <c r="J167" t="s">
        <v>41</v>
      </c>
      <c r="K167" t="s">
        <v>16</v>
      </c>
      <c r="L167" t="s">
        <v>2095</v>
      </c>
      <c r="M167">
        <v>6</v>
      </c>
      <c r="N167" t="s">
        <v>174</v>
      </c>
      <c r="O167" t="s">
        <v>2121</v>
      </c>
    </row>
    <row r="168" spans="1:15">
      <c r="A168" t="s">
        <v>2234</v>
      </c>
      <c r="B168" t="s">
        <v>2097</v>
      </c>
      <c r="C168" t="s">
        <v>2100</v>
      </c>
      <c r="D168" s="1">
        <v>43652</v>
      </c>
      <c r="E168" s="1">
        <v>44953</v>
      </c>
      <c r="F168">
        <v>339</v>
      </c>
      <c r="G168">
        <v>5</v>
      </c>
      <c r="H168">
        <v>427.1</v>
      </c>
      <c r="I168">
        <v>111.65</v>
      </c>
      <c r="J168" t="s">
        <v>90</v>
      </c>
      <c r="K168" t="s">
        <v>20</v>
      </c>
      <c r="L168" t="s">
        <v>2087</v>
      </c>
      <c r="M168">
        <v>10</v>
      </c>
      <c r="N168" t="s">
        <v>157</v>
      </c>
      <c r="O168" t="s">
        <v>2107</v>
      </c>
    </row>
    <row r="169" spans="1:15">
      <c r="A169" t="s">
        <v>2235</v>
      </c>
      <c r="B169" t="s">
        <v>2113</v>
      </c>
      <c r="C169" t="s">
        <v>2094</v>
      </c>
      <c r="D169" s="1">
        <v>44784</v>
      </c>
      <c r="E169" s="1">
        <v>44953</v>
      </c>
      <c r="F169">
        <v>339</v>
      </c>
      <c r="G169">
        <v>18</v>
      </c>
      <c r="H169">
        <v>339.6</v>
      </c>
      <c r="I169">
        <v>55.49</v>
      </c>
      <c r="J169" t="s">
        <v>14</v>
      </c>
      <c r="K169" t="s">
        <v>16</v>
      </c>
      <c r="L169" t="s">
        <v>2087</v>
      </c>
      <c r="M169">
        <v>4</v>
      </c>
      <c r="N169" t="s">
        <v>194</v>
      </c>
      <c r="O169" t="s">
        <v>2109</v>
      </c>
    </row>
    <row r="170" spans="1:15">
      <c r="A170" t="s">
        <v>2236</v>
      </c>
      <c r="B170" t="s">
        <v>2097</v>
      </c>
      <c r="C170" t="s">
        <v>2108</v>
      </c>
      <c r="D170" s="1">
        <v>43467</v>
      </c>
      <c r="E170" s="1">
        <v>44953</v>
      </c>
      <c r="F170">
        <v>339</v>
      </c>
      <c r="G170">
        <v>8</v>
      </c>
      <c r="H170">
        <v>731.82</v>
      </c>
      <c r="I170">
        <v>68.180000000000007</v>
      </c>
      <c r="J170" t="s">
        <v>66</v>
      </c>
      <c r="K170" t="s">
        <v>16</v>
      </c>
      <c r="L170" t="s">
        <v>2087</v>
      </c>
      <c r="M170">
        <v>7</v>
      </c>
      <c r="N170" t="s">
        <v>194</v>
      </c>
      <c r="O170" t="s">
        <v>2088</v>
      </c>
    </row>
    <row r="171" spans="1:15">
      <c r="A171" t="s">
        <v>2237</v>
      </c>
      <c r="B171" t="s">
        <v>2085</v>
      </c>
      <c r="C171" t="s">
        <v>2094</v>
      </c>
      <c r="D171" s="1">
        <v>44210</v>
      </c>
      <c r="E171" s="1">
        <v>45098</v>
      </c>
      <c r="F171">
        <v>194</v>
      </c>
      <c r="G171">
        <v>25</v>
      </c>
      <c r="H171">
        <v>1206.6500000000001</v>
      </c>
      <c r="I171">
        <v>289.67</v>
      </c>
      <c r="J171" t="s">
        <v>14</v>
      </c>
      <c r="K171" t="s">
        <v>16</v>
      </c>
      <c r="L171" t="s">
        <v>2106</v>
      </c>
      <c r="M171">
        <v>0</v>
      </c>
      <c r="N171" t="s">
        <v>165</v>
      </c>
      <c r="O171" t="s">
        <v>2088</v>
      </c>
    </row>
    <row r="172" spans="1:15">
      <c r="A172" t="s">
        <v>2238</v>
      </c>
      <c r="B172" t="s">
        <v>2097</v>
      </c>
      <c r="C172" t="s">
        <v>2086</v>
      </c>
      <c r="D172" s="1">
        <v>44987</v>
      </c>
      <c r="E172" s="1">
        <v>45228</v>
      </c>
      <c r="F172">
        <v>64</v>
      </c>
      <c r="G172">
        <v>8</v>
      </c>
      <c r="H172">
        <v>384.37</v>
      </c>
      <c r="I172">
        <v>131</v>
      </c>
      <c r="J172" t="s">
        <v>115</v>
      </c>
      <c r="K172" t="s">
        <v>16</v>
      </c>
      <c r="L172" t="s">
        <v>2095</v>
      </c>
      <c r="M172">
        <v>10</v>
      </c>
      <c r="N172" t="s">
        <v>194</v>
      </c>
      <c r="O172" t="s">
        <v>2107</v>
      </c>
    </row>
    <row r="173" spans="1:15">
      <c r="A173" t="s">
        <v>2041</v>
      </c>
      <c r="B173" t="s">
        <v>2090</v>
      </c>
      <c r="C173" t="s">
        <v>2111</v>
      </c>
      <c r="D173" s="1">
        <v>44755</v>
      </c>
      <c r="E173" s="1">
        <v>45235</v>
      </c>
      <c r="F173">
        <v>57</v>
      </c>
      <c r="G173">
        <v>5</v>
      </c>
      <c r="H173">
        <v>107.91</v>
      </c>
      <c r="I173">
        <v>48.51</v>
      </c>
      <c r="J173" t="s">
        <v>14</v>
      </c>
      <c r="K173" t="s">
        <v>20</v>
      </c>
      <c r="L173" t="s">
        <v>2106</v>
      </c>
      <c r="M173">
        <v>3</v>
      </c>
      <c r="N173" t="s">
        <v>157</v>
      </c>
      <c r="O173" t="s">
        <v>2109</v>
      </c>
    </row>
    <row r="174" spans="1:15">
      <c r="A174" t="s">
        <v>2239</v>
      </c>
      <c r="B174" t="s">
        <v>2085</v>
      </c>
      <c r="C174" t="s">
        <v>2091</v>
      </c>
      <c r="D174" s="1">
        <v>44083</v>
      </c>
      <c r="E174" s="1">
        <v>45169</v>
      </c>
      <c r="F174">
        <v>123</v>
      </c>
      <c r="G174">
        <v>14</v>
      </c>
      <c r="H174">
        <v>2872</v>
      </c>
      <c r="I174">
        <v>223.8</v>
      </c>
      <c r="J174" t="s">
        <v>115</v>
      </c>
      <c r="K174" t="s">
        <v>20</v>
      </c>
      <c r="L174" t="s">
        <v>2095</v>
      </c>
      <c r="M174">
        <v>0</v>
      </c>
      <c r="N174" t="s">
        <v>157</v>
      </c>
      <c r="O174" t="s">
        <v>2107</v>
      </c>
    </row>
    <row r="175" spans="1:15">
      <c r="A175" t="s">
        <v>508</v>
      </c>
      <c r="B175" t="s">
        <v>2099</v>
      </c>
      <c r="C175" t="s">
        <v>2094</v>
      </c>
      <c r="D175" s="1">
        <v>45198</v>
      </c>
      <c r="E175" s="1">
        <v>45213</v>
      </c>
      <c r="F175">
        <v>79</v>
      </c>
      <c r="G175">
        <v>2</v>
      </c>
      <c r="H175">
        <v>135.91</v>
      </c>
      <c r="I175">
        <v>80.75</v>
      </c>
      <c r="J175" t="s">
        <v>66</v>
      </c>
      <c r="K175" t="s">
        <v>16</v>
      </c>
      <c r="L175" t="s">
        <v>2106</v>
      </c>
      <c r="M175">
        <v>1</v>
      </c>
      <c r="N175" t="s">
        <v>204</v>
      </c>
      <c r="O175" t="s">
        <v>2096</v>
      </c>
    </row>
    <row r="176" spans="1:15">
      <c r="A176" t="s">
        <v>2240</v>
      </c>
      <c r="B176" t="s">
        <v>2099</v>
      </c>
      <c r="C176" t="s">
        <v>2091</v>
      </c>
      <c r="D176" s="1">
        <v>45085</v>
      </c>
      <c r="E176" s="1">
        <v>44938</v>
      </c>
      <c r="F176">
        <v>354</v>
      </c>
      <c r="G176">
        <v>2</v>
      </c>
      <c r="H176">
        <v>88.09</v>
      </c>
      <c r="I176">
        <v>96.2</v>
      </c>
      <c r="J176" t="s">
        <v>115</v>
      </c>
      <c r="K176" t="s">
        <v>16</v>
      </c>
      <c r="L176" t="s">
        <v>2106</v>
      </c>
      <c r="M176">
        <v>2</v>
      </c>
      <c r="N176" t="s">
        <v>194</v>
      </c>
      <c r="O176" t="s">
        <v>2096</v>
      </c>
    </row>
    <row r="177" spans="1:15">
      <c r="A177" t="s">
        <v>2241</v>
      </c>
      <c r="B177" t="s">
        <v>2090</v>
      </c>
      <c r="C177" t="s">
        <v>2100</v>
      </c>
      <c r="D177" s="1">
        <v>44982</v>
      </c>
      <c r="E177" s="1">
        <v>45130</v>
      </c>
      <c r="F177">
        <v>162</v>
      </c>
      <c r="G177">
        <v>2</v>
      </c>
      <c r="H177">
        <v>334.2</v>
      </c>
      <c r="I177">
        <v>95.5</v>
      </c>
      <c r="J177" t="s">
        <v>115</v>
      </c>
      <c r="K177" t="s">
        <v>20</v>
      </c>
      <c r="L177" t="s">
        <v>2095</v>
      </c>
      <c r="M177">
        <v>2</v>
      </c>
      <c r="N177" t="s">
        <v>204</v>
      </c>
      <c r="O177" t="s">
        <v>2088</v>
      </c>
    </row>
    <row r="178" spans="1:15">
      <c r="A178" t="s">
        <v>2242</v>
      </c>
      <c r="B178" t="s">
        <v>2099</v>
      </c>
      <c r="C178" t="s">
        <v>2091</v>
      </c>
      <c r="D178" s="1">
        <v>43842</v>
      </c>
      <c r="E178" s="1">
        <v>44928</v>
      </c>
      <c r="F178">
        <v>364</v>
      </c>
      <c r="G178">
        <v>2</v>
      </c>
      <c r="H178">
        <v>72.11</v>
      </c>
      <c r="I178">
        <v>41.72</v>
      </c>
      <c r="J178" t="s">
        <v>115</v>
      </c>
      <c r="K178" t="s">
        <v>16</v>
      </c>
      <c r="L178" t="s">
        <v>2106</v>
      </c>
      <c r="M178">
        <v>0</v>
      </c>
      <c r="N178" t="s">
        <v>179</v>
      </c>
      <c r="O178" t="s">
        <v>2088</v>
      </c>
    </row>
    <row r="179" spans="1:15">
      <c r="A179" t="s">
        <v>2243</v>
      </c>
      <c r="B179" t="s">
        <v>2099</v>
      </c>
      <c r="C179" t="s">
        <v>2086</v>
      </c>
      <c r="D179" s="1">
        <v>44916</v>
      </c>
      <c r="E179" s="1">
        <v>45064</v>
      </c>
      <c r="F179">
        <v>228</v>
      </c>
      <c r="G179">
        <v>2</v>
      </c>
      <c r="H179">
        <v>59.44</v>
      </c>
      <c r="I179">
        <v>37.630000000000003</v>
      </c>
      <c r="J179" t="s">
        <v>14</v>
      </c>
      <c r="K179" t="s">
        <v>16</v>
      </c>
      <c r="L179" t="s">
        <v>2095</v>
      </c>
      <c r="M179">
        <v>0</v>
      </c>
      <c r="N179" t="s">
        <v>232</v>
      </c>
      <c r="O179" t="s">
        <v>2107</v>
      </c>
    </row>
    <row r="180" spans="1:15">
      <c r="A180" t="s">
        <v>488</v>
      </c>
      <c r="B180" t="s">
        <v>2113</v>
      </c>
      <c r="C180" t="s">
        <v>2094</v>
      </c>
      <c r="D180" s="1">
        <v>44034</v>
      </c>
      <c r="E180" s="1">
        <v>44995</v>
      </c>
      <c r="F180">
        <v>297</v>
      </c>
      <c r="G180">
        <v>6</v>
      </c>
      <c r="H180">
        <v>419.81</v>
      </c>
      <c r="I180">
        <v>77.099999999999994</v>
      </c>
      <c r="J180" t="s">
        <v>14</v>
      </c>
      <c r="K180" t="s">
        <v>20</v>
      </c>
      <c r="L180" t="s">
        <v>2095</v>
      </c>
      <c r="M180">
        <v>3</v>
      </c>
      <c r="N180" t="s">
        <v>232</v>
      </c>
      <c r="O180" t="s">
        <v>2096</v>
      </c>
    </row>
    <row r="181" spans="1:15">
      <c r="A181" t="s">
        <v>2244</v>
      </c>
      <c r="B181" t="s">
        <v>2085</v>
      </c>
      <c r="C181" t="s">
        <v>2111</v>
      </c>
      <c r="D181" s="1">
        <v>44221</v>
      </c>
      <c r="E181" s="1">
        <v>45093</v>
      </c>
      <c r="F181">
        <v>199</v>
      </c>
      <c r="G181">
        <v>32</v>
      </c>
      <c r="H181">
        <v>1564.42</v>
      </c>
      <c r="I181">
        <v>221.03</v>
      </c>
      <c r="J181" t="s">
        <v>115</v>
      </c>
      <c r="K181" t="s">
        <v>16</v>
      </c>
      <c r="L181" t="s">
        <v>2106</v>
      </c>
      <c r="M181">
        <v>2</v>
      </c>
      <c r="N181" t="s">
        <v>204</v>
      </c>
      <c r="O181" t="s">
        <v>2088</v>
      </c>
    </row>
    <row r="182" spans="1:15">
      <c r="A182" t="s">
        <v>2245</v>
      </c>
      <c r="B182" t="s">
        <v>2113</v>
      </c>
      <c r="C182" t="s">
        <v>2091</v>
      </c>
      <c r="D182" s="1">
        <v>43487</v>
      </c>
      <c r="E182" s="1">
        <v>45109</v>
      </c>
      <c r="F182">
        <v>183</v>
      </c>
      <c r="G182">
        <v>15</v>
      </c>
      <c r="H182">
        <v>592.63</v>
      </c>
      <c r="I182">
        <v>61.3</v>
      </c>
      <c r="J182" t="s">
        <v>66</v>
      </c>
      <c r="K182" t="s">
        <v>16</v>
      </c>
      <c r="L182" t="s">
        <v>2087</v>
      </c>
      <c r="M182">
        <v>0</v>
      </c>
      <c r="N182" t="s">
        <v>232</v>
      </c>
      <c r="O182" t="s">
        <v>2088</v>
      </c>
    </row>
    <row r="183" spans="1:15">
      <c r="A183" t="s">
        <v>2246</v>
      </c>
      <c r="B183" t="s">
        <v>2085</v>
      </c>
      <c r="C183" t="s">
        <v>2108</v>
      </c>
      <c r="D183" s="1">
        <v>44805</v>
      </c>
      <c r="E183" s="1">
        <v>45058</v>
      </c>
      <c r="F183">
        <v>234</v>
      </c>
      <c r="G183">
        <v>35</v>
      </c>
      <c r="H183">
        <v>2440.69</v>
      </c>
      <c r="I183">
        <v>176.4</v>
      </c>
      <c r="J183" t="s">
        <v>115</v>
      </c>
      <c r="K183" t="s">
        <v>20</v>
      </c>
      <c r="L183" t="s">
        <v>2095</v>
      </c>
      <c r="M183">
        <v>7</v>
      </c>
      <c r="N183" t="s">
        <v>157</v>
      </c>
      <c r="O183" t="s">
        <v>2121</v>
      </c>
    </row>
    <row r="184" spans="1:15">
      <c r="A184" t="s">
        <v>2247</v>
      </c>
      <c r="B184" t="s">
        <v>2113</v>
      </c>
      <c r="C184" t="s">
        <v>2091</v>
      </c>
      <c r="D184" s="1">
        <v>45007</v>
      </c>
      <c r="E184" s="1">
        <v>45129</v>
      </c>
      <c r="F184">
        <v>163</v>
      </c>
      <c r="G184">
        <v>11</v>
      </c>
      <c r="H184">
        <v>390.83</v>
      </c>
      <c r="I184">
        <v>70.39</v>
      </c>
      <c r="J184" t="s">
        <v>90</v>
      </c>
      <c r="K184" t="s">
        <v>16</v>
      </c>
      <c r="L184" t="s">
        <v>2106</v>
      </c>
      <c r="M184">
        <v>6</v>
      </c>
      <c r="N184" t="s">
        <v>194</v>
      </c>
      <c r="O184" t="s">
        <v>2107</v>
      </c>
    </row>
    <row r="185" spans="1:15">
      <c r="A185" t="s">
        <v>2248</v>
      </c>
      <c r="B185" t="s">
        <v>2099</v>
      </c>
      <c r="C185" t="s">
        <v>2091</v>
      </c>
      <c r="D185" s="1">
        <v>45136</v>
      </c>
      <c r="E185" s="1">
        <v>45017</v>
      </c>
      <c r="F185">
        <v>275</v>
      </c>
      <c r="G185">
        <v>1</v>
      </c>
      <c r="H185">
        <v>84.47</v>
      </c>
      <c r="I185">
        <v>56.75</v>
      </c>
      <c r="J185" t="s">
        <v>115</v>
      </c>
      <c r="K185" t="s">
        <v>16</v>
      </c>
      <c r="L185" t="s">
        <v>2106</v>
      </c>
      <c r="M185">
        <v>2</v>
      </c>
      <c r="N185" t="s">
        <v>165</v>
      </c>
      <c r="O185" t="s">
        <v>2121</v>
      </c>
    </row>
    <row r="186" spans="1:15">
      <c r="A186" t="s">
        <v>2249</v>
      </c>
      <c r="B186" t="s">
        <v>2085</v>
      </c>
      <c r="C186" t="s">
        <v>2086</v>
      </c>
      <c r="D186" s="1">
        <v>44273</v>
      </c>
      <c r="E186" s="1">
        <v>45278</v>
      </c>
      <c r="F186">
        <v>14</v>
      </c>
      <c r="G186">
        <v>21</v>
      </c>
      <c r="H186">
        <v>1158.42</v>
      </c>
      <c r="I186">
        <v>135.55000000000001</v>
      </c>
      <c r="J186" t="s">
        <v>41</v>
      </c>
      <c r="K186" t="s">
        <v>16</v>
      </c>
      <c r="L186" t="s">
        <v>2095</v>
      </c>
      <c r="M186">
        <v>1</v>
      </c>
      <c r="N186" t="s">
        <v>204</v>
      </c>
      <c r="O186" t="s">
        <v>2107</v>
      </c>
    </row>
    <row r="187" spans="1:15">
      <c r="A187" t="s">
        <v>357</v>
      </c>
      <c r="B187" t="s">
        <v>2099</v>
      </c>
      <c r="C187" t="s">
        <v>2086</v>
      </c>
      <c r="D187" s="1">
        <v>44954</v>
      </c>
      <c r="E187" s="1">
        <v>44933</v>
      </c>
      <c r="F187">
        <v>359</v>
      </c>
      <c r="G187">
        <v>2</v>
      </c>
      <c r="H187">
        <v>33.03</v>
      </c>
      <c r="I187">
        <v>62.14</v>
      </c>
      <c r="J187" t="s">
        <v>14</v>
      </c>
      <c r="K187" t="s">
        <v>16</v>
      </c>
      <c r="L187" t="s">
        <v>2087</v>
      </c>
      <c r="M187">
        <v>0</v>
      </c>
      <c r="N187" t="s">
        <v>174</v>
      </c>
      <c r="O187" t="s">
        <v>2096</v>
      </c>
    </row>
    <row r="188" spans="1:15">
      <c r="A188" t="s">
        <v>2250</v>
      </c>
      <c r="B188" t="s">
        <v>2093</v>
      </c>
      <c r="C188" t="s">
        <v>2108</v>
      </c>
      <c r="D188" s="1">
        <v>44014</v>
      </c>
      <c r="E188" s="1">
        <v>45000</v>
      </c>
      <c r="F188">
        <v>292</v>
      </c>
      <c r="G188">
        <v>1</v>
      </c>
      <c r="H188">
        <v>52.47</v>
      </c>
      <c r="I188">
        <v>66.209999999999994</v>
      </c>
      <c r="J188" t="s">
        <v>115</v>
      </c>
      <c r="K188" t="s">
        <v>16</v>
      </c>
      <c r="L188" t="s">
        <v>2095</v>
      </c>
      <c r="M188">
        <v>1</v>
      </c>
      <c r="N188" t="s">
        <v>232</v>
      </c>
      <c r="O188" t="s">
        <v>2121</v>
      </c>
    </row>
    <row r="189" spans="1:15">
      <c r="A189" t="s">
        <v>1680</v>
      </c>
      <c r="B189" t="s">
        <v>2093</v>
      </c>
      <c r="C189" t="s">
        <v>2091</v>
      </c>
      <c r="D189" s="1">
        <v>44618</v>
      </c>
      <c r="E189" s="1">
        <v>45154</v>
      </c>
      <c r="F189">
        <v>138</v>
      </c>
      <c r="G189">
        <v>1</v>
      </c>
      <c r="H189">
        <v>64.39</v>
      </c>
      <c r="I189">
        <v>48.83</v>
      </c>
      <c r="J189" t="s">
        <v>66</v>
      </c>
      <c r="K189" t="s">
        <v>16</v>
      </c>
      <c r="L189" t="s">
        <v>2087</v>
      </c>
      <c r="M189">
        <v>2</v>
      </c>
      <c r="N189" t="s">
        <v>157</v>
      </c>
      <c r="O189" t="s">
        <v>2096</v>
      </c>
    </row>
    <row r="190" spans="1:15">
      <c r="A190" t="s">
        <v>2251</v>
      </c>
      <c r="B190" t="s">
        <v>2090</v>
      </c>
      <c r="C190" t="s">
        <v>2111</v>
      </c>
      <c r="D190" s="1">
        <v>43509</v>
      </c>
      <c r="E190" s="1">
        <v>44949</v>
      </c>
      <c r="F190">
        <v>343</v>
      </c>
      <c r="G190">
        <v>7</v>
      </c>
      <c r="H190">
        <v>165.59</v>
      </c>
      <c r="I190">
        <v>83.49</v>
      </c>
      <c r="J190" t="s">
        <v>115</v>
      </c>
      <c r="K190" t="s">
        <v>16</v>
      </c>
      <c r="L190" t="s">
        <v>2095</v>
      </c>
      <c r="M190">
        <v>8</v>
      </c>
      <c r="N190" t="s">
        <v>179</v>
      </c>
      <c r="O190" t="s">
        <v>2109</v>
      </c>
    </row>
    <row r="191" spans="1:15">
      <c r="A191" t="s">
        <v>2252</v>
      </c>
      <c r="B191" t="s">
        <v>2097</v>
      </c>
      <c r="C191" t="s">
        <v>2091</v>
      </c>
      <c r="D191" s="1">
        <v>44340</v>
      </c>
      <c r="E191" s="1">
        <v>45124</v>
      </c>
      <c r="F191">
        <v>168</v>
      </c>
      <c r="G191">
        <v>3</v>
      </c>
      <c r="H191">
        <v>742.91</v>
      </c>
      <c r="I191">
        <v>52.4</v>
      </c>
      <c r="J191" t="s">
        <v>66</v>
      </c>
      <c r="K191" t="s">
        <v>20</v>
      </c>
      <c r="L191" t="s">
        <v>2087</v>
      </c>
      <c r="M191">
        <v>3</v>
      </c>
      <c r="N191" t="s">
        <v>165</v>
      </c>
      <c r="O191" t="s">
        <v>2109</v>
      </c>
    </row>
    <row r="192" spans="1:15">
      <c r="A192" t="s">
        <v>1118</v>
      </c>
      <c r="B192" t="s">
        <v>2093</v>
      </c>
      <c r="C192" t="s">
        <v>2094</v>
      </c>
      <c r="D192" s="1">
        <v>43925</v>
      </c>
      <c r="E192" s="1">
        <v>44979</v>
      </c>
      <c r="F192">
        <v>313</v>
      </c>
      <c r="G192">
        <v>1</v>
      </c>
      <c r="H192">
        <v>113.61</v>
      </c>
      <c r="I192">
        <v>79.45</v>
      </c>
      <c r="J192" t="s">
        <v>66</v>
      </c>
      <c r="K192" t="s">
        <v>16</v>
      </c>
      <c r="L192" t="s">
        <v>2106</v>
      </c>
      <c r="M192">
        <v>5</v>
      </c>
      <c r="N192" t="s">
        <v>174</v>
      </c>
      <c r="O192" t="s">
        <v>2121</v>
      </c>
    </row>
    <row r="193" spans="1:15">
      <c r="A193" t="s">
        <v>2253</v>
      </c>
      <c r="B193" t="s">
        <v>2085</v>
      </c>
      <c r="C193" t="s">
        <v>2094</v>
      </c>
      <c r="D193" s="1">
        <v>44343</v>
      </c>
      <c r="E193" s="1">
        <v>45198</v>
      </c>
      <c r="F193">
        <v>94</v>
      </c>
      <c r="G193">
        <v>40</v>
      </c>
      <c r="H193">
        <v>895.36</v>
      </c>
      <c r="I193">
        <v>130.22</v>
      </c>
      <c r="J193" t="s">
        <v>115</v>
      </c>
      <c r="K193" t="s">
        <v>16</v>
      </c>
      <c r="L193" t="s">
        <v>2106</v>
      </c>
      <c r="M193">
        <v>6</v>
      </c>
      <c r="N193" t="s">
        <v>157</v>
      </c>
      <c r="O193" t="s">
        <v>2121</v>
      </c>
    </row>
    <row r="194" spans="1:15">
      <c r="A194" t="s">
        <v>662</v>
      </c>
      <c r="B194" t="s">
        <v>2090</v>
      </c>
      <c r="C194" t="s">
        <v>2108</v>
      </c>
      <c r="D194" s="1">
        <v>44021</v>
      </c>
      <c r="E194" s="1">
        <v>45182</v>
      </c>
      <c r="F194">
        <v>110</v>
      </c>
      <c r="G194">
        <v>8</v>
      </c>
      <c r="H194">
        <v>171.84</v>
      </c>
      <c r="I194">
        <v>110.03</v>
      </c>
      <c r="J194" t="s">
        <v>66</v>
      </c>
      <c r="K194" t="s">
        <v>16</v>
      </c>
      <c r="L194" t="s">
        <v>2106</v>
      </c>
      <c r="M194">
        <v>1</v>
      </c>
      <c r="N194" t="s">
        <v>179</v>
      </c>
      <c r="O194" t="s">
        <v>2096</v>
      </c>
    </row>
    <row r="195" spans="1:15">
      <c r="A195" t="s">
        <v>2254</v>
      </c>
      <c r="B195" t="s">
        <v>2097</v>
      </c>
      <c r="C195" t="s">
        <v>2111</v>
      </c>
      <c r="D195" s="1">
        <v>44943</v>
      </c>
      <c r="E195" s="1">
        <v>45171</v>
      </c>
      <c r="F195">
        <v>121</v>
      </c>
      <c r="G195">
        <v>5</v>
      </c>
      <c r="H195">
        <v>358.17</v>
      </c>
      <c r="I195">
        <v>89.06</v>
      </c>
      <c r="J195" t="s">
        <v>14</v>
      </c>
      <c r="K195" t="s">
        <v>20</v>
      </c>
      <c r="L195" t="s">
        <v>2087</v>
      </c>
      <c r="M195">
        <v>4</v>
      </c>
      <c r="N195" t="s">
        <v>157</v>
      </c>
      <c r="O195" t="s">
        <v>2096</v>
      </c>
    </row>
    <row r="196" spans="1:15">
      <c r="A196" t="s">
        <v>2255</v>
      </c>
      <c r="B196" t="s">
        <v>2113</v>
      </c>
      <c r="C196" t="s">
        <v>2100</v>
      </c>
      <c r="D196" s="1">
        <v>44119</v>
      </c>
      <c r="E196" s="1">
        <v>45180</v>
      </c>
      <c r="F196">
        <v>112</v>
      </c>
      <c r="G196">
        <v>9</v>
      </c>
      <c r="H196">
        <v>190.94</v>
      </c>
      <c r="I196">
        <v>49.25</v>
      </c>
      <c r="J196" t="s">
        <v>90</v>
      </c>
      <c r="K196" t="s">
        <v>20</v>
      </c>
      <c r="L196" t="s">
        <v>2087</v>
      </c>
      <c r="M196">
        <v>9</v>
      </c>
      <c r="N196" t="s">
        <v>179</v>
      </c>
      <c r="O196" t="s">
        <v>2121</v>
      </c>
    </row>
    <row r="197" spans="1:15">
      <c r="A197" t="s">
        <v>2256</v>
      </c>
      <c r="B197" t="s">
        <v>2097</v>
      </c>
      <c r="C197" t="s">
        <v>2100</v>
      </c>
      <c r="D197" s="1">
        <v>44569</v>
      </c>
      <c r="E197" s="1">
        <v>45200</v>
      </c>
      <c r="F197">
        <v>92</v>
      </c>
      <c r="G197">
        <v>6</v>
      </c>
      <c r="H197">
        <v>399.07</v>
      </c>
      <c r="I197">
        <v>104.93</v>
      </c>
      <c r="J197" t="s">
        <v>115</v>
      </c>
      <c r="K197" t="s">
        <v>20</v>
      </c>
      <c r="L197" t="s">
        <v>2095</v>
      </c>
      <c r="M197">
        <v>6</v>
      </c>
      <c r="N197" t="s">
        <v>174</v>
      </c>
      <c r="O197" t="s">
        <v>2088</v>
      </c>
    </row>
    <row r="198" spans="1:15">
      <c r="A198" t="s">
        <v>2257</v>
      </c>
      <c r="B198" t="s">
        <v>2093</v>
      </c>
      <c r="C198" t="s">
        <v>2108</v>
      </c>
      <c r="D198" s="1">
        <v>45127</v>
      </c>
      <c r="E198" s="1">
        <v>45039</v>
      </c>
      <c r="F198">
        <v>253</v>
      </c>
      <c r="G198">
        <v>4</v>
      </c>
      <c r="H198">
        <v>119.58</v>
      </c>
      <c r="I198">
        <v>66.599999999999994</v>
      </c>
      <c r="J198" t="s">
        <v>14</v>
      </c>
      <c r="K198" t="s">
        <v>16</v>
      </c>
      <c r="L198" t="s">
        <v>2087</v>
      </c>
      <c r="M198">
        <v>0</v>
      </c>
      <c r="N198" t="s">
        <v>157</v>
      </c>
      <c r="O198" t="s">
        <v>2096</v>
      </c>
    </row>
    <row r="199" spans="1:15">
      <c r="A199" t="s">
        <v>2258</v>
      </c>
      <c r="B199" t="s">
        <v>2113</v>
      </c>
      <c r="C199" t="s">
        <v>2094</v>
      </c>
      <c r="D199" s="1">
        <v>43588</v>
      </c>
      <c r="E199" s="1">
        <v>45105</v>
      </c>
      <c r="F199">
        <v>187</v>
      </c>
      <c r="G199">
        <v>20</v>
      </c>
      <c r="H199">
        <v>578.80999999999995</v>
      </c>
      <c r="I199">
        <v>76.05</v>
      </c>
      <c r="J199" t="s">
        <v>41</v>
      </c>
      <c r="K199" t="s">
        <v>16</v>
      </c>
      <c r="L199" t="s">
        <v>2087</v>
      </c>
      <c r="M199">
        <v>2</v>
      </c>
      <c r="N199" t="s">
        <v>179</v>
      </c>
      <c r="O199" t="s">
        <v>2088</v>
      </c>
    </row>
    <row r="200" spans="1:15">
      <c r="A200" t="s">
        <v>690</v>
      </c>
      <c r="B200" t="s">
        <v>2099</v>
      </c>
      <c r="C200" t="s">
        <v>2111</v>
      </c>
      <c r="D200" s="1">
        <v>44995</v>
      </c>
      <c r="E200" s="1">
        <v>44997</v>
      </c>
      <c r="F200">
        <v>295</v>
      </c>
      <c r="G200">
        <v>1</v>
      </c>
      <c r="H200">
        <v>47.4</v>
      </c>
      <c r="I200">
        <v>37.97</v>
      </c>
      <c r="J200" t="s">
        <v>41</v>
      </c>
      <c r="K200" t="s">
        <v>16</v>
      </c>
      <c r="L200" t="s">
        <v>2106</v>
      </c>
      <c r="M200">
        <v>0</v>
      </c>
      <c r="N200" t="s">
        <v>165</v>
      </c>
      <c r="O200" t="s">
        <v>2109</v>
      </c>
    </row>
    <row r="201" spans="1:15">
      <c r="A201" t="s">
        <v>2259</v>
      </c>
      <c r="B201" t="s">
        <v>2113</v>
      </c>
      <c r="C201" t="s">
        <v>2086</v>
      </c>
      <c r="D201" s="1">
        <v>43617</v>
      </c>
      <c r="E201" s="1">
        <v>45171</v>
      </c>
      <c r="F201">
        <v>121</v>
      </c>
      <c r="G201">
        <v>6</v>
      </c>
      <c r="H201">
        <v>450.7</v>
      </c>
      <c r="I201">
        <v>63.14</v>
      </c>
      <c r="J201" t="s">
        <v>41</v>
      </c>
      <c r="K201" t="s">
        <v>16</v>
      </c>
      <c r="L201" t="s">
        <v>2095</v>
      </c>
      <c r="M201">
        <v>5</v>
      </c>
      <c r="N201" t="s">
        <v>157</v>
      </c>
      <c r="O201" t="s">
        <v>2096</v>
      </c>
    </row>
    <row r="202" spans="1:15">
      <c r="A202" t="s">
        <v>2260</v>
      </c>
      <c r="B202" t="s">
        <v>2097</v>
      </c>
      <c r="C202" t="s">
        <v>2091</v>
      </c>
      <c r="D202" s="1">
        <v>44318</v>
      </c>
      <c r="E202" s="1">
        <v>45003</v>
      </c>
      <c r="F202">
        <v>289</v>
      </c>
      <c r="G202">
        <v>4</v>
      </c>
      <c r="H202">
        <v>158.11000000000001</v>
      </c>
      <c r="I202">
        <v>133.11000000000001</v>
      </c>
      <c r="J202" t="s">
        <v>90</v>
      </c>
      <c r="K202" t="s">
        <v>20</v>
      </c>
      <c r="L202" t="s">
        <v>2095</v>
      </c>
      <c r="M202">
        <v>8</v>
      </c>
      <c r="N202" t="s">
        <v>165</v>
      </c>
      <c r="O202" t="s">
        <v>2121</v>
      </c>
    </row>
    <row r="203" spans="1:15">
      <c r="A203" t="s">
        <v>2261</v>
      </c>
      <c r="B203" t="s">
        <v>2099</v>
      </c>
      <c r="C203" t="s">
        <v>2111</v>
      </c>
      <c r="D203" s="1">
        <v>44786</v>
      </c>
      <c r="E203" s="1">
        <v>45282</v>
      </c>
      <c r="F203">
        <v>10</v>
      </c>
      <c r="G203">
        <v>2</v>
      </c>
      <c r="H203">
        <v>113.93</v>
      </c>
      <c r="I203">
        <v>55.52</v>
      </c>
      <c r="J203" t="s">
        <v>66</v>
      </c>
      <c r="K203" t="s">
        <v>16</v>
      </c>
      <c r="L203" t="s">
        <v>2095</v>
      </c>
      <c r="M203">
        <v>0</v>
      </c>
      <c r="N203" t="s">
        <v>165</v>
      </c>
      <c r="O203" t="s">
        <v>2096</v>
      </c>
    </row>
    <row r="204" spans="1:15">
      <c r="A204" t="s">
        <v>2262</v>
      </c>
      <c r="B204" t="s">
        <v>2090</v>
      </c>
      <c r="C204" t="s">
        <v>2108</v>
      </c>
      <c r="D204" s="1">
        <v>44277</v>
      </c>
      <c r="E204" s="1">
        <v>45143</v>
      </c>
      <c r="F204">
        <v>149</v>
      </c>
      <c r="G204">
        <v>8</v>
      </c>
      <c r="H204">
        <v>135.55000000000001</v>
      </c>
      <c r="I204">
        <v>52.83</v>
      </c>
      <c r="J204" t="s">
        <v>90</v>
      </c>
      <c r="K204" t="s">
        <v>20</v>
      </c>
      <c r="L204" t="s">
        <v>2106</v>
      </c>
      <c r="M204">
        <v>4</v>
      </c>
      <c r="N204" t="s">
        <v>232</v>
      </c>
      <c r="O204" t="s">
        <v>2088</v>
      </c>
    </row>
    <row r="205" spans="1:15">
      <c r="A205" t="s">
        <v>2263</v>
      </c>
      <c r="B205" t="s">
        <v>2113</v>
      </c>
      <c r="C205" t="s">
        <v>2100</v>
      </c>
      <c r="D205" s="1">
        <v>43654</v>
      </c>
      <c r="E205" s="1">
        <v>45194</v>
      </c>
      <c r="F205">
        <v>98</v>
      </c>
      <c r="G205">
        <v>12</v>
      </c>
      <c r="H205">
        <v>311.83999999999997</v>
      </c>
      <c r="I205">
        <v>37.840000000000003</v>
      </c>
      <c r="J205" t="s">
        <v>41</v>
      </c>
      <c r="K205" t="s">
        <v>20</v>
      </c>
      <c r="L205" t="s">
        <v>2095</v>
      </c>
      <c r="M205">
        <v>6</v>
      </c>
      <c r="N205" t="s">
        <v>232</v>
      </c>
      <c r="O205" t="s">
        <v>2096</v>
      </c>
    </row>
    <row r="206" spans="1:15">
      <c r="A206" t="s">
        <v>2264</v>
      </c>
      <c r="B206" t="s">
        <v>2097</v>
      </c>
      <c r="C206" t="s">
        <v>2111</v>
      </c>
      <c r="D206" s="1">
        <v>44611</v>
      </c>
      <c r="E206" s="1">
        <v>45236</v>
      </c>
      <c r="F206">
        <v>56</v>
      </c>
      <c r="G206">
        <v>9</v>
      </c>
      <c r="H206">
        <v>269.39999999999998</v>
      </c>
      <c r="I206">
        <v>124.6</v>
      </c>
      <c r="J206" t="s">
        <v>90</v>
      </c>
      <c r="K206" t="s">
        <v>16</v>
      </c>
      <c r="L206" t="s">
        <v>2087</v>
      </c>
      <c r="M206">
        <v>10</v>
      </c>
      <c r="N206" t="s">
        <v>165</v>
      </c>
      <c r="O206" t="s">
        <v>2109</v>
      </c>
    </row>
    <row r="207" spans="1:15">
      <c r="A207" t="s">
        <v>2265</v>
      </c>
      <c r="B207" t="s">
        <v>2099</v>
      </c>
      <c r="C207" t="s">
        <v>2094</v>
      </c>
      <c r="D207" s="1">
        <v>44334</v>
      </c>
      <c r="E207" s="1">
        <v>45026</v>
      </c>
      <c r="F207">
        <v>266</v>
      </c>
      <c r="G207">
        <v>1</v>
      </c>
      <c r="H207">
        <v>27.11</v>
      </c>
      <c r="I207">
        <v>49.72</v>
      </c>
      <c r="J207" t="s">
        <v>14</v>
      </c>
      <c r="K207" t="s">
        <v>16</v>
      </c>
      <c r="L207" t="s">
        <v>2095</v>
      </c>
      <c r="M207">
        <v>5</v>
      </c>
      <c r="N207" t="s">
        <v>232</v>
      </c>
      <c r="O207" t="s">
        <v>2121</v>
      </c>
    </row>
    <row r="208" spans="1:15">
      <c r="A208" t="s">
        <v>2266</v>
      </c>
      <c r="B208" t="s">
        <v>2085</v>
      </c>
      <c r="C208" t="s">
        <v>2086</v>
      </c>
      <c r="D208" s="1">
        <v>43599</v>
      </c>
      <c r="E208" s="1">
        <v>45035</v>
      </c>
      <c r="F208">
        <v>257</v>
      </c>
      <c r="G208">
        <v>19</v>
      </c>
      <c r="H208">
        <v>1420.86</v>
      </c>
      <c r="I208">
        <v>208.31</v>
      </c>
      <c r="J208" t="s">
        <v>14</v>
      </c>
      <c r="K208" t="s">
        <v>16</v>
      </c>
      <c r="L208" t="s">
        <v>2095</v>
      </c>
      <c r="M208">
        <v>8</v>
      </c>
      <c r="N208" t="s">
        <v>157</v>
      </c>
      <c r="O208" t="s">
        <v>2096</v>
      </c>
    </row>
    <row r="209" spans="1:15">
      <c r="A209" t="s">
        <v>2267</v>
      </c>
      <c r="B209" t="s">
        <v>2097</v>
      </c>
      <c r="C209" t="s">
        <v>2100</v>
      </c>
      <c r="D209" s="1">
        <v>43557</v>
      </c>
      <c r="E209" s="1">
        <v>45215</v>
      </c>
      <c r="F209">
        <v>77</v>
      </c>
      <c r="G209">
        <v>7</v>
      </c>
      <c r="H209">
        <v>205.28</v>
      </c>
      <c r="I209">
        <v>107.01</v>
      </c>
      <c r="J209" t="s">
        <v>14</v>
      </c>
      <c r="K209" t="s">
        <v>16</v>
      </c>
      <c r="L209" t="s">
        <v>2087</v>
      </c>
      <c r="M209">
        <v>1</v>
      </c>
      <c r="N209" t="s">
        <v>194</v>
      </c>
      <c r="O209" t="s">
        <v>2096</v>
      </c>
    </row>
    <row r="210" spans="1:15">
      <c r="A210" t="s">
        <v>2268</v>
      </c>
      <c r="B210" t="s">
        <v>2113</v>
      </c>
      <c r="C210" t="s">
        <v>2108</v>
      </c>
      <c r="D210" s="1">
        <v>44110</v>
      </c>
      <c r="E210" s="1">
        <v>45127</v>
      </c>
      <c r="F210">
        <v>165</v>
      </c>
      <c r="G210">
        <v>14</v>
      </c>
      <c r="H210">
        <v>579.37</v>
      </c>
      <c r="I210">
        <v>55.01</v>
      </c>
      <c r="J210" t="s">
        <v>66</v>
      </c>
      <c r="K210" t="s">
        <v>16</v>
      </c>
      <c r="L210" t="s">
        <v>2106</v>
      </c>
      <c r="M210">
        <v>10</v>
      </c>
      <c r="N210" t="s">
        <v>174</v>
      </c>
      <c r="O210" t="s">
        <v>2121</v>
      </c>
    </row>
    <row r="211" spans="1:15">
      <c r="A211" t="s">
        <v>2269</v>
      </c>
      <c r="B211" t="s">
        <v>2099</v>
      </c>
      <c r="C211" t="s">
        <v>2100</v>
      </c>
      <c r="D211" s="1">
        <v>43514</v>
      </c>
      <c r="E211" s="1">
        <v>45227</v>
      </c>
      <c r="F211">
        <v>65</v>
      </c>
      <c r="G211">
        <v>1</v>
      </c>
      <c r="H211">
        <v>85.28</v>
      </c>
      <c r="I211">
        <v>82</v>
      </c>
      <c r="J211" t="s">
        <v>90</v>
      </c>
      <c r="K211" t="s">
        <v>20</v>
      </c>
      <c r="L211" t="s">
        <v>2095</v>
      </c>
      <c r="M211">
        <v>4</v>
      </c>
      <c r="N211" t="s">
        <v>157</v>
      </c>
      <c r="O211" t="s">
        <v>2107</v>
      </c>
    </row>
    <row r="212" spans="1:15">
      <c r="A212" t="s">
        <v>2270</v>
      </c>
      <c r="B212" t="s">
        <v>2093</v>
      </c>
      <c r="C212" t="s">
        <v>2091</v>
      </c>
      <c r="D212" s="1">
        <v>44937</v>
      </c>
      <c r="E212" s="1">
        <v>45045</v>
      </c>
      <c r="F212">
        <v>247</v>
      </c>
      <c r="G212">
        <v>4</v>
      </c>
      <c r="H212">
        <v>43.39</v>
      </c>
      <c r="I212">
        <v>57.56</v>
      </c>
      <c r="J212" t="s">
        <v>41</v>
      </c>
      <c r="K212" t="s">
        <v>20</v>
      </c>
      <c r="L212" t="s">
        <v>2095</v>
      </c>
      <c r="M212">
        <v>8</v>
      </c>
      <c r="N212" t="s">
        <v>232</v>
      </c>
      <c r="O212" t="s">
        <v>2088</v>
      </c>
    </row>
    <row r="213" spans="1:15">
      <c r="A213" t="s">
        <v>670</v>
      </c>
      <c r="B213" t="s">
        <v>2093</v>
      </c>
      <c r="C213" t="s">
        <v>2094</v>
      </c>
      <c r="D213" s="1">
        <v>45074</v>
      </c>
      <c r="E213" s="1">
        <v>44994</v>
      </c>
      <c r="F213">
        <v>298</v>
      </c>
      <c r="G213">
        <v>5</v>
      </c>
      <c r="H213">
        <v>188.14</v>
      </c>
      <c r="I213">
        <v>40.479999999999997</v>
      </c>
      <c r="J213" t="s">
        <v>66</v>
      </c>
      <c r="K213" t="s">
        <v>16</v>
      </c>
      <c r="L213" t="s">
        <v>2106</v>
      </c>
      <c r="M213">
        <v>6</v>
      </c>
      <c r="N213" t="s">
        <v>174</v>
      </c>
      <c r="O213" t="s">
        <v>2109</v>
      </c>
    </row>
    <row r="214" spans="1:15">
      <c r="A214" t="s">
        <v>2271</v>
      </c>
      <c r="B214" t="s">
        <v>2097</v>
      </c>
      <c r="C214" t="s">
        <v>2108</v>
      </c>
      <c r="D214" s="1">
        <v>43778</v>
      </c>
      <c r="E214" s="1">
        <v>45217</v>
      </c>
      <c r="F214">
        <v>75</v>
      </c>
      <c r="G214">
        <v>6</v>
      </c>
      <c r="H214">
        <v>798.06</v>
      </c>
      <c r="I214">
        <v>110.69</v>
      </c>
      <c r="J214" t="s">
        <v>90</v>
      </c>
      <c r="K214" t="s">
        <v>16</v>
      </c>
      <c r="L214" t="s">
        <v>2095</v>
      </c>
      <c r="M214">
        <v>2</v>
      </c>
      <c r="N214" t="s">
        <v>179</v>
      </c>
      <c r="O214" t="s">
        <v>2121</v>
      </c>
    </row>
    <row r="215" spans="1:15">
      <c r="A215" t="s">
        <v>1953</v>
      </c>
      <c r="B215" t="s">
        <v>2090</v>
      </c>
      <c r="C215" t="s">
        <v>2111</v>
      </c>
      <c r="D215" s="1">
        <v>43644</v>
      </c>
      <c r="E215" s="1">
        <v>45182</v>
      </c>
      <c r="F215">
        <v>110</v>
      </c>
      <c r="G215">
        <v>8</v>
      </c>
      <c r="H215">
        <v>390.06</v>
      </c>
      <c r="I215">
        <v>102.52</v>
      </c>
      <c r="J215" t="s">
        <v>90</v>
      </c>
      <c r="K215" t="s">
        <v>16</v>
      </c>
      <c r="L215" t="s">
        <v>2095</v>
      </c>
      <c r="M215">
        <v>4</v>
      </c>
      <c r="N215" t="s">
        <v>157</v>
      </c>
      <c r="O215" t="s">
        <v>2096</v>
      </c>
    </row>
    <row r="216" spans="1:15">
      <c r="A216" t="s">
        <v>2272</v>
      </c>
      <c r="B216" t="s">
        <v>2113</v>
      </c>
      <c r="C216" t="s">
        <v>2094</v>
      </c>
      <c r="D216" s="1">
        <v>44921</v>
      </c>
      <c r="E216" s="1">
        <v>45162</v>
      </c>
      <c r="F216">
        <v>130</v>
      </c>
      <c r="G216">
        <v>16</v>
      </c>
      <c r="H216">
        <v>276.68</v>
      </c>
      <c r="I216">
        <v>33.56</v>
      </c>
      <c r="J216" t="s">
        <v>90</v>
      </c>
      <c r="K216" t="s">
        <v>16</v>
      </c>
      <c r="L216" t="s">
        <v>2087</v>
      </c>
      <c r="M216">
        <v>10</v>
      </c>
      <c r="N216" t="s">
        <v>157</v>
      </c>
      <c r="O216" t="s">
        <v>2096</v>
      </c>
    </row>
    <row r="217" spans="1:15">
      <c r="A217" t="s">
        <v>2273</v>
      </c>
      <c r="B217" t="s">
        <v>2090</v>
      </c>
      <c r="C217" t="s">
        <v>2086</v>
      </c>
      <c r="D217" s="1">
        <v>44287</v>
      </c>
      <c r="E217" s="1">
        <v>45136</v>
      </c>
      <c r="F217">
        <v>156</v>
      </c>
      <c r="G217">
        <v>5</v>
      </c>
      <c r="H217">
        <v>92.67</v>
      </c>
      <c r="I217">
        <v>108.72</v>
      </c>
      <c r="J217" t="s">
        <v>41</v>
      </c>
      <c r="K217" t="s">
        <v>16</v>
      </c>
      <c r="L217" t="s">
        <v>2087</v>
      </c>
      <c r="M217">
        <v>8</v>
      </c>
      <c r="N217" t="s">
        <v>179</v>
      </c>
      <c r="O217" t="s">
        <v>2088</v>
      </c>
    </row>
    <row r="218" spans="1:15">
      <c r="A218" t="s">
        <v>2274</v>
      </c>
      <c r="B218" t="s">
        <v>2113</v>
      </c>
      <c r="C218" t="s">
        <v>2108</v>
      </c>
      <c r="D218" s="1">
        <v>44387</v>
      </c>
      <c r="E218" s="1">
        <v>45061</v>
      </c>
      <c r="F218">
        <v>231</v>
      </c>
      <c r="G218">
        <v>16</v>
      </c>
      <c r="H218">
        <v>141.75</v>
      </c>
      <c r="I218">
        <v>50.66</v>
      </c>
      <c r="J218" t="s">
        <v>14</v>
      </c>
      <c r="K218" t="s">
        <v>20</v>
      </c>
      <c r="L218" t="s">
        <v>2106</v>
      </c>
      <c r="M218">
        <v>0</v>
      </c>
      <c r="N218" t="s">
        <v>165</v>
      </c>
      <c r="O218" t="s">
        <v>2107</v>
      </c>
    </row>
    <row r="219" spans="1:15">
      <c r="A219" t="s">
        <v>1136</v>
      </c>
      <c r="B219" t="s">
        <v>2093</v>
      </c>
      <c r="C219" t="s">
        <v>2091</v>
      </c>
      <c r="D219" s="1">
        <v>44061</v>
      </c>
      <c r="E219" s="1">
        <v>45119</v>
      </c>
      <c r="F219">
        <v>173</v>
      </c>
      <c r="G219">
        <v>5</v>
      </c>
      <c r="H219">
        <v>31.35</v>
      </c>
      <c r="I219">
        <v>71.180000000000007</v>
      </c>
      <c r="J219" t="s">
        <v>115</v>
      </c>
      <c r="K219" t="s">
        <v>16</v>
      </c>
      <c r="L219" t="s">
        <v>2095</v>
      </c>
      <c r="M219">
        <v>3</v>
      </c>
      <c r="N219" t="s">
        <v>204</v>
      </c>
      <c r="O219" t="s">
        <v>2109</v>
      </c>
    </row>
    <row r="220" spans="1:15">
      <c r="A220" t="s">
        <v>2275</v>
      </c>
      <c r="B220" t="s">
        <v>2093</v>
      </c>
      <c r="C220" t="s">
        <v>2111</v>
      </c>
      <c r="D220" s="1">
        <v>44561</v>
      </c>
      <c r="E220" s="1">
        <v>45165</v>
      </c>
      <c r="F220">
        <v>127</v>
      </c>
      <c r="G220">
        <v>1</v>
      </c>
      <c r="H220">
        <v>89.32</v>
      </c>
      <c r="I220">
        <v>48.11</v>
      </c>
      <c r="J220" t="s">
        <v>14</v>
      </c>
      <c r="K220" t="s">
        <v>16</v>
      </c>
      <c r="L220" t="s">
        <v>2106</v>
      </c>
      <c r="M220">
        <v>1</v>
      </c>
      <c r="N220" t="s">
        <v>204</v>
      </c>
      <c r="O220" t="s">
        <v>2109</v>
      </c>
    </row>
    <row r="221" spans="1:15">
      <c r="A221" t="s">
        <v>2276</v>
      </c>
      <c r="B221" t="s">
        <v>2097</v>
      </c>
      <c r="C221" t="s">
        <v>2091</v>
      </c>
      <c r="D221" s="1">
        <v>44703</v>
      </c>
      <c r="E221" s="1">
        <v>45175</v>
      </c>
      <c r="F221">
        <v>117</v>
      </c>
      <c r="G221">
        <v>9</v>
      </c>
      <c r="H221">
        <v>363.67</v>
      </c>
      <c r="I221">
        <v>81.73</v>
      </c>
      <c r="J221" t="s">
        <v>90</v>
      </c>
      <c r="K221" t="s">
        <v>16</v>
      </c>
      <c r="L221" t="s">
        <v>2087</v>
      </c>
      <c r="M221">
        <v>7</v>
      </c>
      <c r="N221" t="s">
        <v>174</v>
      </c>
      <c r="O221" t="s">
        <v>2088</v>
      </c>
    </row>
    <row r="222" spans="1:15">
      <c r="A222" t="s">
        <v>1571</v>
      </c>
      <c r="B222" t="s">
        <v>2097</v>
      </c>
      <c r="C222" t="s">
        <v>2086</v>
      </c>
      <c r="D222" s="1">
        <v>44629</v>
      </c>
      <c r="E222" s="1">
        <v>44943</v>
      </c>
      <c r="F222">
        <v>349</v>
      </c>
      <c r="G222">
        <v>10</v>
      </c>
      <c r="H222">
        <v>244.58</v>
      </c>
      <c r="I222">
        <v>71.349999999999994</v>
      </c>
      <c r="J222" t="s">
        <v>90</v>
      </c>
      <c r="K222" t="s">
        <v>16</v>
      </c>
      <c r="L222" t="s">
        <v>2087</v>
      </c>
      <c r="M222">
        <v>6</v>
      </c>
      <c r="N222" t="s">
        <v>204</v>
      </c>
      <c r="O222" t="s">
        <v>2107</v>
      </c>
    </row>
    <row r="223" spans="1:15">
      <c r="A223" t="s">
        <v>2277</v>
      </c>
      <c r="B223" t="s">
        <v>2085</v>
      </c>
      <c r="C223" t="s">
        <v>2094</v>
      </c>
      <c r="D223" s="1">
        <v>44866</v>
      </c>
      <c r="E223" s="1">
        <v>45143</v>
      </c>
      <c r="F223">
        <v>149</v>
      </c>
      <c r="G223">
        <v>18</v>
      </c>
      <c r="H223">
        <v>2709.65</v>
      </c>
      <c r="I223">
        <v>290.52999999999997</v>
      </c>
      <c r="J223" t="s">
        <v>66</v>
      </c>
      <c r="K223" t="s">
        <v>20</v>
      </c>
      <c r="L223" t="s">
        <v>2095</v>
      </c>
      <c r="M223">
        <v>1</v>
      </c>
      <c r="N223" t="s">
        <v>157</v>
      </c>
      <c r="O223" t="s">
        <v>2096</v>
      </c>
    </row>
    <row r="224" spans="1:15">
      <c r="A224" t="s">
        <v>2278</v>
      </c>
      <c r="B224" t="s">
        <v>2113</v>
      </c>
      <c r="C224" t="s">
        <v>2086</v>
      </c>
      <c r="D224" s="1">
        <v>44390</v>
      </c>
      <c r="E224" s="1">
        <v>45141</v>
      </c>
      <c r="F224">
        <v>151</v>
      </c>
      <c r="G224">
        <v>17</v>
      </c>
      <c r="H224">
        <v>140.85</v>
      </c>
      <c r="I224">
        <v>73.69</v>
      </c>
      <c r="J224" t="s">
        <v>41</v>
      </c>
      <c r="K224" t="s">
        <v>20</v>
      </c>
      <c r="L224" t="s">
        <v>2087</v>
      </c>
      <c r="M224">
        <v>2</v>
      </c>
      <c r="N224" t="s">
        <v>179</v>
      </c>
      <c r="O224" t="s">
        <v>2096</v>
      </c>
    </row>
    <row r="225" spans="1:15">
      <c r="A225" t="s">
        <v>2279</v>
      </c>
      <c r="B225" t="s">
        <v>2085</v>
      </c>
      <c r="C225" t="s">
        <v>2091</v>
      </c>
      <c r="D225" s="1">
        <v>45008</v>
      </c>
      <c r="E225" s="1">
        <v>45079</v>
      </c>
      <c r="F225">
        <v>213</v>
      </c>
      <c r="G225">
        <v>40</v>
      </c>
      <c r="H225">
        <v>2783.61</v>
      </c>
      <c r="I225">
        <v>168.4</v>
      </c>
      <c r="J225" t="s">
        <v>41</v>
      </c>
      <c r="K225" t="s">
        <v>16</v>
      </c>
      <c r="L225" t="s">
        <v>2087</v>
      </c>
      <c r="M225">
        <v>7</v>
      </c>
      <c r="N225" t="s">
        <v>204</v>
      </c>
      <c r="O225" t="s">
        <v>2088</v>
      </c>
    </row>
    <row r="226" spans="1:15">
      <c r="A226" t="s">
        <v>2280</v>
      </c>
      <c r="B226" t="s">
        <v>2093</v>
      </c>
      <c r="C226" t="s">
        <v>2100</v>
      </c>
      <c r="D226" s="1">
        <v>44885</v>
      </c>
      <c r="E226" s="1">
        <v>45219</v>
      </c>
      <c r="F226">
        <v>73</v>
      </c>
      <c r="G226">
        <v>2</v>
      </c>
      <c r="H226">
        <v>194.15</v>
      </c>
      <c r="I226">
        <v>46.21</v>
      </c>
      <c r="J226" t="s">
        <v>14</v>
      </c>
      <c r="K226" t="s">
        <v>20</v>
      </c>
      <c r="L226" t="s">
        <v>2106</v>
      </c>
      <c r="M226">
        <v>3</v>
      </c>
      <c r="N226" t="s">
        <v>174</v>
      </c>
      <c r="O226" t="s">
        <v>2088</v>
      </c>
    </row>
    <row r="227" spans="1:15">
      <c r="A227" t="s">
        <v>2281</v>
      </c>
      <c r="B227" t="s">
        <v>2090</v>
      </c>
      <c r="C227" t="s">
        <v>2111</v>
      </c>
      <c r="D227" s="1">
        <v>44969</v>
      </c>
      <c r="E227" s="1">
        <v>45089</v>
      </c>
      <c r="F227">
        <v>203</v>
      </c>
      <c r="G227">
        <v>3</v>
      </c>
      <c r="H227">
        <v>183.59</v>
      </c>
      <c r="I227">
        <v>118.91</v>
      </c>
      <c r="J227" t="s">
        <v>41</v>
      </c>
      <c r="K227" t="s">
        <v>16</v>
      </c>
      <c r="L227" t="s">
        <v>2095</v>
      </c>
      <c r="M227">
        <v>7</v>
      </c>
      <c r="N227" t="s">
        <v>179</v>
      </c>
      <c r="O227" t="s">
        <v>2121</v>
      </c>
    </row>
    <row r="228" spans="1:15">
      <c r="A228" t="s">
        <v>2282</v>
      </c>
      <c r="B228" t="s">
        <v>2085</v>
      </c>
      <c r="C228" t="s">
        <v>2100</v>
      </c>
      <c r="D228" s="1">
        <v>44532</v>
      </c>
      <c r="E228" s="1">
        <v>44928</v>
      </c>
      <c r="F228">
        <v>364</v>
      </c>
      <c r="G228">
        <v>37</v>
      </c>
      <c r="H228">
        <v>2933.95</v>
      </c>
      <c r="I228">
        <v>181.28</v>
      </c>
      <c r="J228" t="s">
        <v>41</v>
      </c>
      <c r="K228" t="s">
        <v>20</v>
      </c>
      <c r="L228" t="s">
        <v>2087</v>
      </c>
      <c r="M228">
        <v>10</v>
      </c>
      <c r="N228" t="s">
        <v>232</v>
      </c>
      <c r="O228" t="s">
        <v>2096</v>
      </c>
    </row>
    <row r="229" spans="1:15">
      <c r="A229" t="s">
        <v>2283</v>
      </c>
      <c r="B229" t="s">
        <v>2085</v>
      </c>
      <c r="C229" t="s">
        <v>2091</v>
      </c>
      <c r="D229" s="1">
        <v>44892</v>
      </c>
      <c r="E229" s="1">
        <v>45206</v>
      </c>
      <c r="F229">
        <v>86</v>
      </c>
      <c r="G229">
        <v>18</v>
      </c>
      <c r="H229">
        <v>2440.56</v>
      </c>
      <c r="I229">
        <v>137.53</v>
      </c>
      <c r="J229" t="s">
        <v>115</v>
      </c>
      <c r="K229" t="s">
        <v>16</v>
      </c>
      <c r="L229" t="s">
        <v>2095</v>
      </c>
      <c r="M229">
        <v>5</v>
      </c>
      <c r="N229" t="s">
        <v>157</v>
      </c>
      <c r="O229" t="s">
        <v>2107</v>
      </c>
    </row>
    <row r="230" spans="1:15">
      <c r="A230" t="s">
        <v>2284</v>
      </c>
      <c r="B230" t="s">
        <v>2093</v>
      </c>
      <c r="C230" t="s">
        <v>2094</v>
      </c>
      <c r="D230" s="1">
        <v>44211</v>
      </c>
      <c r="E230" s="1">
        <v>44935</v>
      </c>
      <c r="F230">
        <v>357</v>
      </c>
      <c r="G230">
        <v>5</v>
      </c>
      <c r="H230">
        <v>192.37</v>
      </c>
      <c r="I230">
        <v>42.22</v>
      </c>
      <c r="J230" t="s">
        <v>66</v>
      </c>
      <c r="K230" t="s">
        <v>20</v>
      </c>
      <c r="L230" t="s">
        <v>2095</v>
      </c>
      <c r="M230">
        <v>7</v>
      </c>
      <c r="N230" t="s">
        <v>165</v>
      </c>
      <c r="O230" t="s">
        <v>2109</v>
      </c>
    </row>
    <row r="231" spans="1:15">
      <c r="A231" t="s">
        <v>1362</v>
      </c>
      <c r="B231" t="s">
        <v>2099</v>
      </c>
      <c r="C231" t="s">
        <v>2094</v>
      </c>
      <c r="D231" s="1">
        <v>44338</v>
      </c>
      <c r="E231" s="1">
        <v>45194</v>
      </c>
      <c r="F231">
        <v>98</v>
      </c>
      <c r="G231">
        <v>2</v>
      </c>
      <c r="H231">
        <v>65.72</v>
      </c>
      <c r="I231">
        <v>86.25</v>
      </c>
      <c r="J231" t="s">
        <v>14</v>
      </c>
      <c r="K231" t="s">
        <v>16</v>
      </c>
      <c r="L231" t="s">
        <v>2087</v>
      </c>
      <c r="M231">
        <v>6</v>
      </c>
      <c r="N231" t="s">
        <v>194</v>
      </c>
      <c r="O231" t="s">
        <v>2107</v>
      </c>
    </row>
    <row r="232" spans="1:15">
      <c r="A232" t="s">
        <v>2285</v>
      </c>
      <c r="B232" t="s">
        <v>2090</v>
      </c>
      <c r="C232" t="s">
        <v>2108</v>
      </c>
      <c r="D232" s="1">
        <v>44049</v>
      </c>
      <c r="E232" s="1">
        <v>45264</v>
      </c>
      <c r="F232">
        <v>28</v>
      </c>
      <c r="G232">
        <v>6</v>
      </c>
      <c r="H232">
        <v>132.05000000000001</v>
      </c>
      <c r="I232">
        <v>74.87</v>
      </c>
      <c r="J232" t="s">
        <v>90</v>
      </c>
      <c r="K232" t="s">
        <v>20</v>
      </c>
      <c r="L232" t="s">
        <v>2087</v>
      </c>
      <c r="M232">
        <v>9</v>
      </c>
      <c r="N232" t="s">
        <v>179</v>
      </c>
      <c r="O232" t="s">
        <v>2096</v>
      </c>
    </row>
    <row r="233" spans="1:15">
      <c r="A233" t="s">
        <v>2286</v>
      </c>
      <c r="B233" t="s">
        <v>2085</v>
      </c>
      <c r="C233" t="s">
        <v>2100</v>
      </c>
      <c r="D233" s="1">
        <v>43499</v>
      </c>
      <c r="E233" s="1">
        <v>45242</v>
      </c>
      <c r="F233">
        <v>50</v>
      </c>
      <c r="G233">
        <v>37</v>
      </c>
      <c r="H233">
        <v>2641.92</v>
      </c>
      <c r="I233">
        <v>117.93</v>
      </c>
      <c r="J233" t="s">
        <v>14</v>
      </c>
      <c r="K233" t="s">
        <v>16</v>
      </c>
      <c r="L233" t="s">
        <v>2106</v>
      </c>
      <c r="M233">
        <v>9</v>
      </c>
      <c r="N233" t="s">
        <v>232</v>
      </c>
      <c r="O233" t="s">
        <v>2096</v>
      </c>
    </row>
    <row r="234" spans="1:15">
      <c r="A234" t="s">
        <v>2287</v>
      </c>
      <c r="B234" t="s">
        <v>2093</v>
      </c>
      <c r="C234" t="s">
        <v>2100</v>
      </c>
      <c r="D234" s="1">
        <v>44833</v>
      </c>
      <c r="E234" s="1">
        <v>45075</v>
      </c>
      <c r="F234">
        <v>217</v>
      </c>
      <c r="G234">
        <v>4</v>
      </c>
      <c r="H234">
        <v>115.57</v>
      </c>
      <c r="I234">
        <v>68.349999999999994</v>
      </c>
      <c r="J234" t="s">
        <v>41</v>
      </c>
      <c r="K234" t="s">
        <v>16</v>
      </c>
      <c r="L234" t="s">
        <v>2087</v>
      </c>
      <c r="M234">
        <v>8</v>
      </c>
      <c r="N234" t="s">
        <v>204</v>
      </c>
      <c r="O234" t="s">
        <v>2096</v>
      </c>
    </row>
    <row r="235" spans="1:15">
      <c r="A235" t="s">
        <v>2288</v>
      </c>
      <c r="B235" t="s">
        <v>2097</v>
      </c>
      <c r="C235" t="s">
        <v>2100</v>
      </c>
      <c r="D235" s="1">
        <v>45091</v>
      </c>
      <c r="E235" s="1">
        <v>45164</v>
      </c>
      <c r="F235">
        <v>128</v>
      </c>
      <c r="G235">
        <v>10</v>
      </c>
      <c r="H235">
        <v>767.86</v>
      </c>
      <c r="I235">
        <v>85.06</v>
      </c>
      <c r="J235" t="s">
        <v>90</v>
      </c>
      <c r="K235" t="s">
        <v>16</v>
      </c>
      <c r="L235" t="s">
        <v>2087</v>
      </c>
      <c r="M235">
        <v>3</v>
      </c>
      <c r="N235" t="s">
        <v>232</v>
      </c>
      <c r="O235" t="s">
        <v>2121</v>
      </c>
    </row>
    <row r="236" spans="1:15">
      <c r="A236" t="s">
        <v>2289</v>
      </c>
      <c r="B236" t="s">
        <v>2113</v>
      </c>
      <c r="C236" t="s">
        <v>2091</v>
      </c>
      <c r="D236" s="1">
        <v>44315</v>
      </c>
      <c r="E236" s="1">
        <v>45271</v>
      </c>
      <c r="F236">
        <v>21</v>
      </c>
      <c r="G236">
        <v>13</v>
      </c>
      <c r="H236">
        <v>253.7</v>
      </c>
      <c r="I236">
        <v>75.13</v>
      </c>
      <c r="J236" t="s">
        <v>14</v>
      </c>
      <c r="K236" t="s">
        <v>16</v>
      </c>
      <c r="L236" t="s">
        <v>2095</v>
      </c>
      <c r="M236">
        <v>0</v>
      </c>
      <c r="N236" t="s">
        <v>174</v>
      </c>
      <c r="O236" t="s">
        <v>2107</v>
      </c>
    </row>
    <row r="237" spans="1:15">
      <c r="A237" t="s">
        <v>2290</v>
      </c>
      <c r="B237" t="s">
        <v>2113</v>
      </c>
      <c r="C237" t="s">
        <v>2086</v>
      </c>
      <c r="D237" s="1">
        <v>44346</v>
      </c>
      <c r="E237" s="1">
        <v>45050</v>
      </c>
      <c r="F237">
        <v>242</v>
      </c>
      <c r="G237">
        <v>15</v>
      </c>
      <c r="H237">
        <v>267.54000000000002</v>
      </c>
      <c r="I237">
        <v>77.959999999999994</v>
      </c>
      <c r="J237" t="s">
        <v>90</v>
      </c>
      <c r="K237" t="s">
        <v>16</v>
      </c>
      <c r="L237" t="s">
        <v>2106</v>
      </c>
      <c r="M237">
        <v>10</v>
      </c>
      <c r="N237" t="s">
        <v>204</v>
      </c>
      <c r="O237" t="s">
        <v>2096</v>
      </c>
    </row>
    <row r="238" spans="1:15">
      <c r="A238" t="s">
        <v>2291</v>
      </c>
      <c r="B238" t="s">
        <v>2090</v>
      </c>
      <c r="C238" t="s">
        <v>2100</v>
      </c>
      <c r="D238" s="1">
        <v>44957</v>
      </c>
      <c r="E238" s="1">
        <v>45015</v>
      </c>
      <c r="F238">
        <v>277</v>
      </c>
      <c r="G238">
        <v>5</v>
      </c>
      <c r="H238">
        <v>121.24</v>
      </c>
      <c r="I238">
        <v>90.9</v>
      </c>
      <c r="J238" t="s">
        <v>66</v>
      </c>
      <c r="K238" t="s">
        <v>20</v>
      </c>
      <c r="L238" t="s">
        <v>2095</v>
      </c>
      <c r="M238">
        <v>6</v>
      </c>
      <c r="N238" t="s">
        <v>157</v>
      </c>
      <c r="O238" t="s">
        <v>2096</v>
      </c>
    </row>
    <row r="239" spans="1:15">
      <c r="A239" t="s">
        <v>2292</v>
      </c>
      <c r="B239" t="s">
        <v>2093</v>
      </c>
      <c r="C239" t="s">
        <v>2108</v>
      </c>
      <c r="D239" s="1">
        <v>45072</v>
      </c>
      <c r="E239" s="1">
        <v>45127</v>
      </c>
      <c r="F239">
        <v>165</v>
      </c>
      <c r="G239">
        <v>2</v>
      </c>
      <c r="H239">
        <v>115.72</v>
      </c>
      <c r="I239">
        <v>57.89</v>
      </c>
      <c r="J239" t="s">
        <v>66</v>
      </c>
      <c r="K239" t="s">
        <v>20</v>
      </c>
      <c r="L239" t="s">
        <v>2095</v>
      </c>
      <c r="M239">
        <v>5</v>
      </c>
      <c r="N239" t="s">
        <v>157</v>
      </c>
      <c r="O239" t="s">
        <v>2096</v>
      </c>
    </row>
    <row r="240" spans="1:15">
      <c r="A240" t="s">
        <v>2293</v>
      </c>
      <c r="B240" t="s">
        <v>2085</v>
      </c>
      <c r="C240" t="s">
        <v>2111</v>
      </c>
      <c r="D240" s="1">
        <v>44681</v>
      </c>
      <c r="E240" s="1">
        <v>45005</v>
      </c>
      <c r="F240">
        <v>287</v>
      </c>
      <c r="G240">
        <v>12</v>
      </c>
      <c r="H240">
        <v>1762.33</v>
      </c>
      <c r="I240">
        <v>225.78</v>
      </c>
      <c r="J240" t="s">
        <v>115</v>
      </c>
      <c r="K240" t="s">
        <v>20</v>
      </c>
      <c r="L240" t="s">
        <v>2106</v>
      </c>
      <c r="M240">
        <v>1</v>
      </c>
      <c r="N240" t="s">
        <v>232</v>
      </c>
      <c r="O240" t="s">
        <v>2109</v>
      </c>
    </row>
    <row r="241" spans="1:15">
      <c r="A241" t="s">
        <v>2294</v>
      </c>
      <c r="B241" t="s">
        <v>2085</v>
      </c>
      <c r="C241" t="s">
        <v>2094</v>
      </c>
      <c r="D241" s="1">
        <v>44765</v>
      </c>
      <c r="E241" s="1">
        <v>45250</v>
      </c>
      <c r="F241">
        <v>42</v>
      </c>
      <c r="G241">
        <v>35</v>
      </c>
      <c r="H241">
        <v>2415.17</v>
      </c>
      <c r="I241">
        <v>296.68</v>
      </c>
      <c r="J241" t="s">
        <v>41</v>
      </c>
      <c r="K241" t="s">
        <v>16</v>
      </c>
      <c r="L241" t="s">
        <v>2106</v>
      </c>
      <c r="M241">
        <v>3</v>
      </c>
      <c r="N241" t="s">
        <v>194</v>
      </c>
      <c r="O241" t="s">
        <v>2107</v>
      </c>
    </row>
    <row r="242" spans="1:15">
      <c r="A242" t="s">
        <v>2295</v>
      </c>
      <c r="B242" t="s">
        <v>2090</v>
      </c>
      <c r="C242" t="s">
        <v>2094</v>
      </c>
      <c r="D242" s="1">
        <v>45075</v>
      </c>
      <c r="E242" s="1">
        <v>45120</v>
      </c>
      <c r="F242">
        <v>172</v>
      </c>
      <c r="G242">
        <v>8</v>
      </c>
      <c r="H242">
        <v>158.47999999999999</v>
      </c>
      <c r="I242">
        <v>102.4</v>
      </c>
      <c r="J242" t="s">
        <v>14</v>
      </c>
      <c r="K242" t="s">
        <v>16</v>
      </c>
      <c r="L242" t="s">
        <v>2095</v>
      </c>
      <c r="M242">
        <v>2</v>
      </c>
      <c r="N242" t="s">
        <v>165</v>
      </c>
      <c r="O242" t="s">
        <v>2096</v>
      </c>
    </row>
    <row r="243" spans="1:15">
      <c r="A243" t="s">
        <v>2296</v>
      </c>
      <c r="B243" t="s">
        <v>2093</v>
      </c>
      <c r="C243" t="s">
        <v>2111</v>
      </c>
      <c r="D243" s="1">
        <v>44686</v>
      </c>
      <c r="E243" s="1">
        <v>44989</v>
      </c>
      <c r="F243">
        <v>303</v>
      </c>
      <c r="G243">
        <v>5</v>
      </c>
      <c r="H243">
        <v>177.38</v>
      </c>
      <c r="I243">
        <v>26.66</v>
      </c>
      <c r="J243" t="s">
        <v>41</v>
      </c>
      <c r="K243" t="s">
        <v>16</v>
      </c>
      <c r="L243" t="s">
        <v>2087</v>
      </c>
      <c r="M243">
        <v>2</v>
      </c>
      <c r="N243" t="s">
        <v>174</v>
      </c>
      <c r="O243" t="s">
        <v>2096</v>
      </c>
    </row>
    <row r="244" spans="1:15">
      <c r="A244" t="s">
        <v>2297</v>
      </c>
      <c r="B244" t="s">
        <v>2099</v>
      </c>
      <c r="C244" t="s">
        <v>2111</v>
      </c>
      <c r="D244" s="1">
        <v>43672</v>
      </c>
      <c r="E244" s="1">
        <v>45178</v>
      </c>
      <c r="F244">
        <v>114</v>
      </c>
      <c r="G244">
        <v>2</v>
      </c>
      <c r="H244">
        <v>138.65</v>
      </c>
      <c r="I244">
        <v>36.64</v>
      </c>
      <c r="J244" t="s">
        <v>90</v>
      </c>
      <c r="K244" t="s">
        <v>16</v>
      </c>
      <c r="L244" t="s">
        <v>2087</v>
      </c>
      <c r="M244">
        <v>10</v>
      </c>
      <c r="N244" t="s">
        <v>174</v>
      </c>
      <c r="O244" t="s">
        <v>2107</v>
      </c>
    </row>
    <row r="245" spans="1:15">
      <c r="A245" t="s">
        <v>2298</v>
      </c>
      <c r="B245" t="s">
        <v>2093</v>
      </c>
      <c r="C245" t="s">
        <v>2091</v>
      </c>
      <c r="D245" s="1">
        <v>44389</v>
      </c>
      <c r="E245" s="1">
        <v>45009</v>
      </c>
      <c r="F245">
        <v>283</v>
      </c>
      <c r="G245">
        <v>4</v>
      </c>
      <c r="H245">
        <v>93.79</v>
      </c>
      <c r="I245">
        <v>38.82</v>
      </c>
      <c r="J245" t="s">
        <v>66</v>
      </c>
      <c r="K245" t="s">
        <v>16</v>
      </c>
      <c r="L245" t="s">
        <v>2095</v>
      </c>
      <c r="M245">
        <v>10</v>
      </c>
      <c r="N245" t="s">
        <v>232</v>
      </c>
      <c r="O245" t="s">
        <v>2088</v>
      </c>
    </row>
    <row r="246" spans="1:15">
      <c r="A246" t="s">
        <v>2299</v>
      </c>
      <c r="B246" t="s">
        <v>2085</v>
      </c>
      <c r="C246" t="s">
        <v>2086</v>
      </c>
      <c r="D246" s="1">
        <v>44457</v>
      </c>
      <c r="E246" s="1">
        <v>45241</v>
      </c>
      <c r="F246">
        <v>51</v>
      </c>
      <c r="G246">
        <v>15</v>
      </c>
      <c r="H246">
        <v>2947.01</v>
      </c>
      <c r="I246">
        <v>298.75</v>
      </c>
      <c r="J246" t="s">
        <v>115</v>
      </c>
      <c r="K246" t="s">
        <v>16</v>
      </c>
      <c r="L246" t="s">
        <v>2095</v>
      </c>
      <c r="M246">
        <v>8</v>
      </c>
      <c r="N246" t="s">
        <v>165</v>
      </c>
      <c r="O246" t="s">
        <v>2121</v>
      </c>
    </row>
    <row r="247" spans="1:15">
      <c r="A247" t="s">
        <v>1891</v>
      </c>
      <c r="B247" t="s">
        <v>2085</v>
      </c>
      <c r="C247" t="s">
        <v>2091</v>
      </c>
      <c r="D247" s="1">
        <v>44526</v>
      </c>
      <c r="E247" s="1">
        <v>45189</v>
      </c>
      <c r="F247">
        <v>103</v>
      </c>
      <c r="G247">
        <v>18</v>
      </c>
      <c r="H247">
        <v>2133.44</v>
      </c>
      <c r="I247">
        <v>207.19</v>
      </c>
      <c r="J247" t="s">
        <v>41</v>
      </c>
      <c r="K247" t="s">
        <v>16</v>
      </c>
      <c r="L247" t="s">
        <v>2095</v>
      </c>
      <c r="M247">
        <v>3</v>
      </c>
      <c r="N247" t="s">
        <v>174</v>
      </c>
      <c r="O247" t="s">
        <v>2121</v>
      </c>
    </row>
    <row r="248" spans="1:15">
      <c r="A248" t="s">
        <v>2300</v>
      </c>
      <c r="B248" t="s">
        <v>2097</v>
      </c>
      <c r="C248" t="s">
        <v>2094</v>
      </c>
      <c r="D248" s="1">
        <v>43725</v>
      </c>
      <c r="E248" s="1">
        <v>45064</v>
      </c>
      <c r="F248">
        <v>228</v>
      </c>
      <c r="G248">
        <v>6</v>
      </c>
      <c r="H248">
        <v>204.24</v>
      </c>
      <c r="I248">
        <v>119.16</v>
      </c>
      <c r="J248" t="s">
        <v>90</v>
      </c>
      <c r="K248" t="s">
        <v>16</v>
      </c>
      <c r="L248" t="s">
        <v>2095</v>
      </c>
      <c r="M248">
        <v>5</v>
      </c>
      <c r="N248" t="s">
        <v>165</v>
      </c>
      <c r="O248" t="s">
        <v>2088</v>
      </c>
    </row>
    <row r="249" spans="1:15">
      <c r="A249" t="s">
        <v>2301</v>
      </c>
      <c r="B249" t="s">
        <v>2093</v>
      </c>
      <c r="C249" t="s">
        <v>2100</v>
      </c>
      <c r="D249" s="1">
        <v>44359</v>
      </c>
      <c r="E249" s="1">
        <v>45189</v>
      </c>
      <c r="F249">
        <v>103</v>
      </c>
      <c r="G249">
        <v>3</v>
      </c>
      <c r="H249">
        <v>109.4</v>
      </c>
      <c r="I249">
        <v>68.540000000000006</v>
      </c>
      <c r="J249" t="s">
        <v>41</v>
      </c>
      <c r="K249" t="s">
        <v>16</v>
      </c>
      <c r="L249" t="s">
        <v>2095</v>
      </c>
      <c r="M249">
        <v>3</v>
      </c>
      <c r="N249" t="s">
        <v>165</v>
      </c>
      <c r="O249" t="s">
        <v>2121</v>
      </c>
    </row>
    <row r="250" spans="1:15">
      <c r="A250" t="s">
        <v>2302</v>
      </c>
      <c r="B250" t="s">
        <v>2099</v>
      </c>
      <c r="C250" t="s">
        <v>2091</v>
      </c>
      <c r="D250" s="1">
        <v>44104</v>
      </c>
      <c r="E250" s="1">
        <v>45011</v>
      </c>
      <c r="F250">
        <v>281</v>
      </c>
      <c r="G250">
        <v>1</v>
      </c>
      <c r="H250">
        <v>95.87</v>
      </c>
      <c r="I250">
        <v>81.319999999999993</v>
      </c>
      <c r="J250" t="s">
        <v>90</v>
      </c>
      <c r="K250" t="s">
        <v>16</v>
      </c>
      <c r="L250" t="s">
        <v>2087</v>
      </c>
      <c r="M250">
        <v>6</v>
      </c>
      <c r="N250" t="s">
        <v>232</v>
      </c>
      <c r="O250" t="s">
        <v>2121</v>
      </c>
    </row>
    <row r="251" spans="1:15">
      <c r="A251" t="s">
        <v>2303</v>
      </c>
      <c r="B251" t="s">
        <v>2113</v>
      </c>
      <c r="C251" t="s">
        <v>2094</v>
      </c>
      <c r="D251" s="1">
        <v>44627</v>
      </c>
      <c r="E251" s="1">
        <v>45107</v>
      </c>
      <c r="F251">
        <v>185</v>
      </c>
      <c r="G251">
        <v>8</v>
      </c>
      <c r="H251">
        <v>403.65</v>
      </c>
      <c r="I251">
        <v>51.47</v>
      </c>
      <c r="J251" t="s">
        <v>14</v>
      </c>
      <c r="K251" t="s">
        <v>16</v>
      </c>
      <c r="L251" t="s">
        <v>2095</v>
      </c>
      <c r="M251">
        <v>0</v>
      </c>
      <c r="N251" t="s">
        <v>232</v>
      </c>
      <c r="O251" t="s">
        <v>2121</v>
      </c>
    </row>
    <row r="252" spans="1:15">
      <c r="A252" t="s">
        <v>2304</v>
      </c>
      <c r="B252" t="s">
        <v>2090</v>
      </c>
      <c r="C252" t="s">
        <v>2094</v>
      </c>
      <c r="D252" s="1">
        <v>44787</v>
      </c>
      <c r="E252" s="1">
        <v>45198</v>
      </c>
      <c r="F252">
        <v>94</v>
      </c>
      <c r="G252">
        <v>5</v>
      </c>
      <c r="H252">
        <v>173.91</v>
      </c>
      <c r="I252">
        <v>106.13</v>
      </c>
      <c r="J252" t="s">
        <v>90</v>
      </c>
      <c r="K252" t="s">
        <v>16</v>
      </c>
      <c r="L252" t="s">
        <v>2095</v>
      </c>
      <c r="M252">
        <v>2</v>
      </c>
      <c r="N252" t="s">
        <v>179</v>
      </c>
      <c r="O252" t="s">
        <v>2121</v>
      </c>
    </row>
    <row r="253" spans="1:15">
      <c r="A253" t="s">
        <v>2305</v>
      </c>
      <c r="B253" t="s">
        <v>2099</v>
      </c>
      <c r="C253" t="s">
        <v>2094</v>
      </c>
      <c r="D253" s="1">
        <v>44811</v>
      </c>
      <c r="E253" s="1">
        <v>45117</v>
      </c>
      <c r="F253">
        <v>175</v>
      </c>
      <c r="G253">
        <v>1</v>
      </c>
      <c r="H253">
        <v>66.510000000000005</v>
      </c>
      <c r="I253">
        <v>25.81</v>
      </c>
      <c r="J253" t="s">
        <v>41</v>
      </c>
      <c r="K253" t="s">
        <v>16</v>
      </c>
      <c r="L253" t="s">
        <v>2095</v>
      </c>
      <c r="M253">
        <v>0</v>
      </c>
      <c r="N253" t="s">
        <v>194</v>
      </c>
      <c r="O253" t="s">
        <v>2096</v>
      </c>
    </row>
    <row r="254" spans="1:15">
      <c r="A254" t="s">
        <v>2306</v>
      </c>
      <c r="B254" t="s">
        <v>2093</v>
      </c>
      <c r="C254" t="s">
        <v>2086</v>
      </c>
      <c r="D254" s="1">
        <v>44124</v>
      </c>
      <c r="E254" s="1">
        <v>45046</v>
      </c>
      <c r="F254">
        <v>246</v>
      </c>
      <c r="G254">
        <v>3</v>
      </c>
      <c r="H254">
        <v>66.34</v>
      </c>
      <c r="I254">
        <v>54.05</v>
      </c>
      <c r="J254" t="s">
        <v>14</v>
      </c>
      <c r="K254" t="s">
        <v>16</v>
      </c>
      <c r="L254" t="s">
        <v>2087</v>
      </c>
      <c r="M254">
        <v>9</v>
      </c>
      <c r="N254" t="s">
        <v>157</v>
      </c>
      <c r="O254" t="s">
        <v>2088</v>
      </c>
    </row>
    <row r="255" spans="1:15">
      <c r="A255" t="s">
        <v>2307</v>
      </c>
      <c r="B255" t="s">
        <v>2097</v>
      </c>
      <c r="C255" t="s">
        <v>2111</v>
      </c>
      <c r="D255" s="1">
        <v>45119</v>
      </c>
      <c r="E255" s="1">
        <v>45270</v>
      </c>
      <c r="F255">
        <v>22</v>
      </c>
      <c r="G255">
        <v>4</v>
      </c>
      <c r="H255">
        <v>514.62</v>
      </c>
      <c r="I255">
        <v>121.63</v>
      </c>
      <c r="J255" t="s">
        <v>115</v>
      </c>
      <c r="K255" t="s">
        <v>20</v>
      </c>
      <c r="L255" t="s">
        <v>2087</v>
      </c>
      <c r="M255">
        <v>10</v>
      </c>
      <c r="N255" t="s">
        <v>179</v>
      </c>
      <c r="O255" t="s">
        <v>2109</v>
      </c>
    </row>
    <row r="256" spans="1:15">
      <c r="A256" t="s">
        <v>2308</v>
      </c>
      <c r="B256" t="s">
        <v>2113</v>
      </c>
      <c r="C256" t="s">
        <v>2111</v>
      </c>
      <c r="D256" s="1">
        <v>44477</v>
      </c>
      <c r="E256" s="1">
        <v>45182</v>
      </c>
      <c r="F256">
        <v>110</v>
      </c>
      <c r="G256">
        <v>15</v>
      </c>
      <c r="H256">
        <v>199.08</v>
      </c>
      <c r="I256">
        <v>32.479999999999997</v>
      </c>
      <c r="J256" t="s">
        <v>66</v>
      </c>
      <c r="K256" t="s">
        <v>16</v>
      </c>
      <c r="L256" t="s">
        <v>2095</v>
      </c>
      <c r="M256">
        <v>1</v>
      </c>
      <c r="N256" t="s">
        <v>204</v>
      </c>
      <c r="O256" t="s">
        <v>2107</v>
      </c>
    </row>
    <row r="257" spans="1:15">
      <c r="A257" t="s">
        <v>2309</v>
      </c>
      <c r="B257" t="s">
        <v>2090</v>
      </c>
      <c r="C257" t="s">
        <v>2111</v>
      </c>
      <c r="D257" s="1">
        <v>43509</v>
      </c>
      <c r="E257" s="1">
        <v>45072</v>
      </c>
      <c r="F257">
        <v>220</v>
      </c>
      <c r="G257">
        <v>4</v>
      </c>
      <c r="H257">
        <v>269.17</v>
      </c>
      <c r="I257">
        <v>58.91</v>
      </c>
      <c r="J257" t="s">
        <v>115</v>
      </c>
      <c r="K257" t="s">
        <v>16</v>
      </c>
      <c r="L257" t="s">
        <v>2087</v>
      </c>
      <c r="M257">
        <v>4</v>
      </c>
      <c r="N257" t="s">
        <v>157</v>
      </c>
      <c r="O257" t="s">
        <v>2109</v>
      </c>
    </row>
    <row r="258" spans="1:15">
      <c r="A258" t="s">
        <v>2310</v>
      </c>
      <c r="B258" t="s">
        <v>2085</v>
      </c>
      <c r="C258" t="s">
        <v>2111</v>
      </c>
      <c r="D258" s="1">
        <v>44156</v>
      </c>
      <c r="E258" s="1">
        <v>45257</v>
      </c>
      <c r="F258">
        <v>35</v>
      </c>
      <c r="G258">
        <v>40</v>
      </c>
      <c r="H258">
        <v>1973.63</v>
      </c>
      <c r="I258">
        <v>205.5</v>
      </c>
      <c r="J258" t="s">
        <v>14</v>
      </c>
      <c r="K258" t="s">
        <v>16</v>
      </c>
      <c r="L258" t="s">
        <v>2095</v>
      </c>
      <c r="M258">
        <v>6</v>
      </c>
      <c r="N258" t="s">
        <v>165</v>
      </c>
      <c r="O258" t="s">
        <v>2121</v>
      </c>
    </row>
    <row r="259" spans="1:15">
      <c r="A259" t="s">
        <v>2311</v>
      </c>
      <c r="B259" t="s">
        <v>2113</v>
      </c>
      <c r="C259" t="s">
        <v>2100</v>
      </c>
      <c r="D259" s="1">
        <v>44605</v>
      </c>
      <c r="E259" s="1">
        <v>45087</v>
      </c>
      <c r="F259">
        <v>205</v>
      </c>
      <c r="G259">
        <v>15</v>
      </c>
      <c r="H259">
        <v>476.85</v>
      </c>
      <c r="I259">
        <v>50.02</v>
      </c>
      <c r="J259" t="s">
        <v>115</v>
      </c>
      <c r="K259" t="s">
        <v>16</v>
      </c>
      <c r="L259" t="s">
        <v>2087</v>
      </c>
      <c r="M259">
        <v>4</v>
      </c>
      <c r="N259" t="s">
        <v>165</v>
      </c>
      <c r="O259" t="s">
        <v>2109</v>
      </c>
    </row>
    <row r="260" spans="1:15">
      <c r="A260" t="s">
        <v>494</v>
      </c>
      <c r="B260" t="s">
        <v>2099</v>
      </c>
      <c r="C260" t="s">
        <v>2091</v>
      </c>
      <c r="D260" s="1">
        <v>43676</v>
      </c>
      <c r="E260" s="1">
        <v>44941</v>
      </c>
      <c r="F260">
        <v>351</v>
      </c>
      <c r="G260">
        <v>1</v>
      </c>
      <c r="H260">
        <v>129.6</v>
      </c>
      <c r="I260">
        <v>95.02</v>
      </c>
      <c r="J260" t="s">
        <v>14</v>
      </c>
      <c r="K260" t="s">
        <v>16</v>
      </c>
      <c r="L260" t="s">
        <v>2095</v>
      </c>
      <c r="M260">
        <v>1</v>
      </c>
      <c r="N260" t="s">
        <v>194</v>
      </c>
      <c r="O260" t="s">
        <v>2109</v>
      </c>
    </row>
    <row r="261" spans="1:15">
      <c r="A261" t="s">
        <v>734</v>
      </c>
      <c r="B261" t="s">
        <v>2097</v>
      </c>
      <c r="C261" t="s">
        <v>2086</v>
      </c>
      <c r="D261" s="1">
        <v>45129</v>
      </c>
      <c r="E261" s="1">
        <v>45115</v>
      </c>
      <c r="F261">
        <v>177</v>
      </c>
      <c r="G261">
        <v>5</v>
      </c>
      <c r="H261">
        <v>207.21</v>
      </c>
      <c r="I261">
        <v>122.41</v>
      </c>
      <c r="J261" t="s">
        <v>14</v>
      </c>
      <c r="K261" t="s">
        <v>20</v>
      </c>
      <c r="L261" t="s">
        <v>2095</v>
      </c>
      <c r="M261">
        <v>4</v>
      </c>
      <c r="N261" t="s">
        <v>179</v>
      </c>
      <c r="O261" t="s">
        <v>2096</v>
      </c>
    </row>
    <row r="262" spans="1:15">
      <c r="A262" t="s">
        <v>2312</v>
      </c>
      <c r="B262" t="s">
        <v>2085</v>
      </c>
      <c r="C262" t="s">
        <v>2086</v>
      </c>
      <c r="D262" s="1">
        <v>44140</v>
      </c>
      <c r="E262" s="1">
        <v>45279</v>
      </c>
      <c r="F262">
        <v>13</v>
      </c>
      <c r="G262">
        <v>13</v>
      </c>
      <c r="H262">
        <v>2883.72</v>
      </c>
      <c r="I262">
        <v>115.01</v>
      </c>
      <c r="J262" t="s">
        <v>90</v>
      </c>
      <c r="K262" t="s">
        <v>16</v>
      </c>
      <c r="L262" t="s">
        <v>2106</v>
      </c>
      <c r="M262">
        <v>2</v>
      </c>
      <c r="N262" t="s">
        <v>157</v>
      </c>
      <c r="O262" t="s">
        <v>2088</v>
      </c>
    </row>
    <row r="263" spans="1:15">
      <c r="A263" t="s">
        <v>2313</v>
      </c>
      <c r="B263" t="s">
        <v>2099</v>
      </c>
      <c r="C263" t="s">
        <v>2100</v>
      </c>
      <c r="D263" s="1">
        <v>45008</v>
      </c>
      <c r="E263" s="1">
        <v>45226</v>
      </c>
      <c r="F263">
        <v>66</v>
      </c>
      <c r="G263">
        <v>1</v>
      </c>
      <c r="H263">
        <v>36.42</v>
      </c>
      <c r="I263">
        <v>88.95</v>
      </c>
      <c r="J263" t="s">
        <v>90</v>
      </c>
      <c r="K263" t="s">
        <v>20</v>
      </c>
      <c r="L263" t="s">
        <v>2095</v>
      </c>
      <c r="M263">
        <v>8</v>
      </c>
      <c r="N263" t="s">
        <v>232</v>
      </c>
      <c r="O263" t="s">
        <v>2107</v>
      </c>
    </row>
    <row r="264" spans="1:15">
      <c r="A264" t="s">
        <v>2314</v>
      </c>
      <c r="B264" t="s">
        <v>2090</v>
      </c>
      <c r="C264" t="s">
        <v>2091</v>
      </c>
      <c r="D264" s="1">
        <v>44125</v>
      </c>
      <c r="E264" s="1">
        <v>45174</v>
      </c>
      <c r="F264">
        <v>118</v>
      </c>
      <c r="G264">
        <v>5</v>
      </c>
      <c r="H264">
        <v>291.61</v>
      </c>
      <c r="I264">
        <v>118.11</v>
      </c>
      <c r="J264" t="s">
        <v>14</v>
      </c>
      <c r="K264" t="s">
        <v>16</v>
      </c>
      <c r="L264" t="s">
        <v>2087</v>
      </c>
      <c r="M264">
        <v>1</v>
      </c>
      <c r="N264" t="s">
        <v>194</v>
      </c>
      <c r="O264" t="s">
        <v>2088</v>
      </c>
    </row>
    <row r="265" spans="1:15">
      <c r="A265" t="s">
        <v>2315</v>
      </c>
      <c r="B265" t="s">
        <v>2097</v>
      </c>
      <c r="C265" t="s">
        <v>2091</v>
      </c>
      <c r="D265" s="1">
        <v>44478</v>
      </c>
      <c r="E265" s="1">
        <v>44957</v>
      </c>
      <c r="F265">
        <v>335</v>
      </c>
      <c r="G265">
        <v>6</v>
      </c>
      <c r="H265">
        <v>601.73</v>
      </c>
      <c r="I265">
        <v>57.51</v>
      </c>
      <c r="J265" t="s">
        <v>14</v>
      </c>
      <c r="K265" t="s">
        <v>20</v>
      </c>
      <c r="L265" t="s">
        <v>2095</v>
      </c>
      <c r="M265">
        <v>7</v>
      </c>
      <c r="N265" t="s">
        <v>179</v>
      </c>
      <c r="O265" t="s">
        <v>2109</v>
      </c>
    </row>
    <row r="266" spans="1:15">
      <c r="A266" t="s">
        <v>2316</v>
      </c>
      <c r="B266" t="s">
        <v>2097</v>
      </c>
      <c r="C266" t="s">
        <v>2086</v>
      </c>
      <c r="D266" s="1">
        <v>44675</v>
      </c>
      <c r="E266" s="1">
        <v>45197</v>
      </c>
      <c r="F266">
        <v>95</v>
      </c>
      <c r="G266">
        <v>10</v>
      </c>
      <c r="H266">
        <v>217.95</v>
      </c>
      <c r="I266">
        <v>70.87</v>
      </c>
      <c r="J266" t="s">
        <v>66</v>
      </c>
      <c r="K266" t="s">
        <v>16</v>
      </c>
      <c r="L266" t="s">
        <v>2106</v>
      </c>
      <c r="M266">
        <v>7</v>
      </c>
      <c r="N266" t="s">
        <v>165</v>
      </c>
      <c r="O266" t="s">
        <v>2107</v>
      </c>
    </row>
    <row r="267" spans="1:15">
      <c r="A267" t="s">
        <v>2317</v>
      </c>
      <c r="B267" t="s">
        <v>2090</v>
      </c>
      <c r="C267" t="s">
        <v>2100</v>
      </c>
      <c r="D267" s="1">
        <v>44210</v>
      </c>
      <c r="E267" s="1">
        <v>45124</v>
      </c>
      <c r="F267">
        <v>168</v>
      </c>
      <c r="G267">
        <v>2</v>
      </c>
      <c r="H267">
        <v>372.52</v>
      </c>
      <c r="I267">
        <v>57.5</v>
      </c>
      <c r="J267" t="s">
        <v>115</v>
      </c>
      <c r="K267" t="s">
        <v>20</v>
      </c>
      <c r="L267" t="s">
        <v>2095</v>
      </c>
      <c r="M267">
        <v>6</v>
      </c>
      <c r="N267" t="s">
        <v>157</v>
      </c>
      <c r="O267" t="s">
        <v>2096</v>
      </c>
    </row>
    <row r="268" spans="1:15">
      <c r="A268" t="s">
        <v>2318</v>
      </c>
      <c r="B268" t="s">
        <v>2113</v>
      </c>
      <c r="C268" t="s">
        <v>2108</v>
      </c>
      <c r="D268" s="1">
        <v>45247</v>
      </c>
      <c r="E268" s="1">
        <v>45222</v>
      </c>
      <c r="F268">
        <v>70</v>
      </c>
      <c r="G268">
        <v>18</v>
      </c>
      <c r="H268">
        <v>182.1</v>
      </c>
      <c r="I268">
        <v>45.36</v>
      </c>
      <c r="J268" t="s">
        <v>14</v>
      </c>
      <c r="K268" t="s">
        <v>16</v>
      </c>
      <c r="L268" t="s">
        <v>2087</v>
      </c>
      <c r="M268">
        <v>1</v>
      </c>
      <c r="N268" t="s">
        <v>165</v>
      </c>
      <c r="O268" t="s">
        <v>2096</v>
      </c>
    </row>
    <row r="269" spans="1:15">
      <c r="A269" t="s">
        <v>2319</v>
      </c>
      <c r="B269" t="s">
        <v>2097</v>
      </c>
      <c r="C269" t="s">
        <v>2108</v>
      </c>
      <c r="D269" s="1">
        <v>43524</v>
      </c>
      <c r="E269" s="1">
        <v>45170</v>
      </c>
      <c r="F269">
        <v>122</v>
      </c>
      <c r="G269">
        <v>3</v>
      </c>
      <c r="H269">
        <v>731.16</v>
      </c>
      <c r="I269">
        <v>68.7</v>
      </c>
      <c r="J269" t="s">
        <v>115</v>
      </c>
      <c r="K269" t="s">
        <v>16</v>
      </c>
      <c r="L269" t="s">
        <v>2087</v>
      </c>
      <c r="M269">
        <v>4</v>
      </c>
      <c r="N269" t="s">
        <v>174</v>
      </c>
      <c r="O269" t="s">
        <v>2088</v>
      </c>
    </row>
    <row r="270" spans="1:15">
      <c r="A270" t="s">
        <v>2320</v>
      </c>
      <c r="B270" t="s">
        <v>2085</v>
      </c>
      <c r="C270" t="s">
        <v>2086</v>
      </c>
      <c r="D270" s="1">
        <v>44494</v>
      </c>
      <c r="E270" s="1">
        <v>45147</v>
      </c>
      <c r="F270">
        <v>145</v>
      </c>
      <c r="G270">
        <v>23</v>
      </c>
      <c r="H270">
        <v>1749.24</v>
      </c>
      <c r="I270">
        <v>130.12</v>
      </c>
      <c r="J270" t="s">
        <v>66</v>
      </c>
      <c r="K270" t="s">
        <v>16</v>
      </c>
      <c r="L270" t="s">
        <v>2087</v>
      </c>
      <c r="M270">
        <v>4</v>
      </c>
      <c r="N270" t="s">
        <v>194</v>
      </c>
      <c r="O270" t="s">
        <v>2096</v>
      </c>
    </row>
    <row r="271" spans="1:15">
      <c r="A271" t="s">
        <v>383</v>
      </c>
      <c r="B271" t="s">
        <v>2085</v>
      </c>
      <c r="C271" t="s">
        <v>2091</v>
      </c>
      <c r="D271" s="1">
        <v>43863</v>
      </c>
      <c r="E271" s="1">
        <v>45077</v>
      </c>
      <c r="F271">
        <v>215</v>
      </c>
      <c r="G271">
        <v>32</v>
      </c>
      <c r="H271">
        <v>1641.55</v>
      </c>
      <c r="I271">
        <v>285.60000000000002</v>
      </c>
      <c r="J271" t="s">
        <v>90</v>
      </c>
      <c r="K271" t="s">
        <v>16</v>
      </c>
      <c r="L271" t="s">
        <v>2106</v>
      </c>
      <c r="M271">
        <v>4</v>
      </c>
      <c r="N271" t="s">
        <v>232</v>
      </c>
      <c r="O271" t="s">
        <v>2088</v>
      </c>
    </row>
    <row r="272" spans="1:15">
      <c r="A272" t="s">
        <v>2321</v>
      </c>
      <c r="B272" t="s">
        <v>2099</v>
      </c>
      <c r="C272" t="s">
        <v>2091</v>
      </c>
      <c r="D272" s="1">
        <v>43975</v>
      </c>
      <c r="E272" s="1">
        <v>44983</v>
      </c>
      <c r="F272">
        <v>309</v>
      </c>
      <c r="G272">
        <v>2</v>
      </c>
      <c r="H272">
        <v>34.19</v>
      </c>
      <c r="I272">
        <v>23.99</v>
      </c>
      <c r="J272" t="s">
        <v>14</v>
      </c>
      <c r="K272" t="s">
        <v>16</v>
      </c>
      <c r="L272" t="s">
        <v>2095</v>
      </c>
      <c r="M272">
        <v>9</v>
      </c>
      <c r="N272" t="s">
        <v>194</v>
      </c>
      <c r="O272" t="s">
        <v>2107</v>
      </c>
    </row>
    <row r="273" spans="1:15">
      <c r="A273" t="s">
        <v>2322</v>
      </c>
      <c r="B273" t="s">
        <v>2085</v>
      </c>
      <c r="C273" t="s">
        <v>2108</v>
      </c>
      <c r="D273" s="1">
        <v>44736</v>
      </c>
      <c r="E273" s="1">
        <v>45285</v>
      </c>
      <c r="F273">
        <v>7</v>
      </c>
      <c r="G273">
        <v>29</v>
      </c>
      <c r="H273">
        <v>1022.27</v>
      </c>
      <c r="I273">
        <v>145.29</v>
      </c>
      <c r="J273" t="s">
        <v>90</v>
      </c>
      <c r="K273" t="s">
        <v>16</v>
      </c>
      <c r="L273" t="s">
        <v>2087</v>
      </c>
      <c r="M273">
        <v>1</v>
      </c>
      <c r="N273" t="s">
        <v>157</v>
      </c>
      <c r="O273" t="s">
        <v>2121</v>
      </c>
    </row>
    <row r="274" spans="1:15">
      <c r="A274" t="s">
        <v>1456</v>
      </c>
      <c r="B274" t="s">
        <v>2099</v>
      </c>
      <c r="C274" t="s">
        <v>2108</v>
      </c>
      <c r="D274" s="1">
        <v>44770</v>
      </c>
      <c r="E274" s="1">
        <v>45074</v>
      </c>
      <c r="F274">
        <v>218</v>
      </c>
      <c r="G274">
        <v>1</v>
      </c>
      <c r="H274">
        <v>42.23</v>
      </c>
      <c r="I274">
        <v>36.29</v>
      </c>
      <c r="J274" t="s">
        <v>115</v>
      </c>
      <c r="K274" t="s">
        <v>16</v>
      </c>
      <c r="L274" t="s">
        <v>2106</v>
      </c>
      <c r="M274">
        <v>0</v>
      </c>
      <c r="N274" t="s">
        <v>174</v>
      </c>
      <c r="O274" t="s">
        <v>2107</v>
      </c>
    </row>
    <row r="275" spans="1:15">
      <c r="A275" t="s">
        <v>2323</v>
      </c>
      <c r="B275" t="s">
        <v>2090</v>
      </c>
      <c r="C275" t="s">
        <v>2091</v>
      </c>
      <c r="D275" s="1">
        <v>45212</v>
      </c>
      <c r="E275" s="1">
        <v>45279</v>
      </c>
      <c r="F275">
        <v>13</v>
      </c>
      <c r="G275">
        <v>7</v>
      </c>
      <c r="H275">
        <v>279.08</v>
      </c>
      <c r="I275">
        <v>99.13</v>
      </c>
      <c r="J275" t="s">
        <v>41</v>
      </c>
      <c r="K275" t="s">
        <v>16</v>
      </c>
      <c r="L275" t="s">
        <v>2106</v>
      </c>
      <c r="M275">
        <v>1</v>
      </c>
      <c r="N275" t="s">
        <v>157</v>
      </c>
      <c r="O275" t="s">
        <v>2107</v>
      </c>
    </row>
    <row r="276" spans="1:15">
      <c r="A276" t="s">
        <v>2324</v>
      </c>
      <c r="B276" t="s">
        <v>2113</v>
      </c>
      <c r="C276" t="s">
        <v>2094</v>
      </c>
      <c r="D276" s="1">
        <v>44437</v>
      </c>
      <c r="E276" s="1">
        <v>45146</v>
      </c>
      <c r="F276">
        <v>146</v>
      </c>
      <c r="G276">
        <v>19</v>
      </c>
      <c r="H276">
        <v>170.92</v>
      </c>
      <c r="I276">
        <v>30.64</v>
      </c>
      <c r="J276" t="s">
        <v>14</v>
      </c>
      <c r="K276" t="s">
        <v>16</v>
      </c>
      <c r="L276" t="s">
        <v>2087</v>
      </c>
      <c r="M276">
        <v>1</v>
      </c>
      <c r="N276" t="s">
        <v>157</v>
      </c>
      <c r="O276" t="s">
        <v>2096</v>
      </c>
    </row>
    <row r="277" spans="1:15">
      <c r="A277" t="s">
        <v>1189</v>
      </c>
      <c r="B277" t="s">
        <v>2090</v>
      </c>
      <c r="C277" t="s">
        <v>2100</v>
      </c>
      <c r="D277" s="1">
        <v>44466</v>
      </c>
      <c r="E277" s="1">
        <v>45053</v>
      </c>
      <c r="F277">
        <v>239</v>
      </c>
      <c r="G277">
        <v>4</v>
      </c>
      <c r="H277">
        <v>390.25</v>
      </c>
      <c r="I277">
        <v>86.65</v>
      </c>
      <c r="J277" t="s">
        <v>14</v>
      </c>
      <c r="K277" t="s">
        <v>16</v>
      </c>
      <c r="L277" t="s">
        <v>2095</v>
      </c>
      <c r="M277">
        <v>9</v>
      </c>
      <c r="N277" t="s">
        <v>165</v>
      </c>
      <c r="O277" t="s">
        <v>2121</v>
      </c>
    </row>
    <row r="278" spans="1:15">
      <c r="A278" t="s">
        <v>850</v>
      </c>
      <c r="B278" t="s">
        <v>2097</v>
      </c>
      <c r="C278" t="s">
        <v>2111</v>
      </c>
      <c r="D278" s="1">
        <v>45053</v>
      </c>
      <c r="E278" s="1">
        <v>44975</v>
      </c>
      <c r="F278">
        <v>317</v>
      </c>
      <c r="G278">
        <v>11</v>
      </c>
      <c r="H278">
        <v>477.05</v>
      </c>
      <c r="I278">
        <v>125.5</v>
      </c>
      <c r="J278" t="s">
        <v>66</v>
      </c>
      <c r="K278" t="s">
        <v>20</v>
      </c>
      <c r="L278" t="s">
        <v>2087</v>
      </c>
      <c r="M278">
        <v>7</v>
      </c>
      <c r="N278" t="s">
        <v>204</v>
      </c>
      <c r="O278" t="s">
        <v>2121</v>
      </c>
    </row>
    <row r="279" spans="1:15">
      <c r="A279" t="s">
        <v>2325</v>
      </c>
      <c r="B279" t="s">
        <v>2090</v>
      </c>
      <c r="C279" t="s">
        <v>2094</v>
      </c>
      <c r="D279" s="1">
        <v>44405</v>
      </c>
      <c r="E279" s="1">
        <v>44933</v>
      </c>
      <c r="F279">
        <v>359</v>
      </c>
      <c r="G279">
        <v>4</v>
      </c>
      <c r="H279">
        <v>292.29000000000002</v>
      </c>
      <c r="I279">
        <v>60.28</v>
      </c>
      <c r="J279" t="s">
        <v>66</v>
      </c>
      <c r="K279" t="s">
        <v>20</v>
      </c>
      <c r="L279" t="s">
        <v>2087</v>
      </c>
      <c r="M279">
        <v>8</v>
      </c>
      <c r="N279" t="s">
        <v>179</v>
      </c>
      <c r="O279" t="s">
        <v>2088</v>
      </c>
    </row>
    <row r="280" spans="1:15">
      <c r="A280" t="s">
        <v>2326</v>
      </c>
      <c r="B280" t="s">
        <v>2099</v>
      </c>
      <c r="C280" t="s">
        <v>2091</v>
      </c>
      <c r="D280" s="1">
        <v>44776</v>
      </c>
      <c r="E280" s="1">
        <v>44937</v>
      </c>
      <c r="F280">
        <v>355</v>
      </c>
      <c r="G280">
        <v>1</v>
      </c>
      <c r="H280">
        <v>55.09</v>
      </c>
      <c r="I280">
        <v>61.54</v>
      </c>
      <c r="J280" t="s">
        <v>90</v>
      </c>
      <c r="K280" t="s">
        <v>16</v>
      </c>
      <c r="L280" t="s">
        <v>2106</v>
      </c>
      <c r="M280">
        <v>2</v>
      </c>
      <c r="N280" t="s">
        <v>194</v>
      </c>
      <c r="O280" t="s">
        <v>2109</v>
      </c>
    </row>
    <row r="281" spans="1:15">
      <c r="A281" t="s">
        <v>434</v>
      </c>
      <c r="B281" t="s">
        <v>2085</v>
      </c>
      <c r="C281" t="s">
        <v>2091</v>
      </c>
      <c r="D281" s="1">
        <v>44348</v>
      </c>
      <c r="E281" s="1">
        <v>45111</v>
      </c>
      <c r="F281">
        <v>181</v>
      </c>
      <c r="G281">
        <v>19</v>
      </c>
      <c r="H281">
        <v>2070.69</v>
      </c>
      <c r="I281">
        <v>239.16</v>
      </c>
      <c r="J281" t="s">
        <v>14</v>
      </c>
      <c r="K281" t="s">
        <v>16</v>
      </c>
      <c r="L281" t="s">
        <v>2087</v>
      </c>
      <c r="M281">
        <v>10</v>
      </c>
      <c r="N281" t="s">
        <v>174</v>
      </c>
      <c r="O281" t="s">
        <v>2121</v>
      </c>
    </row>
    <row r="282" spans="1:15">
      <c r="A282" t="s">
        <v>2327</v>
      </c>
      <c r="B282" t="s">
        <v>2093</v>
      </c>
      <c r="C282" t="s">
        <v>2091</v>
      </c>
      <c r="D282" s="1">
        <v>45260</v>
      </c>
      <c r="E282" s="1">
        <v>45196</v>
      </c>
      <c r="F282">
        <v>96</v>
      </c>
      <c r="G282">
        <v>5</v>
      </c>
      <c r="H282">
        <v>182.87</v>
      </c>
      <c r="I282">
        <v>46.96</v>
      </c>
      <c r="J282" t="s">
        <v>66</v>
      </c>
      <c r="K282" t="s">
        <v>20</v>
      </c>
      <c r="L282" t="s">
        <v>2087</v>
      </c>
      <c r="M282">
        <v>5</v>
      </c>
      <c r="N282" t="s">
        <v>204</v>
      </c>
      <c r="O282" t="s">
        <v>2088</v>
      </c>
    </row>
    <row r="283" spans="1:15">
      <c r="A283" t="s">
        <v>215</v>
      </c>
      <c r="B283" t="s">
        <v>2099</v>
      </c>
      <c r="C283" t="s">
        <v>2094</v>
      </c>
      <c r="D283" s="1">
        <v>44531</v>
      </c>
      <c r="E283" s="1">
        <v>45286</v>
      </c>
      <c r="F283">
        <v>6</v>
      </c>
      <c r="G283">
        <v>2</v>
      </c>
      <c r="H283">
        <v>60.21</v>
      </c>
      <c r="I283">
        <v>23.29</v>
      </c>
      <c r="J283" t="s">
        <v>115</v>
      </c>
      <c r="K283" t="s">
        <v>16</v>
      </c>
      <c r="L283" t="s">
        <v>2087</v>
      </c>
      <c r="M283">
        <v>7</v>
      </c>
      <c r="N283" t="s">
        <v>232</v>
      </c>
      <c r="O283" t="s">
        <v>2121</v>
      </c>
    </row>
    <row r="284" spans="1:15">
      <c r="A284" t="s">
        <v>2328</v>
      </c>
      <c r="B284" t="s">
        <v>2113</v>
      </c>
      <c r="C284" t="s">
        <v>2100</v>
      </c>
      <c r="D284" s="1">
        <v>44869</v>
      </c>
      <c r="E284" s="1">
        <v>45002</v>
      </c>
      <c r="F284">
        <v>290</v>
      </c>
      <c r="G284">
        <v>8</v>
      </c>
      <c r="H284">
        <v>584.73</v>
      </c>
      <c r="I284">
        <v>54.95</v>
      </c>
      <c r="J284" t="s">
        <v>41</v>
      </c>
      <c r="K284" t="s">
        <v>20</v>
      </c>
      <c r="L284" t="s">
        <v>2087</v>
      </c>
      <c r="M284">
        <v>9</v>
      </c>
      <c r="N284" t="s">
        <v>232</v>
      </c>
      <c r="O284" t="s">
        <v>2107</v>
      </c>
    </row>
    <row r="285" spans="1:15">
      <c r="A285" t="s">
        <v>2329</v>
      </c>
      <c r="B285" t="s">
        <v>2113</v>
      </c>
      <c r="C285" t="s">
        <v>2111</v>
      </c>
      <c r="D285" s="1">
        <v>43497</v>
      </c>
      <c r="E285" s="1">
        <v>45159</v>
      </c>
      <c r="F285">
        <v>133</v>
      </c>
      <c r="G285">
        <v>20</v>
      </c>
      <c r="H285">
        <v>244.13</v>
      </c>
      <c r="I285">
        <v>69.989999999999995</v>
      </c>
      <c r="J285" t="s">
        <v>41</v>
      </c>
      <c r="K285" t="s">
        <v>16</v>
      </c>
      <c r="L285" t="s">
        <v>2106</v>
      </c>
      <c r="M285">
        <v>1</v>
      </c>
      <c r="N285" t="s">
        <v>174</v>
      </c>
      <c r="O285" t="s">
        <v>2109</v>
      </c>
    </row>
    <row r="286" spans="1:15">
      <c r="A286" t="s">
        <v>2330</v>
      </c>
      <c r="B286" t="s">
        <v>2113</v>
      </c>
      <c r="C286" t="s">
        <v>2094</v>
      </c>
      <c r="D286" s="1">
        <v>43467</v>
      </c>
      <c r="E286" s="1">
        <v>44952</v>
      </c>
      <c r="F286">
        <v>340</v>
      </c>
      <c r="G286">
        <v>5</v>
      </c>
      <c r="H286">
        <v>315.16000000000003</v>
      </c>
      <c r="I286">
        <v>63.01</v>
      </c>
      <c r="J286" t="s">
        <v>41</v>
      </c>
      <c r="K286" t="s">
        <v>16</v>
      </c>
      <c r="L286" t="s">
        <v>2087</v>
      </c>
      <c r="M286">
        <v>8</v>
      </c>
      <c r="N286" t="s">
        <v>165</v>
      </c>
      <c r="O286" t="s">
        <v>2088</v>
      </c>
    </row>
    <row r="287" spans="1:15">
      <c r="A287" t="s">
        <v>2331</v>
      </c>
      <c r="B287" t="s">
        <v>2097</v>
      </c>
      <c r="C287" t="s">
        <v>2100</v>
      </c>
      <c r="D287" s="1">
        <v>44967</v>
      </c>
      <c r="E287" s="1">
        <v>45027</v>
      </c>
      <c r="F287">
        <v>265</v>
      </c>
      <c r="G287">
        <v>4</v>
      </c>
      <c r="H287">
        <v>613.58000000000004</v>
      </c>
      <c r="I287">
        <v>64.260000000000005</v>
      </c>
      <c r="J287" t="s">
        <v>115</v>
      </c>
      <c r="K287" t="s">
        <v>16</v>
      </c>
      <c r="L287" t="s">
        <v>2087</v>
      </c>
      <c r="M287">
        <v>3</v>
      </c>
      <c r="N287" t="s">
        <v>174</v>
      </c>
      <c r="O287" t="s">
        <v>2109</v>
      </c>
    </row>
    <row r="288" spans="1:15">
      <c r="A288" t="s">
        <v>2332</v>
      </c>
      <c r="B288" t="s">
        <v>2113</v>
      </c>
      <c r="C288" t="s">
        <v>2111</v>
      </c>
      <c r="D288" s="1">
        <v>44331</v>
      </c>
      <c r="E288" s="1">
        <v>45131</v>
      </c>
      <c r="F288">
        <v>161</v>
      </c>
      <c r="G288">
        <v>12</v>
      </c>
      <c r="H288">
        <v>505.85</v>
      </c>
      <c r="I288">
        <v>61.85</v>
      </c>
      <c r="J288" t="s">
        <v>66</v>
      </c>
      <c r="K288" t="s">
        <v>16</v>
      </c>
      <c r="L288" t="s">
        <v>2106</v>
      </c>
      <c r="M288">
        <v>4</v>
      </c>
      <c r="N288" t="s">
        <v>157</v>
      </c>
      <c r="O288" t="s">
        <v>2088</v>
      </c>
    </row>
    <row r="289" spans="1:15">
      <c r="A289" t="s">
        <v>2333</v>
      </c>
      <c r="B289" t="s">
        <v>2099</v>
      </c>
      <c r="C289" t="s">
        <v>2094</v>
      </c>
      <c r="D289" s="1">
        <v>45038</v>
      </c>
      <c r="E289" s="1">
        <v>45029</v>
      </c>
      <c r="F289">
        <v>263</v>
      </c>
      <c r="G289">
        <v>2</v>
      </c>
      <c r="H289">
        <v>124.57</v>
      </c>
      <c r="I289">
        <v>31.13</v>
      </c>
      <c r="J289" t="s">
        <v>41</v>
      </c>
      <c r="K289" t="s">
        <v>16</v>
      </c>
      <c r="L289" t="s">
        <v>2106</v>
      </c>
      <c r="M289">
        <v>3</v>
      </c>
      <c r="N289" t="s">
        <v>194</v>
      </c>
      <c r="O289" t="s">
        <v>2121</v>
      </c>
    </row>
    <row r="290" spans="1:15">
      <c r="A290" t="s">
        <v>2334</v>
      </c>
      <c r="B290" t="s">
        <v>2085</v>
      </c>
      <c r="C290" t="s">
        <v>2100</v>
      </c>
      <c r="D290" s="1">
        <v>44583</v>
      </c>
      <c r="E290" s="1">
        <v>45020</v>
      </c>
      <c r="F290">
        <v>272</v>
      </c>
      <c r="G290">
        <v>21</v>
      </c>
      <c r="H290">
        <v>2046.66</v>
      </c>
      <c r="I290">
        <v>225.66</v>
      </c>
      <c r="J290" t="s">
        <v>90</v>
      </c>
      <c r="K290" t="s">
        <v>16</v>
      </c>
      <c r="L290" t="s">
        <v>2095</v>
      </c>
      <c r="M290">
        <v>8</v>
      </c>
      <c r="N290" t="s">
        <v>204</v>
      </c>
      <c r="O290" t="s">
        <v>2121</v>
      </c>
    </row>
    <row r="291" spans="1:15">
      <c r="A291" t="s">
        <v>2335</v>
      </c>
      <c r="B291" t="s">
        <v>2090</v>
      </c>
      <c r="C291" t="s">
        <v>2100</v>
      </c>
      <c r="D291" s="1">
        <v>44341</v>
      </c>
      <c r="E291" s="1">
        <v>45165</v>
      </c>
      <c r="F291">
        <v>127</v>
      </c>
      <c r="G291">
        <v>7</v>
      </c>
      <c r="H291">
        <v>308.02999999999997</v>
      </c>
      <c r="I291">
        <v>77.47</v>
      </c>
      <c r="J291" t="s">
        <v>90</v>
      </c>
      <c r="K291" t="s">
        <v>16</v>
      </c>
      <c r="L291" t="s">
        <v>2095</v>
      </c>
      <c r="M291">
        <v>8</v>
      </c>
      <c r="N291" t="s">
        <v>174</v>
      </c>
      <c r="O291" t="s">
        <v>2109</v>
      </c>
    </row>
    <row r="292" spans="1:15">
      <c r="A292" t="s">
        <v>1708</v>
      </c>
      <c r="B292" t="s">
        <v>2085</v>
      </c>
      <c r="C292" t="s">
        <v>2086</v>
      </c>
      <c r="D292" s="1">
        <v>45077</v>
      </c>
      <c r="E292" s="1">
        <v>45051</v>
      </c>
      <c r="F292">
        <v>241</v>
      </c>
      <c r="G292">
        <v>36</v>
      </c>
      <c r="H292">
        <v>1109.29</v>
      </c>
      <c r="I292">
        <v>281.37</v>
      </c>
      <c r="J292" t="s">
        <v>115</v>
      </c>
      <c r="K292" t="s">
        <v>16</v>
      </c>
      <c r="L292" t="s">
        <v>2095</v>
      </c>
      <c r="M292">
        <v>9</v>
      </c>
      <c r="N292" t="s">
        <v>232</v>
      </c>
      <c r="O292" t="s">
        <v>2088</v>
      </c>
    </row>
    <row r="293" spans="1:15">
      <c r="A293" t="s">
        <v>2336</v>
      </c>
      <c r="B293" t="s">
        <v>2113</v>
      </c>
      <c r="C293" t="s">
        <v>2111</v>
      </c>
      <c r="D293" s="1">
        <v>44291</v>
      </c>
      <c r="E293" s="1">
        <v>45270</v>
      </c>
      <c r="F293">
        <v>22</v>
      </c>
      <c r="G293">
        <v>6</v>
      </c>
      <c r="H293">
        <v>477.67</v>
      </c>
      <c r="I293">
        <v>49.63</v>
      </c>
      <c r="J293" t="s">
        <v>90</v>
      </c>
      <c r="K293" t="s">
        <v>20</v>
      </c>
      <c r="L293" t="s">
        <v>2087</v>
      </c>
      <c r="M293">
        <v>0</v>
      </c>
      <c r="N293" t="s">
        <v>174</v>
      </c>
      <c r="O293" t="s">
        <v>2096</v>
      </c>
    </row>
    <row r="294" spans="1:15">
      <c r="A294" t="s">
        <v>276</v>
      </c>
      <c r="B294" t="s">
        <v>2113</v>
      </c>
      <c r="C294" t="s">
        <v>2100</v>
      </c>
      <c r="D294" s="1">
        <v>44061</v>
      </c>
      <c r="E294" s="1">
        <v>45216</v>
      </c>
      <c r="F294">
        <v>76</v>
      </c>
      <c r="G294">
        <v>8</v>
      </c>
      <c r="H294">
        <v>266.74</v>
      </c>
      <c r="I294">
        <v>34.869999999999997</v>
      </c>
      <c r="J294" t="s">
        <v>66</v>
      </c>
      <c r="K294" t="s">
        <v>16</v>
      </c>
      <c r="L294" t="s">
        <v>2095</v>
      </c>
      <c r="M294">
        <v>9</v>
      </c>
      <c r="N294" t="s">
        <v>165</v>
      </c>
      <c r="O294" t="s">
        <v>2088</v>
      </c>
    </row>
    <row r="295" spans="1:15">
      <c r="A295" t="s">
        <v>2337</v>
      </c>
      <c r="B295" t="s">
        <v>2093</v>
      </c>
      <c r="C295" t="s">
        <v>2091</v>
      </c>
      <c r="D295" s="1">
        <v>44617</v>
      </c>
      <c r="E295" s="1">
        <v>45180</v>
      </c>
      <c r="F295">
        <v>112</v>
      </c>
      <c r="G295">
        <v>1</v>
      </c>
      <c r="H295">
        <v>149.27000000000001</v>
      </c>
      <c r="I295">
        <v>50.98</v>
      </c>
      <c r="J295" t="s">
        <v>41</v>
      </c>
      <c r="K295" t="s">
        <v>20</v>
      </c>
      <c r="L295" t="s">
        <v>2106</v>
      </c>
      <c r="M295">
        <v>2</v>
      </c>
      <c r="N295" t="s">
        <v>194</v>
      </c>
      <c r="O295" t="s">
        <v>2121</v>
      </c>
    </row>
    <row r="296" spans="1:15">
      <c r="A296" t="s">
        <v>2338</v>
      </c>
      <c r="B296" t="s">
        <v>2093</v>
      </c>
      <c r="C296" t="s">
        <v>2111</v>
      </c>
      <c r="D296" s="1">
        <v>43877</v>
      </c>
      <c r="E296" s="1">
        <v>44985</v>
      </c>
      <c r="F296">
        <v>307</v>
      </c>
      <c r="G296">
        <v>1</v>
      </c>
      <c r="H296">
        <v>166.95</v>
      </c>
      <c r="I296">
        <v>57.42</v>
      </c>
      <c r="J296" t="s">
        <v>14</v>
      </c>
      <c r="K296" t="s">
        <v>16</v>
      </c>
      <c r="L296" t="s">
        <v>2106</v>
      </c>
      <c r="M296">
        <v>1</v>
      </c>
      <c r="N296" t="s">
        <v>232</v>
      </c>
      <c r="O296" t="s">
        <v>2096</v>
      </c>
    </row>
    <row r="297" spans="1:15">
      <c r="A297" t="s">
        <v>2339</v>
      </c>
      <c r="B297" t="s">
        <v>2097</v>
      </c>
      <c r="C297" t="s">
        <v>2100</v>
      </c>
      <c r="D297" s="1">
        <v>44501</v>
      </c>
      <c r="E297" s="1">
        <v>45154</v>
      </c>
      <c r="F297">
        <v>138</v>
      </c>
      <c r="G297">
        <v>6</v>
      </c>
      <c r="H297">
        <v>217.34</v>
      </c>
      <c r="I297">
        <v>52.47</v>
      </c>
      <c r="J297" t="s">
        <v>14</v>
      </c>
      <c r="K297" t="s">
        <v>16</v>
      </c>
      <c r="L297" t="s">
        <v>2087</v>
      </c>
      <c r="M297">
        <v>6</v>
      </c>
      <c r="N297" t="s">
        <v>204</v>
      </c>
      <c r="O297" t="s">
        <v>2107</v>
      </c>
    </row>
    <row r="298" spans="1:15">
      <c r="A298" t="s">
        <v>2340</v>
      </c>
      <c r="B298" t="s">
        <v>2097</v>
      </c>
      <c r="C298" t="s">
        <v>2086</v>
      </c>
      <c r="D298" s="1">
        <v>44365</v>
      </c>
      <c r="E298" s="1">
        <v>45263</v>
      </c>
      <c r="F298">
        <v>29</v>
      </c>
      <c r="G298">
        <v>11</v>
      </c>
      <c r="H298">
        <v>319.18</v>
      </c>
      <c r="I298">
        <v>111.28</v>
      </c>
      <c r="J298" t="s">
        <v>14</v>
      </c>
      <c r="K298" t="s">
        <v>16</v>
      </c>
      <c r="L298" t="s">
        <v>2095</v>
      </c>
      <c r="M298">
        <v>10</v>
      </c>
      <c r="N298" t="s">
        <v>174</v>
      </c>
      <c r="O298" t="s">
        <v>2107</v>
      </c>
    </row>
    <row r="299" spans="1:15">
      <c r="A299" t="s">
        <v>2341</v>
      </c>
      <c r="B299" t="s">
        <v>2097</v>
      </c>
      <c r="C299" t="s">
        <v>2100</v>
      </c>
      <c r="D299" s="1">
        <v>44585</v>
      </c>
      <c r="E299" s="1">
        <v>45029</v>
      </c>
      <c r="F299">
        <v>263</v>
      </c>
      <c r="G299">
        <v>6</v>
      </c>
      <c r="H299">
        <v>261</v>
      </c>
      <c r="I299">
        <v>124.17</v>
      </c>
      <c r="J299" t="s">
        <v>90</v>
      </c>
      <c r="K299" t="s">
        <v>16</v>
      </c>
      <c r="L299" t="s">
        <v>2087</v>
      </c>
      <c r="M299">
        <v>10</v>
      </c>
      <c r="N299" t="s">
        <v>174</v>
      </c>
      <c r="O299" t="s">
        <v>2088</v>
      </c>
    </row>
    <row r="300" spans="1:15">
      <c r="A300" t="s">
        <v>2342</v>
      </c>
      <c r="B300" t="s">
        <v>2099</v>
      </c>
      <c r="C300" t="s">
        <v>2100</v>
      </c>
      <c r="D300" s="1">
        <v>44894</v>
      </c>
      <c r="E300" s="1">
        <v>44981</v>
      </c>
      <c r="F300">
        <v>311</v>
      </c>
      <c r="G300">
        <v>2</v>
      </c>
      <c r="H300">
        <v>106.8</v>
      </c>
      <c r="I300">
        <v>51.3</v>
      </c>
      <c r="J300" t="s">
        <v>90</v>
      </c>
      <c r="K300" t="s">
        <v>16</v>
      </c>
      <c r="L300" t="s">
        <v>2095</v>
      </c>
      <c r="M300">
        <v>0</v>
      </c>
      <c r="N300" t="s">
        <v>194</v>
      </c>
      <c r="O300" t="s">
        <v>2109</v>
      </c>
    </row>
    <row r="301" spans="1:15">
      <c r="A301" t="s">
        <v>2343</v>
      </c>
      <c r="B301" t="s">
        <v>2085</v>
      </c>
      <c r="C301" t="s">
        <v>2108</v>
      </c>
      <c r="D301" s="1">
        <v>43535</v>
      </c>
      <c r="E301" s="1">
        <v>45257</v>
      </c>
      <c r="F301">
        <v>35</v>
      </c>
      <c r="G301">
        <v>30</v>
      </c>
      <c r="H301">
        <v>1656.74</v>
      </c>
      <c r="I301">
        <v>216.11</v>
      </c>
      <c r="J301" t="s">
        <v>115</v>
      </c>
      <c r="K301" t="s">
        <v>16</v>
      </c>
      <c r="L301" t="s">
        <v>2095</v>
      </c>
      <c r="M301">
        <v>5</v>
      </c>
      <c r="N301" t="s">
        <v>157</v>
      </c>
      <c r="O301" t="s">
        <v>2109</v>
      </c>
    </row>
    <row r="302" spans="1:15">
      <c r="A302" t="s">
        <v>2344</v>
      </c>
      <c r="B302" t="s">
        <v>2093</v>
      </c>
      <c r="C302" t="s">
        <v>2086</v>
      </c>
      <c r="D302" s="1">
        <v>44198</v>
      </c>
      <c r="E302" s="1">
        <v>45183</v>
      </c>
      <c r="F302">
        <v>109</v>
      </c>
      <c r="G302">
        <v>4</v>
      </c>
      <c r="H302">
        <v>77.069999999999993</v>
      </c>
      <c r="I302">
        <v>78.91</v>
      </c>
      <c r="J302" t="s">
        <v>41</v>
      </c>
      <c r="K302" t="s">
        <v>16</v>
      </c>
      <c r="L302" t="s">
        <v>2106</v>
      </c>
      <c r="M302">
        <v>8</v>
      </c>
      <c r="N302" t="s">
        <v>204</v>
      </c>
      <c r="O302" t="s">
        <v>2088</v>
      </c>
    </row>
    <row r="303" spans="1:15">
      <c r="A303" t="s">
        <v>2345</v>
      </c>
      <c r="B303" t="s">
        <v>2085</v>
      </c>
      <c r="C303" t="s">
        <v>2094</v>
      </c>
      <c r="D303" s="1">
        <v>44938</v>
      </c>
      <c r="E303" s="1">
        <v>45215</v>
      </c>
      <c r="F303">
        <v>77</v>
      </c>
      <c r="G303">
        <v>17</v>
      </c>
      <c r="H303">
        <v>2243.02</v>
      </c>
      <c r="I303">
        <v>170.37</v>
      </c>
      <c r="J303" t="s">
        <v>90</v>
      </c>
      <c r="K303" t="s">
        <v>20</v>
      </c>
      <c r="L303" t="s">
        <v>2095</v>
      </c>
      <c r="M303">
        <v>4</v>
      </c>
      <c r="N303" t="s">
        <v>179</v>
      </c>
      <c r="O303" t="s">
        <v>2121</v>
      </c>
    </row>
    <row r="304" spans="1:15">
      <c r="A304" t="s">
        <v>2346</v>
      </c>
      <c r="B304" t="s">
        <v>2099</v>
      </c>
      <c r="C304" t="s">
        <v>2086</v>
      </c>
      <c r="D304" s="1">
        <v>44237</v>
      </c>
      <c r="E304" s="1">
        <v>45168</v>
      </c>
      <c r="F304">
        <v>124</v>
      </c>
      <c r="G304">
        <v>1</v>
      </c>
      <c r="H304">
        <v>139.1</v>
      </c>
      <c r="I304">
        <v>71.61</v>
      </c>
      <c r="J304" t="s">
        <v>41</v>
      </c>
      <c r="K304" t="s">
        <v>20</v>
      </c>
      <c r="L304" t="s">
        <v>2106</v>
      </c>
      <c r="M304">
        <v>8</v>
      </c>
      <c r="N304" t="s">
        <v>179</v>
      </c>
      <c r="O304" t="s">
        <v>2088</v>
      </c>
    </row>
    <row r="305" spans="1:15">
      <c r="A305" t="s">
        <v>436</v>
      </c>
      <c r="B305" t="s">
        <v>2113</v>
      </c>
      <c r="C305" t="s">
        <v>2086</v>
      </c>
      <c r="D305" s="1">
        <v>44655</v>
      </c>
      <c r="E305" s="1">
        <v>45105</v>
      </c>
      <c r="F305">
        <v>187</v>
      </c>
      <c r="G305">
        <v>9</v>
      </c>
      <c r="H305">
        <v>448.88</v>
      </c>
      <c r="I305">
        <v>59.44</v>
      </c>
      <c r="J305" t="s">
        <v>115</v>
      </c>
      <c r="K305" t="s">
        <v>16</v>
      </c>
      <c r="L305" t="s">
        <v>2095</v>
      </c>
      <c r="M305">
        <v>0</v>
      </c>
      <c r="N305" t="s">
        <v>174</v>
      </c>
      <c r="O305" t="s">
        <v>2107</v>
      </c>
    </row>
    <row r="306" spans="1:15">
      <c r="A306" t="s">
        <v>2347</v>
      </c>
      <c r="B306" t="s">
        <v>2097</v>
      </c>
      <c r="C306" t="s">
        <v>2094</v>
      </c>
      <c r="D306" s="1">
        <v>44857</v>
      </c>
      <c r="E306" s="1">
        <v>45170</v>
      </c>
      <c r="F306">
        <v>122</v>
      </c>
      <c r="G306">
        <v>4</v>
      </c>
      <c r="H306">
        <v>582.41999999999996</v>
      </c>
      <c r="I306">
        <v>99.94</v>
      </c>
      <c r="J306" t="s">
        <v>41</v>
      </c>
      <c r="K306" t="s">
        <v>20</v>
      </c>
      <c r="L306" t="s">
        <v>2095</v>
      </c>
      <c r="M306">
        <v>1</v>
      </c>
      <c r="N306" t="s">
        <v>157</v>
      </c>
      <c r="O306" t="s">
        <v>2109</v>
      </c>
    </row>
    <row r="307" spans="1:15">
      <c r="A307" t="s">
        <v>2348</v>
      </c>
      <c r="B307" t="s">
        <v>2099</v>
      </c>
      <c r="C307" t="s">
        <v>2100</v>
      </c>
      <c r="D307" s="1">
        <v>43542</v>
      </c>
      <c r="E307" s="1">
        <v>44964</v>
      </c>
      <c r="F307">
        <v>328</v>
      </c>
      <c r="G307">
        <v>1</v>
      </c>
      <c r="H307">
        <v>28.05</v>
      </c>
      <c r="I307">
        <v>40.04</v>
      </c>
      <c r="J307" t="s">
        <v>66</v>
      </c>
      <c r="K307" t="s">
        <v>20</v>
      </c>
      <c r="L307" t="s">
        <v>2106</v>
      </c>
      <c r="M307">
        <v>0</v>
      </c>
      <c r="N307" t="s">
        <v>157</v>
      </c>
      <c r="O307" t="s">
        <v>2121</v>
      </c>
    </row>
    <row r="308" spans="1:15">
      <c r="A308" t="s">
        <v>892</v>
      </c>
      <c r="B308" t="s">
        <v>2085</v>
      </c>
      <c r="C308" t="s">
        <v>2086</v>
      </c>
      <c r="D308" s="1">
        <v>44771</v>
      </c>
      <c r="E308" s="1">
        <v>45220</v>
      </c>
      <c r="F308">
        <v>72</v>
      </c>
      <c r="G308">
        <v>34</v>
      </c>
      <c r="H308">
        <v>1788.92</v>
      </c>
      <c r="I308">
        <v>126.64</v>
      </c>
      <c r="J308" t="s">
        <v>41</v>
      </c>
      <c r="K308" t="s">
        <v>16</v>
      </c>
      <c r="L308" t="s">
        <v>2087</v>
      </c>
      <c r="M308">
        <v>7</v>
      </c>
      <c r="N308" t="s">
        <v>204</v>
      </c>
      <c r="O308" t="s">
        <v>2121</v>
      </c>
    </row>
    <row r="309" spans="1:15">
      <c r="A309" t="s">
        <v>1078</v>
      </c>
      <c r="B309" t="s">
        <v>2097</v>
      </c>
      <c r="C309" t="s">
        <v>2111</v>
      </c>
      <c r="D309" s="1">
        <v>44548</v>
      </c>
      <c r="E309" s="1">
        <v>45025</v>
      </c>
      <c r="F309">
        <v>267</v>
      </c>
      <c r="G309">
        <v>6</v>
      </c>
      <c r="H309">
        <v>632.4</v>
      </c>
      <c r="I309">
        <v>93.41</v>
      </c>
      <c r="J309" t="s">
        <v>115</v>
      </c>
      <c r="K309" t="s">
        <v>16</v>
      </c>
      <c r="L309" t="s">
        <v>2106</v>
      </c>
      <c r="M309">
        <v>10</v>
      </c>
      <c r="N309" t="s">
        <v>174</v>
      </c>
      <c r="O309" t="s">
        <v>2107</v>
      </c>
    </row>
    <row r="310" spans="1:15">
      <c r="A310" t="s">
        <v>2349</v>
      </c>
      <c r="B310" t="s">
        <v>2085</v>
      </c>
      <c r="C310" t="s">
        <v>2086</v>
      </c>
      <c r="D310" s="1">
        <v>45051</v>
      </c>
      <c r="E310" s="1">
        <v>45135</v>
      </c>
      <c r="F310">
        <v>157</v>
      </c>
      <c r="G310">
        <v>37</v>
      </c>
      <c r="H310">
        <v>1109.24</v>
      </c>
      <c r="I310">
        <v>101.05</v>
      </c>
      <c r="J310" t="s">
        <v>115</v>
      </c>
      <c r="K310" t="s">
        <v>16</v>
      </c>
      <c r="L310" t="s">
        <v>2087</v>
      </c>
      <c r="M310">
        <v>2</v>
      </c>
      <c r="N310" t="s">
        <v>165</v>
      </c>
      <c r="O310" t="s">
        <v>2088</v>
      </c>
    </row>
    <row r="311" spans="1:15">
      <c r="A311" t="s">
        <v>2350</v>
      </c>
      <c r="B311" t="s">
        <v>2099</v>
      </c>
      <c r="C311" t="s">
        <v>2094</v>
      </c>
      <c r="D311" s="1">
        <v>44436</v>
      </c>
      <c r="E311" s="1">
        <v>45183</v>
      </c>
      <c r="F311">
        <v>109</v>
      </c>
      <c r="G311">
        <v>1</v>
      </c>
      <c r="H311">
        <v>128.21</v>
      </c>
      <c r="I311">
        <v>65.63</v>
      </c>
      <c r="J311" t="s">
        <v>66</v>
      </c>
      <c r="K311" t="s">
        <v>20</v>
      </c>
      <c r="L311" t="s">
        <v>2106</v>
      </c>
      <c r="M311">
        <v>2</v>
      </c>
      <c r="N311" t="s">
        <v>179</v>
      </c>
      <c r="O311" t="s">
        <v>2096</v>
      </c>
    </row>
    <row r="312" spans="1:15">
      <c r="A312" t="s">
        <v>2351</v>
      </c>
      <c r="B312" t="s">
        <v>2099</v>
      </c>
      <c r="C312" t="s">
        <v>2091</v>
      </c>
      <c r="D312" s="1">
        <v>44631</v>
      </c>
      <c r="E312" s="1">
        <v>44967</v>
      </c>
      <c r="F312">
        <v>325</v>
      </c>
      <c r="G312">
        <v>2</v>
      </c>
      <c r="H312">
        <v>101.31</v>
      </c>
      <c r="I312">
        <v>89.92</v>
      </c>
      <c r="J312" t="s">
        <v>115</v>
      </c>
      <c r="K312" t="s">
        <v>16</v>
      </c>
      <c r="L312" t="s">
        <v>2095</v>
      </c>
      <c r="M312">
        <v>1</v>
      </c>
      <c r="N312" t="s">
        <v>204</v>
      </c>
      <c r="O312" t="s">
        <v>2107</v>
      </c>
    </row>
    <row r="313" spans="1:15">
      <c r="A313" t="s">
        <v>224</v>
      </c>
      <c r="B313" t="s">
        <v>2085</v>
      </c>
      <c r="C313" t="s">
        <v>2094</v>
      </c>
      <c r="D313" s="1">
        <v>45148</v>
      </c>
      <c r="E313" s="1">
        <v>45075</v>
      </c>
      <c r="F313">
        <v>217</v>
      </c>
      <c r="G313">
        <v>31</v>
      </c>
      <c r="H313">
        <v>1989.18</v>
      </c>
      <c r="I313">
        <v>104.51</v>
      </c>
      <c r="J313" t="s">
        <v>90</v>
      </c>
      <c r="K313" t="s">
        <v>20</v>
      </c>
      <c r="L313" t="s">
        <v>2087</v>
      </c>
      <c r="M313">
        <v>1</v>
      </c>
      <c r="N313" t="s">
        <v>179</v>
      </c>
      <c r="O313" t="s">
        <v>2107</v>
      </c>
    </row>
    <row r="314" spans="1:15">
      <c r="A314" t="s">
        <v>2352</v>
      </c>
      <c r="B314" t="s">
        <v>2113</v>
      </c>
      <c r="C314" t="s">
        <v>2086</v>
      </c>
      <c r="D314" s="1">
        <v>44526</v>
      </c>
      <c r="E314" s="1">
        <v>45239</v>
      </c>
      <c r="F314">
        <v>53</v>
      </c>
      <c r="G314">
        <v>7</v>
      </c>
      <c r="H314">
        <v>367.21</v>
      </c>
      <c r="I314">
        <v>42.07</v>
      </c>
      <c r="J314" t="s">
        <v>66</v>
      </c>
      <c r="K314" t="s">
        <v>16</v>
      </c>
      <c r="L314" t="s">
        <v>2106</v>
      </c>
      <c r="M314">
        <v>0</v>
      </c>
      <c r="N314" t="s">
        <v>232</v>
      </c>
      <c r="O314" t="s">
        <v>2096</v>
      </c>
    </row>
    <row r="315" spans="1:15">
      <c r="A315" t="s">
        <v>1203</v>
      </c>
      <c r="B315" t="s">
        <v>2090</v>
      </c>
      <c r="C315" t="s">
        <v>2111</v>
      </c>
      <c r="D315" s="1">
        <v>44803</v>
      </c>
      <c r="E315" s="1">
        <v>44942</v>
      </c>
      <c r="F315">
        <v>350</v>
      </c>
      <c r="G315">
        <v>5</v>
      </c>
      <c r="H315">
        <v>379.82</v>
      </c>
      <c r="I315">
        <v>118.79</v>
      </c>
      <c r="J315" t="s">
        <v>66</v>
      </c>
      <c r="K315" t="s">
        <v>16</v>
      </c>
      <c r="L315" t="s">
        <v>2087</v>
      </c>
      <c r="M315">
        <v>3</v>
      </c>
      <c r="N315" t="s">
        <v>194</v>
      </c>
      <c r="O315" t="s">
        <v>2096</v>
      </c>
    </row>
    <row r="316" spans="1:15">
      <c r="A316" t="s">
        <v>438</v>
      </c>
      <c r="B316" t="s">
        <v>2097</v>
      </c>
      <c r="C316" t="s">
        <v>2111</v>
      </c>
      <c r="D316" s="1">
        <v>45017</v>
      </c>
      <c r="E316" s="1">
        <v>45266</v>
      </c>
      <c r="F316">
        <v>26</v>
      </c>
      <c r="G316">
        <v>6</v>
      </c>
      <c r="H316">
        <v>505.61</v>
      </c>
      <c r="I316">
        <v>123.39</v>
      </c>
      <c r="J316" t="s">
        <v>41</v>
      </c>
      <c r="K316" t="s">
        <v>16</v>
      </c>
      <c r="L316" t="s">
        <v>2095</v>
      </c>
      <c r="M316">
        <v>9</v>
      </c>
      <c r="N316" t="s">
        <v>232</v>
      </c>
      <c r="O316" t="s">
        <v>2096</v>
      </c>
    </row>
    <row r="317" spans="1:15">
      <c r="A317" t="s">
        <v>2353</v>
      </c>
      <c r="B317" t="s">
        <v>2113</v>
      </c>
      <c r="C317" t="s">
        <v>2086</v>
      </c>
      <c r="D317" s="1">
        <v>44720</v>
      </c>
      <c r="E317" s="1">
        <v>44968</v>
      </c>
      <c r="F317">
        <v>324</v>
      </c>
      <c r="G317">
        <v>7</v>
      </c>
      <c r="H317">
        <v>574.95000000000005</v>
      </c>
      <c r="I317">
        <v>59.91</v>
      </c>
      <c r="J317" t="s">
        <v>90</v>
      </c>
      <c r="K317" t="s">
        <v>16</v>
      </c>
      <c r="L317" t="s">
        <v>2087</v>
      </c>
      <c r="M317">
        <v>0</v>
      </c>
      <c r="N317" t="s">
        <v>174</v>
      </c>
      <c r="O317" t="s">
        <v>2096</v>
      </c>
    </row>
    <row r="318" spans="1:15">
      <c r="A318" t="s">
        <v>2354</v>
      </c>
      <c r="B318" t="s">
        <v>2099</v>
      </c>
      <c r="C318" t="s">
        <v>2111</v>
      </c>
      <c r="D318" s="1">
        <v>44087</v>
      </c>
      <c r="E318" s="1">
        <v>45043</v>
      </c>
      <c r="F318">
        <v>249</v>
      </c>
      <c r="G318">
        <v>1</v>
      </c>
      <c r="H318">
        <v>104.54</v>
      </c>
      <c r="I318">
        <v>54.52</v>
      </c>
      <c r="J318" t="s">
        <v>14</v>
      </c>
      <c r="K318" t="s">
        <v>16</v>
      </c>
      <c r="L318" t="s">
        <v>2095</v>
      </c>
      <c r="M318">
        <v>8</v>
      </c>
      <c r="N318" t="s">
        <v>232</v>
      </c>
      <c r="O318" t="s">
        <v>2109</v>
      </c>
    </row>
    <row r="319" spans="1:15">
      <c r="A319" t="s">
        <v>2355</v>
      </c>
      <c r="B319" t="s">
        <v>2093</v>
      </c>
      <c r="C319" t="s">
        <v>2108</v>
      </c>
      <c r="D319" s="1">
        <v>45034</v>
      </c>
      <c r="E319" s="1">
        <v>45120</v>
      </c>
      <c r="F319">
        <v>172</v>
      </c>
      <c r="G319">
        <v>1</v>
      </c>
      <c r="H319">
        <v>123.92</v>
      </c>
      <c r="I319">
        <v>23.13</v>
      </c>
      <c r="J319" t="s">
        <v>41</v>
      </c>
      <c r="K319" t="s">
        <v>16</v>
      </c>
      <c r="L319" t="s">
        <v>2106</v>
      </c>
      <c r="M319">
        <v>6</v>
      </c>
      <c r="N319" t="s">
        <v>232</v>
      </c>
      <c r="O319" t="s">
        <v>2107</v>
      </c>
    </row>
    <row r="320" spans="1:15">
      <c r="A320" t="s">
        <v>2356</v>
      </c>
      <c r="B320" t="s">
        <v>2085</v>
      </c>
      <c r="C320" t="s">
        <v>2091</v>
      </c>
      <c r="D320" s="1">
        <v>44219</v>
      </c>
      <c r="E320" s="1">
        <v>45107</v>
      </c>
      <c r="F320">
        <v>185</v>
      </c>
      <c r="G320">
        <v>26</v>
      </c>
      <c r="H320">
        <v>1059.58</v>
      </c>
      <c r="I320">
        <v>223.13</v>
      </c>
      <c r="J320" t="s">
        <v>66</v>
      </c>
      <c r="K320" t="s">
        <v>16</v>
      </c>
      <c r="L320" t="s">
        <v>2095</v>
      </c>
      <c r="M320">
        <v>3</v>
      </c>
      <c r="N320" t="s">
        <v>157</v>
      </c>
      <c r="O320" t="s">
        <v>2096</v>
      </c>
    </row>
    <row r="321" spans="1:15">
      <c r="A321" t="s">
        <v>2357</v>
      </c>
      <c r="B321" t="s">
        <v>2090</v>
      </c>
      <c r="C321" t="s">
        <v>2086</v>
      </c>
      <c r="D321" s="1">
        <v>45120</v>
      </c>
      <c r="E321" s="1">
        <v>45201</v>
      </c>
      <c r="F321">
        <v>91</v>
      </c>
      <c r="G321">
        <v>2</v>
      </c>
      <c r="H321">
        <v>152.68</v>
      </c>
      <c r="I321">
        <v>99.8</v>
      </c>
      <c r="J321" t="s">
        <v>14</v>
      </c>
      <c r="K321" t="s">
        <v>16</v>
      </c>
      <c r="L321" t="s">
        <v>2106</v>
      </c>
      <c r="M321">
        <v>3</v>
      </c>
      <c r="N321" t="s">
        <v>179</v>
      </c>
      <c r="O321" t="s">
        <v>2096</v>
      </c>
    </row>
    <row r="322" spans="1:15">
      <c r="A322" t="s">
        <v>2358</v>
      </c>
      <c r="B322" t="s">
        <v>2085</v>
      </c>
      <c r="C322" t="s">
        <v>2094</v>
      </c>
      <c r="D322" s="1">
        <v>43555</v>
      </c>
      <c r="E322" s="1">
        <v>45087</v>
      </c>
      <c r="F322">
        <v>205</v>
      </c>
      <c r="G322">
        <v>13</v>
      </c>
      <c r="H322">
        <v>1078.77</v>
      </c>
      <c r="I322">
        <v>136.12</v>
      </c>
      <c r="J322" t="s">
        <v>115</v>
      </c>
      <c r="K322" t="s">
        <v>20</v>
      </c>
      <c r="L322" t="s">
        <v>2095</v>
      </c>
      <c r="M322">
        <v>4</v>
      </c>
      <c r="N322" t="s">
        <v>157</v>
      </c>
      <c r="O322" t="s">
        <v>2088</v>
      </c>
    </row>
    <row r="323" spans="1:15">
      <c r="A323" t="s">
        <v>2359</v>
      </c>
      <c r="B323" t="s">
        <v>2099</v>
      </c>
      <c r="C323" t="s">
        <v>2086</v>
      </c>
      <c r="D323" s="1">
        <v>43622</v>
      </c>
      <c r="E323" s="1">
        <v>45055</v>
      </c>
      <c r="F323">
        <v>237</v>
      </c>
      <c r="G323">
        <v>2</v>
      </c>
      <c r="H323">
        <v>105.49</v>
      </c>
      <c r="I323">
        <v>72.53</v>
      </c>
      <c r="J323" t="s">
        <v>41</v>
      </c>
      <c r="K323" t="s">
        <v>16</v>
      </c>
      <c r="L323" t="s">
        <v>2106</v>
      </c>
      <c r="M323">
        <v>5</v>
      </c>
      <c r="N323" t="s">
        <v>179</v>
      </c>
      <c r="O323" t="s">
        <v>2107</v>
      </c>
    </row>
    <row r="324" spans="1:15">
      <c r="A324" t="s">
        <v>2360</v>
      </c>
      <c r="B324" t="s">
        <v>2099</v>
      </c>
      <c r="C324" t="s">
        <v>2091</v>
      </c>
      <c r="D324" s="1">
        <v>44065</v>
      </c>
      <c r="E324" s="1">
        <v>45261</v>
      </c>
      <c r="F324">
        <v>31</v>
      </c>
      <c r="G324">
        <v>2</v>
      </c>
      <c r="H324">
        <v>142.38999999999999</v>
      </c>
      <c r="I324">
        <v>82.42</v>
      </c>
      <c r="J324" t="s">
        <v>115</v>
      </c>
      <c r="K324" t="s">
        <v>16</v>
      </c>
      <c r="L324" t="s">
        <v>2087</v>
      </c>
      <c r="M324">
        <v>8</v>
      </c>
      <c r="N324" t="s">
        <v>232</v>
      </c>
      <c r="O324" t="s">
        <v>2096</v>
      </c>
    </row>
    <row r="325" spans="1:15">
      <c r="A325" t="s">
        <v>700</v>
      </c>
      <c r="B325" t="s">
        <v>2085</v>
      </c>
      <c r="C325" t="s">
        <v>2094</v>
      </c>
      <c r="D325" s="1">
        <v>44739</v>
      </c>
      <c r="E325" s="1">
        <v>45175</v>
      </c>
      <c r="F325">
        <v>117</v>
      </c>
      <c r="G325">
        <v>23</v>
      </c>
      <c r="H325">
        <v>2780.94</v>
      </c>
      <c r="I325">
        <v>241.1</v>
      </c>
      <c r="J325" t="s">
        <v>14</v>
      </c>
      <c r="K325" t="s">
        <v>16</v>
      </c>
      <c r="L325" t="s">
        <v>2095</v>
      </c>
      <c r="M325">
        <v>8</v>
      </c>
      <c r="N325" t="s">
        <v>157</v>
      </c>
      <c r="O325" t="s">
        <v>2121</v>
      </c>
    </row>
    <row r="326" spans="1:15">
      <c r="A326" t="s">
        <v>1991</v>
      </c>
      <c r="B326" t="s">
        <v>2093</v>
      </c>
      <c r="C326" t="s">
        <v>2111</v>
      </c>
      <c r="D326" s="1">
        <v>45137</v>
      </c>
      <c r="E326" s="1">
        <v>44999</v>
      </c>
      <c r="F326">
        <v>293</v>
      </c>
      <c r="G326">
        <v>5</v>
      </c>
      <c r="H326">
        <v>65.83</v>
      </c>
      <c r="I326">
        <v>42.34</v>
      </c>
      <c r="J326" t="s">
        <v>41</v>
      </c>
      <c r="K326" t="s">
        <v>20</v>
      </c>
      <c r="L326" t="s">
        <v>2087</v>
      </c>
      <c r="M326">
        <v>10</v>
      </c>
      <c r="N326" t="s">
        <v>179</v>
      </c>
      <c r="O326" t="s">
        <v>2109</v>
      </c>
    </row>
    <row r="327" spans="1:15">
      <c r="A327" t="s">
        <v>2361</v>
      </c>
      <c r="B327" t="s">
        <v>2085</v>
      </c>
      <c r="C327" t="s">
        <v>2100</v>
      </c>
      <c r="D327" s="1">
        <v>44035</v>
      </c>
      <c r="E327" s="1">
        <v>45228</v>
      </c>
      <c r="F327">
        <v>64</v>
      </c>
      <c r="G327">
        <v>12</v>
      </c>
      <c r="H327">
        <v>1897.6</v>
      </c>
      <c r="I327">
        <v>106.75</v>
      </c>
      <c r="J327" t="s">
        <v>66</v>
      </c>
      <c r="K327" t="s">
        <v>16</v>
      </c>
      <c r="L327" t="s">
        <v>2095</v>
      </c>
      <c r="M327">
        <v>4</v>
      </c>
      <c r="N327" t="s">
        <v>179</v>
      </c>
      <c r="O327" t="s">
        <v>2088</v>
      </c>
    </row>
    <row r="328" spans="1:15">
      <c r="A328" t="s">
        <v>2362</v>
      </c>
      <c r="B328" t="s">
        <v>2099</v>
      </c>
      <c r="C328" t="s">
        <v>2091</v>
      </c>
      <c r="D328" s="1">
        <v>44375</v>
      </c>
      <c r="E328" s="1">
        <v>44949</v>
      </c>
      <c r="F328">
        <v>343</v>
      </c>
      <c r="G328">
        <v>2</v>
      </c>
      <c r="H328">
        <v>22.45</v>
      </c>
      <c r="I328">
        <v>50.61</v>
      </c>
      <c r="J328" t="s">
        <v>41</v>
      </c>
      <c r="K328" t="s">
        <v>16</v>
      </c>
      <c r="L328" t="s">
        <v>2095</v>
      </c>
      <c r="M328">
        <v>10</v>
      </c>
      <c r="N328" t="s">
        <v>204</v>
      </c>
      <c r="O328" t="s">
        <v>2088</v>
      </c>
    </row>
    <row r="329" spans="1:15">
      <c r="A329" t="s">
        <v>2363</v>
      </c>
      <c r="B329" t="s">
        <v>2085</v>
      </c>
      <c r="C329" t="s">
        <v>2086</v>
      </c>
      <c r="D329" s="1">
        <v>44178</v>
      </c>
      <c r="E329" s="1">
        <v>44940</v>
      </c>
      <c r="F329">
        <v>352</v>
      </c>
      <c r="G329">
        <v>33</v>
      </c>
      <c r="H329">
        <v>1471.33</v>
      </c>
      <c r="I329">
        <v>208.31</v>
      </c>
      <c r="J329" t="s">
        <v>66</v>
      </c>
      <c r="K329" t="s">
        <v>16</v>
      </c>
      <c r="L329" t="s">
        <v>2106</v>
      </c>
      <c r="M329">
        <v>3</v>
      </c>
      <c r="N329" t="s">
        <v>179</v>
      </c>
      <c r="O329" t="s">
        <v>2096</v>
      </c>
    </row>
    <row r="330" spans="1:15">
      <c r="A330" t="s">
        <v>2364</v>
      </c>
      <c r="B330" t="s">
        <v>2113</v>
      </c>
      <c r="C330" t="s">
        <v>2111</v>
      </c>
      <c r="D330" s="1">
        <v>44972</v>
      </c>
      <c r="E330" s="1">
        <v>44956</v>
      </c>
      <c r="F330">
        <v>336</v>
      </c>
      <c r="G330">
        <v>18</v>
      </c>
      <c r="H330">
        <v>532.87</v>
      </c>
      <c r="I330">
        <v>69.13</v>
      </c>
      <c r="J330" t="s">
        <v>115</v>
      </c>
      <c r="K330" t="s">
        <v>16</v>
      </c>
      <c r="L330" t="s">
        <v>2106</v>
      </c>
      <c r="M330">
        <v>10</v>
      </c>
      <c r="N330" t="s">
        <v>194</v>
      </c>
      <c r="O330" t="s">
        <v>2088</v>
      </c>
    </row>
    <row r="331" spans="1:15">
      <c r="A331" t="s">
        <v>2365</v>
      </c>
      <c r="B331" t="s">
        <v>2099</v>
      </c>
      <c r="C331" t="s">
        <v>2091</v>
      </c>
      <c r="D331" s="1">
        <v>44528</v>
      </c>
      <c r="E331" s="1">
        <v>45060</v>
      </c>
      <c r="F331">
        <v>232</v>
      </c>
      <c r="G331">
        <v>2</v>
      </c>
      <c r="H331">
        <v>94.44</v>
      </c>
      <c r="I331">
        <v>65.459999999999994</v>
      </c>
      <c r="J331" t="s">
        <v>90</v>
      </c>
      <c r="K331" t="s">
        <v>16</v>
      </c>
      <c r="L331" t="s">
        <v>2106</v>
      </c>
      <c r="M331">
        <v>3</v>
      </c>
      <c r="N331" t="s">
        <v>157</v>
      </c>
      <c r="O331" t="s">
        <v>2096</v>
      </c>
    </row>
    <row r="332" spans="1:15">
      <c r="A332" t="s">
        <v>2366</v>
      </c>
      <c r="B332" t="s">
        <v>2113</v>
      </c>
      <c r="C332" t="s">
        <v>2094</v>
      </c>
      <c r="D332" s="1">
        <v>44577</v>
      </c>
      <c r="E332" s="1">
        <v>45078</v>
      </c>
      <c r="F332">
        <v>214</v>
      </c>
      <c r="G332">
        <v>13</v>
      </c>
      <c r="H332">
        <v>142.77000000000001</v>
      </c>
      <c r="I332">
        <v>42.5</v>
      </c>
      <c r="J332" t="s">
        <v>115</v>
      </c>
      <c r="K332" t="s">
        <v>16</v>
      </c>
      <c r="L332" t="s">
        <v>2095</v>
      </c>
      <c r="M332">
        <v>9</v>
      </c>
      <c r="N332" t="s">
        <v>194</v>
      </c>
      <c r="O332" t="s">
        <v>2121</v>
      </c>
    </row>
    <row r="333" spans="1:15">
      <c r="A333" t="s">
        <v>1734</v>
      </c>
      <c r="B333" t="s">
        <v>2113</v>
      </c>
      <c r="C333" t="s">
        <v>2111</v>
      </c>
      <c r="D333" s="1">
        <v>44711</v>
      </c>
      <c r="E333" s="1">
        <v>44933</v>
      </c>
      <c r="F333">
        <v>359</v>
      </c>
      <c r="G333">
        <v>13</v>
      </c>
      <c r="H333">
        <v>491.21</v>
      </c>
      <c r="I333">
        <v>70.510000000000005</v>
      </c>
      <c r="J333" t="s">
        <v>66</v>
      </c>
      <c r="K333" t="s">
        <v>20</v>
      </c>
      <c r="L333" t="s">
        <v>2106</v>
      </c>
      <c r="M333">
        <v>5</v>
      </c>
      <c r="N333" t="s">
        <v>179</v>
      </c>
      <c r="O333" t="s">
        <v>2121</v>
      </c>
    </row>
    <row r="334" spans="1:15">
      <c r="A334" t="s">
        <v>544</v>
      </c>
      <c r="B334" t="s">
        <v>2097</v>
      </c>
      <c r="C334" t="s">
        <v>2094</v>
      </c>
      <c r="D334" s="1">
        <v>44421</v>
      </c>
      <c r="E334" s="1">
        <v>44945</v>
      </c>
      <c r="F334">
        <v>347</v>
      </c>
      <c r="G334">
        <v>10</v>
      </c>
      <c r="H334">
        <v>450.77</v>
      </c>
      <c r="I334">
        <v>93.99</v>
      </c>
      <c r="J334" t="s">
        <v>90</v>
      </c>
      <c r="K334" t="s">
        <v>20</v>
      </c>
      <c r="L334" t="s">
        <v>2106</v>
      </c>
      <c r="M334">
        <v>3</v>
      </c>
      <c r="N334" t="s">
        <v>204</v>
      </c>
      <c r="O334" t="s">
        <v>2096</v>
      </c>
    </row>
    <row r="335" spans="1:15">
      <c r="A335" t="s">
        <v>2367</v>
      </c>
      <c r="B335" t="s">
        <v>2090</v>
      </c>
      <c r="C335" t="s">
        <v>2100</v>
      </c>
      <c r="D335" s="1">
        <v>44109</v>
      </c>
      <c r="E335" s="1">
        <v>44959</v>
      </c>
      <c r="F335">
        <v>333</v>
      </c>
      <c r="G335">
        <v>2</v>
      </c>
      <c r="H335">
        <v>168.46</v>
      </c>
      <c r="I335">
        <v>88.83</v>
      </c>
      <c r="J335" t="s">
        <v>41</v>
      </c>
      <c r="K335" t="s">
        <v>16</v>
      </c>
      <c r="L335" t="s">
        <v>2087</v>
      </c>
      <c r="M335">
        <v>4</v>
      </c>
      <c r="N335" t="s">
        <v>179</v>
      </c>
      <c r="O335" t="s">
        <v>2109</v>
      </c>
    </row>
    <row r="336" spans="1:15">
      <c r="A336" t="s">
        <v>475</v>
      </c>
      <c r="B336" t="s">
        <v>2097</v>
      </c>
      <c r="C336" t="s">
        <v>2111</v>
      </c>
      <c r="D336" s="1">
        <v>44731</v>
      </c>
      <c r="E336" s="1">
        <v>45262</v>
      </c>
      <c r="F336">
        <v>30</v>
      </c>
      <c r="G336">
        <v>6</v>
      </c>
      <c r="H336">
        <v>559.72</v>
      </c>
      <c r="I336">
        <v>64.69</v>
      </c>
      <c r="J336" t="s">
        <v>41</v>
      </c>
      <c r="K336" t="s">
        <v>16</v>
      </c>
      <c r="L336" t="s">
        <v>2106</v>
      </c>
      <c r="M336">
        <v>0</v>
      </c>
      <c r="N336" t="s">
        <v>157</v>
      </c>
      <c r="O336" t="s">
        <v>2088</v>
      </c>
    </row>
    <row r="337" spans="1:15">
      <c r="A337" t="s">
        <v>2368</v>
      </c>
      <c r="B337" t="s">
        <v>2099</v>
      </c>
      <c r="C337" t="s">
        <v>2094</v>
      </c>
      <c r="D337" s="1">
        <v>43590</v>
      </c>
      <c r="E337" s="1">
        <v>45059</v>
      </c>
      <c r="F337">
        <v>233</v>
      </c>
      <c r="G337">
        <v>2</v>
      </c>
      <c r="H337">
        <v>25.45</v>
      </c>
      <c r="I337">
        <v>77.39</v>
      </c>
      <c r="J337" t="s">
        <v>14</v>
      </c>
      <c r="K337" t="s">
        <v>20</v>
      </c>
      <c r="L337" t="s">
        <v>2087</v>
      </c>
      <c r="M337">
        <v>8</v>
      </c>
      <c r="N337" t="s">
        <v>165</v>
      </c>
      <c r="O337" t="s">
        <v>2096</v>
      </c>
    </row>
    <row r="338" spans="1:15">
      <c r="A338" t="s">
        <v>2369</v>
      </c>
      <c r="B338" t="s">
        <v>2090</v>
      </c>
      <c r="C338" t="s">
        <v>2086</v>
      </c>
      <c r="D338" s="1">
        <v>44374</v>
      </c>
      <c r="E338" s="1">
        <v>44984</v>
      </c>
      <c r="F338">
        <v>308</v>
      </c>
      <c r="G338">
        <v>3</v>
      </c>
      <c r="H338">
        <v>191.91</v>
      </c>
      <c r="I338">
        <v>46.2</v>
      </c>
      <c r="J338" t="s">
        <v>14</v>
      </c>
      <c r="K338" t="s">
        <v>16</v>
      </c>
      <c r="L338" t="s">
        <v>2095</v>
      </c>
      <c r="M338">
        <v>5</v>
      </c>
      <c r="N338" t="s">
        <v>232</v>
      </c>
      <c r="O338" t="s">
        <v>2121</v>
      </c>
    </row>
    <row r="339" spans="1:15">
      <c r="A339" t="s">
        <v>2370</v>
      </c>
      <c r="B339" t="s">
        <v>2093</v>
      </c>
      <c r="C339" t="s">
        <v>2111</v>
      </c>
      <c r="D339" s="1">
        <v>44045</v>
      </c>
      <c r="E339" s="1">
        <v>45000</v>
      </c>
      <c r="F339">
        <v>292</v>
      </c>
      <c r="G339">
        <v>4</v>
      </c>
      <c r="H339">
        <v>42.14</v>
      </c>
      <c r="I339">
        <v>45.59</v>
      </c>
      <c r="J339" t="s">
        <v>66</v>
      </c>
      <c r="K339" t="s">
        <v>20</v>
      </c>
      <c r="L339" t="s">
        <v>2087</v>
      </c>
      <c r="M339">
        <v>5</v>
      </c>
      <c r="N339" t="s">
        <v>204</v>
      </c>
      <c r="O339" t="s">
        <v>2121</v>
      </c>
    </row>
    <row r="340" spans="1:15">
      <c r="A340" t="s">
        <v>2371</v>
      </c>
      <c r="B340" t="s">
        <v>2099</v>
      </c>
      <c r="C340" t="s">
        <v>2091</v>
      </c>
      <c r="D340" s="1">
        <v>43557</v>
      </c>
      <c r="E340" s="1">
        <v>45075</v>
      </c>
      <c r="F340">
        <v>217</v>
      </c>
      <c r="G340">
        <v>2</v>
      </c>
      <c r="H340">
        <v>100.85</v>
      </c>
      <c r="I340">
        <v>32.83</v>
      </c>
      <c r="J340" t="s">
        <v>115</v>
      </c>
      <c r="K340" t="s">
        <v>16</v>
      </c>
      <c r="L340" t="s">
        <v>2095</v>
      </c>
      <c r="M340">
        <v>9</v>
      </c>
      <c r="N340" t="s">
        <v>157</v>
      </c>
      <c r="O340" t="s">
        <v>2121</v>
      </c>
    </row>
    <row r="341" spans="1:15">
      <c r="A341" t="s">
        <v>2372</v>
      </c>
      <c r="B341" t="s">
        <v>2090</v>
      </c>
      <c r="C341" t="s">
        <v>2094</v>
      </c>
      <c r="D341" s="1">
        <v>44656</v>
      </c>
      <c r="E341" s="1">
        <v>45291</v>
      </c>
      <c r="F341">
        <v>1</v>
      </c>
      <c r="G341">
        <v>7</v>
      </c>
      <c r="H341">
        <v>329.88</v>
      </c>
      <c r="I341">
        <v>80.650000000000006</v>
      </c>
      <c r="J341" t="s">
        <v>41</v>
      </c>
      <c r="K341" t="s">
        <v>16</v>
      </c>
      <c r="L341" t="s">
        <v>2106</v>
      </c>
      <c r="M341">
        <v>0</v>
      </c>
      <c r="N341" t="s">
        <v>165</v>
      </c>
      <c r="O341" t="s">
        <v>2107</v>
      </c>
    </row>
    <row r="342" spans="1:15">
      <c r="A342" t="s">
        <v>2373</v>
      </c>
      <c r="B342" t="s">
        <v>2099</v>
      </c>
      <c r="C342" t="s">
        <v>2086</v>
      </c>
      <c r="D342" s="1">
        <v>43925</v>
      </c>
      <c r="E342" s="1">
        <v>45216</v>
      </c>
      <c r="F342">
        <v>76</v>
      </c>
      <c r="G342">
        <v>1</v>
      </c>
      <c r="H342">
        <v>144.16999999999999</v>
      </c>
      <c r="I342">
        <v>96.69</v>
      </c>
      <c r="J342" t="s">
        <v>115</v>
      </c>
      <c r="K342" t="s">
        <v>20</v>
      </c>
      <c r="L342" t="s">
        <v>2106</v>
      </c>
      <c r="M342">
        <v>6</v>
      </c>
      <c r="N342" t="s">
        <v>232</v>
      </c>
      <c r="O342" t="s">
        <v>2096</v>
      </c>
    </row>
    <row r="343" spans="1:15">
      <c r="A343" t="s">
        <v>2374</v>
      </c>
      <c r="B343" t="s">
        <v>2090</v>
      </c>
      <c r="C343" t="s">
        <v>2100</v>
      </c>
      <c r="D343" s="1">
        <v>44540</v>
      </c>
      <c r="E343" s="1">
        <v>45193</v>
      </c>
      <c r="F343">
        <v>99</v>
      </c>
      <c r="G343">
        <v>8</v>
      </c>
      <c r="H343">
        <v>96.46</v>
      </c>
      <c r="I343">
        <v>77.790000000000006</v>
      </c>
      <c r="J343" t="s">
        <v>66</v>
      </c>
      <c r="K343" t="s">
        <v>16</v>
      </c>
      <c r="L343" t="s">
        <v>2095</v>
      </c>
      <c r="M343">
        <v>9</v>
      </c>
      <c r="N343" t="s">
        <v>194</v>
      </c>
      <c r="O343" t="s">
        <v>2107</v>
      </c>
    </row>
    <row r="344" spans="1:15">
      <c r="A344" t="s">
        <v>2375</v>
      </c>
      <c r="B344" t="s">
        <v>2113</v>
      </c>
      <c r="C344" t="s">
        <v>2094</v>
      </c>
      <c r="D344" s="1">
        <v>43938</v>
      </c>
      <c r="E344" s="1">
        <v>45160</v>
      </c>
      <c r="F344">
        <v>132</v>
      </c>
      <c r="G344">
        <v>12</v>
      </c>
      <c r="H344">
        <v>499.5</v>
      </c>
      <c r="I344">
        <v>78.87</v>
      </c>
      <c r="J344" t="s">
        <v>14</v>
      </c>
      <c r="K344" t="s">
        <v>20</v>
      </c>
      <c r="L344" t="s">
        <v>2095</v>
      </c>
      <c r="M344">
        <v>7</v>
      </c>
      <c r="N344" t="s">
        <v>165</v>
      </c>
      <c r="O344" t="s">
        <v>2109</v>
      </c>
    </row>
    <row r="345" spans="1:15">
      <c r="A345" t="s">
        <v>2376</v>
      </c>
      <c r="B345" t="s">
        <v>2113</v>
      </c>
      <c r="C345" t="s">
        <v>2100</v>
      </c>
      <c r="D345" s="1">
        <v>44207</v>
      </c>
      <c r="E345" s="1">
        <v>45261</v>
      </c>
      <c r="F345">
        <v>31</v>
      </c>
      <c r="G345">
        <v>7</v>
      </c>
      <c r="H345">
        <v>275.99</v>
      </c>
      <c r="I345">
        <v>55.28</v>
      </c>
      <c r="J345" t="s">
        <v>115</v>
      </c>
      <c r="K345" t="s">
        <v>16</v>
      </c>
      <c r="L345" t="s">
        <v>2087</v>
      </c>
      <c r="M345">
        <v>6</v>
      </c>
      <c r="N345" t="s">
        <v>157</v>
      </c>
      <c r="O345" t="s">
        <v>2088</v>
      </c>
    </row>
    <row r="346" spans="1:15">
      <c r="A346" t="s">
        <v>2377</v>
      </c>
      <c r="B346" t="s">
        <v>2097</v>
      </c>
      <c r="C346" t="s">
        <v>2108</v>
      </c>
      <c r="D346" s="1">
        <v>44846</v>
      </c>
      <c r="E346" s="1">
        <v>45226</v>
      </c>
      <c r="F346">
        <v>66</v>
      </c>
      <c r="G346">
        <v>11</v>
      </c>
      <c r="H346">
        <v>309.20999999999998</v>
      </c>
      <c r="I346">
        <v>140.93</v>
      </c>
      <c r="J346" t="s">
        <v>41</v>
      </c>
      <c r="K346" t="s">
        <v>20</v>
      </c>
      <c r="L346" t="s">
        <v>2087</v>
      </c>
      <c r="M346">
        <v>4</v>
      </c>
      <c r="N346" t="s">
        <v>194</v>
      </c>
      <c r="O346" t="s">
        <v>2121</v>
      </c>
    </row>
    <row r="347" spans="1:15">
      <c r="A347" t="s">
        <v>841</v>
      </c>
      <c r="B347" t="s">
        <v>2085</v>
      </c>
      <c r="C347" t="s">
        <v>2100</v>
      </c>
      <c r="D347" s="1">
        <v>43769</v>
      </c>
      <c r="E347" s="1">
        <v>45221</v>
      </c>
      <c r="F347">
        <v>71</v>
      </c>
      <c r="G347">
        <v>14</v>
      </c>
      <c r="H347">
        <v>1698.71</v>
      </c>
      <c r="I347">
        <v>201.01</v>
      </c>
      <c r="J347" t="s">
        <v>41</v>
      </c>
      <c r="K347" t="s">
        <v>16</v>
      </c>
      <c r="L347" t="s">
        <v>2087</v>
      </c>
      <c r="M347">
        <v>0</v>
      </c>
      <c r="N347" t="s">
        <v>157</v>
      </c>
      <c r="O347" t="s">
        <v>2096</v>
      </c>
    </row>
    <row r="348" spans="1:15">
      <c r="A348" t="s">
        <v>2378</v>
      </c>
      <c r="B348" t="s">
        <v>2099</v>
      </c>
      <c r="C348" t="s">
        <v>2091</v>
      </c>
      <c r="D348" s="1">
        <v>44428</v>
      </c>
      <c r="E348" s="1">
        <v>44978</v>
      </c>
      <c r="F348">
        <v>314</v>
      </c>
      <c r="G348">
        <v>2</v>
      </c>
      <c r="H348">
        <v>119.52</v>
      </c>
      <c r="I348">
        <v>76.91</v>
      </c>
      <c r="J348" t="s">
        <v>14</v>
      </c>
      <c r="K348" t="s">
        <v>16</v>
      </c>
      <c r="L348" t="s">
        <v>2095</v>
      </c>
      <c r="M348">
        <v>2</v>
      </c>
      <c r="N348" t="s">
        <v>174</v>
      </c>
      <c r="O348" t="s">
        <v>2107</v>
      </c>
    </row>
    <row r="349" spans="1:15">
      <c r="A349" t="s">
        <v>780</v>
      </c>
      <c r="B349" t="s">
        <v>2090</v>
      </c>
      <c r="C349" t="s">
        <v>2091</v>
      </c>
      <c r="D349" s="1">
        <v>44330</v>
      </c>
      <c r="E349" s="1">
        <v>45108</v>
      </c>
      <c r="F349">
        <v>184</v>
      </c>
      <c r="G349">
        <v>8</v>
      </c>
      <c r="H349">
        <v>249.38</v>
      </c>
      <c r="I349">
        <v>71.05</v>
      </c>
      <c r="J349" t="s">
        <v>90</v>
      </c>
      <c r="K349" t="s">
        <v>20</v>
      </c>
      <c r="L349" t="s">
        <v>2106</v>
      </c>
      <c r="M349">
        <v>3</v>
      </c>
      <c r="N349" t="s">
        <v>165</v>
      </c>
      <c r="O349" t="s">
        <v>2121</v>
      </c>
    </row>
    <row r="350" spans="1:15">
      <c r="A350" t="s">
        <v>2379</v>
      </c>
      <c r="B350" t="s">
        <v>2085</v>
      </c>
      <c r="C350" t="s">
        <v>2086</v>
      </c>
      <c r="D350" s="1">
        <v>44677</v>
      </c>
      <c r="E350" s="1">
        <v>45238</v>
      </c>
      <c r="F350">
        <v>54</v>
      </c>
      <c r="G350">
        <v>22</v>
      </c>
      <c r="H350">
        <v>2774.34</v>
      </c>
      <c r="I350">
        <v>279.67</v>
      </c>
      <c r="J350" t="s">
        <v>14</v>
      </c>
      <c r="K350" t="s">
        <v>20</v>
      </c>
      <c r="L350" t="s">
        <v>2095</v>
      </c>
      <c r="M350">
        <v>1</v>
      </c>
      <c r="N350" t="s">
        <v>165</v>
      </c>
      <c r="O350" t="s">
        <v>2121</v>
      </c>
    </row>
    <row r="351" spans="1:15">
      <c r="A351" t="s">
        <v>2380</v>
      </c>
      <c r="B351" t="s">
        <v>2099</v>
      </c>
      <c r="C351" t="s">
        <v>2100</v>
      </c>
      <c r="D351" s="1">
        <v>44358</v>
      </c>
      <c r="E351" s="1">
        <v>45075</v>
      </c>
      <c r="F351">
        <v>217</v>
      </c>
      <c r="G351">
        <v>2</v>
      </c>
      <c r="H351">
        <v>102.01</v>
      </c>
      <c r="I351">
        <v>79.260000000000005</v>
      </c>
      <c r="J351" t="s">
        <v>41</v>
      </c>
      <c r="K351" t="s">
        <v>20</v>
      </c>
      <c r="L351" t="s">
        <v>2095</v>
      </c>
      <c r="M351">
        <v>9</v>
      </c>
      <c r="N351" t="s">
        <v>179</v>
      </c>
      <c r="O351" t="s">
        <v>2088</v>
      </c>
    </row>
    <row r="352" spans="1:15">
      <c r="A352" t="s">
        <v>2381</v>
      </c>
      <c r="B352" t="s">
        <v>2085</v>
      </c>
      <c r="C352" t="s">
        <v>2108</v>
      </c>
      <c r="D352" s="1">
        <v>44223</v>
      </c>
      <c r="E352" s="1">
        <v>45272</v>
      </c>
      <c r="F352">
        <v>20</v>
      </c>
      <c r="G352">
        <v>16</v>
      </c>
      <c r="H352">
        <v>2770.32</v>
      </c>
      <c r="I352">
        <v>218.71</v>
      </c>
      <c r="J352" t="s">
        <v>90</v>
      </c>
      <c r="K352" t="s">
        <v>16</v>
      </c>
      <c r="L352" t="s">
        <v>2087</v>
      </c>
      <c r="M352">
        <v>7</v>
      </c>
      <c r="N352" t="s">
        <v>157</v>
      </c>
      <c r="O352" t="s">
        <v>2088</v>
      </c>
    </row>
    <row r="353" spans="1:15">
      <c r="A353" t="s">
        <v>2382</v>
      </c>
      <c r="B353" t="s">
        <v>2093</v>
      </c>
      <c r="C353" t="s">
        <v>2100</v>
      </c>
      <c r="D353" s="1">
        <v>43941</v>
      </c>
      <c r="E353" s="1">
        <v>45079</v>
      </c>
      <c r="F353">
        <v>213</v>
      </c>
      <c r="G353">
        <v>5</v>
      </c>
      <c r="H353">
        <v>77.48</v>
      </c>
      <c r="I353">
        <v>66.38</v>
      </c>
      <c r="J353" t="s">
        <v>66</v>
      </c>
      <c r="K353" t="s">
        <v>16</v>
      </c>
      <c r="L353" t="s">
        <v>2106</v>
      </c>
      <c r="M353">
        <v>8</v>
      </c>
      <c r="N353" t="s">
        <v>232</v>
      </c>
      <c r="O353" t="s">
        <v>2088</v>
      </c>
    </row>
    <row r="354" spans="1:15">
      <c r="A354" t="s">
        <v>2383</v>
      </c>
      <c r="B354" t="s">
        <v>2090</v>
      </c>
      <c r="C354" t="s">
        <v>2091</v>
      </c>
      <c r="D354" s="1">
        <v>44252</v>
      </c>
      <c r="E354" s="1">
        <v>45090</v>
      </c>
      <c r="F354">
        <v>202</v>
      </c>
      <c r="G354">
        <v>8</v>
      </c>
      <c r="H354">
        <v>376.97</v>
      </c>
      <c r="I354">
        <v>62.82</v>
      </c>
      <c r="J354" t="s">
        <v>41</v>
      </c>
      <c r="K354" t="s">
        <v>16</v>
      </c>
      <c r="L354" t="s">
        <v>2106</v>
      </c>
      <c r="M354">
        <v>3</v>
      </c>
      <c r="N354" t="s">
        <v>204</v>
      </c>
      <c r="O354" t="s">
        <v>2088</v>
      </c>
    </row>
    <row r="355" spans="1:15">
      <c r="A355" t="s">
        <v>1648</v>
      </c>
      <c r="B355" t="s">
        <v>2113</v>
      </c>
      <c r="C355" t="s">
        <v>2094</v>
      </c>
      <c r="D355" s="1">
        <v>43708</v>
      </c>
      <c r="E355" s="1">
        <v>45074</v>
      </c>
      <c r="F355">
        <v>218</v>
      </c>
      <c r="G355">
        <v>15</v>
      </c>
      <c r="H355">
        <v>149.72999999999999</v>
      </c>
      <c r="I355">
        <v>44.24</v>
      </c>
      <c r="J355" t="s">
        <v>90</v>
      </c>
      <c r="K355" t="s">
        <v>16</v>
      </c>
      <c r="L355" t="s">
        <v>2095</v>
      </c>
      <c r="M355">
        <v>2</v>
      </c>
      <c r="N355" t="s">
        <v>194</v>
      </c>
      <c r="O355" t="s">
        <v>2121</v>
      </c>
    </row>
    <row r="356" spans="1:15">
      <c r="A356" t="s">
        <v>2384</v>
      </c>
      <c r="B356" t="s">
        <v>2090</v>
      </c>
      <c r="C356" t="s">
        <v>2111</v>
      </c>
      <c r="D356" s="1">
        <v>44036</v>
      </c>
      <c r="E356" s="1">
        <v>44999</v>
      </c>
      <c r="F356">
        <v>293</v>
      </c>
      <c r="G356">
        <v>8</v>
      </c>
      <c r="H356">
        <v>113.96</v>
      </c>
      <c r="I356">
        <v>58.53</v>
      </c>
      <c r="J356" t="s">
        <v>41</v>
      </c>
      <c r="K356" t="s">
        <v>20</v>
      </c>
      <c r="L356" t="s">
        <v>2106</v>
      </c>
      <c r="M356">
        <v>2</v>
      </c>
      <c r="N356" t="s">
        <v>174</v>
      </c>
      <c r="O356" t="s">
        <v>2088</v>
      </c>
    </row>
    <row r="357" spans="1:15">
      <c r="A357" t="s">
        <v>2385</v>
      </c>
      <c r="B357" t="s">
        <v>2085</v>
      </c>
      <c r="C357" t="s">
        <v>2111</v>
      </c>
      <c r="D357" s="1">
        <v>43479</v>
      </c>
      <c r="E357" s="1">
        <v>45177</v>
      </c>
      <c r="F357">
        <v>115</v>
      </c>
      <c r="G357">
        <v>40</v>
      </c>
      <c r="H357">
        <v>1987.63</v>
      </c>
      <c r="I357">
        <v>259.8</v>
      </c>
      <c r="J357" t="s">
        <v>66</v>
      </c>
      <c r="K357" t="s">
        <v>16</v>
      </c>
      <c r="L357" t="s">
        <v>2087</v>
      </c>
      <c r="M357">
        <v>9</v>
      </c>
      <c r="N357" t="s">
        <v>204</v>
      </c>
      <c r="O357" t="s">
        <v>2109</v>
      </c>
    </row>
    <row r="358" spans="1:15">
      <c r="A358" t="s">
        <v>986</v>
      </c>
      <c r="B358" t="s">
        <v>2090</v>
      </c>
      <c r="C358" t="s">
        <v>2111</v>
      </c>
      <c r="D358" s="1">
        <v>43690</v>
      </c>
      <c r="E358" s="1">
        <v>45288</v>
      </c>
      <c r="F358">
        <v>4</v>
      </c>
      <c r="G358">
        <v>3</v>
      </c>
      <c r="H358">
        <v>345.93</v>
      </c>
      <c r="I358">
        <v>63.6</v>
      </c>
      <c r="J358" t="s">
        <v>90</v>
      </c>
      <c r="K358" t="s">
        <v>16</v>
      </c>
      <c r="L358" t="s">
        <v>2087</v>
      </c>
      <c r="M358">
        <v>4</v>
      </c>
      <c r="N358" t="s">
        <v>174</v>
      </c>
      <c r="O358" t="s">
        <v>2107</v>
      </c>
    </row>
    <row r="359" spans="1:15">
      <c r="A359" t="s">
        <v>2386</v>
      </c>
      <c r="B359" t="s">
        <v>2113</v>
      </c>
      <c r="C359" t="s">
        <v>2108</v>
      </c>
      <c r="D359" s="1">
        <v>44990</v>
      </c>
      <c r="E359" s="1">
        <v>45040</v>
      </c>
      <c r="F359">
        <v>252</v>
      </c>
      <c r="G359">
        <v>8</v>
      </c>
      <c r="H359">
        <v>584.22</v>
      </c>
      <c r="I359">
        <v>70.180000000000007</v>
      </c>
      <c r="J359" t="s">
        <v>14</v>
      </c>
      <c r="K359" t="s">
        <v>16</v>
      </c>
      <c r="L359" t="s">
        <v>2095</v>
      </c>
      <c r="M359">
        <v>8</v>
      </c>
      <c r="N359" t="s">
        <v>194</v>
      </c>
      <c r="O359" t="s">
        <v>2121</v>
      </c>
    </row>
    <row r="360" spans="1:15">
      <c r="A360" t="s">
        <v>2006</v>
      </c>
      <c r="B360" t="s">
        <v>2099</v>
      </c>
      <c r="C360" t="s">
        <v>2111</v>
      </c>
      <c r="D360" s="1">
        <v>43544</v>
      </c>
      <c r="E360" s="1">
        <v>45148</v>
      </c>
      <c r="F360">
        <v>144</v>
      </c>
      <c r="G360">
        <v>1</v>
      </c>
      <c r="H360">
        <v>111.89</v>
      </c>
      <c r="I360">
        <v>45.18</v>
      </c>
      <c r="J360" t="s">
        <v>115</v>
      </c>
      <c r="K360" t="s">
        <v>16</v>
      </c>
      <c r="L360" t="s">
        <v>2095</v>
      </c>
      <c r="M360">
        <v>8</v>
      </c>
      <c r="N360" t="s">
        <v>165</v>
      </c>
      <c r="O360" t="s">
        <v>2096</v>
      </c>
    </row>
    <row r="361" spans="1:15">
      <c r="A361" t="s">
        <v>2387</v>
      </c>
      <c r="B361" t="s">
        <v>2093</v>
      </c>
      <c r="C361" t="s">
        <v>2108</v>
      </c>
      <c r="D361" s="1">
        <v>45252</v>
      </c>
      <c r="E361" s="1">
        <v>45039</v>
      </c>
      <c r="F361">
        <v>253</v>
      </c>
      <c r="G361">
        <v>1</v>
      </c>
      <c r="H361">
        <v>71.81</v>
      </c>
      <c r="I361">
        <v>55.18</v>
      </c>
      <c r="J361" t="s">
        <v>41</v>
      </c>
      <c r="K361" t="s">
        <v>16</v>
      </c>
      <c r="L361" t="s">
        <v>2087</v>
      </c>
      <c r="M361">
        <v>2</v>
      </c>
      <c r="N361" t="s">
        <v>204</v>
      </c>
      <c r="O361" t="s">
        <v>2107</v>
      </c>
    </row>
    <row r="362" spans="1:15">
      <c r="A362" t="s">
        <v>2388</v>
      </c>
      <c r="B362" t="s">
        <v>2093</v>
      </c>
      <c r="C362" t="s">
        <v>2086</v>
      </c>
      <c r="D362" s="1">
        <v>45259</v>
      </c>
      <c r="E362" s="1">
        <v>44972</v>
      </c>
      <c r="F362">
        <v>320</v>
      </c>
      <c r="G362">
        <v>4</v>
      </c>
      <c r="H362">
        <v>78.040000000000006</v>
      </c>
      <c r="I362">
        <v>31.91</v>
      </c>
      <c r="J362" t="s">
        <v>41</v>
      </c>
      <c r="K362" t="s">
        <v>16</v>
      </c>
      <c r="L362" t="s">
        <v>2087</v>
      </c>
      <c r="M362">
        <v>1</v>
      </c>
      <c r="N362" t="s">
        <v>204</v>
      </c>
      <c r="O362" t="s">
        <v>2088</v>
      </c>
    </row>
    <row r="363" spans="1:15">
      <c r="A363" t="s">
        <v>2389</v>
      </c>
      <c r="B363" t="s">
        <v>2090</v>
      </c>
      <c r="C363" t="s">
        <v>2086</v>
      </c>
      <c r="D363" s="1">
        <v>44874</v>
      </c>
      <c r="E363" s="1">
        <v>45061</v>
      </c>
      <c r="F363">
        <v>231</v>
      </c>
      <c r="G363">
        <v>3</v>
      </c>
      <c r="H363">
        <v>307.2</v>
      </c>
      <c r="I363">
        <v>43.11</v>
      </c>
      <c r="J363" t="s">
        <v>90</v>
      </c>
      <c r="K363" t="s">
        <v>20</v>
      </c>
      <c r="L363" t="s">
        <v>2106</v>
      </c>
      <c r="M363">
        <v>3</v>
      </c>
      <c r="N363" t="s">
        <v>165</v>
      </c>
      <c r="O363" t="s">
        <v>2121</v>
      </c>
    </row>
    <row r="364" spans="1:15">
      <c r="A364" t="s">
        <v>1615</v>
      </c>
      <c r="B364" t="s">
        <v>2099</v>
      </c>
      <c r="C364" t="s">
        <v>2108</v>
      </c>
      <c r="D364" s="1">
        <v>45258</v>
      </c>
      <c r="E364" s="1">
        <v>45076</v>
      </c>
      <c r="F364">
        <v>216</v>
      </c>
      <c r="G364">
        <v>1</v>
      </c>
      <c r="H364">
        <v>134.13</v>
      </c>
      <c r="I364">
        <v>87.26</v>
      </c>
      <c r="J364" t="s">
        <v>90</v>
      </c>
      <c r="K364" t="s">
        <v>16</v>
      </c>
      <c r="L364" t="s">
        <v>2106</v>
      </c>
      <c r="M364">
        <v>6</v>
      </c>
      <c r="N364" t="s">
        <v>232</v>
      </c>
      <c r="O364" t="s">
        <v>2121</v>
      </c>
    </row>
    <row r="365" spans="1:15">
      <c r="A365" t="s">
        <v>2390</v>
      </c>
      <c r="B365" t="s">
        <v>2090</v>
      </c>
      <c r="C365" t="s">
        <v>2100</v>
      </c>
      <c r="D365" s="1">
        <v>45012</v>
      </c>
      <c r="E365" s="1">
        <v>45074</v>
      </c>
      <c r="F365">
        <v>218</v>
      </c>
      <c r="G365">
        <v>5</v>
      </c>
      <c r="H365">
        <v>174.53</v>
      </c>
      <c r="I365">
        <v>57.51</v>
      </c>
      <c r="J365" t="s">
        <v>90</v>
      </c>
      <c r="K365" t="s">
        <v>16</v>
      </c>
      <c r="L365" t="s">
        <v>2095</v>
      </c>
      <c r="M365">
        <v>10</v>
      </c>
      <c r="N365" t="s">
        <v>204</v>
      </c>
      <c r="O365" t="s">
        <v>2096</v>
      </c>
    </row>
    <row r="366" spans="1:15">
      <c r="A366" t="s">
        <v>1076</v>
      </c>
      <c r="B366" t="s">
        <v>2097</v>
      </c>
      <c r="C366" t="s">
        <v>2100</v>
      </c>
      <c r="D366" s="1">
        <v>44177</v>
      </c>
      <c r="E366" s="1">
        <v>45283</v>
      </c>
      <c r="F366">
        <v>9</v>
      </c>
      <c r="G366">
        <v>10</v>
      </c>
      <c r="H366">
        <v>771.61</v>
      </c>
      <c r="I366">
        <v>116.06</v>
      </c>
      <c r="J366" t="s">
        <v>41</v>
      </c>
      <c r="K366" t="s">
        <v>16</v>
      </c>
      <c r="L366" t="s">
        <v>2087</v>
      </c>
      <c r="M366">
        <v>9</v>
      </c>
      <c r="N366" t="s">
        <v>204</v>
      </c>
      <c r="O366" t="s">
        <v>2107</v>
      </c>
    </row>
    <row r="367" spans="1:15">
      <c r="A367" t="s">
        <v>1596</v>
      </c>
      <c r="B367" t="s">
        <v>2085</v>
      </c>
      <c r="C367" t="s">
        <v>2111</v>
      </c>
      <c r="D367" s="1">
        <v>45208</v>
      </c>
      <c r="E367" s="1">
        <v>45136</v>
      </c>
      <c r="F367">
        <v>156</v>
      </c>
      <c r="G367">
        <v>21</v>
      </c>
      <c r="H367">
        <v>1389.43</v>
      </c>
      <c r="I367">
        <v>143.02000000000001</v>
      </c>
      <c r="J367" t="s">
        <v>115</v>
      </c>
      <c r="K367" t="s">
        <v>16</v>
      </c>
      <c r="L367" t="s">
        <v>2087</v>
      </c>
      <c r="M367">
        <v>10</v>
      </c>
      <c r="N367" t="s">
        <v>194</v>
      </c>
      <c r="O367" t="s">
        <v>2109</v>
      </c>
    </row>
    <row r="368" spans="1:15">
      <c r="A368" t="s">
        <v>2391</v>
      </c>
      <c r="B368" t="s">
        <v>2099</v>
      </c>
      <c r="C368" t="s">
        <v>2100</v>
      </c>
      <c r="D368" s="1">
        <v>43577</v>
      </c>
      <c r="E368" s="1">
        <v>45064</v>
      </c>
      <c r="F368">
        <v>228</v>
      </c>
      <c r="G368">
        <v>2</v>
      </c>
      <c r="H368">
        <v>75.28</v>
      </c>
      <c r="I368">
        <v>40.86</v>
      </c>
      <c r="J368" t="s">
        <v>41</v>
      </c>
      <c r="K368" t="s">
        <v>16</v>
      </c>
      <c r="L368" t="s">
        <v>2106</v>
      </c>
      <c r="M368">
        <v>0</v>
      </c>
      <c r="N368" t="s">
        <v>194</v>
      </c>
      <c r="O368" t="s">
        <v>2109</v>
      </c>
    </row>
    <row r="369" spans="1:15">
      <c r="A369" t="s">
        <v>728</v>
      </c>
      <c r="B369" t="s">
        <v>2099</v>
      </c>
      <c r="C369" t="s">
        <v>2111</v>
      </c>
      <c r="D369" s="1">
        <v>43888</v>
      </c>
      <c r="E369" s="1">
        <v>45247</v>
      </c>
      <c r="F369">
        <v>45</v>
      </c>
      <c r="G369">
        <v>1</v>
      </c>
      <c r="H369">
        <v>94.43</v>
      </c>
      <c r="I369">
        <v>33.32</v>
      </c>
      <c r="J369" t="s">
        <v>115</v>
      </c>
      <c r="K369" t="s">
        <v>20</v>
      </c>
      <c r="L369" t="s">
        <v>2087</v>
      </c>
      <c r="M369">
        <v>2</v>
      </c>
      <c r="N369" t="s">
        <v>232</v>
      </c>
      <c r="O369" t="s">
        <v>2088</v>
      </c>
    </row>
    <row r="370" spans="1:15">
      <c r="A370" t="s">
        <v>2392</v>
      </c>
      <c r="B370" t="s">
        <v>2085</v>
      </c>
      <c r="C370" t="s">
        <v>2094</v>
      </c>
      <c r="D370" s="1">
        <v>45064</v>
      </c>
      <c r="E370" s="1">
        <v>45287</v>
      </c>
      <c r="F370">
        <v>5</v>
      </c>
      <c r="G370">
        <v>35</v>
      </c>
      <c r="H370">
        <v>846.46</v>
      </c>
      <c r="I370">
        <v>175.84</v>
      </c>
      <c r="J370" t="s">
        <v>66</v>
      </c>
      <c r="K370" t="s">
        <v>20</v>
      </c>
      <c r="L370" t="s">
        <v>2095</v>
      </c>
      <c r="M370">
        <v>10</v>
      </c>
      <c r="N370" t="s">
        <v>174</v>
      </c>
      <c r="O370" t="s">
        <v>2088</v>
      </c>
    </row>
    <row r="371" spans="1:15">
      <c r="A371" t="s">
        <v>343</v>
      </c>
      <c r="B371" t="s">
        <v>2097</v>
      </c>
      <c r="C371" t="s">
        <v>2100</v>
      </c>
      <c r="D371" s="1">
        <v>45182</v>
      </c>
      <c r="E371" s="1">
        <v>45201</v>
      </c>
      <c r="F371">
        <v>91</v>
      </c>
      <c r="G371">
        <v>8</v>
      </c>
      <c r="H371">
        <v>498.06</v>
      </c>
      <c r="I371">
        <v>148.52000000000001</v>
      </c>
      <c r="J371" t="s">
        <v>41</v>
      </c>
      <c r="K371" t="s">
        <v>16</v>
      </c>
      <c r="L371" t="s">
        <v>2095</v>
      </c>
      <c r="M371">
        <v>5</v>
      </c>
      <c r="N371" t="s">
        <v>194</v>
      </c>
      <c r="O371" t="s">
        <v>2109</v>
      </c>
    </row>
    <row r="372" spans="1:15">
      <c r="A372" t="s">
        <v>1208</v>
      </c>
      <c r="B372" t="s">
        <v>2097</v>
      </c>
      <c r="C372" t="s">
        <v>2086</v>
      </c>
      <c r="D372" s="1">
        <v>43539</v>
      </c>
      <c r="E372" s="1">
        <v>44937</v>
      </c>
      <c r="F372">
        <v>355</v>
      </c>
      <c r="G372">
        <v>11</v>
      </c>
      <c r="H372">
        <v>626.66999999999996</v>
      </c>
      <c r="I372">
        <v>144</v>
      </c>
      <c r="J372" t="s">
        <v>14</v>
      </c>
      <c r="K372" t="s">
        <v>20</v>
      </c>
      <c r="L372" t="s">
        <v>2087</v>
      </c>
      <c r="M372">
        <v>7</v>
      </c>
      <c r="N372" t="s">
        <v>174</v>
      </c>
      <c r="O372" t="s">
        <v>2107</v>
      </c>
    </row>
    <row r="373" spans="1:15">
      <c r="A373" t="s">
        <v>2393</v>
      </c>
      <c r="B373" t="s">
        <v>2113</v>
      </c>
      <c r="C373" t="s">
        <v>2111</v>
      </c>
      <c r="D373" s="1">
        <v>44875</v>
      </c>
      <c r="E373" s="1">
        <v>45053</v>
      </c>
      <c r="F373">
        <v>239</v>
      </c>
      <c r="G373">
        <v>14</v>
      </c>
      <c r="H373">
        <v>112.12</v>
      </c>
      <c r="I373">
        <v>61.58</v>
      </c>
      <c r="J373" t="s">
        <v>66</v>
      </c>
      <c r="K373" t="s">
        <v>20</v>
      </c>
      <c r="L373" t="s">
        <v>2095</v>
      </c>
      <c r="M373">
        <v>6</v>
      </c>
      <c r="N373" t="s">
        <v>165</v>
      </c>
      <c r="O373" t="s">
        <v>2109</v>
      </c>
    </row>
    <row r="374" spans="1:15">
      <c r="A374" t="s">
        <v>2394</v>
      </c>
      <c r="B374" t="s">
        <v>2097</v>
      </c>
      <c r="C374" t="s">
        <v>2108</v>
      </c>
      <c r="D374" s="1">
        <v>44499</v>
      </c>
      <c r="E374" s="1">
        <v>45287</v>
      </c>
      <c r="F374">
        <v>5</v>
      </c>
      <c r="G374">
        <v>7</v>
      </c>
      <c r="H374">
        <v>710.29</v>
      </c>
      <c r="I374">
        <v>57.65</v>
      </c>
      <c r="J374" t="s">
        <v>90</v>
      </c>
      <c r="K374" t="s">
        <v>16</v>
      </c>
      <c r="L374" t="s">
        <v>2095</v>
      </c>
      <c r="M374">
        <v>8</v>
      </c>
      <c r="N374" t="s">
        <v>232</v>
      </c>
      <c r="O374" t="s">
        <v>2107</v>
      </c>
    </row>
    <row r="375" spans="1:15">
      <c r="A375" t="s">
        <v>828</v>
      </c>
      <c r="B375" t="s">
        <v>2085</v>
      </c>
      <c r="C375" t="s">
        <v>2094</v>
      </c>
      <c r="D375" s="1">
        <v>45168</v>
      </c>
      <c r="E375" s="1">
        <v>45237</v>
      </c>
      <c r="F375">
        <v>55</v>
      </c>
      <c r="G375">
        <v>35</v>
      </c>
      <c r="H375">
        <v>2094.0300000000002</v>
      </c>
      <c r="I375">
        <v>178.22</v>
      </c>
      <c r="J375" t="s">
        <v>66</v>
      </c>
      <c r="K375" t="s">
        <v>16</v>
      </c>
      <c r="L375" t="s">
        <v>2106</v>
      </c>
      <c r="M375">
        <v>0</v>
      </c>
      <c r="N375" t="s">
        <v>194</v>
      </c>
      <c r="O375" t="s">
        <v>2121</v>
      </c>
    </row>
    <row r="376" spans="1:15">
      <c r="A376" t="s">
        <v>2395</v>
      </c>
      <c r="B376" t="s">
        <v>2099</v>
      </c>
      <c r="C376" t="s">
        <v>2100</v>
      </c>
      <c r="D376" s="1">
        <v>44646</v>
      </c>
      <c r="E376" s="1">
        <v>45168</v>
      </c>
      <c r="F376">
        <v>124</v>
      </c>
      <c r="G376">
        <v>1</v>
      </c>
      <c r="H376">
        <v>32.96</v>
      </c>
      <c r="I376">
        <v>97.54</v>
      </c>
      <c r="J376" t="s">
        <v>66</v>
      </c>
      <c r="K376" t="s">
        <v>16</v>
      </c>
      <c r="L376" t="s">
        <v>2095</v>
      </c>
      <c r="M376">
        <v>3</v>
      </c>
      <c r="N376" t="s">
        <v>204</v>
      </c>
      <c r="O376" t="s">
        <v>2088</v>
      </c>
    </row>
    <row r="377" spans="1:15">
      <c r="A377" t="s">
        <v>2396</v>
      </c>
      <c r="B377" t="s">
        <v>2113</v>
      </c>
      <c r="C377" t="s">
        <v>2100</v>
      </c>
      <c r="D377" s="1">
        <v>44503</v>
      </c>
      <c r="E377" s="1">
        <v>45052</v>
      </c>
      <c r="F377">
        <v>240</v>
      </c>
      <c r="G377">
        <v>20</v>
      </c>
      <c r="H377">
        <v>242.21</v>
      </c>
      <c r="I377">
        <v>65.14</v>
      </c>
      <c r="J377" t="s">
        <v>14</v>
      </c>
      <c r="K377" t="s">
        <v>16</v>
      </c>
      <c r="L377" t="s">
        <v>2106</v>
      </c>
      <c r="M377">
        <v>6</v>
      </c>
      <c r="N377" t="s">
        <v>194</v>
      </c>
      <c r="O377" t="s">
        <v>2088</v>
      </c>
    </row>
    <row r="378" spans="1:15">
      <c r="A378" t="s">
        <v>911</v>
      </c>
      <c r="B378" t="s">
        <v>2093</v>
      </c>
      <c r="C378" t="s">
        <v>2091</v>
      </c>
      <c r="D378" s="1">
        <v>43516</v>
      </c>
      <c r="E378" s="1">
        <v>45130</v>
      </c>
      <c r="F378">
        <v>162</v>
      </c>
      <c r="G378">
        <v>1</v>
      </c>
      <c r="H378">
        <v>106.89</v>
      </c>
      <c r="I378">
        <v>54.67</v>
      </c>
      <c r="J378" t="s">
        <v>90</v>
      </c>
      <c r="K378" t="s">
        <v>16</v>
      </c>
      <c r="L378" t="s">
        <v>2087</v>
      </c>
      <c r="M378">
        <v>9</v>
      </c>
      <c r="N378" t="s">
        <v>174</v>
      </c>
      <c r="O378" t="s">
        <v>2121</v>
      </c>
    </row>
    <row r="379" spans="1:15">
      <c r="A379" t="s">
        <v>2397</v>
      </c>
      <c r="B379" t="s">
        <v>2113</v>
      </c>
      <c r="C379" t="s">
        <v>2091</v>
      </c>
      <c r="D379" s="1">
        <v>43661</v>
      </c>
      <c r="E379" s="1">
        <v>45214</v>
      </c>
      <c r="F379">
        <v>78</v>
      </c>
      <c r="G379">
        <v>9</v>
      </c>
      <c r="H379">
        <v>504.84</v>
      </c>
      <c r="I379">
        <v>78.790000000000006</v>
      </c>
      <c r="J379" t="s">
        <v>41</v>
      </c>
      <c r="K379" t="s">
        <v>16</v>
      </c>
      <c r="L379" t="s">
        <v>2106</v>
      </c>
      <c r="M379">
        <v>3</v>
      </c>
      <c r="N379" t="s">
        <v>174</v>
      </c>
      <c r="O379" t="s">
        <v>2107</v>
      </c>
    </row>
    <row r="380" spans="1:15">
      <c r="A380" t="s">
        <v>2398</v>
      </c>
      <c r="B380" t="s">
        <v>2099</v>
      </c>
      <c r="C380" t="s">
        <v>2111</v>
      </c>
      <c r="D380" s="1">
        <v>45023</v>
      </c>
      <c r="E380" s="1">
        <v>45046</v>
      </c>
      <c r="F380">
        <v>246</v>
      </c>
      <c r="G380">
        <v>2</v>
      </c>
      <c r="H380">
        <v>88.04</v>
      </c>
      <c r="I380">
        <v>87.17</v>
      </c>
      <c r="J380" t="s">
        <v>90</v>
      </c>
      <c r="K380" t="s">
        <v>16</v>
      </c>
      <c r="L380" t="s">
        <v>2087</v>
      </c>
      <c r="M380">
        <v>4</v>
      </c>
      <c r="N380" t="s">
        <v>165</v>
      </c>
      <c r="O380" t="s">
        <v>2121</v>
      </c>
    </row>
    <row r="381" spans="1:15">
      <c r="A381" t="s">
        <v>2399</v>
      </c>
      <c r="B381" t="s">
        <v>2097</v>
      </c>
      <c r="C381" t="s">
        <v>2094</v>
      </c>
      <c r="D381" s="1">
        <v>44298</v>
      </c>
      <c r="E381" s="1">
        <v>44929</v>
      </c>
      <c r="F381">
        <v>363</v>
      </c>
      <c r="G381">
        <v>3</v>
      </c>
      <c r="H381">
        <v>358.94</v>
      </c>
      <c r="I381">
        <v>106.53</v>
      </c>
      <c r="J381" t="s">
        <v>41</v>
      </c>
      <c r="K381" t="s">
        <v>20</v>
      </c>
      <c r="L381" t="s">
        <v>2087</v>
      </c>
      <c r="M381">
        <v>8</v>
      </c>
      <c r="N381" t="s">
        <v>204</v>
      </c>
      <c r="O381" t="s">
        <v>2121</v>
      </c>
    </row>
    <row r="382" spans="1:15">
      <c r="A382" t="s">
        <v>1575</v>
      </c>
      <c r="B382" t="s">
        <v>2093</v>
      </c>
      <c r="C382" t="s">
        <v>2108</v>
      </c>
      <c r="D382" s="1">
        <v>44519</v>
      </c>
      <c r="E382" s="1">
        <v>45211</v>
      </c>
      <c r="F382">
        <v>81</v>
      </c>
      <c r="G382">
        <v>2</v>
      </c>
      <c r="H382">
        <v>84.71</v>
      </c>
      <c r="I382">
        <v>62.53</v>
      </c>
      <c r="J382" t="s">
        <v>14</v>
      </c>
      <c r="K382" t="s">
        <v>16</v>
      </c>
      <c r="L382" t="s">
        <v>2087</v>
      </c>
      <c r="M382">
        <v>1</v>
      </c>
      <c r="N382" t="s">
        <v>204</v>
      </c>
      <c r="O382" t="s">
        <v>2107</v>
      </c>
    </row>
    <row r="383" spans="1:15">
      <c r="A383" t="s">
        <v>297</v>
      </c>
      <c r="B383" t="s">
        <v>2085</v>
      </c>
      <c r="C383" t="s">
        <v>2111</v>
      </c>
      <c r="D383" s="1">
        <v>43870</v>
      </c>
      <c r="E383" s="1">
        <v>45151</v>
      </c>
      <c r="F383">
        <v>141</v>
      </c>
      <c r="G383">
        <v>17</v>
      </c>
      <c r="H383">
        <v>1943.87</v>
      </c>
      <c r="I383">
        <v>124.3</v>
      </c>
      <c r="J383" t="s">
        <v>14</v>
      </c>
      <c r="K383" t="s">
        <v>16</v>
      </c>
      <c r="L383" t="s">
        <v>2087</v>
      </c>
      <c r="M383">
        <v>2</v>
      </c>
      <c r="N383" t="s">
        <v>165</v>
      </c>
      <c r="O383" t="s">
        <v>2088</v>
      </c>
    </row>
    <row r="384" spans="1:15">
      <c r="A384" t="s">
        <v>2400</v>
      </c>
      <c r="B384" t="s">
        <v>2099</v>
      </c>
      <c r="C384" t="s">
        <v>2094</v>
      </c>
      <c r="D384" s="1">
        <v>44283</v>
      </c>
      <c r="E384" s="1">
        <v>44931</v>
      </c>
      <c r="F384">
        <v>361</v>
      </c>
      <c r="G384">
        <v>1</v>
      </c>
      <c r="H384">
        <v>117.37</v>
      </c>
      <c r="I384">
        <v>63.77</v>
      </c>
      <c r="J384" t="s">
        <v>14</v>
      </c>
      <c r="K384" t="s">
        <v>16</v>
      </c>
      <c r="L384" t="s">
        <v>2087</v>
      </c>
      <c r="M384">
        <v>10</v>
      </c>
      <c r="N384" t="s">
        <v>194</v>
      </c>
      <c r="O384" t="s">
        <v>2088</v>
      </c>
    </row>
    <row r="385" spans="1:15">
      <c r="A385" t="s">
        <v>1970</v>
      </c>
      <c r="B385" t="s">
        <v>2113</v>
      </c>
      <c r="C385" t="s">
        <v>2108</v>
      </c>
      <c r="D385" s="1">
        <v>44060</v>
      </c>
      <c r="E385" s="1">
        <v>45194</v>
      </c>
      <c r="F385">
        <v>98</v>
      </c>
      <c r="G385">
        <v>16</v>
      </c>
      <c r="H385">
        <v>381.91</v>
      </c>
      <c r="I385">
        <v>38.299999999999997</v>
      </c>
      <c r="J385" t="s">
        <v>41</v>
      </c>
      <c r="K385" t="s">
        <v>20</v>
      </c>
      <c r="L385" t="s">
        <v>2106</v>
      </c>
      <c r="M385">
        <v>5</v>
      </c>
      <c r="N385" t="s">
        <v>232</v>
      </c>
      <c r="O385" t="s">
        <v>2088</v>
      </c>
    </row>
    <row r="386" spans="1:15">
      <c r="A386" t="s">
        <v>2401</v>
      </c>
      <c r="B386" t="s">
        <v>2113</v>
      </c>
      <c r="C386" t="s">
        <v>2091</v>
      </c>
      <c r="D386" s="1">
        <v>44995</v>
      </c>
      <c r="E386" s="1">
        <v>44996</v>
      </c>
      <c r="F386">
        <v>296</v>
      </c>
      <c r="G386">
        <v>20</v>
      </c>
      <c r="H386">
        <v>331.44</v>
      </c>
      <c r="I386">
        <v>76.81</v>
      </c>
      <c r="J386" t="s">
        <v>115</v>
      </c>
      <c r="K386" t="s">
        <v>20</v>
      </c>
      <c r="L386" t="s">
        <v>2087</v>
      </c>
      <c r="M386">
        <v>0</v>
      </c>
      <c r="N386" t="s">
        <v>194</v>
      </c>
      <c r="O386" t="s">
        <v>2109</v>
      </c>
    </row>
    <row r="387" spans="1:15">
      <c r="A387" t="s">
        <v>2402</v>
      </c>
      <c r="B387" t="s">
        <v>2097</v>
      </c>
      <c r="C387" t="s">
        <v>2108</v>
      </c>
      <c r="D387" s="1">
        <v>43477</v>
      </c>
      <c r="E387" s="1">
        <v>45086</v>
      </c>
      <c r="F387">
        <v>206</v>
      </c>
      <c r="G387">
        <v>5</v>
      </c>
      <c r="H387">
        <v>455.82</v>
      </c>
      <c r="I387">
        <v>149.33000000000001</v>
      </c>
      <c r="J387" t="s">
        <v>41</v>
      </c>
      <c r="K387" t="s">
        <v>16</v>
      </c>
      <c r="L387" t="s">
        <v>2106</v>
      </c>
      <c r="M387">
        <v>1</v>
      </c>
      <c r="N387" t="s">
        <v>232</v>
      </c>
      <c r="O387" t="s">
        <v>2109</v>
      </c>
    </row>
    <row r="388" spans="1:15">
      <c r="A388" t="s">
        <v>2403</v>
      </c>
      <c r="B388" t="s">
        <v>2113</v>
      </c>
      <c r="C388" t="s">
        <v>2094</v>
      </c>
      <c r="D388" s="1">
        <v>43786</v>
      </c>
      <c r="E388" s="1">
        <v>44961</v>
      </c>
      <c r="F388">
        <v>331</v>
      </c>
      <c r="G388">
        <v>8</v>
      </c>
      <c r="H388">
        <v>130.55000000000001</v>
      </c>
      <c r="I388">
        <v>53.43</v>
      </c>
      <c r="J388" t="s">
        <v>115</v>
      </c>
      <c r="K388" t="s">
        <v>16</v>
      </c>
      <c r="L388" t="s">
        <v>2087</v>
      </c>
      <c r="M388">
        <v>10</v>
      </c>
      <c r="N388" t="s">
        <v>174</v>
      </c>
      <c r="O388" t="s">
        <v>2107</v>
      </c>
    </row>
    <row r="389" spans="1:15">
      <c r="A389" t="s">
        <v>2404</v>
      </c>
      <c r="B389" t="s">
        <v>2113</v>
      </c>
      <c r="C389" t="s">
        <v>2094</v>
      </c>
      <c r="D389" s="1">
        <v>44662</v>
      </c>
      <c r="E389" s="1">
        <v>45083</v>
      </c>
      <c r="F389">
        <v>209</v>
      </c>
      <c r="G389">
        <v>14</v>
      </c>
      <c r="H389">
        <v>510.38</v>
      </c>
      <c r="I389">
        <v>73.400000000000006</v>
      </c>
      <c r="J389" t="s">
        <v>115</v>
      </c>
      <c r="K389" t="s">
        <v>16</v>
      </c>
      <c r="L389" t="s">
        <v>2087</v>
      </c>
      <c r="M389">
        <v>8</v>
      </c>
      <c r="N389" t="s">
        <v>232</v>
      </c>
      <c r="O389" t="s">
        <v>2107</v>
      </c>
    </row>
    <row r="390" spans="1:15">
      <c r="A390" t="s">
        <v>2405</v>
      </c>
      <c r="B390" t="s">
        <v>2085</v>
      </c>
      <c r="C390" t="s">
        <v>2094</v>
      </c>
      <c r="D390" s="1">
        <v>44039</v>
      </c>
      <c r="E390" s="1">
        <v>45018</v>
      </c>
      <c r="F390">
        <v>274</v>
      </c>
      <c r="G390">
        <v>30</v>
      </c>
      <c r="H390">
        <v>1135.33</v>
      </c>
      <c r="I390">
        <v>246.13</v>
      </c>
      <c r="J390" t="s">
        <v>115</v>
      </c>
      <c r="K390" t="s">
        <v>16</v>
      </c>
      <c r="L390" t="s">
        <v>2095</v>
      </c>
      <c r="M390">
        <v>8</v>
      </c>
      <c r="N390" t="s">
        <v>232</v>
      </c>
      <c r="O390" t="s">
        <v>2109</v>
      </c>
    </row>
    <row r="391" spans="1:15">
      <c r="A391" t="s">
        <v>1082</v>
      </c>
      <c r="B391" t="s">
        <v>2113</v>
      </c>
      <c r="C391" t="s">
        <v>2100</v>
      </c>
      <c r="D391" s="1">
        <v>44727</v>
      </c>
      <c r="E391" s="1">
        <v>45269</v>
      </c>
      <c r="F391">
        <v>23</v>
      </c>
      <c r="G391">
        <v>13</v>
      </c>
      <c r="H391">
        <v>583.33000000000004</v>
      </c>
      <c r="I391">
        <v>66.86</v>
      </c>
      <c r="J391" t="s">
        <v>41</v>
      </c>
      <c r="K391" t="s">
        <v>16</v>
      </c>
      <c r="L391" t="s">
        <v>2095</v>
      </c>
      <c r="M391">
        <v>3</v>
      </c>
      <c r="N391" t="s">
        <v>157</v>
      </c>
      <c r="O391" t="s">
        <v>2096</v>
      </c>
    </row>
    <row r="392" spans="1:15">
      <c r="A392" t="s">
        <v>2406</v>
      </c>
      <c r="B392" t="s">
        <v>2090</v>
      </c>
      <c r="C392" t="s">
        <v>2111</v>
      </c>
      <c r="D392" s="1">
        <v>43466</v>
      </c>
      <c r="E392" s="1">
        <v>45092</v>
      </c>
      <c r="F392">
        <v>200</v>
      </c>
      <c r="G392">
        <v>3</v>
      </c>
      <c r="H392">
        <v>125.87</v>
      </c>
      <c r="I392">
        <v>78.040000000000006</v>
      </c>
      <c r="J392" t="s">
        <v>14</v>
      </c>
      <c r="K392" t="s">
        <v>16</v>
      </c>
      <c r="L392" t="s">
        <v>2106</v>
      </c>
      <c r="M392">
        <v>7</v>
      </c>
      <c r="N392" t="s">
        <v>204</v>
      </c>
      <c r="O392" t="s">
        <v>2109</v>
      </c>
    </row>
    <row r="393" spans="1:15">
      <c r="A393" t="s">
        <v>2407</v>
      </c>
      <c r="B393" t="s">
        <v>2113</v>
      </c>
      <c r="C393" t="s">
        <v>2100</v>
      </c>
      <c r="D393" s="1">
        <v>44613</v>
      </c>
      <c r="E393" s="1">
        <v>45128</v>
      </c>
      <c r="F393">
        <v>164</v>
      </c>
      <c r="G393">
        <v>14</v>
      </c>
      <c r="H393">
        <v>350.19</v>
      </c>
      <c r="I393">
        <v>35.86</v>
      </c>
      <c r="J393" t="s">
        <v>90</v>
      </c>
      <c r="K393" t="s">
        <v>20</v>
      </c>
      <c r="L393" t="s">
        <v>2087</v>
      </c>
      <c r="M393">
        <v>5</v>
      </c>
      <c r="N393" t="s">
        <v>194</v>
      </c>
      <c r="O393" t="s">
        <v>2088</v>
      </c>
    </row>
    <row r="394" spans="1:15">
      <c r="A394" t="s">
        <v>964</v>
      </c>
      <c r="B394" t="s">
        <v>2113</v>
      </c>
      <c r="C394" t="s">
        <v>2094</v>
      </c>
      <c r="D394" s="1">
        <v>43806</v>
      </c>
      <c r="E394" s="1">
        <v>45251</v>
      </c>
      <c r="F394">
        <v>41</v>
      </c>
      <c r="G394">
        <v>7</v>
      </c>
      <c r="H394">
        <v>541.64</v>
      </c>
      <c r="I394">
        <v>72.11</v>
      </c>
      <c r="J394" t="s">
        <v>41</v>
      </c>
      <c r="K394" t="s">
        <v>16</v>
      </c>
      <c r="L394" t="s">
        <v>2106</v>
      </c>
      <c r="M394">
        <v>7</v>
      </c>
      <c r="N394" t="s">
        <v>204</v>
      </c>
      <c r="O394" t="s">
        <v>2121</v>
      </c>
    </row>
    <row r="395" spans="1:15">
      <c r="A395" t="s">
        <v>2408</v>
      </c>
      <c r="B395" t="s">
        <v>2093</v>
      </c>
      <c r="C395" t="s">
        <v>2111</v>
      </c>
      <c r="D395" s="1">
        <v>44179</v>
      </c>
      <c r="E395" s="1">
        <v>45018</v>
      </c>
      <c r="F395">
        <v>274</v>
      </c>
      <c r="G395">
        <v>1</v>
      </c>
      <c r="H395">
        <v>124.84</v>
      </c>
      <c r="I395">
        <v>46.12</v>
      </c>
      <c r="J395" t="s">
        <v>66</v>
      </c>
      <c r="K395" t="s">
        <v>16</v>
      </c>
      <c r="L395" t="s">
        <v>2106</v>
      </c>
      <c r="M395">
        <v>5</v>
      </c>
      <c r="N395" t="s">
        <v>165</v>
      </c>
      <c r="O395" t="s">
        <v>2109</v>
      </c>
    </row>
    <row r="396" spans="1:15">
      <c r="A396" t="s">
        <v>2409</v>
      </c>
      <c r="B396" t="s">
        <v>2097</v>
      </c>
      <c r="C396" t="s">
        <v>2094</v>
      </c>
      <c r="D396" s="1">
        <v>43857</v>
      </c>
      <c r="E396" s="1">
        <v>45122</v>
      </c>
      <c r="F396">
        <v>170</v>
      </c>
      <c r="G396">
        <v>11</v>
      </c>
      <c r="H396">
        <v>719.59</v>
      </c>
      <c r="I396">
        <v>142.06</v>
      </c>
      <c r="J396" t="s">
        <v>41</v>
      </c>
      <c r="K396" t="s">
        <v>20</v>
      </c>
      <c r="L396" t="s">
        <v>2095</v>
      </c>
      <c r="M396">
        <v>3</v>
      </c>
      <c r="N396" t="s">
        <v>204</v>
      </c>
      <c r="O396" t="s">
        <v>2121</v>
      </c>
    </row>
    <row r="397" spans="1:15">
      <c r="A397" t="s">
        <v>393</v>
      </c>
      <c r="B397" t="s">
        <v>2090</v>
      </c>
      <c r="C397" t="s">
        <v>2094</v>
      </c>
      <c r="D397" s="1">
        <v>43658</v>
      </c>
      <c r="E397" s="1">
        <v>45115</v>
      </c>
      <c r="F397">
        <v>177</v>
      </c>
      <c r="G397">
        <v>3</v>
      </c>
      <c r="H397">
        <v>81.8</v>
      </c>
      <c r="I397">
        <v>64.83</v>
      </c>
      <c r="J397" t="s">
        <v>115</v>
      </c>
      <c r="K397" t="s">
        <v>16</v>
      </c>
      <c r="L397" t="s">
        <v>2106</v>
      </c>
      <c r="M397">
        <v>4</v>
      </c>
      <c r="N397" t="s">
        <v>174</v>
      </c>
      <c r="O397" t="s">
        <v>2121</v>
      </c>
    </row>
    <row r="398" spans="1:15">
      <c r="A398" t="s">
        <v>2410</v>
      </c>
      <c r="B398" t="s">
        <v>2093</v>
      </c>
      <c r="C398" t="s">
        <v>2094</v>
      </c>
      <c r="D398" s="1">
        <v>44908</v>
      </c>
      <c r="E398" s="1">
        <v>45056</v>
      </c>
      <c r="F398">
        <v>236</v>
      </c>
      <c r="G398">
        <v>4</v>
      </c>
      <c r="H398">
        <v>97.71</v>
      </c>
      <c r="I398">
        <v>79.739999999999995</v>
      </c>
      <c r="J398" t="s">
        <v>14</v>
      </c>
      <c r="K398" t="s">
        <v>20</v>
      </c>
      <c r="L398" t="s">
        <v>2095</v>
      </c>
      <c r="M398">
        <v>7</v>
      </c>
      <c r="N398" t="s">
        <v>232</v>
      </c>
      <c r="O398" t="s">
        <v>2109</v>
      </c>
    </row>
    <row r="399" spans="1:15">
      <c r="A399" t="s">
        <v>2411</v>
      </c>
      <c r="B399" t="s">
        <v>2099</v>
      </c>
      <c r="C399" t="s">
        <v>2111</v>
      </c>
      <c r="D399" s="1">
        <v>45003</v>
      </c>
      <c r="E399" s="1">
        <v>45206</v>
      </c>
      <c r="F399">
        <v>86</v>
      </c>
      <c r="G399">
        <v>1</v>
      </c>
      <c r="H399">
        <v>81.55</v>
      </c>
      <c r="I399">
        <v>89.99</v>
      </c>
      <c r="J399" t="s">
        <v>14</v>
      </c>
      <c r="K399" t="s">
        <v>16</v>
      </c>
      <c r="L399" t="s">
        <v>2095</v>
      </c>
      <c r="M399">
        <v>9</v>
      </c>
      <c r="N399" t="s">
        <v>165</v>
      </c>
      <c r="O399" t="s">
        <v>2107</v>
      </c>
    </row>
    <row r="400" spans="1:15">
      <c r="A400" t="s">
        <v>2412</v>
      </c>
      <c r="B400" t="s">
        <v>2093</v>
      </c>
      <c r="C400" t="s">
        <v>2111</v>
      </c>
      <c r="D400" s="1">
        <v>44325</v>
      </c>
      <c r="E400" s="1">
        <v>44988</v>
      </c>
      <c r="F400">
        <v>304</v>
      </c>
      <c r="G400">
        <v>2</v>
      </c>
      <c r="H400">
        <v>178.06</v>
      </c>
      <c r="I400">
        <v>27.9</v>
      </c>
      <c r="J400" t="s">
        <v>90</v>
      </c>
      <c r="K400" t="s">
        <v>20</v>
      </c>
      <c r="L400" t="s">
        <v>2106</v>
      </c>
      <c r="M400">
        <v>0</v>
      </c>
      <c r="N400" t="s">
        <v>194</v>
      </c>
      <c r="O400" t="s">
        <v>2096</v>
      </c>
    </row>
    <row r="401" spans="1:15">
      <c r="A401" t="s">
        <v>2413</v>
      </c>
      <c r="B401" t="s">
        <v>2090</v>
      </c>
      <c r="C401" t="s">
        <v>2094</v>
      </c>
      <c r="D401" s="1">
        <v>44723</v>
      </c>
      <c r="E401" s="1">
        <v>44935</v>
      </c>
      <c r="F401">
        <v>357</v>
      </c>
      <c r="G401">
        <v>4</v>
      </c>
      <c r="H401">
        <v>394.69</v>
      </c>
      <c r="I401">
        <v>55.53</v>
      </c>
      <c r="J401" t="s">
        <v>66</v>
      </c>
      <c r="K401" t="s">
        <v>20</v>
      </c>
      <c r="L401" t="s">
        <v>2095</v>
      </c>
      <c r="M401">
        <v>9</v>
      </c>
      <c r="N401" t="s">
        <v>165</v>
      </c>
      <c r="O401" t="s">
        <v>2121</v>
      </c>
    </row>
    <row r="402" spans="1:15">
      <c r="A402" t="s">
        <v>1876</v>
      </c>
      <c r="B402" t="s">
        <v>2090</v>
      </c>
      <c r="C402" t="s">
        <v>2108</v>
      </c>
      <c r="D402" s="1">
        <v>45181</v>
      </c>
      <c r="E402" s="1">
        <v>45268</v>
      </c>
      <c r="F402">
        <v>24</v>
      </c>
      <c r="G402">
        <v>2</v>
      </c>
      <c r="H402">
        <v>380.97</v>
      </c>
      <c r="I402">
        <v>72.25</v>
      </c>
      <c r="J402" t="s">
        <v>14</v>
      </c>
      <c r="K402" t="s">
        <v>16</v>
      </c>
      <c r="L402" t="s">
        <v>2095</v>
      </c>
      <c r="M402">
        <v>8</v>
      </c>
      <c r="N402" t="s">
        <v>157</v>
      </c>
      <c r="O402" t="s">
        <v>2121</v>
      </c>
    </row>
    <row r="403" spans="1:15">
      <c r="A403" t="s">
        <v>2414</v>
      </c>
      <c r="B403" t="s">
        <v>2085</v>
      </c>
      <c r="C403" t="s">
        <v>2086</v>
      </c>
      <c r="D403" s="1">
        <v>43872</v>
      </c>
      <c r="E403" s="1">
        <v>45279</v>
      </c>
      <c r="F403">
        <v>13</v>
      </c>
      <c r="G403">
        <v>17</v>
      </c>
      <c r="H403">
        <v>1775.48</v>
      </c>
      <c r="I403">
        <v>155.11000000000001</v>
      </c>
      <c r="J403" t="s">
        <v>90</v>
      </c>
      <c r="K403" t="s">
        <v>16</v>
      </c>
      <c r="L403" t="s">
        <v>2106</v>
      </c>
      <c r="M403">
        <v>0</v>
      </c>
      <c r="N403" t="s">
        <v>194</v>
      </c>
      <c r="O403" t="s">
        <v>2121</v>
      </c>
    </row>
    <row r="404" spans="1:15">
      <c r="A404" t="s">
        <v>2415</v>
      </c>
      <c r="B404" t="s">
        <v>2090</v>
      </c>
      <c r="C404" t="s">
        <v>2111</v>
      </c>
      <c r="D404" s="1">
        <v>45178</v>
      </c>
      <c r="E404" s="1">
        <v>45283</v>
      </c>
      <c r="F404">
        <v>9</v>
      </c>
      <c r="G404">
        <v>4</v>
      </c>
      <c r="H404">
        <v>117.67</v>
      </c>
      <c r="I404">
        <v>77.3</v>
      </c>
      <c r="J404" t="s">
        <v>115</v>
      </c>
      <c r="K404" t="s">
        <v>16</v>
      </c>
      <c r="L404" t="s">
        <v>2095</v>
      </c>
      <c r="M404">
        <v>1</v>
      </c>
      <c r="N404" t="s">
        <v>174</v>
      </c>
      <c r="O404" t="s">
        <v>2107</v>
      </c>
    </row>
    <row r="405" spans="1:15">
      <c r="A405" t="s">
        <v>2416</v>
      </c>
      <c r="B405" t="s">
        <v>2093</v>
      </c>
      <c r="C405" t="s">
        <v>2111</v>
      </c>
      <c r="D405" s="1">
        <v>43507</v>
      </c>
      <c r="E405" s="1">
        <v>45013</v>
      </c>
      <c r="F405">
        <v>279</v>
      </c>
      <c r="G405">
        <v>1</v>
      </c>
      <c r="H405">
        <v>61.56</v>
      </c>
      <c r="I405">
        <v>55.47</v>
      </c>
      <c r="J405" t="s">
        <v>41</v>
      </c>
      <c r="K405" t="s">
        <v>20</v>
      </c>
      <c r="L405" t="s">
        <v>2087</v>
      </c>
      <c r="M405">
        <v>7</v>
      </c>
      <c r="N405" t="s">
        <v>174</v>
      </c>
      <c r="O405" t="s">
        <v>2107</v>
      </c>
    </row>
    <row r="406" spans="1:15">
      <c r="A406" t="s">
        <v>2417</v>
      </c>
      <c r="B406" t="s">
        <v>2113</v>
      </c>
      <c r="C406" t="s">
        <v>2100</v>
      </c>
      <c r="D406" s="1">
        <v>44101</v>
      </c>
      <c r="E406" s="1">
        <v>44954</v>
      </c>
      <c r="F406">
        <v>338</v>
      </c>
      <c r="G406">
        <v>11</v>
      </c>
      <c r="H406">
        <v>473.7</v>
      </c>
      <c r="I406">
        <v>66.91</v>
      </c>
      <c r="J406" t="s">
        <v>66</v>
      </c>
      <c r="K406" t="s">
        <v>16</v>
      </c>
      <c r="L406" t="s">
        <v>2087</v>
      </c>
      <c r="M406">
        <v>2</v>
      </c>
      <c r="N406" t="s">
        <v>232</v>
      </c>
      <c r="O406" t="s">
        <v>2121</v>
      </c>
    </row>
    <row r="407" spans="1:15">
      <c r="A407" t="s">
        <v>361</v>
      </c>
      <c r="B407" t="s">
        <v>2099</v>
      </c>
      <c r="C407" t="s">
        <v>2094</v>
      </c>
      <c r="D407" s="1">
        <v>43874</v>
      </c>
      <c r="E407" s="1">
        <v>45017</v>
      </c>
      <c r="F407">
        <v>275</v>
      </c>
      <c r="G407">
        <v>1</v>
      </c>
      <c r="H407">
        <v>128.59</v>
      </c>
      <c r="I407">
        <v>41.82</v>
      </c>
      <c r="J407" t="s">
        <v>66</v>
      </c>
      <c r="K407" t="s">
        <v>20</v>
      </c>
      <c r="L407" t="s">
        <v>2087</v>
      </c>
      <c r="M407">
        <v>4</v>
      </c>
      <c r="N407" t="s">
        <v>174</v>
      </c>
      <c r="O407" t="s">
        <v>2109</v>
      </c>
    </row>
    <row r="408" spans="1:15">
      <c r="A408" t="s">
        <v>2418</v>
      </c>
      <c r="B408" t="s">
        <v>2113</v>
      </c>
      <c r="C408" t="s">
        <v>2108</v>
      </c>
      <c r="D408" s="1">
        <v>44386</v>
      </c>
      <c r="E408" s="1">
        <v>45250</v>
      </c>
      <c r="F408">
        <v>42</v>
      </c>
      <c r="G408">
        <v>16</v>
      </c>
      <c r="H408">
        <v>274.43</v>
      </c>
      <c r="I408">
        <v>62.09</v>
      </c>
      <c r="J408" t="s">
        <v>41</v>
      </c>
      <c r="K408" t="s">
        <v>16</v>
      </c>
      <c r="L408" t="s">
        <v>2106</v>
      </c>
      <c r="M408">
        <v>6</v>
      </c>
      <c r="N408" t="s">
        <v>157</v>
      </c>
      <c r="O408" t="s">
        <v>2088</v>
      </c>
    </row>
    <row r="409" spans="1:15">
      <c r="A409" t="s">
        <v>2419</v>
      </c>
      <c r="B409" t="s">
        <v>2090</v>
      </c>
      <c r="C409" t="s">
        <v>2094</v>
      </c>
      <c r="D409" s="1">
        <v>44789</v>
      </c>
      <c r="E409" s="1">
        <v>45276</v>
      </c>
      <c r="F409">
        <v>16</v>
      </c>
      <c r="G409">
        <v>3</v>
      </c>
      <c r="H409">
        <v>398</v>
      </c>
      <c r="I409">
        <v>74.709999999999994</v>
      </c>
      <c r="J409" t="s">
        <v>41</v>
      </c>
      <c r="K409" t="s">
        <v>16</v>
      </c>
      <c r="L409" t="s">
        <v>2106</v>
      </c>
      <c r="M409">
        <v>8</v>
      </c>
      <c r="N409" t="s">
        <v>232</v>
      </c>
      <c r="O409" t="s">
        <v>2121</v>
      </c>
    </row>
    <row r="410" spans="1:15">
      <c r="A410" t="s">
        <v>1080</v>
      </c>
      <c r="B410" t="s">
        <v>2085</v>
      </c>
      <c r="C410" t="s">
        <v>2111</v>
      </c>
      <c r="D410" s="1">
        <v>44423</v>
      </c>
      <c r="E410" s="1">
        <v>45060</v>
      </c>
      <c r="F410">
        <v>232</v>
      </c>
      <c r="G410">
        <v>28</v>
      </c>
      <c r="H410">
        <v>2501.5</v>
      </c>
      <c r="I410">
        <v>151.63999999999999</v>
      </c>
      <c r="J410" t="s">
        <v>14</v>
      </c>
      <c r="K410" t="s">
        <v>20</v>
      </c>
      <c r="L410" t="s">
        <v>2106</v>
      </c>
      <c r="M410">
        <v>10</v>
      </c>
      <c r="N410" t="s">
        <v>157</v>
      </c>
      <c r="O410" t="s">
        <v>2109</v>
      </c>
    </row>
    <row r="411" spans="1:15">
      <c r="A411" t="s">
        <v>2420</v>
      </c>
      <c r="B411" t="s">
        <v>2097</v>
      </c>
      <c r="C411" t="s">
        <v>2086</v>
      </c>
      <c r="D411" s="1">
        <v>44239</v>
      </c>
      <c r="E411" s="1">
        <v>45264</v>
      </c>
      <c r="F411">
        <v>28</v>
      </c>
      <c r="G411">
        <v>10</v>
      </c>
      <c r="H411">
        <v>531.42999999999995</v>
      </c>
      <c r="I411">
        <v>87.23</v>
      </c>
      <c r="J411" t="s">
        <v>14</v>
      </c>
      <c r="K411" t="s">
        <v>16</v>
      </c>
      <c r="L411" t="s">
        <v>2106</v>
      </c>
      <c r="M411">
        <v>1</v>
      </c>
      <c r="N411" t="s">
        <v>165</v>
      </c>
      <c r="O411" t="s">
        <v>2121</v>
      </c>
    </row>
    <row r="412" spans="1:15">
      <c r="A412" t="s">
        <v>2421</v>
      </c>
      <c r="B412" t="s">
        <v>2085</v>
      </c>
      <c r="C412" t="s">
        <v>2091</v>
      </c>
      <c r="D412" s="1">
        <v>44792</v>
      </c>
      <c r="E412" s="1">
        <v>44978</v>
      </c>
      <c r="F412">
        <v>314</v>
      </c>
      <c r="G412">
        <v>17</v>
      </c>
      <c r="H412">
        <v>1727.1</v>
      </c>
      <c r="I412">
        <v>166.94</v>
      </c>
      <c r="J412" t="s">
        <v>66</v>
      </c>
      <c r="K412" t="s">
        <v>16</v>
      </c>
      <c r="L412" t="s">
        <v>2095</v>
      </c>
      <c r="M412">
        <v>7</v>
      </c>
      <c r="N412" t="s">
        <v>232</v>
      </c>
      <c r="O412" t="s">
        <v>2107</v>
      </c>
    </row>
    <row r="413" spans="1:15">
      <c r="A413" t="s">
        <v>604</v>
      </c>
      <c r="B413" t="s">
        <v>2085</v>
      </c>
      <c r="C413" t="s">
        <v>2100</v>
      </c>
      <c r="D413" s="1">
        <v>44645</v>
      </c>
      <c r="E413" s="1">
        <v>45282</v>
      </c>
      <c r="F413">
        <v>10</v>
      </c>
      <c r="G413">
        <v>26</v>
      </c>
      <c r="H413">
        <v>2580.29</v>
      </c>
      <c r="I413">
        <v>191.29</v>
      </c>
      <c r="J413" t="s">
        <v>90</v>
      </c>
      <c r="K413" t="s">
        <v>16</v>
      </c>
      <c r="L413" t="s">
        <v>2095</v>
      </c>
      <c r="M413">
        <v>4</v>
      </c>
      <c r="N413" t="s">
        <v>165</v>
      </c>
      <c r="O413" t="s">
        <v>2121</v>
      </c>
    </row>
    <row r="414" spans="1:15">
      <c r="A414" t="s">
        <v>2422</v>
      </c>
      <c r="B414" t="s">
        <v>2090</v>
      </c>
      <c r="C414" t="s">
        <v>2086</v>
      </c>
      <c r="D414" s="1">
        <v>43548</v>
      </c>
      <c r="E414" s="1">
        <v>45046</v>
      </c>
      <c r="F414">
        <v>246</v>
      </c>
      <c r="G414">
        <v>4</v>
      </c>
      <c r="H414">
        <v>234.42</v>
      </c>
      <c r="I414">
        <v>72.09</v>
      </c>
      <c r="J414" t="s">
        <v>14</v>
      </c>
      <c r="K414" t="s">
        <v>16</v>
      </c>
      <c r="L414" t="s">
        <v>2087</v>
      </c>
      <c r="M414">
        <v>4</v>
      </c>
      <c r="N414" t="s">
        <v>232</v>
      </c>
      <c r="O414" t="s">
        <v>2109</v>
      </c>
    </row>
    <row r="415" spans="1:15">
      <c r="A415" t="s">
        <v>2423</v>
      </c>
      <c r="B415" t="s">
        <v>2090</v>
      </c>
      <c r="C415" t="s">
        <v>2108</v>
      </c>
      <c r="D415" s="1">
        <v>44081</v>
      </c>
      <c r="E415" s="1">
        <v>45232</v>
      </c>
      <c r="F415">
        <v>60</v>
      </c>
      <c r="G415">
        <v>2</v>
      </c>
      <c r="H415">
        <v>132.49</v>
      </c>
      <c r="I415">
        <v>53.31</v>
      </c>
      <c r="J415" t="s">
        <v>115</v>
      </c>
      <c r="K415" t="s">
        <v>16</v>
      </c>
      <c r="L415" t="s">
        <v>2106</v>
      </c>
      <c r="M415">
        <v>2</v>
      </c>
      <c r="N415" t="s">
        <v>157</v>
      </c>
      <c r="O415" t="s">
        <v>2121</v>
      </c>
    </row>
    <row r="416" spans="1:15">
      <c r="A416" t="s">
        <v>2424</v>
      </c>
      <c r="B416" t="s">
        <v>2085</v>
      </c>
      <c r="C416" t="s">
        <v>2100</v>
      </c>
      <c r="D416" s="1">
        <v>45107</v>
      </c>
      <c r="E416" s="1">
        <v>45104</v>
      </c>
      <c r="F416">
        <v>188</v>
      </c>
      <c r="G416">
        <v>14</v>
      </c>
      <c r="H416">
        <v>1480.4</v>
      </c>
      <c r="I416">
        <v>253.16</v>
      </c>
      <c r="J416" t="s">
        <v>90</v>
      </c>
      <c r="K416" t="s">
        <v>16</v>
      </c>
      <c r="L416" t="s">
        <v>2087</v>
      </c>
      <c r="M416">
        <v>0</v>
      </c>
      <c r="N416" t="s">
        <v>165</v>
      </c>
      <c r="O416" t="s">
        <v>2107</v>
      </c>
    </row>
    <row r="417" spans="1:15">
      <c r="A417" t="s">
        <v>955</v>
      </c>
      <c r="B417" t="s">
        <v>2097</v>
      </c>
      <c r="C417" t="s">
        <v>2100</v>
      </c>
      <c r="D417" s="1">
        <v>43949</v>
      </c>
      <c r="E417" s="1">
        <v>45031</v>
      </c>
      <c r="F417">
        <v>261</v>
      </c>
      <c r="G417">
        <v>5</v>
      </c>
      <c r="H417">
        <v>345.83</v>
      </c>
      <c r="I417">
        <v>58.04</v>
      </c>
      <c r="J417" t="s">
        <v>14</v>
      </c>
      <c r="K417" t="s">
        <v>20</v>
      </c>
      <c r="L417" t="s">
        <v>2095</v>
      </c>
      <c r="M417">
        <v>2</v>
      </c>
      <c r="N417" t="s">
        <v>165</v>
      </c>
      <c r="O417" t="s">
        <v>2088</v>
      </c>
    </row>
    <row r="418" spans="1:15">
      <c r="A418" t="s">
        <v>2425</v>
      </c>
      <c r="B418" t="s">
        <v>2113</v>
      </c>
      <c r="C418" t="s">
        <v>2108</v>
      </c>
      <c r="D418" s="1">
        <v>44430</v>
      </c>
      <c r="E418" s="1">
        <v>45208</v>
      </c>
      <c r="F418">
        <v>84</v>
      </c>
      <c r="G418">
        <v>5</v>
      </c>
      <c r="H418">
        <v>338.67</v>
      </c>
      <c r="I418">
        <v>47.24</v>
      </c>
      <c r="J418" t="s">
        <v>90</v>
      </c>
      <c r="K418" t="s">
        <v>20</v>
      </c>
      <c r="L418" t="s">
        <v>2095</v>
      </c>
      <c r="M418">
        <v>7</v>
      </c>
      <c r="N418" t="s">
        <v>165</v>
      </c>
      <c r="O418" t="s">
        <v>2109</v>
      </c>
    </row>
    <row r="419" spans="1:15">
      <c r="A419" t="s">
        <v>2426</v>
      </c>
      <c r="B419" t="s">
        <v>2099</v>
      </c>
      <c r="C419" t="s">
        <v>2091</v>
      </c>
      <c r="D419" s="1">
        <v>43729</v>
      </c>
      <c r="E419" s="1">
        <v>45089</v>
      </c>
      <c r="F419">
        <v>203</v>
      </c>
      <c r="G419">
        <v>1</v>
      </c>
      <c r="H419">
        <v>119.2</v>
      </c>
      <c r="I419">
        <v>27.67</v>
      </c>
      <c r="J419" t="s">
        <v>90</v>
      </c>
      <c r="K419" t="s">
        <v>16</v>
      </c>
      <c r="L419" t="s">
        <v>2087</v>
      </c>
      <c r="M419">
        <v>10</v>
      </c>
      <c r="N419" t="s">
        <v>165</v>
      </c>
      <c r="O419" t="s">
        <v>2109</v>
      </c>
    </row>
    <row r="420" spans="1:15">
      <c r="A420" t="s">
        <v>726</v>
      </c>
      <c r="B420" t="s">
        <v>2090</v>
      </c>
      <c r="C420" t="s">
        <v>2111</v>
      </c>
      <c r="D420" s="1">
        <v>44837</v>
      </c>
      <c r="E420" s="1">
        <v>45227</v>
      </c>
      <c r="F420">
        <v>65</v>
      </c>
      <c r="G420">
        <v>5</v>
      </c>
      <c r="H420">
        <v>250.92</v>
      </c>
      <c r="I420">
        <v>67.75</v>
      </c>
      <c r="J420" t="s">
        <v>41</v>
      </c>
      <c r="K420" t="s">
        <v>20</v>
      </c>
      <c r="L420" t="s">
        <v>2095</v>
      </c>
      <c r="M420">
        <v>3</v>
      </c>
      <c r="N420" t="s">
        <v>194</v>
      </c>
      <c r="O420" t="s">
        <v>2121</v>
      </c>
    </row>
    <row r="421" spans="1:15">
      <c r="A421" t="s">
        <v>2427</v>
      </c>
      <c r="B421" t="s">
        <v>2113</v>
      </c>
      <c r="C421" t="s">
        <v>2091</v>
      </c>
      <c r="D421" s="1">
        <v>43624</v>
      </c>
      <c r="E421" s="1">
        <v>45257</v>
      </c>
      <c r="F421">
        <v>35</v>
      </c>
      <c r="G421">
        <v>5</v>
      </c>
      <c r="H421">
        <v>405.28</v>
      </c>
      <c r="I421">
        <v>67.58</v>
      </c>
      <c r="J421" t="s">
        <v>41</v>
      </c>
      <c r="K421" t="s">
        <v>16</v>
      </c>
      <c r="L421" t="s">
        <v>2095</v>
      </c>
      <c r="M421">
        <v>0</v>
      </c>
      <c r="N421" t="s">
        <v>157</v>
      </c>
      <c r="O421" t="s">
        <v>2121</v>
      </c>
    </row>
    <row r="422" spans="1:15">
      <c r="A422" t="s">
        <v>2015</v>
      </c>
      <c r="B422" t="s">
        <v>2099</v>
      </c>
      <c r="C422" t="s">
        <v>2094</v>
      </c>
      <c r="D422" s="1">
        <v>44337</v>
      </c>
      <c r="E422" s="1">
        <v>45004</v>
      </c>
      <c r="F422">
        <v>288</v>
      </c>
      <c r="G422">
        <v>1</v>
      </c>
      <c r="H422">
        <v>64.150000000000006</v>
      </c>
      <c r="I422">
        <v>72.319999999999993</v>
      </c>
      <c r="J422" t="s">
        <v>66</v>
      </c>
      <c r="K422" t="s">
        <v>16</v>
      </c>
      <c r="L422" t="s">
        <v>2106</v>
      </c>
      <c r="M422">
        <v>7</v>
      </c>
      <c r="N422" t="s">
        <v>174</v>
      </c>
      <c r="O422" t="s">
        <v>2121</v>
      </c>
    </row>
    <row r="423" spans="1:15">
      <c r="A423" t="s">
        <v>2428</v>
      </c>
      <c r="B423" t="s">
        <v>2099</v>
      </c>
      <c r="C423" t="s">
        <v>2100</v>
      </c>
      <c r="D423" s="1">
        <v>45174</v>
      </c>
      <c r="E423" s="1">
        <v>44981</v>
      </c>
      <c r="F423">
        <v>311</v>
      </c>
      <c r="G423">
        <v>1</v>
      </c>
      <c r="H423">
        <v>41.26</v>
      </c>
      <c r="I423">
        <v>74.59</v>
      </c>
      <c r="J423" t="s">
        <v>14</v>
      </c>
      <c r="K423" t="s">
        <v>16</v>
      </c>
      <c r="L423" t="s">
        <v>2106</v>
      </c>
      <c r="M423">
        <v>1</v>
      </c>
      <c r="N423" t="s">
        <v>165</v>
      </c>
      <c r="O423" t="s">
        <v>2109</v>
      </c>
    </row>
    <row r="424" spans="1:15">
      <c r="A424" t="s">
        <v>2429</v>
      </c>
      <c r="B424" t="s">
        <v>2085</v>
      </c>
      <c r="C424" t="s">
        <v>2100</v>
      </c>
      <c r="D424" s="1">
        <v>44252</v>
      </c>
      <c r="E424" s="1">
        <v>45278</v>
      </c>
      <c r="F424">
        <v>14</v>
      </c>
      <c r="G424">
        <v>17</v>
      </c>
      <c r="H424">
        <v>1501.86</v>
      </c>
      <c r="I424">
        <v>214.94</v>
      </c>
      <c r="J424" t="s">
        <v>14</v>
      </c>
      <c r="K424" t="s">
        <v>16</v>
      </c>
      <c r="L424" t="s">
        <v>2106</v>
      </c>
      <c r="M424">
        <v>10</v>
      </c>
      <c r="N424" t="s">
        <v>204</v>
      </c>
      <c r="O424" t="s">
        <v>2109</v>
      </c>
    </row>
    <row r="425" spans="1:15">
      <c r="A425" t="s">
        <v>2430</v>
      </c>
      <c r="B425" t="s">
        <v>2085</v>
      </c>
      <c r="C425" t="s">
        <v>2100</v>
      </c>
      <c r="D425" s="1">
        <v>43703</v>
      </c>
      <c r="E425" s="1">
        <v>45236</v>
      </c>
      <c r="F425">
        <v>56</v>
      </c>
      <c r="G425">
        <v>21</v>
      </c>
      <c r="H425">
        <v>1734.96</v>
      </c>
      <c r="I425">
        <v>248.41</v>
      </c>
      <c r="J425" t="s">
        <v>115</v>
      </c>
      <c r="K425" t="s">
        <v>16</v>
      </c>
      <c r="L425" t="s">
        <v>2087</v>
      </c>
      <c r="M425">
        <v>5</v>
      </c>
      <c r="N425" t="s">
        <v>179</v>
      </c>
      <c r="O425" t="s">
        <v>2088</v>
      </c>
    </row>
    <row r="426" spans="1:15">
      <c r="A426" t="s">
        <v>2431</v>
      </c>
      <c r="B426" t="s">
        <v>2113</v>
      </c>
      <c r="C426" t="s">
        <v>2108</v>
      </c>
      <c r="D426" s="1">
        <v>44554</v>
      </c>
      <c r="E426" s="1">
        <v>45123</v>
      </c>
      <c r="F426">
        <v>169</v>
      </c>
      <c r="G426">
        <v>8</v>
      </c>
      <c r="H426">
        <v>492.75</v>
      </c>
      <c r="I426">
        <v>79.040000000000006</v>
      </c>
      <c r="J426" t="s">
        <v>14</v>
      </c>
      <c r="K426" t="s">
        <v>16</v>
      </c>
      <c r="L426" t="s">
        <v>2095</v>
      </c>
      <c r="M426">
        <v>5</v>
      </c>
      <c r="N426" t="s">
        <v>165</v>
      </c>
      <c r="O426" t="s">
        <v>2088</v>
      </c>
    </row>
    <row r="427" spans="1:15">
      <c r="A427" t="s">
        <v>2432</v>
      </c>
      <c r="B427" t="s">
        <v>2113</v>
      </c>
      <c r="C427" t="s">
        <v>2100</v>
      </c>
      <c r="D427" s="1">
        <v>45252</v>
      </c>
      <c r="E427" s="1">
        <v>45159</v>
      </c>
      <c r="F427">
        <v>133</v>
      </c>
      <c r="G427">
        <v>11</v>
      </c>
      <c r="H427">
        <v>357.45</v>
      </c>
      <c r="I427">
        <v>60.73</v>
      </c>
      <c r="J427" t="s">
        <v>14</v>
      </c>
      <c r="K427" t="s">
        <v>16</v>
      </c>
      <c r="L427" t="s">
        <v>2087</v>
      </c>
      <c r="M427">
        <v>0</v>
      </c>
      <c r="N427" t="s">
        <v>174</v>
      </c>
      <c r="O427" t="s">
        <v>2109</v>
      </c>
    </row>
    <row r="428" spans="1:15">
      <c r="A428" t="s">
        <v>2433</v>
      </c>
      <c r="B428" t="s">
        <v>2099</v>
      </c>
      <c r="C428" t="s">
        <v>2100</v>
      </c>
      <c r="D428" s="1">
        <v>44222</v>
      </c>
      <c r="E428" s="1">
        <v>45056</v>
      </c>
      <c r="F428">
        <v>236</v>
      </c>
      <c r="G428">
        <v>2</v>
      </c>
      <c r="H428">
        <v>26.51</v>
      </c>
      <c r="I428">
        <v>67.95</v>
      </c>
      <c r="J428" t="s">
        <v>66</v>
      </c>
      <c r="K428" t="s">
        <v>20</v>
      </c>
      <c r="L428" t="s">
        <v>2087</v>
      </c>
      <c r="M428">
        <v>0</v>
      </c>
      <c r="N428" t="s">
        <v>232</v>
      </c>
      <c r="O428" t="s">
        <v>2121</v>
      </c>
    </row>
    <row r="429" spans="1:15">
      <c r="A429" t="s">
        <v>2434</v>
      </c>
      <c r="B429" t="s">
        <v>2097</v>
      </c>
      <c r="C429" t="s">
        <v>2108</v>
      </c>
      <c r="D429" s="1">
        <v>44130</v>
      </c>
      <c r="E429" s="1">
        <v>45079</v>
      </c>
      <c r="F429">
        <v>213</v>
      </c>
      <c r="G429">
        <v>7</v>
      </c>
      <c r="H429">
        <v>381.98</v>
      </c>
      <c r="I429">
        <v>51.75</v>
      </c>
      <c r="J429" t="s">
        <v>14</v>
      </c>
      <c r="K429" t="s">
        <v>20</v>
      </c>
      <c r="L429" t="s">
        <v>2095</v>
      </c>
      <c r="M429">
        <v>5</v>
      </c>
      <c r="N429" t="s">
        <v>165</v>
      </c>
      <c r="O429" t="s">
        <v>2096</v>
      </c>
    </row>
    <row r="430" spans="1:15">
      <c r="A430" t="s">
        <v>2435</v>
      </c>
      <c r="B430" t="s">
        <v>2090</v>
      </c>
      <c r="C430" t="s">
        <v>2091</v>
      </c>
      <c r="D430" s="1">
        <v>44561</v>
      </c>
      <c r="E430" s="1">
        <v>44975</v>
      </c>
      <c r="F430">
        <v>317</v>
      </c>
      <c r="G430">
        <v>7</v>
      </c>
      <c r="H430">
        <v>206.79</v>
      </c>
      <c r="I430">
        <v>54.02</v>
      </c>
      <c r="J430" t="s">
        <v>41</v>
      </c>
      <c r="K430" t="s">
        <v>20</v>
      </c>
      <c r="L430" t="s">
        <v>2087</v>
      </c>
      <c r="M430">
        <v>6</v>
      </c>
      <c r="N430" t="s">
        <v>194</v>
      </c>
      <c r="O430" t="s">
        <v>2121</v>
      </c>
    </row>
    <row r="431" spans="1:15">
      <c r="A431" t="s">
        <v>2436</v>
      </c>
      <c r="B431" t="s">
        <v>2099</v>
      </c>
      <c r="C431" t="s">
        <v>2086</v>
      </c>
      <c r="D431" s="1">
        <v>44966</v>
      </c>
      <c r="E431" s="1">
        <v>45195</v>
      </c>
      <c r="F431">
        <v>97</v>
      </c>
      <c r="G431">
        <v>1</v>
      </c>
      <c r="H431">
        <v>139.44</v>
      </c>
      <c r="I431">
        <v>92.29</v>
      </c>
      <c r="J431" t="s">
        <v>90</v>
      </c>
      <c r="K431" t="s">
        <v>16</v>
      </c>
      <c r="L431" t="s">
        <v>2095</v>
      </c>
      <c r="M431">
        <v>5</v>
      </c>
      <c r="N431" t="s">
        <v>194</v>
      </c>
      <c r="O431" t="s">
        <v>2096</v>
      </c>
    </row>
    <row r="432" spans="1:15">
      <c r="A432" t="s">
        <v>2437</v>
      </c>
      <c r="B432" t="s">
        <v>2097</v>
      </c>
      <c r="C432" t="s">
        <v>2108</v>
      </c>
      <c r="D432" s="1">
        <v>43627</v>
      </c>
      <c r="E432" s="1">
        <v>45099</v>
      </c>
      <c r="F432">
        <v>193</v>
      </c>
      <c r="G432">
        <v>4</v>
      </c>
      <c r="H432">
        <v>398.24</v>
      </c>
      <c r="I432">
        <v>148.03</v>
      </c>
      <c r="J432" t="s">
        <v>66</v>
      </c>
      <c r="K432" t="s">
        <v>16</v>
      </c>
      <c r="L432" t="s">
        <v>2087</v>
      </c>
      <c r="M432">
        <v>0</v>
      </c>
      <c r="N432" t="s">
        <v>157</v>
      </c>
      <c r="O432" t="s">
        <v>2121</v>
      </c>
    </row>
    <row r="433" spans="1:15">
      <c r="A433" t="s">
        <v>2438</v>
      </c>
      <c r="B433" t="s">
        <v>2093</v>
      </c>
      <c r="C433" t="s">
        <v>2086</v>
      </c>
      <c r="D433" s="1">
        <v>43704</v>
      </c>
      <c r="E433" s="1">
        <v>45025</v>
      </c>
      <c r="F433">
        <v>267</v>
      </c>
      <c r="G433">
        <v>1</v>
      </c>
      <c r="H433">
        <v>172.27</v>
      </c>
      <c r="I433">
        <v>46.01</v>
      </c>
      <c r="J433" t="s">
        <v>66</v>
      </c>
      <c r="K433" t="s">
        <v>16</v>
      </c>
      <c r="L433" t="s">
        <v>2106</v>
      </c>
      <c r="M433">
        <v>8</v>
      </c>
      <c r="N433" t="s">
        <v>232</v>
      </c>
      <c r="O433" t="s">
        <v>2107</v>
      </c>
    </row>
    <row r="434" spans="1:15">
      <c r="A434" t="s">
        <v>229</v>
      </c>
      <c r="B434" t="s">
        <v>2093</v>
      </c>
      <c r="C434" t="s">
        <v>2094</v>
      </c>
      <c r="D434" s="1">
        <v>45023</v>
      </c>
      <c r="E434" s="1">
        <v>45150</v>
      </c>
      <c r="F434">
        <v>142</v>
      </c>
      <c r="G434">
        <v>1</v>
      </c>
      <c r="H434">
        <v>93.62</v>
      </c>
      <c r="I434">
        <v>48.38</v>
      </c>
      <c r="J434" t="s">
        <v>41</v>
      </c>
      <c r="K434" t="s">
        <v>16</v>
      </c>
      <c r="L434" t="s">
        <v>2106</v>
      </c>
      <c r="M434">
        <v>10</v>
      </c>
      <c r="N434" t="s">
        <v>174</v>
      </c>
      <c r="O434" t="s">
        <v>2088</v>
      </c>
    </row>
    <row r="435" spans="1:15">
      <c r="A435" t="s">
        <v>2439</v>
      </c>
      <c r="B435" t="s">
        <v>2099</v>
      </c>
      <c r="C435" t="s">
        <v>2111</v>
      </c>
      <c r="D435" s="1">
        <v>44299</v>
      </c>
      <c r="E435" s="1">
        <v>45033</v>
      </c>
      <c r="F435">
        <v>259</v>
      </c>
      <c r="G435">
        <v>1</v>
      </c>
      <c r="H435">
        <v>108.17</v>
      </c>
      <c r="I435">
        <v>41.81</v>
      </c>
      <c r="J435" t="s">
        <v>90</v>
      </c>
      <c r="K435" t="s">
        <v>20</v>
      </c>
      <c r="L435" t="s">
        <v>2095</v>
      </c>
      <c r="M435">
        <v>4</v>
      </c>
      <c r="N435" t="s">
        <v>194</v>
      </c>
      <c r="O435" t="s">
        <v>2109</v>
      </c>
    </row>
    <row r="436" spans="1:15">
      <c r="A436" t="s">
        <v>1176</v>
      </c>
      <c r="B436" t="s">
        <v>2090</v>
      </c>
      <c r="C436" t="s">
        <v>2111</v>
      </c>
      <c r="D436" s="1">
        <v>43919</v>
      </c>
      <c r="E436" s="1">
        <v>45042</v>
      </c>
      <c r="F436">
        <v>250</v>
      </c>
      <c r="G436">
        <v>8</v>
      </c>
      <c r="H436">
        <v>392.29</v>
      </c>
      <c r="I436">
        <v>65.45</v>
      </c>
      <c r="J436" t="s">
        <v>66</v>
      </c>
      <c r="K436" t="s">
        <v>16</v>
      </c>
      <c r="L436" t="s">
        <v>2095</v>
      </c>
      <c r="M436">
        <v>9</v>
      </c>
      <c r="N436" t="s">
        <v>194</v>
      </c>
      <c r="O436" t="s">
        <v>2088</v>
      </c>
    </row>
    <row r="437" spans="1:15">
      <c r="A437" t="s">
        <v>2440</v>
      </c>
      <c r="B437" t="s">
        <v>2099</v>
      </c>
      <c r="C437" t="s">
        <v>2086</v>
      </c>
      <c r="D437" s="1">
        <v>44262</v>
      </c>
      <c r="E437" s="1">
        <v>45170</v>
      </c>
      <c r="F437">
        <v>122</v>
      </c>
      <c r="G437">
        <v>2</v>
      </c>
      <c r="H437">
        <v>102.52</v>
      </c>
      <c r="I437">
        <v>46.3</v>
      </c>
      <c r="J437" t="s">
        <v>14</v>
      </c>
      <c r="K437" t="s">
        <v>16</v>
      </c>
      <c r="L437" t="s">
        <v>2087</v>
      </c>
      <c r="M437">
        <v>5</v>
      </c>
      <c r="N437" t="s">
        <v>194</v>
      </c>
      <c r="O437" t="s">
        <v>2109</v>
      </c>
    </row>
    <row r="438" spans="1:15">
      <c r="A438" t="s">
        <v>2441</v>
      </c>
      <c r="B438" t="s">
        <v>2097</v>
      </c>
      <c r="C438" t="s">
        <v>2091</v>
      </c>
      <c r="D438" s="1">
        <v>44556</v>
      </c>
      <c r="E438" s="1">
        <v>45284</v>
      </c>
      <c r="F438">
        <v>8</v>
      </c>
      <c r="G438">
        <v>10</v>
      </c>
      <c r="H438">
        <v>705.33</v>
      </c>
      <c r="I438">
        <v>99.9</v>
      </c>
      <c r="J438" t="s">
        <v>90</v>
      </c>
      <c r="K438" t="s">
        <v>16</v>
      </c>
      <c r="L438" t="s">
        <v>2087</v>
      </c>
      <c r="M438">
        <v>0</v>
      </c>
      <c r="N438" t="s">
        <v>165</v>
      </c>
      <c r="O438" t="s">
        <v>2088</v>
      </c>
    </row>
    <row r="439" spans="1:15">
      <c r="A439" t="s">
        <v>2442</v>
      </c>
      <c r="B439" t="s">
        <v>2085</v>
      </c>
      <c r="C439" t="s">
        <v>2108</v>
      </c>
      <c r="D439" s="1">
        <v>43636</v>
      </c>
      <c r="E439" s="1">
        <v>45033</v>
      </c>
      <c r="F439">
        <v>259</v>
      </c>
      <c r="G439">
        <v>32</v>
      </c>
      <c r="H439">
        <v>1870.38</v>
      </c>
      <c r="I439">
        <v>296.99</v>
      </c>
      <c r="J439" t="s">
        <v>115</v>
      </c>
      <c r="K439" t="s">
        <v>16</v>
      </c>
      <c r="L439" t="s">
        <v>2087</v>
      </c>
      <c r="M439">
        <v>4</v>
      </c>
      <c r="N439" t="s">
        <v>179</v>
      </c>
      <c r="O439" t="s">
        <v>2121</v>
      </c>
    </row>
    <row r="440" spans="1:15">
      <c r="A440" t="s">
        <v>2443</v>
      </c>
      <c r="B440" t="s">
        <v>2099</v>
      </c>
      <c r="C440" t="s">
        <v>2094</v>
      </c>
      <c r="D440" s="1">
        <v>43807</v>
      </c>
      <c r="E440" s="1">
        <v>45246</v>
      </c>
      <c r="F440">
        <v>46</v>
      </c>
      <c r="G440">
        <v>2</v>
      </c>
      <c r="H440">
        <v>23.84</v>
      </c>
      <c r="I440">
        <v>69.989999999999995</v>
      </c>
      <c r="J440" t="s">
        <v>115</v>
      </c>
      <c r="K440" t="s">
        <v>16</v>
      </c>
      <c r="L440" t="s">
        <v>2087</v>
      </c>
      <c r="M440">
        <v>0</v>
      </c>
      <c r="N440" t="s">
        <v>179</v>
      </c>
      <c r="O440" t="s">
        <v>2121</v>
      </c>
    </row>
    <row r="441" spans="1:15">
      <c r="A441" t="s">
        <v>2444</v>
      </c>
      <c r="B441" t="s">
        <v>2090</v>
      </c>
      <c r="C441" t="s">
        <v>2100</v>
      </c>
      <c r="D441" s="1">
        <v>44566</v>
      </c>
      <c r="E441" s="1">
        <v>44994</v>
      </c>
      <c r="F441">
        <v>298</v>
      </c>
      <c r="G441">
        <v>7</v>
      </c>
      <c r="H441">
        <v>237.04</v>
      </c>
      <c r="I441">
        <v>58.78</v>
      </c>
      <c r="J441" t="s">
        <v>115</v>
      </c>
      <c r="K441" t="s">
        <v>16</v>
      </c>
      <c r="L441" t="s">
        <v>2095</v>
      </c>
      <c r="M441">
        <v>6</v>
      </c>
      <c r="N441" t="s">
        <v>157</v>
      </c>
      <c r="O441" t="s">
        <v>2107</v>
      </c>
    </row>
    <row r="442" spans="1:15">
      <c r="A442" t="s">
        <v>1994</v>
      </c>
      <c r="B442" t="s">
        <v>2085</v>
      </c>
      <c r="C442" t="s">
        <v>2086</v>
      </c>
      <c r="D442" s="1">
        <v>45036</v>
      </c>
      <c r="E442" s="1">
        <v>45132</v>
      </c>
      <c r="F442">
        <v>160</v>
      </c>
      <c r="G442">
        <v>30</v>
      </c>
      <c r="H442">
        <v>1436.57</v>
      </c>
      <c r="I442">
        <v>272.98</v>
      </c>
      <c r="J442" t="s">
        <v>90</v>
      </c>
      <c r="K442" t="s">
        <v>16</v>
      </c>
      <c r="L442" t="s">
        <v>2095</v>
      </c>
      <c r="M442">
        <v>6</v>
      </c>
      <c r="N442" t="s">
        <v>232</v>
      </c>
      <c r="O442" t="s">
        <v>2121</v>
      </c>
    </row>
    <row r="443" spans="1:15">
      <c r="A443" t="s">
        <v>2445</v>
      </c>
      <c r="B443" t="s">
        <v>2113</v>
      </c>
      <c r="C443" t="s">
        <v>2108</v>
      </c>
      <c r="D443" s="1">
        <v>44872</v>
      </c>
      <c r="E443" s="1">
        <v>45251</v>
      </c>
      <c r="F443">
        <v>41</v>
      </c>
      <c r="G443">
        <v>16</v>
      </c>
      <c r="H443">
        <v>415.14</v>
      </c>
      <c r="I443">
        <v>63.21</v>
      </c>
      <c r="J443" t="s">
        <v>66</v>
      </c>
      <c r="K443" t="s">
        <v>20</v>
      </c>
      <c r="L443" t="s">
        <v>2106</v>
      </c>
      <c r="M443">
        <v>8</v>
      </c>
      <c r="N443" t="s">
        <v>204</v>
      </c>
      <c r="O443" t="s">
        <v>2107</v>
      </c>
    </row>
    <row r="444" spans="1:15">
      <c r="A444" t="s">
        <v>381</v>
      </c>
      <c r="B444" t="s">
        <v>2099</v>
      </c>
      <c r="C444" t="s">
        <v>2091</v>
      </c>
      <c r="D444" s="1">
        <v>44386</v>
      </c>
      <c r="E444" s="1">
        <v>45007</v>
      </c>
      <c r="F444">
        <v>285</v>
      </c>
      <c r="G444">
        <v>2</v>
      </c>
      <c r="H444">
        <v>118.39</v>
      </c>
      <c r="I444">
        <v>42.9</v>
      </c>
      <c r="J444" t="s">
        <v>90</v>
      </c>
      <c r="K444" t="s">
        <v>16</v>
      </c>
      <c r="L444" t="s">
        <v>2095</v>
      </c>
      <c r="M444">
        <v>8</v>
      </c>
      <c r="N444" t="s">
        <v>179</v>
      </c>
      <c r="O444" t="s">
        <v>2121</v>
      </c>
    </row>
    <row r="445" spans="1:15">
      <c r="A445" t="s">
        <v>2446</v>
      </c>
      <c r="B445" t="s">
        <v>2099</v>
      </c>
      <c r="C445" t="s">
        <v>2100</v>
      </c>
      <c r="D445" s="1">
        <v>44654</v>
      </c>
      <c r="E445" s="1">
        <v>45261</v>
      </c>
      <c r="F445">
        <v>31</v>
      </c>
      <c r="G445">
        <v>1</v>
      </c>
      <c r="H445">
        <v>108.84</v>
      </c>
      <c r="I445">
        <v>27.87</v>
      </c>
      <c r="J445" t="s">
        <v>90</v>
      </c>
      <c r="K445" t="s">
        <v>16</v>
      </c>
      <c r="L445" t="s">
        <v>2095</v>
      </c>
      <c r="M445">
        <v>10</v>
      </c>
      <c r="N445" t="s">
        <v>174</v>
      </c>
      <c r="O445" t="s">
        <v>2088</v>
      </c>
    </row>
    <row r="446" spans="1:15">
      <c r="A446" t="s">
        <v>2447</v>
      </c>
      <c r="B446" t="s">
        <v>2097</v>
      </c>
      <c r="C446" t="s">
        <v>2086</v>
      </c>
      <c r="D446" s="1">
        <v>43630</v>
      </c>
      <c r="E446" s="1">
        <v>45233</v>
      </c>
      <c r="F446">
        <v>59</v>
      </c>
      <c r="G446">
        <v>5</v>
      </c>
      <c r="H446">
        <v>546.30999999999995</v>
      </c>
      <c r="I446">
        <v>100.34</v>
      </c>
      <c r="J446" t="s">
        <v>90</v>
      </c>
      <c r="K446" t="s">
        <v>16</v>
      </c>
      <c r="L446" t="s">
        <v>2087</v>
      </c>
      <c r="M446">
        <v>9</v>
      </c>
      <c r="N446" t="s">
        <v>157</v>
      </c>
      <c r="O446" t="s">
        <v>2107</v>
      </c>
    </row>
    <row r="447" spans="1:15">
      <c r="A447" t="s">
        <v>2448</v>
      </c>
      <c r="B447" t="s">
        <v>2090</v>
      </c>
      <c r="C447" t="s">
        <v>2108</v>
      </c>
      <c r="D447" s="1">
        <v>44224</v>
      </c>
      <c r="E447" s="1">
        <v>44938</v>
      </c>
      <c r="F447">
        <v>354</v>
      </c>
      <c r="G447">
        <v>7</v>
      </c>
      <c r="H447">
        <v>231.01</v>
      </c>
      <c r="I447">
        <v>47.28</v>
      </c>
      <c r="J447" t="s">
        <v>115</v>
      </c>
      <c r="K447" t="s">
        <v>20</v>
      </c>
      <c r="L447" t="s">
        <v>2087</v>
      </c>
      <c r="M447">
        <v>8</v>
      </c>
      <c r="N447" t="s">
        <v>232</v>
      </c>
      <c r="O447" t="s">
        <v>2107</v>
      </c>
    </row>
    <row r="448" spans="1:15">
      <c r="A448" t="s">
        <v>2449</v>
      </c>
      <c r="B448" t="s">
        <v>2097</v>
      </c>
      <c r="C448" t="s">
        <v>2108</v>
      </c>
      <c r="D448" s="1">
        <v>43824</v>
      </c>
      <c r="E448" s="1">
        <v>45168</v>
      </c>
      <c r="F448">
        <v>124</v>
      </c>
      <c r="G448">
        <v>10</v>
      </c>
      <c r="H448">
        <v>389.89</v>
      </c>
      <c r="I448">
        <v>137.47</v>
      </c>
      <c r="J448" t="s">
        <v>41</v>
      </c>
      <c r="K448" t="s">
        <v>16</v>
      </c>
      <c r="L448" t="s">
        <v>2095</v>
      </c>
      <c r="M448">
        <v>4</v>
      </c>
      <c r="N448" t="s">
        <v>174</v>
      </c>
      <c r="O448" t="s">
        <v>2096</v>
      </c>
    </row>
    <row r="449" spans="1:15">
      <c r="A449" t="s">
        <v>2450</v>
      </c>
      <c r="B449" t="s">
        <v>2097</v>
      </c>
      <c r="C449" t="s">
        <v>2091</v>
      </c>
      <c r="D449" s="1">
        <v>44374</v>
      </c>
      <c r="E449" s="1">
        <v>45050</v>
      </c>
      <c r="F449">
        <v>242</v>
      </c>
      <c r="G449">
        <v>10</v>
      </c>
      <c r="H449">
        <v>448.48</v>
      </c>
      <c r="I449">
        <v>118.37</v>
      </c>
      <c r="J449" t="s">
        <v>90</v>
      </c>
      <c r="K449" t="s">
        <v>20</v>
      </c>
      <c r="L449" t="s">
        <v>2106</v>
      </c>
      <c r="M449">
        <v>1</v>
      </c>
      <c r="N449" t="s">
        <v>179</v>
      </c>
      <c r="O449" t="s">
        <v>2088</v>
      </c>
    </row>
    <row r="450" spans="1:15">
      <c r="A450" t="s">
        <v>2451</v>
      </c>
      <c r="B450" t="s">
        <v>2113</v>
      </c>
      <c r="C450" t="s">
        <v>2108</v>
      </c>
      <c r="D450" s="1">
        <v>43609</v>
      </c>
      <c r="E450" s="1">
        <v>44930</v>
      </c>
      <c r="F450">
        <v>362</v>
      </c>
      <c r="G450">
        <v>10</v>
      </c>
      <c r="H450">
        <v>222.43</v>
      </c>
      <c r="I450">
        <v>66.099999999999994</v>
      </c>
      <c r="J450" t="s">
        <v>14</v>
      </c>
      <c r="K450" t="s">
        <v>20</v>
      </c>
      <c r="L450" t="s">
        <v>2106</v>
      </c>
      <c r="M450">
        <v>6</v>
      </c>
      <c r="N450" t="s">
        <v>179</v>
      </c>
      <c r="O450" t="s">
        <v>2088</v>
      </c>
    </row>
    <row r="451" spans="1:15">
      <c r="A451" t="s">
        <v>2452</v>
      </c>
      <c r="B451" t="s">
        <v>2099</v>
      </c>
      <c r="C451" t="s">
        <v>2111</v>
      </c>
      <c r="D451" s="1">
        <v>43998</v>
      </c>
      <c r="E451" s="1">
        <v>45202</v>
      </c>
      <c r="F451">
        <v>90</v>
      </c>
      <c r="G451">
        <v>2</v>
      </c>
      <c r="H451">
        <v>29.15</v>
      </c>
      <c r="I451">
        <v>53.37</v>
      </c>
      <c r="J451" t="s">
        <v>115</v>
      </c>
      <c r="K451" t="s">
        <v>20</v>
      </c>
      <c r="L451" t="s">
        <v>2106</v>
      </c>
      <c r="M451">
        <v>0</v>
      </c>
      <c r="N451" t="s">
        <v>204</v>
      </c>
      <c r="O451" t="s">
        <v>2109</v>
      </c>
    </row>
    <row r="452" spans="1:15">
      <c r="A452" t="s">
        <v>373</v>
      </c>
      <c r="B452" t="s">
        <v>2093</v>
      </c>
      <c r="C452" t="s">
        <v>2094</v>
      </c>
      <c r="D452" s="1">
        <v>45150</v>
      </c>
      <c r="E452" s="1">
        <v>44947</v>
      </c>
      <c r="F452">
        <v>345</v>
      </c>
      <c r="G452">
        <v>1</v>
      </c>
      <c r="H452">
        <v>79.8</v>
      </c>
      <c r="I452">
        <v>43.9</v>
      </c>
      <c r="J452" t="s">
        <v>90</v>
      </c>
      <c r="K452" t="s">
        <v>20</v>
      </c>
      <c r="L452" t="s">
        <v>2106</v>
      </c>
      <c r="M452">
        <v>10</v>
      </c>
      <c r="N452" t="s">
        <v>165</v>
      </c>
      <c r="O452" t="s">
        <v>2109</v>
      </c>
    </row>
    <row r="453" spans="1:15">
      <c r="A453" t="s">
        <v>2453</v>
      </c>
      <c r="B453" t="s">
        <v>2099</v>
      </c>
      <c r="C453" t="s">
        <v>2111</v>
      </c>
      <c r="D453" s="1">
        <v>45018</v>
      </c>
      <c r="E453" s="1">
        <v>45223</v>
      </c>
      <c r="F453">
        <v>69</v>
      </c>
      <c r="G453">
        <v>1</v>
      </c>
      <c r="H453">
        <v>33.47</v>
      </c>
      <c r="I453">
        <v>87.77</v>
      </c>
      <c r="J453" t="s">
        <v>41</v>
      </c>
      <c r="K453" t="s">
        <v>16</v>
      </c>
      <c r="L453" t="s">
        <v>2087</v>
      </c>
      <c r="M453">
        <v>10</v>
      </c>
      <c r="N453" t="s">
        <v>194</v>
      </c>
      <c r="O453" t="s">
        <v>2107</v>
      </c>
    </row>
    <row r="454" spans="1:15">
      <c r="A454" t="s">
        <v>2454</v>
      </c>
      <c r="B454" t="s">
        <v>2097</v>
      </c>
      <c r="C454" t="s">
        <v>2111</v>
      </c>
      <c r="D454" s="1">
        <v>44780</v>
      </c>
      <c r="E454" s="1">
        <v>45282</v>
      </c>
      <c r="F454">
        <v>10</v>
      </c>
      <c r="G454">
        <v>10</v>
      </c>
      <c r="H454">
        <v>286.56</v>
      </c>
      <c r="I454">
        <v>59.71</v>
      </c>
      <c r="J454" t="s">
        <v>90</v>
      </c>
      <c r="K454" t="s">
        <v>20</v>
      </c>
      <c r="L454" t="s">
        <v>2087</v>
      </c>
      <c r="M454">
        <v>3</v>
      </c>
      <c r="N454" t="s">
        <v>179</v>
      </c>
      <c r="O454" t="s">
        <v>2121</v>
      </c>
    </row>
    <row r="455" spans="1:15">
      <c r="A455" t="s">
        <v>2455</v>
      </c>
      <c r="B455" t="s">
        <v>2113</v>
      </c>
      <c r="C455" t="s">
        <v>2094</v>
      </c>
      <c r="D455" s="1">
        <v>44388</v>
      </c>
      <c r="E455" s="1">
        <v>45285</v>
      </c>
      <c r="F455">
        <v>7</v>
      </c>
      <c r="G455">
        <v>14</v>
      </c>
      <c r="H455">
        <v>444.6</v>
      </c>
      <c r="I455">
        <v>46.53</v>
      </c>
      <c r="J455" t="s">
        <v>115</v>
      </c>
      <c r="K455" t="s">
        <v>16</v>
      </c>
      <c r="L455" t="s">
        <v>2106</v>
      </c>
      <c r="M455">
        <v>0</v>
      </c>
      <c r="N455" t="s">
        <v>179</v>
      </c>
      <c r="O455" t="s">
        <v>2107</v>
      </c>
    </row>
    <row r="456" spans="1:15">
      <c r="A456" t="s">
        <v>2456</v>
      </c>
      <c r="B456" t="s">
        <v>2097</v>
      </c>
      <c r="C456" t="s">
        <v>2094</v>
      </c>
      <c r="D456" s="1">
        <v>44225</v>
      </c>
      <c r="E456" s="1">
        <v>45215</v>
      </c>
      <c r="F456">
        <v>77</v>
      </c>
      <c r="G456">
        <v>11</v>
      </c>
      <c r="H456">
        <v>337.48</v>
      </c>
      <c r="I456">
        <v>72.099999999999994</v>
      </c>
      <c r="J456" t="s">
        <v>66</v>
      </c>
      <c r="K456" t="s">
        <v>16</v>
      </c>
      <c r="L456" t="s">
        <v>2106</v>
      </c>
      <c r="M456">
        <v>2</v>
      </c>
      <c r="N456" t="s">
        <v>232</v>
      </c>
      <c r="O456" t="s">
        <v>2121</v>
      </c>
    </row>
    <row r="457" spans="1:15">
      <c r="A457" t="s">
        <v>2457</v>
      </c>
      <c r="B457" t="s">
        <v>2099</v>
      </c>
      <c r="C457" t="s">
        <v>2091</v>
      </c>
      <c r="D457" s="1">
        <v>45115</v>
      </c>
      <c r="E457" s="1">
        <v>45282</v>
      </c>
      <c r="F457">
        <v>10</v>
      </c>
      <c r="G457">
        <v>2</v>
      </c>
      <c r="H457">
        <v>107.53</v>
      </c>
      <c r="I457">
        <v>32.36</v>
      </c>
      <c r="J457" t="s">
        <v>41</v>
      </c>
      <c r="K457" t="s">
        <v>20</v>
      </c>
      <c r="L457" t="s">
        <v>2087</v>
      </c>
      <c r="M457">
        <v>6</v>
      </c>
      <c r="N457" t="s">
        <v>194</v>
      </c>
      <c r="O457" t="s">
        <v>2107</v>
      </c>
    </row>
    <row r="458" spans="1:15">
      <c r="A458" t="s">
        <v>2458</v>
      </c>
      <c r="B458" t="s">
        <v>2085</v>
      </c>
      <c r="C458" t="s">
        <v>2094</v>
      </c>
      <c r="D458" s="1">
        <v>44662</v>
      </c>
      <c r="E458" s="1">
        <v>44933</v>
      </c>
      <c r="F458">
        <v>359</v>
      </c>
      <c r="G458">
        <v>39</v>
      </c>
      <c r="H458">
        <v>1265.6600000000001</v>
      </c>
      <c r="I458">
        <v>160.59</v>
      </c>
      <c r="J458" t="s">
        <v>66</v>
      </c>
      <c r="K458" t="s">
        <v>20</v>
      </c>
      <c r="L458" t="s">
        <v>2106</v>
      </c>
      <c r="M458">
        <v>8</v>
      </c>
      <c r="N458" t="s">
        <v>204</v>
      </c>
      <c r="O458" t="s">
        <v>2109</v>
      </c>
    </row>
    <row r="459" spans="1:15">
      <c r="A459" t="s">
        <v>2459</v>
      </c>
      <c r="B459" t="s">
        <v>2090</v>
      </c>
      <c r="C459" t="s">
        <v>2094</v>
      </c>
      <c r="D459" s="1">
        <v>44668</v>
      </c>
      <c r="E459" s="1">
        <v>45183</v>
      </c>
      <c r="F459">
        <v>109</v>
      </c>
      <c r="G459">
        <v>3</v>
      </c>
      <c r="H459">
        <v>391.17</v>
      </c>
      <c r="I459">
        <v>91.51</v>
      </c>
      <c r="J459" t="s">
        <v>115</v>
      </c>
      <c r="K459" t="s">
        <v>16</v>
      </c>
      <c r="L459" t="s">
        <v>2087</v>
      </c>
      <c r="M459">
        <v>7</v>
      </c>
      <c r="N459" t="s">
        <v>165</v>
      </c>
      <c r="O459" t="s">
        <v>2107</v>
      </c>
    </row>
    <row r="460" spans="1:15">
      <c r="A460" t="s">
        <v>2460</v>
      </c>
      <c r="B460" t="s">
        <v>2090</v>
      </c>
      <c r="C460" t="s">
        <v>2111</v>
      </c>
      <c r="D460" s="1">
        <v>43495</v>
      </c>
      <c r="E460" s="1">
        <v>45269</v>
      </c>
      <c r="F460">
        <v>23</v>
      </c>
      <c r="G460">
        <v>5</v>
      </c>
      <c r="H460">
        <v>136.12</v>
      </c>
      <c r="I460">
        <v>111.77</v>
      </c>
      <c r="J460" t="s">
        <v>66</v>
      </c>
      <c r="K460" t="s">
        <v>16</v>
      </c>
      <c r="L460" t="s">
        <v>2087</v>
      </c>
      <c r="M460">
        <v>3</v>
      </c>
      <c r="N460" t="s">
        <v>157</v>
      </c>
      <c r="O460" t="s">
        <v>2107</v>
      </c>
    </row>
    <row r="461" spans="1:15">
      <c r="A461" t="s">
        <v>2461</v>
      </c>
      <c r="B461" t="s">
        <v>2113</v>
      </c>
      <c r="C461" t="s">
        <v>2108</v>
      </c>
      <c r="D461" s="1">
        <v>44406</v>
      </c>
      <c r="E461" s="1">
        <v>45218</v>
      </c>
      <c r="F461">
        <v>74</v>
      </c>
      <c r="G461">
        <v>8</v>
      </c>
      <c r="H461">
        <v>425</v>
      </c>
      <c r="I461">
        <v>47.83</v>
      </c>
      <c r="J461" t="s">
        <v>14</v>
      </c>
      <c r="K461" t="s">
        <v>20</v>
      </c>
      <c r="L461" t="s">
        <v>2106</v>
      </c>
      <c r="M461">
        <v>3</v>
      </c>
      <c r="N461" t="s">
        <v>165</v>
      </c>
      <c r="O461" t="s">
        <v>2107</v>
      </c>
    </row>
    <row r="462" spans="1:15">
      <c r="A462" t="s">
        <v>1446</v>
      </c>
      <c r="B462" t="s">
        <v>2113</v>
      </c>
      <c r="C462" t="s">
        <v>2111</v>
      </c>
      <c r="D462" s="1">
        <v>44140</v>
      </c>
      <c r="E462" s="1">
        <v>45186</v>
      </c>
      <c r="F462">
        <v>106</v>
      </c>
      <c r="G462">
        <v>6</v>
      </c>
      <c r="H462">
        <v>299.25</v>
      </c>
      <c r="I462">
        <v>34.94</v>
      </c>
      <c r="J462" t="s">
        <v>66</v>
      </c>
      <c r="K462" t="s">
        <v>20</v>
      </c>
      <c r="L462" t="s">
        <v>2106</v>
      </c>
      <c r="M462">
        <v>8</v>
      </c>
      <c r="N462" t="s">
        <v>179</v>
      </c>
      <c r="O462" t="s">
        <v>2096</v>
      </c>
    </row>
    <row r="463" spans="1:15">
      <c r="A463" t="s">
        <v>2462</v>
      </c>
      <c r="B463" t="s">
        <v>2085</v>
      </c>
      <c r="C463" t="s">
        <v>2108</v>
      </c>
      <c r="D463" s="1">
        <v>43990</v>
      </c>
      <c r="E463" s="1">
        <v>45020</v>
      </c>
      <c r="F463">
        <v>272</v>
      </c>
      <c r="G463">
        <v>26</v>
      </c>
      <c r="H463">
        <v>2046.74</v>
      </c>
      <c r="I463">
        <v>149.59</v>
      </c>
      <c r="J463" t="s">
        <v>41</v>
      </c>
      <c r="K463" t="s">
        <v>16</v>
      </c>
      <c r="L463" t="s">
        <v>2106</v>
      </c>
      <c r="M463">
        <v>7</v>
      </c>
      <c r="N463" t="s">
        <v>157</v>
      </c>
      <c r="O463" t="s">
        <v>2096</v>
      </c>
    </row>
    <row r="464" spans="1:15">
      <c r="A464" t="s">
        <v>1580</v>
      </c>
      <c r="B464" t="s">
        <v>2090</v>
      </c>
      <c r="C464" t="s">
        <v>2091</v>
      </c>
      <c r="D464" s="1">
        <v>43855</v>
      </c>
      <c r="E464" s="1">
        <v>44959</v>
      </c>
      <c r="F464">
        <v>333</v>
      </c>
      <c r="G464">
        <v>4</v>
      </c>
      <c r="H464">
        <v>256.63</v>
      </c>
      <c r="I464">
        <v>47.31</v>
      </c>
      <c r="J464" t="s">
        <v>115</v>
      </c>
      <c r="K464" t="s">
        <v>16</v>
      </c>
      <c r="L464" t="s">
        <v>2095</v>
      </c>
      <c r="M464">
        <v>3</v>
      </c>
      <c r="N464" t="s">
        <v>157</v>
      </c>
      <c r="O464" t="s">
        <v>2107</v>
      </c>
    </row>
    <row r="465" spans="1:15">
      <c r="A465" t="s">
        <v>2463</v>
      </c>
      <c r="B465" t="s">
        <v>2090</v>
      </c>
      <c r="C465" t="s">
        <v>2094</v>
      </c>
      <c r="D465" s="1">
        <v>44565</v>
      </c>
      <c r="E465" s="1">
        <v>44953</v>
      </c>
      <c r="F465">
        <v>339</v>
      </c>
      <c r="G465">
        <v>8</v>
      </c>
      <c r="H465">
        <v>266.01</v>
      </c>
      <c r="I465">
        <v>77.14</v>
      </c>
      <c r="J465" t="s">
        <v>14</v>
      </c>
      <c r="K465" t="s">
        <v>16</v>
      </c>
      <c r="L465" t="s">
        <v>2087</v>
      </c>
      <c r="M465">
        <v>1</v>
      </c>
      <c r="N465" t="s">
        <v>204</v>
      </c>
      <c r="O465" t="s">
        <v>2096</v>
      </c>
    </row>
    <row r="466" spans="1:15">
      <c r="A466" t="s">
        <v>2464</v>
      </c>
      <c r="B466" t="s">
        <v>2099</v>
      </c>
      <c r="C466" t="s">
        <v>2094</v>
      </c>
      <c r="D466" s="1">
        <v>44691</v>
      </c>
      <c r="E466" s="1">
        <v>45176</v>
      </c>
      <c r="F466">
        <v>116</v>
      </c>
      <c r="G466">
        <v>1</v>
      </c>
      <c r="H466">
        <v>32.979999999999997</v>
      </c>
      <c r="I466">
        <v>67.150000000000006</v>
      </c>
      <c r="J466" t="s">
        <v>115</v>
      </c>
      <c r="K466" t="s">
        <v>16</v>
      </c>
      <c r="L466" t="s">
        <v>2106</v>
      </c>
      <c r="M466">
        <v>6</v>
      </c>
      <c r="N466" t="s">
        <v>179</v>
      </c>
      <c r="O466" t="s">
        <v>2096</v>
      </c>
    </row>
    <row r="467" spans="1:15">
      <c r="A467" t="s">
        <v>1896</v>
      </c>
      <c r="B467" t="s">
        <v>2093</v>
      </c>
      <c r="C467" t="s">
        <v>2086</v>
      </c>
      <c r="D467" s="1">
        <v>45116</v>
      </c>
      <c r="E467" s="1">
        <v>45252</v>
      </c>
      <c r="F467">
        <v>40</v>
      </c>
      <c r="G467">
        <v>4</v>
      </c>
      <c r="H467">
        <v>162.16</v>
      </c>
      <c r="I467">
        <v>31.69</v>
      </c>
      <c r="J467" t="s">
        <v>90</v>
      </c>
      <c r="K467" t="s">
        <v>16</v>
      </c>
      <c r="L467" t="s">
        <v>2087</v>
      </c>
      <c r="M467">
        <v>6</v>
      </c>
      <c r="N467" t="s">
        <v>232</v>
      </c>
      <c r="O467" t="s">
        <v>2121</v>
      </c>
    </row>
    <row r="468" spans="1:15">
      <c r="A468" t="s">
        <v>1537</v>
      </c>
      <c r="B468" t="s">
        <v>2099</v>
      </c>
      <c r="C468" t="s">
        <v>2094</v>
      </c>
      <c r="D468" s="1">
        <v>44047</v>
      </c>
      <c r="E468" s="1">
        <v>45257</v>
      </c>
      <c r="F468">
        <v>35</v>
      </c>
      <c r="G468">
        <v>1</v>
      </c>
      <c r="H468">
        <v>62.72</v>
      </c>
      <c r="I468">
        <v>58.66</v>
      </c>
      <c r="J468" t="s">
        <v>66</v>
      </c>
      <c r="K468" t="s">
        <v>20</v>
      </c>
      <c r="L468" t="s">
        <v>2095</v>
      </c>
      <c r="M468">
        <v>5</v>
      </c>
      <c r="N468" t="s">
        <v>194</v>
      </c>
      <c r="O468" t="s">
        <v>2088</v>
      </c>
    </row>
    <row r="469" spans="1:15">
      <c r="A469" t="s">
        <v>2465</v>
      </c>
      <c r="B469" t="s">
        <v>2090</v>
      </c>
      <c r="C469" t="s">
        <v>2100</v>
      </c>
      <c r="D469" s="1">
        <v>45015</v>
      </c>
      <c r="E469" s="1">
        <v>45020</v>
      </c>
      <c r="F469">
        <v>272</v>
      </c>
      <c r="G469">
        <v>4</v>
      </c>
      <c r="H469">
        <v>280.29000000000002</v>
      </c>
      <c r="I469">
        <v>48.92</v>
      </c>
      <c r="J469" t="s">
        <v>14</v>
      </c>
      <c r="K469" t="s">
        <v>16</v>
      </c>
      <c r="L469" t="s">
        <v>2106</v>
      </c>
      <c r="M469">
        <v>7</v>
      </c>
      <c r="N469" t="s">
        <v>204</v>
      </c>
      <c r="O469" t="s">
        <v>2107</v>
      </c>
    </row>
    <row r="470" spans="1:15">
      <c r="A470" t="s">
        <v>387</v>
      </c>
      <c r="B470" t="s">
        <v>2097</v>
      </c>
      <c r="C470" t="s">
        <v>2094</v>
      </c>
      <c r="D470" s="1">
        <v>43659</v>
      </c>
      <c r="E470" s="1">
        <v>45153</v>
      </c>
      <c r="F470">
        <v>139</v>
      </c>
      <c r="G470">
        <v>4</v>
      </c>
      <c r="H470">
        <v>644.28</v>
      </c>
      <c r="I470">
        <v>117.3</v>
      </c>
      <c r="J470" t="s">
        <v>115</v>
      </c>
      <c r="K470" t="s">
        <v>16</v>
      </c>
      <c r="L470" t="s">
        <v>2095</v>
      </c>
      <c r="M470">
        <v>1</v>
      </c>
      <c r="N470" t="s">
        <v>179</v>
      </c>
      <c r="O470" t="s">
        <v>2107</v>
      </c>
    </row>
    <row r="471" spans="1:15">
      <c r="A471" t="s">
        <v>2466</v>
      </c>
      <c r="B471" t="s">
        <v>2097</v>
      </c>
      <c r="C471" t="s">
        <v>2111</v>
      </c>
      <c r="D471" s="1">
        <v>44552</v>
      </c>
      <c r="E471" s="1">
        <v>45168</v>
      </c>
      <c r="F471">
        <v>124</v>
      </c>
      <c r="G471">
        <v>7</v>
      </c>
      <c r="H471">
        <v>476.16</v>
      </c>
      <c r="I471">
        <v>82</v>
      </c>
      <c r="J471" t="s">
        <v>66</v>
      </c>
      <c r="K471" t="s">
        <v>20</v>
      </c>
      <c r="L471" t="s">
        <v>2095</v>
      </c>
      <c r="M471">
        <v>9</v>
      </c>
      <c r="N471" t="s">
        <v>165</v>
      </c>
      <c r="O471" t="s">
        <v>2107</v>
      </c>
    </row>
    <row r="472" spans="1:15">
      <c r="A472" t="s">
        <v>2467</v>
      </c>
      <c r="B472" t="s">
        <v>2113</v>
      </c>
      <c r="C472" t="s">
        <v>2086</v>
      </c>
      <c r="D472" s="1">
        <v>43817</v>
      </c>
      <c r="E472" s="1">
        <v>45007</v>
      </c>
      <c r="F472">
        <v>285</v>
      </c>
      <c r="G472">
        <v>10</v>
      </c>
      <c r="H472">
        <v>195.95</v>
      </c>
      <c r="I472">
        <v>49.81</v>
      </c>
      <c r="J472" t="s">
        <v>41</v>
      </c>
      <c r="K472" t="s">
        <v>16</v>
      </c>
      <c r="L472" t="s">
        <v>2106</v>
      </c>
      <c r="M472">
        <v>7</v>
      </c>
      <c r="N472" t="s">
        <v>165</v>
      </c>
      <c r="O472" t="s">
        <v>2088</v>
      </c>
    </row>
    <row r="473" spans="1:15">
      <c r="A473" t="s">
        <v>2468</v>
      </c>
      <c r="B473" t="s">
        <v>2099</v>
      </c>
      <c r="C473" t="s">
        <v>2094</v>
      </c>
      <c r="D473" s="1">
        <v>45219</v>
      </c>
      <c r="E473" s="1">
        <v>45082</v>
      </c>
      <c r="F473">
        <v>210</v>
      </c>
      <c r="G473">
        <v>2</v>
      </c>
      <c r="H473">
        <v>49.73</v>
      </c>
      <c r="I473">
        <v>41.03</v>
      </c>
      <c r="J473" t="s">
        <v>41</v>
      </c>
      <c r="K473" t="s">
        <v>16</v>
      </c>
      <c r="L473" t="s">
        <v>2087</v>
      </c>
      <c r="M473">
        <v>5</v>
      </c>
      <c r="N473" t="s">
        <v>179</v>
      </c>
      <c r="O473" t="s">
        <v>2121</v>
      </c>
    </row>
    <row r="474" spans="1:15">
      <c r="A474" t="s">
        <v>2469</v>
      </c>
      <c r="B474" t="s">
        <v>2099</v>
      </c>
      <c r="C474" t="s">
        <v>2100</v>
      </c>
      <c r="D474" s="1">
        <v>44320</v>
      </c>
      <c r="E474" s="1">
        <v>44929</v>
      </c>
      <c r="F474">
        <v>363</v>
      </c>
      <c r="G474">
        <v>2</v>
      </c>
      <c r="H474">
        <v>75.290000000000006</v>
      </c>
      <c r="I474">
        <v>51.48</v>
      </c>
      <c r="J474" t="s">
        <v>14</v>
      </c>
      <c r="K474" t="s">
        <v>16</v>
      </c>
      <c r="L474" t="s">
        <v>2087</v>
      </c>
      <c r="M474">
        <v>10</v>
      </c>
      <c r="N474" t="s">
        <v>179</v>
      </c>
      <c r="O474" t="s">
        <v>2107</v>
      </c>
    </row>
    <row r="475" spans="1:15">
      <c r="A475" t="s">
        <v>2470</v>
      </c>
      <c r="B475" t="s">
        <v>2099</v>
      </c>
      <c r="C475" t="s">
        <v>2108</v>
      </c>
      <c r="D475" s="1">
        <v>43893</v>
      </c>
      <c r="E475" s="1">
        <v>45265</v>
      </c>
      <c r="F475">
        <v>27</v>
      </c>
      <c r="G475">
        <v>2</v>
      </c>
      <c r="H475">
        <v>22.53</v>
      </c>
      <c r="I475">
        <v>76.349999999999994</v>
      </c>
      <c r="J475" t="s">
        <v>66</v>
      </c>
      <c r="K475" t="s">
        <v>16</v>
      </c>
      <c r="L475" t="s">
        <v>2087</v>
      </c>
      <c r="M475">
        <v>0</v>
      </c>
      <c r="N475" t="s">
        <v>194</v>
      </c>
      <c r="O475" t="s">
        <v>2109</v>
      </c>
    </row>
    <row r="476" spans="1:15">
      <c r="A476" t="s">
        <v>1064</v>
      </c>
      <c r="B476" t="s">
        <v>2099</v>
      </c>
      <c r="C476" t="s">
        <v>2086</v>
      </c>
      <c r="D476" s="1">
        <v>45099</v>
      </c>
      <c r="E476" s="1">
        <v>45037</v>
      </c>
      <c r="F476">
        <v>255</v>
      </c>
      <c r="G476">
        <v>2</v>
      </c>
      <c r="H476">
        <v>92.55</v>
      </c>
      <c r="I476">
        <v>79.12</v>
      </c>
      <c r="J476" t="s">
        <v>115</v>
      </c>
      <c r="K476" t="s">
        <v>16</v>
      </c>
      <c r="L476" t="s">
        <v>2087</v>
      </c>
      <c r="M476">
        <v>1</v>
      </c>
      <c r="N476" t="s">
        <v>174</v>
      </c>
      <c r="O476" t="s">
        <v>2107</v>
      </c>
    </row>
    <row r="477" spans="1:15">
      <c r="A477" t="s">
        <v>858</v>
      </c>
      <c r="B477" t="s">
        <v>2097</v>
      </c>
      <c r="C477" t="s">
        <v>2111</v>
      </c>
      <c r="D477" s="1">
        <v>44680</v>
      </c>
      <c r="E477" s="1">
        <v>45167</v>
      </c>
      <c r="F477">
        <v>125</v>
      </c>
      <c r="G477">
        <v>8</v>
      </c>
      <c r="H477">
        <v>619.85</v>
      </c>
      <c r="I477">
        <v>144.15</v>
      </c>
      <c r="J477" t="s">
        <v>90</v>
      </c>
      <c r="K477" t="s">
        <v>20</v>
      </c>
      <c r="L477" t="s">
        <v>2106</v>
      </c>
      <c r="M477">
        <v>7</v>
      </c>
      <c r="N477" t="s">
        <v>157</v>
      </c>
      <c r="O477" t="s">
        <v>2121</v>
      </c>
    </row>
    <row r="478" spans="1:15">
      <c r="A478" t="s">
        <v>2471</v>
      </c>
      <c r="B478" t="s">
        <v>2090</v>
      </c>
      <c r="C478" t="s">
        <v>2094</v>
      </c>
      <c r="D478" s="1">
        <v>44775</v>
      </c>
      <c r="E478" s="1">
        <v>45102</v>
      </c>
      <c r="F478">
        <v>190</v>
      </c>
      <c r="G478">
        <v>6</v>
      </c>
      <c r="H478">
        <v>200.01</v>
      </c>
      <c r="I478">
        <v>48.12</v>
      </c>
      <c r="J478" t="s">
        <v>115</v>
      </c>
      <c r="K478" t="s">
        <v>16</v>
      </c>
      <c r="L478" t="s">
        <v>2087</v>
      </c>
      <c r="M478">
        <v>4</v>
      </c>
      <c r="N478" t="s">
        <v>174</v>
      </c>
      <c r="O478" t="s">
        <v>2109</v>
      </c>
    </row>
    <row r="479" spans="1:15">
      <c r="A479" t="s">
        <v>2011</v>
      </c>
      <c r="B479" t="s">
        <v>2097</v>
      </c>
      <c r="C479" t="s">
        <v>2091</v>
      </c>
      <c r="D479" s="1">
        <v>44313</v>
      </c>
      <c r="E479" s="1">
        <v>45004</v>
      </c>
      <c r="F479">
        <v>288</v>
      </c>
      <c r="G479">
        <v>4</v>
      </c>
      <c r="H479">
        <v>360.95</v>
      </c>
      <c r="I479">
        <v>127.52</v>
      </c>
      <c r="J479" t="s">
        <v>115</v>
      </c>
      <c r="K479" t="s">
        <v>16</v>
      </c>
      <c r="L479" t="s">
        <v>2106</v>
      </c>
      <c r="M479">
        <v>3</v>
      </c>
      <c r="N479" t="s">
        <v>232</v>
      </c>
      <c r="O479" t="s">
        <v>2096</v>
      </c>
    </row>
    <row r="480" spans="1:15">
      <c r="A480" t="s">
        <v>1548</v>
      </c>
      <c r="B480" t="s">
        <v>2099</v>
      </c>
      <c r="C480" t="s">
        <v>2086</v>
      </c>
      <c r="D480" s="1">
        <v>44819</v>
      </c>
      <c r="E480" s="1">
        <v>45060</v>
      </c>
      <c r="F480">
        <v>232</v>
      </c>
      <c r="G480">
        <v>1</v>
      </c>
      <c r="H480">
        <v>62.62</v>
      </c>
      <c r="I480">
        <v>63.73</v>
      </c>
      <c r="J480" t="s">
        <v>115</v>
      </c>
      <c r="K480" t="s">
        <v>16</v>
      </c>
      <c r="L480" t="s">
        <v>2106</v>
      </c>
      <c r="M480">
        <v>0</v>
      </c>
      <c r="N480" t="s">
        <v>157</v>
      </c>
      <c r="O480" t="s">
        <v>2096</v>
      </c>
    </row>
    <row r="481" spans="1:15">
      <c r="A481" t="s">
        <v>2472</v>
      </c>
      <c r="B481" t="s">
        <v>2093</v>
      </c>
      <c r="C481" t="s">
        <v>2108</v>
      </c>
      <c r="D481" s="1">
        <v>45048</v>
      </c>
      <c r="E481" s="1">
        <v>45155</v>
      </c>
      <c r="F481">
        <v>137</v>
      </c>
      <c r="G481">
        <v>3</v>
      </c>
      <c r="H481">
        <v>192.72</v>
      </c>
      <c r="I481">
        <v>41.67</v>
      </c>
      <c r="J481" t="s">
        <v>41</v>
      </c>
      <c r="K481" t="s">
        <v>16</v>
      </c>
      <c r="L481" t="s">
        <v>2087</v>
      </c>
      <c r="M481">
        <v>7</v>
      </c>
      <c r="N481" t="s">
        <v>157</v>
      </c>
      <c r="O481" t="s">
        <v>2109</v>
      </c>
    </row>
    <row r="482" spans="1:15">
      <c r="A482" t="s">
        <v>1939</v>
      </c>
      <c r="B482" t="s">
        <v>2113</v>
      </c>
      <c r="C482" t="s">
        <v>2086</v>
      </c>
      <c r="D482" s="1">
        <v>43996</v>
      </c>
      <c r="E482" s="1">
        <v>45057</v>
      </c>
      <c r="F482">
        <v>235</v>
      </c>
      <c r="G482">
        <v>15</v>
      </c>
      <c r="H482">
        <v>199.49</v>
      </c>
      <c r="I482">
        <v>78.569999999999993</v>
      </c>
      <c r="J482" t="s">
        <v>14</v>
      </c>
      <c r="K482" t="s">
        <v>16</v>
      </c>
      <c r="L482" t="s">
        <v>2095</v>
      </c>
      <c r="M482">
        <v>10</v>
      </c>
      <c r="N482" t="s">
        <v>204</v>
      </c>
      <c r="O482" t="s">
        <v>2109</v>
      </c>
    </row>
    <row r="483" spans="1:15">
      <c r="A483" t="s">
        <v>2473</v>
      </c>
      <c r="B483" t="s">
        <v>2099</v>
      </c>
      <c r="C483" t="s">
        <v>2094</v>
      </c>
      <c r="D483" s="1">
        <v>43589</v>
      </c>
      <c r="E483" s="1">
        <v>45189</v>
      </c>
      <c r="F483">
        <v>103</v>
      </c>
      <c r="G483">
        <v>2</v>
      </c>
      <c r="H483">
        <v>123.75</v>
      </c>
      <c r="I483">
        <v>86.53</v>
      </c>
      <c r="J483" t="s">
        <v>14</v>
      </c>
      <c r="K483" t="s">
        <v>20</v>
      </c>
      <c r="L483" t="s">
        <v>2087</v>
      </c>
      <c r="M483">
        <v>0</v>
      </c>
      <c r="N483" t="s">
        <v>232</v>
      </c>
      <c r="O483" t="s">
        <v>2121</v>
      </c>
    </row>
    <row r="484" spans="1:15">
      <c r="A484" t="s">
        <v>1253</v>
      </c>
      <c r="B484" t="s">
        <v>2090</v>
      </c>
      <c r="C484" t="s">
        <v>2086</v>
      </c>
      <c r="D484" s="1">
        <v>43603</v>
      </c>
      <c r="E484" s="1">
        <v>44965</v>
      </c>
      <c r="F484">
        <v>327</v>
      </c>
      <c r="G484">
        <v>5</v>
      </c>
      <c r="H484">
        <v>170.45</v>
      </c>
      <c r="I484">
        <v>66.7</v>
      </c>
      <c r="J484" t="s">
        <v>14</v>
      </c>
      <c r="K484" t="s">
        <v>20</v>
      </c>
      <c r="L484" t="s">
        <v>2095</v>
      </c>
      <c r="M484">
        <v>8</v>
      </c>
      <c r="N484" t="s">
        <v>157</v>
      </c>
      <c r="O484" t="s">
        <v>2088</v>
      </c>
    </row>
    <row r="485" spans="1:15">
      <c r="A485" t="s">
        <v>2474</v>
      </c>
      <c r="B485" t="s">
        <v>2085</v>
      </c>
      <c r="C485" t="s">
        <v>2108</v>
      </c>
      <c r="D485" s="1">
        <v>43856</v>
      </c>
      <c r="E485" s="1">
        <v>44964</v>
      </c>
      <c r="F485">
        <v>328</v>
      </c>
      <c r="G485">
        <v>30</v>
      </c>
      <c r="H485">
        <v>2829.49</v>
      </c>
      <c r="I485">
        <v>222.01</v>
      </c>
      <c r="J485" t="s">
        <v>90</v>
      </c>
      <c r="K485" t="s">
        <v>16</v>
      </c>
      <c r="L485" t="s">
        <v>2087</v>
      </c>
      <c r="M485">
        <v>7</v>
      </c>
      <c r="N485" t="s">
        <v>165</v>
      </c>
      <c r="O485" t="s">
        <v>2107</v>
      </c>
    </row>
    <row r="486" spans="1:15">
      <c r="A486" t="s">
        <v>2475</v>
      </c>
      <c r="B486" t="s">
        <v>2093</v>
      </c>
      <c r="C486" t="s">
        <v>2086</v>
      </c>
      <c r="D486" s="1">
        <v>44161</v>
      </c>
      <c r="E486" s="1">
        <v>45159</v>
      </c>
      <c r="F486">
        <v>133</v>
      </c>
      <c r="G486">
        <v>3</v>
      </c>
      <c r="H486">
        <v>42.41</v>
      </c>
      <c r="I486">
        <v>58.87</v>
      </c>
      <c r="J486" t="s">
        <v>90</v>
      </c>
      <c r="K486" t="s">
        <v>16</v>
      </c>
      <c r="L486" t="s">
        <v>2087</v>
      </c>
      <c r="M486">
        <v>9</v>
      </c>
      <c r="N486" t="s">
        <v>194</v>
      </c>
      <c r="O486" t="s">
        <v>2096</v>
      </c>
    </row>
    <row r="487" spans="1:15">
      <c r="A487" t="s">
        <v>2476</v>
      </c>
      <c r="B487" t="s">
        <v>2090</v>
      </c>
      <c r="C487" t="s">
        <v>2091</v>
      </c>
      <c r="D487" s="1">
        <v>44126</v>
      </c>
      <c r="E487" s="1">
        <v>45145</v>
      </c>
      <c r="F487">
        <v>147</v>
      </c>
      <c r="G487">
        <v>8</v>
      </c>
      <c r="H487">
        <v>204.78</v>
      </c>
      <c r="I487">
        <v>40.68</v>
      </c>
      <c r="J487" t="s">
        <v>66</v>
      </c>
      <c r="K487" t="s">
        <v>16</v>
      </c>
      <c r="L487" t="s">
        <v>2106</v>
      </c>
      <c r="M487">
        <v>10</v>
      </c>
      <c r="N487" t="s">
        <v>179</v>
      </c>
      <c r="O487" t="s">
        <v>2121</v>
      </c>
    </row>
    <row r="488" spans="1:15">
      <c r="A488" t="s">
        <v>2477</v>
      </c>
      <c r="B488" t="s">
        <v>2090</v>
      </c>
      <c r="C488" t="s">
        <v>2094</v>
      </c>
      <c r="D488" s="1">
        <v>45148</v>
      </c>
      <c r="E488" s="1">
        <v>45221</v>
      </c>
      <c r="F488">
        <v>71</v>
      </c>
      <c r="G488">
        <v>5</v>
      </c>
      <c r="H488">
        <v>289.16000000000003</v>
      </c>
      <c r="I488">
        <v>56.03</v>
      </c>
      <c r="J488" t="s">
        <v>115</v>
      </c>
      <c r="K488" t="s">
        <v>16</v>
      </c>
      <c r="L488" t="s">
        <v>2095</v>
      </c>
      <c r="M488">
        <v>2</v>
      </c>
      <c r="N488" t="s">
        <v>157</v>
      </c>
      <c r="O488" t="s">
        <v>2121</v>
      </c>
    </row>
    <row r="489" spans="1:15">
      <c r="A489" t="s">
        <v>2478</v>
      </c>
      <c r="B489" t="s">
        <v>2097</v>
      </c>
      <c r="C489" t="s">
        <v>2091</v>
      </c>
      <c r="D489" s="1">
        <v>45195</v>
      </c>
      <c r="E489" s="1">
        <v>44947</v>
      </c>
      <c r="F489">
        <v>345</v>
      </c>
      <c r="G489">
        <v>4</v>
      </c>
      <c r="H489">
        <v>167.05</v>
      </c>
      <c r="I489">
        <v>110.19</v>
      </c>
      <c r="J489" t="s">
        <v>115</v>
      </c>
      <c r="K489" t="s">
        <v>16</v>
      </c>
      <c r="L489" t="s">
        <v>2095</v>
      </c>
      <c r="M489">
        <v>5</v>
      </c>
      <c r="N489" t="s">
        <v>179</v>
      </c>
      <c r="O489" t="s">
        <v>2121</v>
      </c>
    </row>
    <row r="490" spans="1:15">
      <c r="A490" t="s">
        <v>2479</v>
      </c>
      <c r="B490" t="s">
        <v>2097</v>
      </c>
      <c r="C490" t="s">
        <v>2091</v>
      </c>
      <c r="D490" s="1">
        <v>44021</v>
      </c>
      <c r="E490" s="1">
        <v>45046</v>
      </c>
      <c r="F490">
        <v>246</v>
      </c>
      <c r="G490">
        <v>6</v>
      </c>
      <c r="H490">
        <v>281.11</v>
      </c>
      <c r="I490">
        <v>66.33</v>
      </c>
      <c r="J490" t="s">
        <v>66</v>
      </c>
      <c r="K490" t="s">
        <v>16</v>
      </c>
      <c r="L490" t="s">
        <v>2095</v>
      </c>
      <c r="M490">
        <v>7</v>
      </c>
      <c r="N490" t="s">
        <v>174</v>
      </c>
      <c r="O490" t="s">
        <v>2109</v>
      </c>
    </row>
    <row r="491" spans="1:15">
      <c r="A491" t="s">
        <v>2480</v>
      </c>
      <c r="B491" t="s">
        <v>2085</v>
      </c>
      <c r="C491" t="s">
        <v>2111</v>
      </c>
      <c r="D491" s="1">
        <v>43893</v>
      </c>
      <c r="E491" s="1">
        <v>45121</v>
      </c>
      <c r="F491">
        <v>171</v>
      </c>
      <c r="G491">
        <v>26</v>
      </c>
      <c r="H491">
        <v>2708.57</v>
      </c>
      <c r="I491">
        <v>270.83999999999997</v>
      </c>
      <c r="J491" t="s">
        <v>90</v>
      </c>
      <c r="K491" t="s">
        <v>16</v>
      </c>
      <c r="L491" t="s">
        <v>2087</v>
      </c>
      <c r="M491">
        <v>3</v>
      </c>
      <c r="N491" t="s">
        <v>157</v>
      </c>
      <c r="O491" t="s">
        <v>2109</v>
      </c>
    </row>
    <row r="492" spans="1:15">
      <c r="A492" t="s">
        <v>2481</v>
      </c>
      <c r="B492" t="s">
        <v>2090</v>
      </c>
      <c r="C492" t="s">
        <v>2108</v>
      </c>
      <c r="D492" s="1">
        <v>44503</v>
      </c>
      <c r="E492" s="1">
        <v>45223</v>
      </c>
      <c r="F492">
        <v>69</v>
      </c>
      <c r="G492">
        <v>8</v>
      </c>
      <c r="H492">
        <v>119.89</v>
      </c>
      <c r="I492">
        <v>117.54</v>
      </c>
      <c r="J492" t="s">
        <v>115</v>
      </c>
      <c r="K492" t="s">
        <v>16</v>
      </c>
      <c r="L492" t="s">
        <v>2095</v>
      </c>
      <c r="M492">
        <v>3</v>
      </c>
      <c r="N492" t="s">
        <v>174</v>
      </c>
      <c r="O492" t="s">
        <v>2109</v>
      </c>
    </row>
    <row r="493" spans="1:15">
      <c r="A493" t="s">
        <v>416</v>
      </c>
      <c r="B493" t="s">
        <v>2093</v>
      </c>
      <c r="C493" t="s">
        <v>2091</v>
      </c>
      <c r="D493" s="1">
        <v>44316</v>
      </c>
      <c r="E493" s="1">
        <v>45024</v>
      </c>
      <c r="F493">
        <v>268</v>
      </c>
      <c r="G493">
        <v>5</v>
      </c>
      <c r="H493">
        <v>90.93</v>
      </c>
      <c r="I493">
        <v>79.72</v>
      </c>
      <c r="J493" t="s">
        <v>14</v>
      </c>
      <c r="K493" t="s">
        <v>20</v>
      </c>
      <c r="L493" t="s">
        <v>2087</v>
      </c>
      <c r="M493">
        <v>7</v>
      </c>
      <c r="N493" t="s">
        <v>194</v>
      </c>
      <c r="O493" t="s">
        <v>2088</v>
      </c>
    </row>
    <row r="494" spans="1:15">
      <c r="A494" t="s">
        <v>2482</v>
      </c>
      <c r="B494" t="s">
        <v>2085</v>
      </c>
      <c r="C494" t="s">
        <v>2111</v>
      </c>
      <c r="D494" s="1">
        <v>44326</v>
      </c>
      <c r="E494" s="1">
        <v>45131</v>
      </c>
      <c r="F494">
        <v>161</v>
      </c>
      <c r="G494">
        <v>26</v>
      </c>
      <c r="H494">
        <v>835.52</v>
      </c>
      <c r="I494">
        <v>176.01</v>
      </c>
      <c r="J494" t="s">
        <v>66</v>
      </c>
      <c r="K494" t="s">
        <v>16</v>
      </c>
      <c r="L494" t="s">
        <v>2087</v>
      </c>
      <c r="M494">
        <v>1</v>
      </c>
      <c r="N494" t="s">
        <v>204</v>
      </c>
      <c r="O494" t="s">
        <v>2121</v>
      </c>
    </row>
    <row r="495" spans="1:15">
      <c r="A495" t="s">
        <v>2483</v>
      </c>
      <c r="B495" t="s">
        <v>2097</v>
      </c>
      <c r="C495" t="s">
        <v>2111</v>
      </c>
      <c r="D495" s="1">
        <v>45259</v>
      </c>
      <c r="E495" s="1">
        <v>45168</v>
      </c>
      <c r="F495">
        <v>124</v>
      </c>
      <c r="G495">
        <v>4</v>
      </c>
      <c r="H495">
        <v>572.78</v>
      </c>
      <c r="I495">
        <v>131.02000000000001</v>
      </c>
      <c r="J495" t="s">
        <v>66</v>
      </c>
      <c r="K495" t="s">
        <v>20</v>
      </c>
      <c r="L495" t="s">
        <v>2106</v>
      </c>
      <c r="M495">
        <v>5</v>
      </c>
      <c r="N495" t="s">
        <v>174</v>
      </c>
      <c r="O495" t="s">
        <v>2107</v>
      </c>
    </row>
    <row r="496" spans="1:15">
      <c r="A496" t="s">
        <v>1687</v>
      </c>
      <c r="B496" t="s">
        <v>2097</v>
      </c>
      <c r="C496" t="s">
        <v>2108</v>
      </c>
      <c r="D496" s="1">
        <v>43784</v>
      </c>
      <c r="E496" s="1">
        <v>44998</v>
      </c>
      <c r="F496">
        <v>294</v>
      </c>
      <c r="G496">
        <v>5</v>
      </c>
      <c r="H496">
        <v>516.98</v>
      </c>
      <c r="I496">
        <v>62.79</v>
      </c>
      <c r="J496" t="s">
        <v>90</v>
      </c>
      <c r="K496" t="s">
        <v>16</v>
      </c>
      <c r="L496" t="s">
        <v>2095</v>
      </c>
      <c r="M496">
        <v>9</v>
      </c>
      <c r="N496" t="s">
        <v>179</v>
      </c>
      <c r="O496" t="s">
        <v>2107</v>
      </c>
    </row>
    <row r="497" spans="1:15">
      <c r="A497" t="s">
        <v>2484</v>
      </c>
      <c r="B497" t="s">
        <v>2093</v>
      </c>
      <c r="C497" t="s">
        <v>2091</v>
      </c>
      <c r="D497" s="1">
        <v>43788</v>
      </c>
      <c r="E497" s="1">
        <v>45141</v>
      </c>
      <c r="F497">
        <v>151</v>
      </c>
      <c r="G497">
        <v>3</v>
      </c>
      <c r="H497">
        <v>93.19</v>
      </c>
      <c r="I497">
        <v>44.89</v>
      </c>
      <c r="J497" t="s">
        <v>41</v>
      </c>
      <c r="K497" t="s">
        <v>20</v>
      </c>
      <c r="L497" t="s">
        <v>2095</v>
      </c>
      <c r="M497">
        <v>10</v>
      </c>
      <c r="N497" t="s">
        <v>157</v>
      </c>
      <c r="O497" t="s">
        <v>2121</v>
      </c>
    </row>
    <row r="498" spans="1:15">
      <c r="A498" t="s">
        <v>1317</v>
      </c>
      <c r="B498" t="s">
        <v>2085</v>
      </c>
      <c r="C498" t="s">
        <v>2108</v>
      </c>
      <c r="D498" s="1">
        <v>44092</v>
      </c>
      <c r="E498" s="1">
        <v>45133</v>
      </c>
      <c r="F498">
        <v>159</v>
      </c>
      <c r="G498">
        <v>37</v>
      </c>
      <c r="H498">
        <v>1157.22</v>
      </c>
      <c r="I498">
        <v>199.51</v>
      </c>
      <c r="J498" t="s">
        <v>66</v>
      </c>
      <c r="K498" t="s">
        <v>16</v>
      </c>
      <c r="L498" t="s">
        <v>2106</v>
      </c>
      <c r="M498">
        <v>5</v>
      </c>
      <c r="N498" t="s">
        <v>174</v>
      </c>
      <c r="O498" t="s">
        <v>2096</v>
      </c>
    </row>
    <row r="499" spans="1:15">
      <c r="A499" t="s">
        <v>2485</v>
      </c>
      <c r="B499" t="s">
        <v>2113</v>
      </c>
      <c r="C499" t="s">
        <v>2100</v>
      </c>
      <c r="D499" s="1">
        <v>45251</v>
      </c>
      <c r="E499" s="1">
        <v>45000</v>
      </c>
      <c r="F499">
        <v>292</v>
      </c>
      <c r="G499">
        <v>5</v>
      </c>
      <c r="H499">
        <v>544.41</v>
      </c>
      <c r="I499">
        <v>31.71</v>
      </c>
      <c r="J499" t="s">
        <v>14</v>
      </c>
      <c r="K499" t="s">
        <v>20</v>
      </c>
      <c r="L499" t="s">
        <v>2087</v>
      </c>
      <c r="M499">
        <v>9</v>
      </c>
      <c r="N499" t="s">
        <v>165</v>
      </c>
      <c r="O499" t="s">
        <v>2088</v>
      </c>
    </row>
    <row r="500" spans="1:15">
      <c r="A500" t="s">
        <v>2486</v>
      </c>
      <c r="B500" t="s">
        <v>2097</v>
      </c>
      <c r="C500" t="s">
        <v>2100</v>
      </c>
      <c r="D500" s="1">
        <v>43922</v>
      </c>
      <c r="E500" s="1">
        <v>44974</v>
      </c>
      <c r="F500">
        <v>318</v>
      </c>
      <c r="G500">
        <v>5</v>
      </c>
      <c r="H500">
        <v>215.07</v>
      </c>
      <c r="I500">
        <v>84.87</v>
      </c>
      <c r="J500" t="s">
        <v>14</v>
      </c>
      <c r="K500" t="s">
        <v>16</v>
      </c>
      <c r="L500" t="s">
        <v>2087</v>
      </c>
      <c r="M500">
        <v>7</v>
      </c>
      <c r="N500" t="s">
        <v>204</v>
      </c>
      <c r="O500" t="s">
        <v>2088</v>
      </c>
    </row>
    <row r="501" spans="1:15">
      <c r="A501" t="s">
        <v>1918</v>
      </c>
      <c r="B501" t="s">
        <v>2099</v>
      </c>
      <c r="C501" t="s">
        <v>2100</v>
      </c>
      <c r="D501" s="1">
        <v>43467</v>
      </c>
      <c r="E501" s="1">
        <v>45086</v>
      </c>
      <c r="F501">
        <v>206</v>
      </c>
      <c r="G501">
        <v>1</v>
      </c>
      <c r="H501">
        <v>131.4</v>
      </c>
      <c r="I501">
        <v>84.75</v>
      </c>
      <c r="J501" t="s">
        <v>90</v>
      </c>
      <c r="K501" t="s">
        <v>16</v>
      </c>
      <c r="L501" t="s">
        <v>2095</v>
      </c>
      <c r="M501">
        <v>5</v>
      </c>
      <c r="N501" t="s">
        <v>165</v>
      </c>
      <c r="O501" t="s">
        <v>2088</v>
      </c>
    </row>
    <row r="502" spans="1:15">
      <c r="A502" t="s">
        <v>2487</v>
      </c>
      <c r="B502" t="s">
        <v>2113</v>
      </c>
      <c r="C502" t="s">
        <v>2091</v>
      </c>
      <c r="D502" s="1">
        <v>45210</v>
      </c>
      <c r="E502" s="1">
        <v>45219</v>
      </c>
      <c r="F502">
        <v>73</v>
      </c>
      <c r="G502">
        <v>8</v>
      </c>
      <c r="H502">
        <v>338.89</v>
      </c>
      <c r="I502">
        <v>67.44</v>
      </c>
      <c r="J502" t="s">
        <v>41</v>
      </c>
      <c r="K502" t="s">
        <v>16</v>
      </c>
      <c r="L502" t="s">
        <v>2106</v>
      </c>
      <c r="M502">
        <v>2</v>
      </c>
      <c r="N502" t="s">
        <v>179</v>
      </c>
      <c r="O502" t="s">
        <v>2107</v>
      </c>
    </row>
    <row r="503" spans="1:15">
      <c r="A503" t="s">
        <v>2488</v>
      </c>
      <c r="B503" t="s">
        <v>2097</v>
      </c>
      <c r="C503" t="s">
        <v>2111</v>
      </c>
      <c r="D503" s="1">
        <v>44044</v>
      </c>
      <c r="E503" s="1">
        <v>45241</v>
      </c>
      <c r="F503">
        <v>51</v>
      </c>
      <c r="G503">
        <v>4</v>
      </c>
      <c r="H503">
        <v>633.07000000000005</v>
      </c>
      <c r="I503">
        <v>121.73</v>
      </c>
      <c r="J503" t="s">
        <v>41</v>
      </c>
      <c r="K503" t="s">
        <v>16</v>
      </c>
      <c r="L503" t="s">
        <v>2087</v>
      </c>
      <c r="M503">
        <v>2</v>
      </c>
      <c r="N503" t="s">
        <v>165</v>
      </c>
      <c r="O503" t="s">
        <v>2121</v>
      </c>
    </row>
    <row r="504" spans="1:15">
      <c r="A504" t="s">
        <v>2489</v>
      </c>
      <c r="B504" t="s">
        <v>2113</v>
      </c>
      <c r="C504" t="s">
        <v>2091</v>
      </c>
      <c r="D504" s="1">
        <v>44648</v>
      </c>
      <c r="E504" s="1">
        <v>45063</v>
      </c>
      <c r="F504">
        <v>229</v>
      </c>
      <c r="G504">
        <v>19</v>
      </c>
      <c r="H504">
        <v>434.18</v>
      </c>
      <c r="I504">
        <v>56</v>
      </c>
      <c r="J504" t="s">
        <v>66</v>
      </c>
      <c r="K504" t="s">
        <v>16</v>
      </c>
      <c r="L504" t="s">
        <v>2087</v>
      </c>
      <c r="M504">
        <v>10</v>
      </c>
      <c r="N504" t="s">
        <v>157</v>
      </c>
      <c r="O504" t="s">
        <v>2088</v>
      </c>
    </row>
    <row r="505" spans="1:15">
      <c r="A505" t="s">
        <v>2490</v>
      </c>
      <c r="B505" t="s">
        <v>2093</v>
      </c>
      <c r="C505" t="s">
        <v>2091</v>
      </c>
      <c r="D505" s="1">
        <v>44760</v>
      </c>
      <c r="E505" s="1">
        <v>44951</v>
      </c>
      <c r="F505">
        <v>341</v>
      </c>
      <c r="G505">
        <v>1</v>
      </c>
      <c r="H505">
        <v>157.15</v>
      </c>
      <c r="I505">
        <v>67.989999999999995</v>
      </c>
      <c r="J505" t="s">
        <v>41</v>
      </c>
      <c r="K505" t="s">
        <v>16</v>
      </c>
      <c r="L505" t="s">
        <v>2095</v>
      </c>
      <c r="M505">
        <v>10</v>
      </c>
      <c r="N505" t="s">
        <v>174</v>
      </c>
      <c r="O505" t="s">
        <v>2107</v>
      </c>
    </row>
    <row r="506" spans="1:15">
      <c r="A506" t="s">
        <v>2491</v>
      </c>
      <c r="B506" t="s">
        <v>2097</v>
      </c>
      <c r="C506" t="s">
        <v>2091</v>
      </c>
      <c r="D506" s="1">
        <v>44456</v>
      </c>
      <c r="E506" s="1">
        <v>45103</v>
      </c>
      <c r="F506">
        <v>189</v>
      </c>
      <c r="G506">
        <v>9</v>
      </c>
      <c r="H506">
        <v>359.65</v>
      </c>
      <c r="I506">
        <v>107.21</v>
      </c>
      <c r="J506" t="s">
        <v>115</v>
      </c>
      <c r="K506" t="s">
        <v>16</v>
      </c>
      <c r="L506" t="s">
        <v>2087</v>
      </c>
      <c r="M506">
        <v>3</v>
      </c>
      <c r="N506" t="s">
        <v>204</v>
      </c>
      <c r="O506" t="s">
        <v>2088</v>
      </c>
    </row>
    <row r="507" spans="1:15">
      <c r="A507" t="s">
        <v>2492</v>
      </c>
      <c r="B507" t="s">
        <v>2113</v>
      </c>
      <c r="C507" t="s">
        <v>2094</v>
      </c>
      <c r="D507" s="1">
        <v>45039</v>
      </c>
      <c r="E507" s="1">
        <v>45190</v>
      </c>
      <c r="F507">
        <v>102</v>
      </c>
      <c r="G507">
        <v>19</v>
      </c>
      <c r="H507">
        <v>158.91</v>
      </c>
      <c r="I507">
        <v>43.97</v>
      </c>
      <c r="J507" t="s">
        <v>66</v>
      </c>
      <c r="K507" t="s">
        <v>16</v>
      </c>
      <c r="L507" t="s">
        <v>2087</v>
      </c>
      <c r="M507">
        <v>5</v>
      </c>
      <c r="N507" t="s">
        <v>179</v>
      </c>
      <c r="O507" t="s">
        <v>2109</v>
      </c>
    </row>
    <row r="508" spans="1:15">
      <c r="A508" t="s">
        <v>1831</v>
      </c>
      <c r="B508" t="s">
        <v>2090</v>
      </c>
      <c r="C508" t="s">
        <v>2094</v>
      </c>
      <c r="D508" s="1">
        <v>44167</v>
      </c>
      <c r="E508" s="1">
        <v>45192</v>
      </c>
      <c r="F508">
        <v>100</v>
      </c>
      <c r="G508">
        <v>5</v>
      </c>
      <c r="H508">
        <v>292.24</v>
      </c>
      <c r="I508">
        <v>93.44</v>
      </c>
      <c r="J508" t="s">
        <v>14</v>
      </c>
      <c r="K508" t="s">
        <v>16</v>
      </c>
      <c r="L508" t="s">
        <v>2087</v>
      </c>
      <c r="M508">
        <v>10</v>
      </c>
      <c r="N508" t="s">
        <v>174</v>
      </c>
      <c r="O508" t="s">
        <v>2088</v>
      </c>
    </row>
    <row r="509" spans="1:15">
      <c r="A509" t="s">
        <v>2493</v>
      </c>
      <c r="B509" t="s">
        <v>2097</v>
      </c>
      <c r="C509" t="s">
        <v>2086</v>
      </c>
      <c r="D509" s="1">
        <v>43693</v>
      </c>
      <c r="E509" s="1">
        <v>44988</v>
      </c>
      <c r="F509">
        <v>304</v>
      </c>
      <c r="G509">
        <v>4</v>
      </c>
      <c r="H509">
        <v>297.63</v>
      </c>
      <c r="I509">
        <v>95.74</v>
      </c>
      <c r="J509" t="s">
        <v>66</v>
      </c>
      <c r="K509" t="s">
        <v>16</v>
      </c>
      <c r="L509" t="s">
        <v>2087</v>
      </c>
      <c r="M509">
        <v>4</v>
      </c>
      <c r="N509" t="s">
        <v>204</v>
      </c>
      <c r="O509" t="s">
        <v>2109</v>
      </c>
    </row>
    <row r="510" spans="1:15">
      <c r="A510" t="s">
        <v>2494</v>
      </c>
      <c r="B510" t="s">
        <v>2090</v>
      </c>
      <c r="C510" t="s">
        <v>2086</v>
      </c>
      <c r="D510" s="1">
        <v>43839</v>
      </c>
      <c r="E510" s="1">
        <v>45130</v>
      </c>
      <c r="F510">
        <v>162</v>
      </c>
      <c r="G510">
        <v>2</v>
      </c>
      <c r="H510">
        <v>389.21</v>
      </c>
      <c r="I510">
        <v>117.73</v>
      </c>
      <c r="J510" t="s">
        <v>41</v>
      </c>
      <c r="K510" t="s">
        <v>16</v>
      </c>
      <c r="L510" t="s">
        <v>2106</v>
      </c>
      <c r="M510">
        <v>3</v>
      </c>
      <c r="N510" t="s">
        <v>179</v>
      </c>
      <c r="O510" t="s">
        <v>2096</v>
      </c>
    </row>
    <row r="511" spans="1:15">
      <c r="A511" t="s">
        <v>2495</v>
      </c>
      <c r="B511" t="s">
        <v>2097</v>
      </c>
      <c r="C511" t="s">
        <v>2086</v>
      </c>
      <c r="D511" s="1">
        <v>44618</v>
      </c>
      <c r="E511" s="1">
        <v>45198</v>
      </c>
      <c r="F511">
        <v>94</v>
      </c>
      <c r="G511">
        <v>8</v>
      </c>
      <c r="H511">
        <v>491.62</v>
      </c>
      <c r="I511">
        <v>127.99</v>
      </c>
      <c r="J511" t="s">
        <v>14</v>
      </c>
      <c r="K511" t="s">
        <v>20</v>
      </c>
      <c r="L511" t="s">
        <v>2087</v>
      </c>
      <c r="M511">
        <v>8</v>
      </c>
      <c r="N511" t="s">
        <v>157</v>
      </c>
      <c r="O511" t="s">
        <v>2088</v>
      </c>
    </row>
    <row r="512" spans="1:15">
      <c r="A512" t="s">
        <v>2496</v>
      </c>
      <c r="B512" t="s">
        <v>2097</v>
      </c>
      <c r="C512" t="s">
        <v>2086</v>
      </c>
      <c r="D512" s="1">
        <v>44766</v>
      </c>
      <c r="E512" s="1">
        <v>45251</v>
      </c>
      <c r="F512">
        <v>41</v>
      </c>
      <c r="G512">
        <v>8</v>
      </c>
      <c r="H512">
        <v>253.19</v>
      </c>
      <c r="I512">
        <v>118.04</v>
      </c>
      <c r="J512" t="s">
        <v>41</v>
      </c>
      <c r="K512" t="s">
        <v>20</v>
      </c>
      <c r="L512" t="s">
        <v>2095</v>
      </c>
      <c r="M512">
        <v>8</v>
      </c>
      <c r="N512" t="s">
        <v>232</v>
      </c>
      <c r="O512" t="s">
        <v>2109</v>
      </c>
    </row>
    <row r="513" spans="1:15">
      <c r="A513" t="s">
        <v>2497</v>
      </c>
      <c r="B513" t="s">
        <v>2097</v>
      </c>
      <c r="C513" t="s">
        <v>2100</v>
      </c>
      <c r="D513" s="1">
        <v>44286</v>
      </c>
      <c r="E513" s="1">
        <v>45078</v>
      </c>
      <c r="F513">
        <v>214</v>
      </c>
      <c r="G513">
        <v>7</v>
      </c>
      <c r="H513">
        <v>181.79</v>
      </c>
      <c r="I513">
        <v>146.91</v>
      </c>
      <c r="J513" t="s">
        <v>115</v>
      </c>
      <c r="K513" t="s">
        <v>16</v>
      </c>
      <c r="L513" t="s">
        <v>2087</v>
      </c>
      <c r="M513">
        <v>7</v>
      </c>
      <c r="N513" t="s">
        <v>194</v>
      </c>
      <c r="O513" t="s">
        <v>2107</v>
      </c>
    </row>
    <row r="514" spans="1:15">
      <c r="A514" t="s">
        <v>2498</v>
      </c>
      <c r="B514" t="s">
        <v>2093</v>
      </c>
      <c r="C514" t="s">
        <v>2094</v>
      </c>
      <c r="D514" s="1">
        <v>44604</v>
      </c>
      <c r="E514" s="1">
        <v>45269</v>
      </c>
      <c r="F514">
        <v>23</v>
      </c>
      <c r="G514">
        <v>3</v>
      </c>
      <c r="H514">
        <v>30.06</v>
      </c>
      <c r="I514">
        <v>35.08</v>
      </c>
      <c r="J514" t="s">
        <v>41</v>
      </c>
      <c r="K514" t="s">
        <v>20</v>
      </c>
      <c r="L514" t="s">
        <v>2106</v>
      </c>
      <c r="M514">
        <v>9</v>
      </c>
      <c r="N514" t="s">
        <v>174</v>
      </c>
      <c r="O514" t="s">
        <v>2096</v>
      </c>
    </row>
    <row r="515" spans="1:15">
      <c r="A515" t="s">
        <v>2499</v>
      </c>
      <c r="B515" t="s">
        <v>2099</v>
      </c>
      <c r="C515" t="s">
        <v>2100</v>
      </c>
      <c r="D515" s="1">
        <v>45031</v>
      </c>
      <c r="E515" s="1">
        <v>45051</v>
      </c>
      <c r="F515">
        <v>241</v>
      </c>
      <c r="G515">
        <v>1</v>
      </c>
      <c r="H515">
        <v>38.69</v>
      </c>
      <c r="I515">
        <v>85.8</v>
      </c>
      <c r="J515" t="s">
        <v>41</v>
      </c>
      <c r="K515" t="s">
        <v>20</v>
      </c>
      <c r="L515" t="s">
        <v>2087</v>
      </c>
      <c r="M515">
        <v>6</v>
      </c>
      <c r="N515" t="s">
        <v>232</v>
      </c>
      <c r="O515" t="s">
        <v>2107</v>
      </c>
    </row>
    <row r="516" spans="1:15">
      <c r="A516" t="s">
        <v>1606</v>
      </c>
      <c r="B516" t="s">
        <v>2097</v>
      </c>
      <c r="C516" t="s">
        <v>2100</v>
      </c>
      <c r="D516" s="1">
        <v>44031</v>
      </c>
      <c r="E516" s="1">
        <v>44998</v>
      </c>
      <c r="F516">
        <v>294</v>
      </c>
      <c r="G516">
        <v>8</v>
      </c>
      <c r="H516">
        <v>195.85</v>
      </c>
      <c r="I516">
        <v>146.34</v>
      </c>
      <c r="J516" t="s">
        <v>14</v>
      </c>
      <c r="K516" t="s">
        <v>20</v>
      </c>
      <c r="L516" t="s">
        <v>2106</v>
      </c>
      <c r="M516">
        <v>9</v>
      </c>
      <c r="N516" t="s">
        <v>165</v>
      </c>
      <c r="O516" t="s">
        <v>2107</v>
      </c>
    </row>
    <row r="517" spans="1:15">
      <c r="A517" t="s">
        <v>2500</v>
      </c>
      <c r="B517" t="s">
        <v>2097</v>
      </c>
      <c r="C517" t="s">
        <v>2108</v>
      </c>
      <c r="D517" s="1">
        <v>44136</v>
      </c>
      <c r="E517" s="1">
        <v>44932</v>
      </c>
      <c r="F517">
        <v>360</v>
      </c>
      <c r="G517">
        <v>10</v>
      </c>
      <c r="H517">
        <v>242.57</v>
      </c>
      <c r="I517">
        <v>77.55</v>
      </c>
      <c r="J517" t="s">
        <v>14</v>
      </c>
      <c r="K517" t="s">
        <v>20</v>
      </c>
      <c r="L517" t="s">
        <v>2087</v>
      </c>
      <c r="M517">
        <v>8</v>
      </c>
      <c r="N517" t="s">
        <v>174</v>
      </c>
      <c r="O517" t="s">
        <v>2088</v>
      </c>
    </row>
    <row r="518" spans="1:15">
      <c r="A518" t="s">
        <v>2501</v>
      </c>
      <c r="B518" t="s">
        <v>2099</v>
      </c>
      <c r="C518" t="s">
        <v>2108</v>
      </c>
      <c r="D518" s="1">
        <v>43721</v>
      </c>
      <c r="E518" s="1">
        <v>45204</v>
      </c>
      <c r="F518">
        <v>88</v>
      </c>
      <c r="G518">
        <v>1</v>
      </c>
      <c r="H518">
        <v>105.85</v>
      </c>
      <c r="I518">
        <v>43.91</v>
      </c>
      <c r="J518" t="s">
        <v>115</v>
      </c>
      <c r="K518" t="s">
        <v>16</v>
      </c>
      <c r="L518" t="s">
        <v>2095</v>
      </c>
      <c r="M518">
        <v>1</v>
      </c>
      <c r="N518" t="s">
        <v>179</v>
      </c>
      <c r="O518" t="s">
        <v>2121</v>
      </c>
    </row>
    <row r="519" spans="1:15">
      <c r="A519" t="s">
        <v>2502</v>
      </c>
      <c r="B519" t="s">
        <v>2113</v>
      </c>
      <c r="C519" t="s">
        <v>2100</v>
      </c>
      <c r="D519" s="1">
        <v>43697</v>
      </c>
      <c r="E519" s="1">
        <v>45247</v>
      </c>
      <c r="F519">
        <v>45</v>
      </c>
      <c r="G519">
        <v>6</v>
      </c>
      <c r="H519">
        <v>290.75</v>
      </c>
      <c r="I519">
        <v>74.56</v>
      </c>
      <c r="J519" t="s">
        <v>90</v>
      </c>
      <c r="K519" t="s">
        <v>20</v>
      </c>
      <c r="L519" t="s">
        <v>2095</v>
      </c>
      <c r="M519">
        <v>7</v>
      </c>
      <c r="N519" t="s">
        <v>179</v>
      </c>
      <c r="O519" t="s">
        <v>2121</v>
      </c>
    </row>
    <row r="520" spans="1:15">
      <c r="A520" t="s">
        <v>2503</v>
      </c>
      <c r="B520" t="s">
        <v>2097</v>
      </c>
      <c r="C520" t="s">
        <v>2094</v>
      </c>
      <c r="D520" s="1">
        <v>44701</v>
      </c>
      <c r="E520" s="1">
        <v>45233</v>
      </c>
      <c r="F520">
        <v>59</v>
      </c>
      <c r="G520">
        <v>11</v>
      </c>
      <c r="H520">
        <v>216.98</v>
      </c>
      <c r="I520">
        <v>149.76</v>
      </c>
      <c r="J520" t="s">
        <v>41</v>
      </c>
      <c r="K520" t="s">
        <v>20</v>
      </c>
      <c r="L520" t="s">
        <v>2087</v>
      </c>
      <c r="M520">
        <v>6</v>
      </c>
      <c r="N520" t="s">
        <v>204</v>
      </c>
      <c r="O520" t="s">
        <v>2096</v>
      </c>
    </row>
    <row r="521" spans="1:15">
      <c r="A521" t="s">
        <v>1624</v>
      </c>
      <c r="B521" t="s">
        <v>2093</v>
      </c>
      <c r="C521" t="s">
        <v>2094</v>
      </c>
      <c r="D521" s="1">
        <v>44948</v>
      </c>
      <c r="E521" s="1">
        <v>45068</v>
      </c>
      <c r="F521">
        <v>224</v>
      </c>
      <c r="G521">
        <v>1</v>
      </c>
      <c r="H521">
        <v>177.08</v>
      </c>
      <c r="I521">
        <v>36.81</v>
      </c>
      <c r="J521" t="s">
        <v>115</v>
      </c>
      <c r="K521" t="s">
        <v>16</v>
      </c>
      <c r="L521" t="s">
        <v>2087</v>
      </c>
      <c r="M521">
        <v>10</v>
      </c>
      <c r="N521" t="s">
        <v>179</v>
      </c>
      <c r="O521" t="s">
        <v>2121</v>
      </c>
    </row>
    <row r="522" spans="1:15">
      <c r="A522" t="s">
        <v>2504</v>
      </c>
      <c r="B522" t="s">
        <v>2113</v>
      </c>
      <c r="C522" t="s">
        <v>2086</v>
      </c>
      <c r="D522" s="1">
        <v>44460</v>
      </c>
      <c r="E522" s="1">
        <v>45051</v>
      </c>
      <c r="F522">
        <v>241</v>
      </c>
      <c r="G522">
        <v>7</v>
      </c>
      <c r="H522">
        <v>106.46</v>
      </c>
      <c r="I522">
        <v>65.650000000000006</v>
      </c>
      <c r="J522" t="s">
        <v>90</v>
      </c>
      <c r="K522" t="s">
        <v>16</v>
      </c>
      <c r="L522" t="s">
        <v>2106</v>
      </c>
      <c r="M522">
        <v>6</v>
      </c>
      <c r="N522" t="s">
        <v>165</v>
      </c>
      <c r="O522" t="s">
        <v>2121</v>
      </c>
    </row>
    <row r="523" spans="1:15">
      <c r="A523" t="s">
        <v>1582</v>
      </c>
      <c r="B523" t="s">
        <v>2085</v>
      </c>
      <c r="C523" t="s">
        <v>2100</v>
      </c>
      <c r="D523" s="1">
        <v>44708</v>
      </c>
      <c r="E523" s="1">
        <v>45216</v>
      </c>
      <c r="F523">
        <v>76</v>
      </c>
      <c r="G523">
        <v>36</v>
      </c>
      <c r="H523">
        <v>2617.77</v>
      </c>
      <c r="I523">
        <v>197.57</v>
      </c>
      <c r="J523" t="s">
        <v>115</v>
      </c>
      <c r="K523" t="s">
        <v>20</v>
      </c>
      <c r="L523" t="s">
        <v>2106</v>
      </c>
      <c r="M523">
        <v>6</v>
      </c>
      <c r="N523" t="s">
        <v>174</v>
      </c>
      <c r="O523" t="s">
        <v>2088</v>
      </c>
    </row>
    <row r="524" spans="1:15">
      <c r="A524" t="s">
        <v>2505</v>
      </c>
      <c r="B524" t="s">
        <v>2085</v>
      </c>
      <c r="C524" t="s">
        <v>2111</v>
      </c>
      <c r="D524" s="1">
        <v>43667</v>
      </c>
      <c r="E524" s="1">
        <v>45221</v>
      </c>
      <c r="F524">
        <v>71</v>
      </c>
      <c r="G524">
        <v>30</v>
      </c>
      <c r="H524">
        <v>2644.05</v>
      </c>
      <c r="I524">
        <v>228.54</v>
      </c>
      <c r="J524" t="s">
        <v>14</v>
      </c>
      <c r="K524" t="s">
        <v>16</v>
      </c>
      <c r="L524" t="s">
        <v>2087</v>
      </c>
      <c r="M524">
        <v>9</v>
      </c>
      <c r="N524" t="s">
        <v>165</v>
      </c>
      <c r="O524" t="s">
        <v>2088</v>
      </c>
    </row>
    <row r="525" spans="1:15">
      <c r="A525" t="s">
        <v>2506</v>
      </c>
      <c r="B525" t="s">
        <v>2099</v>
      </c>
      <c r="C525" t="s">
        <v>2100</v>
      </c>
      <c r="D525" s="1">
        <v>44791</v>
      </c>
      <c r="E525" s="1">
        <v>45152</v>
      </c>
      <c r="F525">
        <v>140</v>
      </c>
      <c r="G525">
        <v>2</v>
      </c>
      <c r="H525">
        <v>113.38</v>
      </c>
      <c r="I525">
        <v>23.19</v>
      </c>
      <c r="J525" t="s">
        <v>115</v>
      </c>
      <c r="K525" t="s">
        <v>20</v>
      </c>
      <c r="L525" t="s">
        <v>2095</v>
      </c>
      <c r="M525">
        <v>6</v>
      </c>
      <c r="N525" t="s">
        <v>179</v>
      </c>
      <c r="O525" t="s">
        <v>2109</v>
      </c>
    </row>
    <row r="526" spans="1:15">
      <c r="A526" t="s">
        <v>2507</v>
      </c>
      <c r="B526" t="s">
        <v>2093</v>
      </c>
      <c r="C526" t="s">
        <v>2111</v>
      </c>
      <c r="D526" s="1">
        <v>44757</v>
      </c>
      <c r="E526" s="1">
        <v>45095</v>
      </c>
      <c r="F526">
        <v>197</v>
      </c>
      <c r="G526">
        <v>1</v>
      </c>
      <c r="H526">
        <v>66.73</v>
      </c>
      <c r="I526">
        <v>30.84</v>
      </c>
      <c r="J526" t="s">
        <v>66</v>
      </c>
      <c r="K526" t="s">
        <v>16</v>
      </c>
      <c r="L526" t="s">
        <v>2095</v>
      </c>
      <c r="M526">
        <v>7</v>
      </c>
      <c r="N526" t="s">
        <v>179</v>
      </c>
      <c r="O526" t="s">
        <v>2121</v>
      </c>
    </row>
    <row r="527" spans="1:15">
      <c r="A527" t="s">
        <v>1867</v>
      </c>
      <c r="B527" t="s">
        <v>2113</v>
      </c>
      <c r="C527" t="s">
        <v>2111</v>
      </c>
      <c r="D527" s="1">
        <v>44032</v>
      </c>
      <c r="E527" s="1">
        <v>45155</v>
      </c>
      <c r="F527">
        <v>137</v>
      </c>
      <c r="G527">
        <v>16</v>
      </c>
      <c r="H527">
        <v>276.19</v>
      </c>
      <c r="I527">
        <v>78.28</v>
      </c>
      <c r="J527" t="s">
        <v>66</v>
      </c>
      <c r="K527" t="s">
        <v>16</v>
      </c>
      <c r="L527" t="s">
        <v>2106</v>
      </c>
      <c r="M527">
        <v>10</v>
      </c>
      <c r="N527" t="s">
        <v>194</v>
      </c>
      <c r="O527" t="s">
        <v>2107</v>
      </c>
    </row>
    <row r="528" spans="1:15">
      <c r="A528" t="s">
        <v>2508</v>
      </c>
      <c r="B528" t="s">
        <v>2097</v>
      </c>
      <c r="C528" t="s">
        <v>2094</v>
      </c>
      <c r="D528" s="1">
        <v>44125</v>
      </c>
      <c r="E528" s="1">
        <v>45132</v>
      </c>
      <c r="F528">
        <v>160</v>
      </c>
      <c r="G528">
        <v>11</v>
      </c>
      <c r="H528">
        <v>651.03</v>
      </c>
      <c r="I528">
        <v>104.73</v>
      </c>
      <c r="J528" t="s">
        <v>41</v>
      </c>
      <c r="K528" t="s">
        <v>16</v>
      </c>
      <c r="L528" t="s">
        <v>2095</v>
      </c>
      <c r="M528">
        <v>5</v>
      </c>
      <c r="N528" t="s">
        <v>194</v>
      </c>
      <c r="O528" t="s">
        <v>2088</v>
      </c>
    </row>
    <row r="529" spans="1:15">
      <c r="A529" t="s">
        <v>2509</v>
      </c>
      <c r="B529" t="s">
        <v>2090</v>
      </c>
      <c r="C529" t="s">
        <v>2111</v>
      </c>
      <c r="D529" s="1">
        <v>44114</v>
      </c>
      <c r="E529" s="1">
        <v>45083</v>
      </c>
      <c r="F529">
        <v>209</v>
      </c>
      <c r="G529">
        <v>7</v>
      </c>
      <c r="H529">
        <v>337.65</v>
      </c>
      <c r="I529">
        <v>117.27</v>
      </c>
      <c r="J529" t="s">
        <v>14</v>
      </c>
      <c r="K529" t="s">
        <v>20</v>
      </c>
      <c r="L529" t="s">
        <v>2087</v>
      </c>
      <c r="M529">
        <v>5</v>
      </c>
      <c r="N529" t="s">
        <v>232</v>
      </c>
      <c r="O529" t="s">
        <v>2109</v>
      </c>
    </row>
    <row r="530" spans="1:15">
      <c r="A530" t="s">
        <v>2510</v>
      </c>
      <c r="B530" t="s">
        <v>2093</v>
      </c>
      <c r="C530" t="s">
        <v>2100</v>
      </c>
      <c r="D530" s="1">
        <v>45219</v>
      </c>
      <c r="E530" s="1">
        <v>45289</v>
      </c>
      <c r="F530">
        <v>3</v>
      </c>
      <c r="G530">
        <v>2</v>
      </c>
      <c r="H530">
        <v>158.62</v>
      </c>
      <c r="I530">
        <v>32.130000000000003</v>
      </c>
      <c r="J530" t="s">
        <v>66</v>
      </c>
      <c r="K530" t="s">
        <v>16</v>
      </c>
      <c r="L530" t="s">
        <v>2087</v>
      </c>
      <c r="M530">
        <v>5</v>
      </c>
      <c r="N530" t="s">
        <v>179</v>
      </c>
      <c r="O530" t="s">
        <v>2107</v>
      </c>
    </row>
    <row r="531" spans="1:15">
      <c r="A531" t="s">
        <v>2511</v>
      </c>
      <c r="B531" t="s">
        <v>2097</v>
      </c>
      <c r="C531" t="s">
        <v>2108</v>
      </c>
      <c r="D531" s="1">
        <v>44101</v>
      </c>
      <c r="E531" s="1">
        <v>45186</v>
      </c>
      <c r="F531">
        <v>106</v>
      </c>
      <c r="G531">
        <v>8</v>
      </c>
      <c r="H531">
        <v>160.35</v>
      </c>
      <c r="I531">
        <v>68.98</v>
      </c>
      <c r="J531" t="s">
        <v>115</v>
      </c>
      <c r="K531" t="s">
        <v>16</v>
      </c>
      <c r="L531" t="s">
        <v>2106</v>
      </c>
      <c r="M531">
        <v>8</v>
      </c>
      <c r="N531" t="s">
        <v>157</v>
      </c>
      <c r="O531" t="s">
        <v>2109</v>
      </c>
    </row>
    <row r="532" spans="1:15">
      <c r="A532" t="s">
        <v>1049</v>
      </c>
      <c r="B532" t="s">
        <v>2090</v>
      </c>
      <c r="C532" t="s">
        <v>2108</v>
      </c>
      <c r="D532" s="1">
        <v>44923</v>
      </c>
      <c r="E532" s="1">
        <v>45233</v>
      </c>
      <c r="F532">
        <v>59</v>
      </c>
      <c r="G532">
        <v>7</v>
      </c>
      <c r="H532">
        <v>104.3</v>
      </c>
      <c r="I532">
        <v>47.47</v>
      </c>
      <c r="J532" t="s">
        <v>90</v>
      </c>
      <c r="K532" t="s">
        <v>16</v>
      </c>
      <c r="L532" t="s">
        <v>2095</v>
      </c>
      <c r="M532">
        <v>5</v>
      </c>
      <c r="N532" t="s">
        <v>232</v>
      </c>
      <c r="O532" t="s">
        <v>2121</v>
      </c>
    </row>
    <row r="533" spans="1:15">
      <c r="A533" t="s">
        <v>530</v>
      </c>
      <c r="B533" t="s">
        <v>2099</v>
      </c>
      <c r="C533" t="s">
        <v>2086</v>
      </c>
      <c r="D533" s="1">
        <v>44973</v>
      </c>
      <c r="E533" s="1">
        <v>45077</v>
      </c>
      <c r="F533">
        <v>215</v>
      </c>
      <c r="G533">
        <v>1</v>
      </c>
      <c r="H533">
        <v>139.76</v>
      </c>
      <c r="I533">
        <v>28.29</v>
      </c>
      <c r="J533" t="s">
        <v>115</v>
      </c>
      <c r="K533" t="s">
        <v>16</v>
      </c>
      <c r="L533" t="s">
        <v>2087</v>
      </c>
      <c r="M533">
        <v>3</v>
      </c>
      <c r="N533" t="s">
        <v>204</v>
      </c>
      <c r="O533" t="s">
        <v>2096</v>
      </c>
    </row>
    <row r="534" spans="1:15">
      <c r="A534" t="s">
        <v>2512</v>
      </c>
      <c r="B534" t="s">
        <v>2097</v>
      </c>
      <c r="C534" t="s">
        <v>2091</v>
      </c>
      <c r="D534" s="1">
        <v>43519</v>
      </c>
      <c r="E534" s="1">
        <v>45180</v>
      </c>
      <c r="F534">
        <v>112</v>
      </c>
      <c r="G534">
        <v>11</v>
      </c>
      <c r="H534">
        <v>250.76</v>
      </c>
      <c r="I534">
        <v>149.27000000000001</v>
      </c>
      <c r="J534" t="s">
        <v>41</v>
      </c>
      <c r="K534" t="s">
        <v>16</v>
      </c>
      <c r="L534" t="s">
        <v>2095</v>
      </c>
      <c r="M534">
        <v>7</v>
      </c>
      <c r="N534" t="s">
        <v>165</v>
      </c>
      <c r="O534" t="s">
        <v>2107</v>
      </c>
    </row>
    <row r="535" spans="1:15">
      <c r="A535" t="s">
        <v>2513</v>
      </c>
      <c r="B535" t="s">
        <v>2097</v>
      </c>
      <c r="C535" t="s">
        <v>2100</v>
      </c>
      <c r="D535" s="1">
        <v>45222</v>
      </c>
      <c r="E535" s="1">
        <v>45240</v>
      </c>
      <c r="F535">
        <v>52</v>
      </c>
      <c r="G535">
        <v>3</v>
      </c>
      <c r="H535">
        <v>342.92</v>
      </c>
      <c r="I535">
        <v>146.46</v>
      </c>
      <c r="J535" t="s">
        <v>90</v>
      </c>
      <c r="K535" t="s">
        <v>16</v>
      </c>
      <c r="L535" t="s">
        <v>2106</v>
      </c>
      <c r="M535">
        <v>8</v>
      </c>
      <c r="N535" t="s">
        <v>232</v>
      </c>
      <c r="O535" t="s">
        <v>2107</v>
      </c>
    </row>
    <row r="536" spans="1:15">
      <c r="A536" t="s">
        <v>1437</v>
      </c>
      <c r="B536" t="s">
        <v>2099</v>
      </c>
      <c r="C536" t="s">
        <v>2100</v>
      </c>
      <c r="D536" s="1">
        <v>44750</v>
      </c>
      <c r="E536" s="1">
        <v>45221</v>
      </c>
      <c r="F536">
        <v>71</v>
      </c>
      <c r="G536">
        <v>1</v>
      </c>
      <c r="H536">
        <v>130.22999999999999</v>
      </c>
      <c r="I536">
        <v>66.47</v>
      </c>
      <c r="J536" t="s">
        <v>66</v>
      </c>
      <c r="K536" t="s">
        <v>20</v>
      </c>
      <c r="L536" t="s">
        <v>2087</v>
      </c>
      <c r="M536">
        <v>4</v>
      </c>
      <c r="N536" t="s">
        <v>204</v>
      </c>
      <c r="O536" t="s">
        <v>2121</v>
      </c>
    </row>
    <row r="537" spans="1:15">
      <c r="A537" t="s">
        <v>2514</v>
      </c>
      <c r="B537" t="s">
        <v>2113</v>
      </c>
      <c r="C537" t="s">
        <v>2094</v>
      </c>
      <c r="D537" s="1">
        <v>44885</v>
      </c>
      <c r="E537" s="1">
        <v>44995</v>
      </c>
      <c r="F537">
        <v>297</v>
      </c>
      <c r="G537">
        <v>12</v>
      </c>
      <c r="H537">
        <v>260.08</v>
      </c>
      <c r="I537">
        <v>47.85</v>
      </c>
      <c r="J537" t="s">
        <v>41</v>
      </c>
      <c r="K537" t="s">
        <v>20</v>
      </c>
      <c r="L537" t="s">
        <v>2106</v>
      </c>
      <c r="M537">
        <v>2</v>
      </c>
      <c r="N537" t="s">
        <v>174</v>
      </c>
      <c r="O537" t="s">
        <v>2088</v>
      </c>
    </row>
    <row r="538" spans="1:15">
      <c r="A538" t="s">
        <v>2515</v>
      </c>
      <c r="B538" t="s">
        <v>2093</v>
      </c>
      <c r="C538" t="s">
        <v>2091</v>
      </c>
      <c r="D538" s="1">
        <v>45158</v>
      </c>
      <c r="E538" s="1">
        <v>45236</v>
      </c>
      <c r="F538">
        <v>56</v>
      </c>
      <c r="G538">
        <v>4</v>
      </c>
      <c r="H538">
        <v>121.01</v>
      </c>
      <c r="I538">
        <v>26.29</v>
      </c>
      <c r="J538" t="s">
        <v>66</v>
      </c>
      <c r="K538" t="s">
        <v>20</v>
      </c>
      <c r="L538" t="s">
        <v>2106</v>
      </c>
      <c r="M538">
        <v>10</v>
      </c>
      <c r="N538" t="s">
        <v>232</v>
      </c>
      <c r="O538" t="s">
        <v>2107</v>
      </c>
    </row>
    <row r="539" spans="1:15">
      <c r="A539" t="s">
        <v>2516</v>
      </c>
      <c r="B539" t="s">
        <v>2099</v>
      </c>
      <c r="C539" t="s">
        <v>2100</v>
      </c>
      <c r="D539" s="1">
        <v>44733</v>
      </c>
      <c r="E539" s="1">
        <v>45151</v>
      </c>
      <c r="F539">
        <v>141</v>
      </c>
      <c r="G539">
        <v>2</v>
      </c>
      <c r="H539">
        <v>94.65</v>
      </c>
      <c r="I539">
        <v>24.26</v>
      </c>
      <c r="J539" t="s">
        <v>115</v>
      </c>
      <c r="K539" t="s">
        <v>16</v>
      </c>
      <c r="L539" t="s">
        <v>2095</v>
      </c>
      <c r="M539">
        <v>2</v>
      </c>
      <c r="N539" t="s">
        <v>174</v>
      </c>
      <c r="O539" t="s">
        <v>2088</v>
      </c>
    </row>
    <row r="540" spans="1:15">
      <c r="A540" t="s">
        <v>2517</v>
      </c>
      <c r="B540" t="s">
        <v>2099</v>
      </c>
      <c r="C540" t="s">
        <v>2111</v>
      </c>
      <c r="D540" s="1">
        <v>44912</v>
      </c>
      <c r="E540" s="1">
        <v>45002</v>
      </c>
      <c r="F540">
        <v>290</v>
      </c>
      <c r="G540">
        <v>1</v>
      </c>
      <c r="H540">
        <v>136.46</v>
      </c>
      <c r="I540">
        <v>58.13</v>
      </c>
      <c r="J540" t="s">
        <v>66</v>
      </c>
      <c r="K540" t="s">
        <v>16</v>
      </c>
      <c r="L540" t="s">
        <v>2106</v>
      </c>
      <c r="M540">
        <v>4</v>
      </c>
      <c r="N540" t="s">
        <v>232</v>
      </c>
      <c r="O540" t="s">
        <v>2121</v>
      </c>
    </row>
    <row r="541" spans="1:15">
      <c r="A541" t="s">
        <v>2518</v>
      </c>
      <c r="B541" t="s">
        <v>2093</v>
      </c>
      <c r="C541" t="s">
        <v>2100</v>
      </c>
      <c r="D541" s="1">
        <v>44908</v>
      </c>
      <c r="E541" s="1">
        <v>44995</v>
      </c>
      <c r="F541">
        <v>297</v>
      </c>
      <c r="G541">
        <v>1</v>
      </c>
      <c r="H541">
        <v>151.31</v>
      </c>
      <c r="I541">
        <v>49.45</v>
      </c>
      <c r="J541" t="s">
        <v>41</v>
      </c>
      <c r="K541" t="s">
        <v>20</v>
      </c>
      <c r="L541" t="s">
        <v>2087</v>
      </c>
      <c r="M541">
        <v>4</v>
      </c>
      <c r="N541" t="s">
        <v>232</v>
      </c>
      <c r="O541" t="s">
        <v>2121</v>
      </c>
    </row>
    <row r="542" spans="1:15">
      <c r="A542" t="s">
        <v>2519</v>
      </c>
      <c r="B542" t="s">
        <v>2113</v>
      </c>
      <c r="C542" t="s">
        <v>2086</v>
      </c>
      <c r="D542" s="1">
        <v>44299</v>
      </c>
      <c r="E542" s="1">
        <v>45000</v>
      </c>
      <c r="F542">
        <v>292</v>
      </c>
      <c r="G542">
        <v>12</v>
      </c>
      <c r="H542">
        <v>384.93</v>
      </c>
      <c r="I542">
        <v>73.8</v>
      </c>
      <c r="J542" t="s">
        <v>115</v>
      </c>
      <c r="K542" t="s">
        <v>16</v>
      </c>
      <c r="L542" t="s">
        <v>2095</v>
      </c>
      <c r="M542">
        <v>9</v>
      </c>
      <c r="N542" t="s">
        <v>174</v>
      </c>
      <c r="O542" t="s">
        <v>2121</v>
      </c>
    </row>
    <row r="543" spans="1:15">
      <c r="A543" t="s">
        <v>2520</v>
      </c>
      <c r="B543" t="s">
        <v>2090</v>
      </c>
      <c r="C543" t="s">
        <v>2100</v>
      </c>
      <c r="D543" s="1">
        <v>43596</v>
      </c>
      <c r="E543" s="1">
        <v>45198</v>
      </c>
      <c r="F543">
        <v>94</v>
      </c>
      <c r="G543">
        <v>2</v>
      </c>
      <c r="H543">
        <v>327.88</v>
      </c>
      <c r="I543">
        <v>45.68</v>
      </c>
      <c r="J543" t="s">
        <v>41</v>
      </c>
      <c r="K543" t="s">
        <v>20</v>
      </c>
      <c r="L543" t="s">
        <v>2095</v>
      </c>
      <c r="M543">
        <v>3</v>
      </c>
      <c r="N543" t="s">
        <v>232</v>
      </c>
      <c r="O543" t="s">
        <v>2107</v>
      </c>
    </row>
    <row r="544" spans="1:15">
      <c r="A544" t="s">
        <v>2521</v>
      </c>
      <c r="B544" t="s">
        <v>2097</v>
      </c>
      <c r="C544" t="s">
        <v>2111</v>
      </c>
      <c r="D544" s="1">
        <v>43710</v>
      </c>
      <c r="E544" s="1">
        <v>45096</v>
      </c>
      <c r="F544">
        <v>196</v>
      </c>
      <c r="G544">
        <v>3</v>
      </c>
      <c r="H544">
        <v>572.11</v>
      </c>
      <c r="I544">
        <v>99.5</v>
      </c>
      <c r="J544" t="s">
        <v>14</v>
      </c>
      <c r="K544" t="s">
        <v>16</v>
      </c>
      <c r="L544" t="s">
        <v>2106</v>
      </c>
      <c r="M544">
        <v>10</v>
      </c>
      <c r="N544" t="s">
        <v>204</v>
      </c>
      <c r="O544" t="s">
        <v>2109</v>
      </c>
    </row>
    <row r="545" spans="1:15">
      <c r="A545" t="s">
        <v>2522</v>
      </c>
      <c r="B545" t="s">
        <v>2099</v>
      </c>
      <c r="C545" t="s">
        <v>2094</v>
      </c>
      <c r="D545" s="1">
        <v>43662</v>
      </c>
      <c r="E545" s="1">
        <v>45086</v>
      </c>
      <c r="F545">
        <v>206</v>
      </c>
      <c r="G545">
        <v>2</v>
      </c>
      <c r="H545">
        <v>38.01</v>
      </c>
      <c r="I545">
        <v>47.46</v>
      </c>
      <c r="J545" t="s">
        <v>41</v>
      </c>
      <c r="K545" t="s">
        <v>20</v>
      </c>
      <c r="L545" t="s">
        <v>2087</v>
      </c>
      <c r="M545">
        <v>4</v>
      </c>
      <c r="N545" t="s">
        <v>204</v>
      </c>
      <c r="O545" t="s">
        <v>2096</v>
      </c>
    </row>
    <row r="546" spans="1:15">
      <c r="A546" t="s">
        <v>2523</v>
      </c>
      <c r="B546" t="s">
        <v>2097</v>
      </c>
      <c r="C546" t="s">
        <v>2111</v>
      </c>
      <c r="D546" s="1">
        <v>44791</v>
      </c>
      <c r="E546" s="1">
        <v>45251</v>
      </c>
      <c r="F546">
        <v>41</v>
      </c>
      <c r="G546">
        <v>7</v>
      </c>
      <c r="H546">
        <v>410.93</v>
      </c>
      <c r="I546">
        <v>72.66</v>
      </c>
      <c r="J546" t="s">
        <v>66</v>
      </c>
      <c r="K546" t="s">
        <v>16</v>
      </c>
      <c r="L546" t="s">
        <v>2095</v>
      </c>
      <c r="M546">
        <v>8</v>
      </c>
      <c r="N546" t="s">
        <v>194</v>
      </c>
      <c r="O546" t="s">
        <v>2096</v>
      </c>
    </row>
    <row r="547" spans="1:15">
      <c r="A547" t="s">
        <v>2524</v>
      </c>
      <c r="B547" t="s">
        <v>2090</v>
      </c>
      <c r="C547" t="s">
        <v>2091</v>
      </c>
      <c r="D547" s="1">
        <v>44230</v>
      </c>
      <c r="E547" s="1">
        <v>44975</v>
      </c>
      <c r="F547">
        <v>317</v>
      </c>
      <c r="G547">
        <v>2</v>
      </c>
      <c r="H547">
        <v>394.24</v>
      </c>
      <c r="I547">
        <v>44.73</v>
      </c>
      <c r="J547" t="s">
        <v>14</v>
      </c>
      <c r="K547" t="s">
        <v>20</v>
      </c>
      <c r="L547" t="s">
        <v>2095</v>
      </c>
      <c r="M547">
        <v>0</v>
      </c>
      <c r="N547" t="s">
        <v>194</v>
      </c>
      <c r="O547" t="s">
        <v>2109</v>
      </c>
    </row>
    <row r="548" spans="1:15">
      <c r="A548" t="s">
        <v>2525</v>
      </c>
      <c r="B548" t="s">
        <v>2113</v>
      </c>
      <c r="C548" t="s">
        <v>2091</v>
      </c>
      <c r="D548" s="1">
        <v>44233</v>
      </c>
      <c r="E548" s="1">
        <v>44962</v>
      </c>
      <c r="F548">
        <v>330</v>
      </c>
      <c r="G548">
        <v>5</v>
      </c>
      <c r="H548">
        <v>500.02</v>
      </c>
      <c r="I548">
        <v>58.4</v>
      </c>
      <c r="J548" t="s">
        <v>41</v>
      </c>
      <c r="K548" t="s">
        <v>20</v>
      </c>
      <c r="L548" t="s">
        <v>2106</v>
      </c>
      <c r="M548">
        <v>7</v>
      </c>
      <c r="N548" t="s">
        <v>157</v>
      </c>
      <c r="O548" t="s">
        <v>2088</v>
      </c>
    </row>
    <row r="549" spans="1:15">
      <c r="A549" t="s">
        <v>2526</v>
      </c>
      <c r="B549" t="s">
        <v>2097</v>
      </c>
      <c r="C549" t="s">
        <v>2094</v>
      </c>
      <c r="D549" s="1">
        <v>43782</v>
      </c>
      <c r="E549" s="1">
        <v>45234</v>
      </c>
      <c r="F549">
        <v>58</v>
      </c>
      <c r="G549">
        <v>8</v>
      </c>
      <c r="H549">
        <v>213.03</v>
      </c>
      <c r="I549">
        <v>118.32</v>
      </c>
      <c r="J549" t="s">
        <v>115</v>
      </c>
      <c r="K549" t="s">
        <v>16</v>
      </c>
      <c r="L549" t="s">
        <v>2087</v>
      </c>
      <c r="M549">
        <v>2</v>
      </c>
      <c r="N549" t="s">
        <v>232</v>
      </c>
      <c r="O549" t="s">
        <v>2107</v>
      </c>
    </row>
    <row r="550" spans="1:15">
      <c r="A550" t="s">
        <v>2527</v>
      </c>
      <c r="B550" t="s">
        <v>2099</v>
      </c>
      <c r="C550" t="s">
        <v>2094</v>
      </c>
      <c r="D550" s="1">
        <v>45091</v>
      </c>
      <c r="E550" s="1">
        <v>44988</v>
      </c>
      <c r="F550">
        <v>304</v>
      </c>
      <c r="G550">
        <v>1</v>
      </c>
      <c r="H550">
        <v>100.87</v>
      </c>
      <c r="I550">
        <v>94.82</v>
      </c>
      <c r="J550" t="s">
        <v>66</v>
      </c>
      <c r="K550" t="s">
        <v>16</v>
      </c>
      <c r="L550" t="s">
        <v>2087</v>
      </c>
      <c r="M550">
        <v>10</v>
      </c>
      <c r="N550" t="s">
        <v>157</v>
      </c>
      <c r="O550" t="s">
        <v>2088</v>
      </c>
    </row>
    <row r="551" spans="1:15">
      <c r="A551" t="s">
        <v>2528</v>
      </c>
      <c r="B551" t="s">
        <v>2090</v>
      </c>
      <c r="C551" t="s">
        <v>2086</v>
      </c>
      <c r="D551" s="1">
        <v>44701</v>
      </c>
      <c r="E551" s="1">
        <v>45006</v>
      </c>
      <c r="F551">
        <v>286</v>
      </c>
      <c r="G551">
        <v>3</v>
      </c>
      <c r="H551">
        <v>368.07</v>
      </c>
      <c r="I551">
        <v>79.81</v>
      </c>
      <c r="J551" t="s">
        <v>66</v>
      </c>
      <c r="K551" t="s">
        <v>16</v>
      </c>
      <c r="L551" t="s">
        <v>2106</v>
      </c>
      <c r="M551">
        <v>8</v>
      </c>
      <c r="N551" t="s">
        <v>179</v>
      </c>
      <c r="O551" t="s">
        <v>2109</v>
      </c>
    </row>
    <row r="552" spans="1:15">
      <c r="A552" t="s">
        <v>1312</v>
      </c>
      <c r="B552" t="s">
        <v>2099</v>
      </c>
      <c r="C552" t="s">
        <v>2091</v>
      </c>
      <c r="D552" s="1">
        <v>43970</v>
      </c>
      <c r="E552" s="1">
        <v>45114</v>
      </c>
      <c r="F552">
        <v>178</v>
      </c>
      <c r="G552">
        <v>1</v>
      </c>
      <c r="H552">
        <v>106.93</v>
      </c>
      <c r="I552">
        <v>25.24</v>
      </c>
      <c r="J552" t="s">
        <v>41</v>
      </c>
      <c r="K552" t="s">
        <v>16</v>
      </c>
      <c r="L552" t="s">
        <v>2095</v>
      </c>
      <c r="M552">
        <v>6</v>
      </c>
      <c r="N552" t="s">
        <v>174</v>
      </c>
      <c r="O552" t="s">
        <v>2121</v>
      </c>
    </row>
    <row r="553" spans="1:15">
      <c r="A553" t="s">
        <v>2529</v>
      </c>
      <c r="B553" t="s">
        <v>2085</v>
      </c>
      <c r="C553" t="s">
        <v>2111</v>
      </c>
      <c r="D553" s="1">
        <v>44915</v>
      </c>
      <c r="E553" s="1">
        <v>45229</v>
      </c>
      <c r="F553">
        <v>63</v>
      </c>
      <c r="G553">
        <v>27</v>
      </c>
      <c r="H553">
        <v>2584</v>
      </c>
      <c r="I553">
        <v>281.93</v>
      </c>
      <c r="J553" t="s">
        <v>115</v>
      </c>
      <c r="K553" t="s">
        <v>16</v>
      </c>
      <c r="L553" t="s">
        <v>2106</v>
      </c>
      <c r="M553">
        <v>10</v>
      </c>
      <c r="N553" t="s">
        <v>194</v>
      </c>
      <c r="O553" t="s">
        <v>2088</v>
      </c>
    </row>
    <row r="554" spans="1:15">
      <c r="A554" t="s">
        <v>2530</v>
      </c>
      <c r="B554" t="s">
        <v>2090</v>
      </c>
      <c r="C554" t="s">
        <v>2108</v>
      </c>
      <c r="D554" s="1">
        <v>45016</v>
      </c>
      <c r="E554" s="1">
        <v>45206</v>
      </c>
      <c r="F554">
        <v>86</v>
      </c>
      <c r="G554">
        <v>6</v>
      </c>
      <c r="H554">
        <v>304.70999999999998</v>
      </c>
      <c r="I554">
        <v>81.73</v>
      </c>
      <c r="J554" t="s">
        <v>41</v>
      </c>
      <c r="K554" t="s">
        <v>16</v>
      </c>
      <c r="L554" t="s">
        <v>2087</v>
      </c>
      <c r="M554">
        <v>2</v>
      </c>
      <c r="N554" t="s">
        <v>204</v>
      </c>
      <c r="O554" t="s">
        <v>2107</v>
      </c>
    </row>
    <row r="555" spans="1:15">
      <c r="A555" t="s">
        <v>2531</v>
      </c>
      <c r="B555" t="s">
        <v>2113</v>
      </c>
      <c r="C555" t="s">
        <v>2100</v>
      </c>
      <c r="D555" s="1">
        <v>44470</v>
      </c>
      <c r="E555" s="1">
        <v>44939</v>
      </c>
      <c r="F555">
        <v>353</v>
      </c>
      <c r="G555">
        <v>18</v>
      </c>
      <c r="H555">
        <v>302.12</v>
      </c>
      <c r="I555">
        <v>48.85</v>
      </c>
      <c r="J555" t="s">
        <v>14</v>
      </c>
      <c r="K555" t="s">
        <v>16</v>
      </c>
      <c r="L555" t="s">
        <v>2106</v>
      </c>
      <c r="M555">
        <v>7</v>
      </c>
      <c r="N555" t="s">
        <v>232</v>
      </c>
      <c r="O555" t="s">
        <v>2109</v>
      </c>
    </row>
    <row r="556" spans="1:15">
      <c r="A556" t="s">
        <v>738</v>
      </c>
      <c r="B556" t="s">
        <v>2113</v>
      </c>
      <c r="C556" t="s">
        <v>2108</v>
      </c>
      <c r="D556" s="1">
        <v>45044</v>
      </c>
      <c r="E556" s="1">
        <v>45277</v>
      </c>
      <c r="F556">
        <v>15</v>
      </c>
      <c r="G556">
        <v>20</v>
      </c>
      <c r="H556">
        <v>596.14</v>
      </c>
      <c r="I556">
        <v>68.540000000000006</v>
      </c>
      <c r="J556" t="s">
        <v>14</v>
      </c>
      <c r="K556" t="s">
        <v>20</v>
      </c>
      <c r="L556" t="s">
        <v>2095</v>
      </c>
      <c r="M556">
        <v>3</v>
      </c>
      <c r="N556" t="s">
        <v>174</v>
      </c>
      <c r="O556" t="s">
        <v>2121</v>
      </c>
    </row>
    <row r="557" spans="1:15">
      <c r="A557" t="s">
        <v>522</v>
      </c>
      <c r="B557" t="s">
        <v>2090</v>
      </c>
      <c r="C557" t="s">
        <v>2108</v>
      </c>
      <c r="D557" s="1">
        <v>44778</v>
      </c>
      <c r="E557" s="1">
        <v>45087</v>
      </c>
      <c r="F557">
        <v>205</v>
      </c>
      <c r="G557">
        <v>7</v>
      </c>
      <c r="H557">
        <v>368.09</v>
      </c>
      <c r="I557">
        <v>83.42</v>
      </c>
      <c r="J557" t="s">
        <v>14</v>
      </c>
      <c r="K557" t="s">
        <v>20</v>
      </c>
      <c r="L557" t="s">
        <v>2095</v>
      </c>
      <c r="M557">
        <v>0</v>
      </c>
      <c r="N557" t="s">
        <v>194</v>
      </c>
      <c r="O557" t="s">
        <v>2109</v>
      </c>
    </row>
    <row r="558" spans="1:15">
      <c r="A558" t="s">
        <v>2532</v>
      </c>
      <c r="B558" t="s">
        <v>2097</v>
      </c>
      <c r="C558" t="s">
        <v>2100</v>
      </c>
      <c r="D558" s="1">
        <v>45156</v>
      </c>
      <c r="E558" s="1">
        <v>45277</v>
      </c>
      <c r="F558">
        <v>15</v>
      </c>
      <c r="G558">
        <v>8</v>
      </c>
      <c r="H558">
        <v>776.72</v>
      </c>
      <c r="I558">
        <v>55.24</v>
      </c>
      <c r="J558" t="s">
        <v>115</v>
      </c>
      <c r="K558" t="s">
        <v>20</v>
      </c>
      <c r="L558" t="s">
        <v>2095</v>
      </c>
      <c r="M558">
        <v>8</v>
      </c>
      <c r="N558" t="s">
        <v>194</v>
      </c>
      <c r="O558" t="s">
        <v>2096</v>
      </c>
    </row>
    <row r="559" spans="1:15">
      <c r="A559" t="s">
        <v>2533</v>
      </c>
      <c r="B559" t="s">
        <v>2097</v>
      </c>
      <c r="C559" t="s">
        <v>2094</v>
      </c>
      <c r="D559" s="1">
        <v>43919</v>
      </c>
      <c r="E559" s="1">
        <v>45291</v>
      </c>
      <c r="F559">
        <v>1</v>
      </c>
      <c r="G559">
        <v>4</v>
      </c>
      <c r="H559">
        <v>447.2</v>
      </c>
      <c r="I559">
        <v>68.569999999999993</v>
      </c>
      <c r="J559" t="s">
        <v>14</v>
      </c>
      <c r="K559" t="s">
        <v>20</v>
      </c>
      <c r="L559" t="s">
        <v>2095</v>
      </c>
      <c r="M559">
        <v>7</v>
      </c>
      <c r="N559" t="s">
        <v>157</v>
      </c>
      <c r="O559" t="s">
        <v>2088</v>
      </c>
    </row>
    <row r="560" spans="1:15">
      <c r="A560" t="s">
        <v>2534</v>
      </c>
      <c r="B560" t="s">
        <v>2093</v>
      </c>
      <c r="C560" t="s">
        <v>2111</v>
      </c>
      <c r="D560" s="1">
        <v>43887</v>
      </c>
      <c r="E560" s="1">
        <v>45279</v>
      </c>
      <c r="F560">
        <v>13</v>
      </c>
      <c r="G560">
        <v>5</v>
      </c>
      <c r="H560">
        <v>32.65</v>
      </c>
      <c r="I560">
        <v>75.33</v>
      </c>
      <c r="J560" t="s">
        <v>66</v>
      </c>
      <c r="K560" t="s">
        <v>16</v>
      </c>
      <c r="L560" t="s">
        <v>2095</v>
      </c>
      <c r="M560">
        <v>10</v>
      </c>
      <c r="N560" t="s">
        <v>179</v>
      </c>
      <c r="O560" t="s">
        <v>2121</v>
      </c>
    </row>
    <row r="561" spans="1:15">
      <c r="A561" t="s">
        <v>788</v>
      </c>
      <c r="B561" t="s">
        <v>2097</v>
      </c>
      <c r="C561" t="s">
        <v>2111</v>
      </c>
      <c r="D561" s="1">
        <v>45181</v>
      </c>
      <c r="E561" s="1">
        <v>45132</v>
      </c>
      <c r="F561">
        <v>160</v>
      </c>
      <c r="G561">
        <v>9</v>
      </c>
      <c r="H561">
        <v>687.27</v>
      </c>
      <c r="I561">
        <v>87.18</v>
      </c>
      <c r="J561" t="s">
        <v>41</v>
      </c>
      <c r="K561" t="s">
        <v>16</v>
      </c>
      <c r="L561" t="s">
        <v>2106</v>
      </c>
      <c r="M561">
        <v>3</v>
      </c>
      <c r="N561" t="s">
        <v>232</v>
      </c>
      <c r="O561" t="s">
        <v>2121</v>
      </c>
    </row>
    <row r="562" spans="1:15">
      <c r="A562" t="s">
        <v>2535</v>
      </c>
      <c r="B562" t="s">
        <v>2099</v>
      </c>
      <c r="C562" t="s">
        <v>2100</v>
      </c>
      <c r="D562" s="1">
        <v>44974</v>
      </c>
      <c r="E562" s="1">
        <v>45066</v>
      </c>
      <c r="F562">
        <v>226</v>
      </c>
      <c r="G562">
        <v>2</v>
      </c>
      <c r="H562">
        <v>46.63</v>
      </c>
      <c r="I562">
        <v>90.29</v>
      </c>
      <c r="J562" t="s">
        <v>14</v>
      </c>
      <c r="K562" t="s">
        <v>16</v>
      </c>
      <c r="L562" t="s">
        <v>2087</v>
      </c>
      <c r="M562">
        <v>6</v>
      </c>
      <c r="N562" t="s">
        <v>194</v>
      </c>
      <c r="O562" t="s">
        <v>2107</v>
      </c>
    </row>
    <row r="563" spans="1:15">
      <c r="A563" t="s">
        <v>573</v>
      </c>
      <c r="B563" t="s">
        <v>2099</v>
      </c>
      <c r="C563" t="s">
        <v>2108</v>
      </c>
      <c r="D563" s="1">
        <v>44275</v>
      </c>
      <c r="E563" s="1">
        <v>44948</v>
      </c>
      <c r="F563">
        <v>344</v>
      </c>
      <c r="G563">
        <v>2</v>
      </c>
      <c r="H563">
        <v>98.02</v>
      </c>
      <c r="I563">
        <v>70.12</v>
      </c>
      <c r="J563" t="s">
        <v>90</v>
      </c>
      <c r="K563" t="s">
        <v>16</v>
      </c>
      <c r="L563" t="s">
        <v>2106</v>
      </c>
      <c r="M563">
        <v>3</v>
      </c>
      <c r="N563" t="s">
        <v>174</v>
      </c>
      <c r="O563" t="s">
        <v>2096</v>
      </c>
    </row>
    <row r="564" spans="1:15">
      <c r="A564" t="s">
        <v>1043</v>
      </c>
      <c r="B564" t="s">
        <v>2085</v>
      </c>
      <c r="C564" t="s">
        <v>2094</v>
      </c>
      <c r="D564" s="1">
        <v>43841</v>
      </c>
      <c r="E564" s="1">
        <v>45201</v>
      </c>
      <c r="F564">
        <v>91</v>
      </c>
      <c r="G564">
        <v>17</v>
      </c>
      <c r="H564">
        <v>2784.88</v>
      </c>
      <c r="I564">
        <v>197.71</v>
      </c>
      <c r="J564" t="s">
        <v>41</v>
      </c>
      <c r="K564" t="s">
        <v>20</v>
      </c>
      <c r="L564" t="s">
        <v>2087</v>
      </c>
      <c r="M564">
        <v>10</v>
      </c>
      <c r="N564" t="s">
        <v>165</v>
      </c>
      <c r="O564" t="s">
        <v>2109</v>
      </c>
    </row>
    <row r="565" spans="1:15">
      <c r="A565" t="s">
        <v>458</v>
      </c>
      <c r="B565" t="s">
        <v>2113</v>
      </c>
      <c r="C565" t="s">
        <v>2100</v>
      </c>
      <c r="D565" s="1">
        <v>43688</v>
      </c>
      <c r="E565" s="1">
        <v>44988</v>
      </c>
      <c r="F565">
        <v>304</v>
      </c>
      <c r="G565">
        <v>14</v>
      </c>
      <c r="H565">
        <v>242.35</v>
      </c>
      <c r="I565">
        <v>58.51</v>
      </c>
      <c r="J565" t="s">
        <v>41</v>
      </c>
      <c r="K565" t="s">
        <v>16</v>
      </c>
      <c r="L565" t="s">
        <v>2106</v>
      </c>
      <c r="M565">
        <v>7</v>
      </c>
      <c r="N565" t="s">
        <v>157</v>
      </c>
      <c r="O565" t="s">
        <v>2107</v>
      </c>
    </row>
    <row r="566" spans="1:15">
      <c r="A566" t="s">
        <v>2536</v>
      </c>
      <c r="B566" t="s">
        <v>2090</v>
      </c>
      <c r="C566" t="s">
        <v>2100</v>
      </c>
      <c r="D566" s="1">
        <v>43934</v>
      </c>
      <c r="E566" s="1">
        <v>44946</v>
      </c>
      <c r="F566">
        <v>346</v>
      </c>
      <c r="G566">
        <v>2</v>
      </c>
      <c r="H566">
        <v>230.07</v>
      </c>
      <c r="I566">
        <v>48.75</v>
      </c>
      <c r="J566" t="s">
        <v>41</v>
      </c>
      <c r="K566" t="s">
        <v>16</v>
      </c>
      <c r="L566" t="s">
        <v>2106</v>
      </c>
      <c r="M566">
        <v>1</v>
      </c>
      <c r="N566" t="s">
        <v>157</v>
      </c>
      <c r="O566" t="s">
        <v>2109</v>
      </c>
    </row>
    <row r="567" spans="1:15">
      <c r="A567" t="s">
        <v>1126</v>
      </c>
      <c r="B567" t="s">
        <v>2090</v>
      </c>
      <c r="C567" t="s">
        <v>2108</v>
      </c>
      <c r="D567" s="1">
        <v>44688</v>
      </c>
      <c r="E567" s="1">
        <v>44948</v>
      </c>
      <c r="F567">
        <v>344</v>
      </c>
      <c r="G567">
        <v>4</v>
      </c>
      <c r="H567">
        <v>220.19</v>
      </c>
      <c r="I567">
        <v>51.42</v>
      </c>
      <c r="J567" t="s">
        <v>115</v>
      </c>
      <c r="K567" t="s">
        <v>16</v>
      </c>
      <c r="L567" t="s">
        <v>2095</v>
      </c>
      <c r="M567">
        <v>5</v>
      </c>
      <c r="N567" t="s">
        <v>174</v>
      </c>
      <c r="O567" t="s">
        <v>2088</v>
      </c>
    </row>
    <row r="568" spans="1:15">
      <c r="A568" t="s">
        <v>2537</v>
      </c>
      <c r="B568" t="s">
        <v>2085</v>
      </c>
      <c r="C568" t="s">
        <v>2100</v>
      </c>
      <c r="D568" s="1">
        <v>43825</v>
      </c>
      <c r="E568" s="1">
        <v>45106</v>
      </c>
      <c r="F568">
        <v>186</v>
      </c>
      <c r="G568">
        <v>16</v>
      </c>
      <c r="H568">
        <v>1550.96</v>
      </c>
      <c r="I568">
        <v>290.08</v>
      </c>
      <c r="J568" t="s">
        <v>41</v>
      </c>
      <c r="K568" t="s">
        <v>20</v>
      </c>
      <c r="L568" t="s">
        <v>2095</v>
      </c>
      <c r="M568">
        <v>6</v>
      </c>
      <c r="N568" t="s">
        <v>204</v>
      </c>
      <c r="O568" t="s">
        <v>2107</v>
      </c>
    </row>
    <row r="569" spans="1:15">
      <c r="A569" t="s">
        <v>2538</v>
      </c>
      <c r="B569" t="s">
        <v>2113</v>
      </c>
      <c r="C569" t="s">
        <v>2108</v>
      </c>
      <c r="D569" s="1">
        <v>44153</v>
      </c>
      <c r="E569" s="1">
        <v>45263</v>
      </c>
      <c r="F569">
        <v>29</v>
      </c>
      <c r="G569">
        <v>7</v>
      </c>
      <c r="H569">
        <v>212.62</v>
      </c>
      <c r="I569">
        <v>61.36</v>
      </c>
      <c r="J569" t="s">
        <v>90</v>
      </c>
      <c r="K569" t="s">
        <v>16</v>
      </c>
      <c r="L569" t="s">
        <v>2087</v>
      </c>
      <c r="M569">
        <v>1</v>
      </c>
      <c r="N569" t="s">
        <v>179</v>
      </c>
      <c r="O569" t="s">
        <v>2107</v>
      </c>
    </row>
    <row r="570" spans="1:15">
      <c r="A570" t="s">
        <v>2539</v>
      </c>
      <c r="B570" t="s">
        <v>2090</v>
      </c>
      <c r="C570" t="s">
        <v>2111</v>
      </c>
      <c r="D570" s="1">
        <v>44586</v>
      </c>
      <c r="E570" s="1">
        <v>45089</v>
      </c>
      <c r="F570">
        <v>203</v>
      </c>
      <c r="G570">
        <v>6</v>
      </c>
      <c r="H570">
        <v>172.1</v>
      </c>
      <c r="I570">
        <v>52.89</v>
      </c>
      <c r="J570" t="s">
        <v>14</v>
      </c>
      <c r="K570" t="s">
        <v>20</v>
      </c>
      <c r="L570" t="s">
        <v>2095</v>
      </c>
      <c r="M570">
        <v>6</v>
      </c>
      <c r="N570" t="s">
        <v>232</v>
      </c>
      <c r="O570" t="s">
        <v>2088</v>
      </c>
    </row>
    <row r="571" spans="1:15">
      <c r="A571" t="s">
        <v>2540</v>
      </c>
      <c r="B571" t="s">
        <v>2085</v>
      </c>
      <c r="C571" t="s">
        <v>2111</v>
      </c>
      <c r="D571" s="1">
        <v>44124</v>
      </c>
      <c r="E571" s="1">
        <v>45116</v>
      </c>
      <c r="F571">
        <v>176</v>
      </c>
      <c r="G571">
        <v>31</v>
      </c>
      <c r="H571">
        <v>2385.06</v>
      </c>
      <c r="I571">
        <v>244.82</v>
      </c>
      <c r="J571" t="s">
        <v>41</v>
      </c>
      <c r="K571" t="s">
        <v>16</v>
      </c>
      <c r="L571" t="s">
        <v>2106</v>
      </c>
      <c r="M571">
        <v>3</v>
      </c>
      <c r="N571" t="s">
        <v>174</v>
      </c>
      <c r="O571" t="s">
        <v>2109</v>
      </c>
    </row>
    <row r="572" spans="1:15">
      <c r="A572" t="s">
        <v>2541</v>
      </c>
      <c r="B572" t="s">
        <v>2085</v>
      </c>
      <c r="C572" t="s">
        <v>2091</v>
      </c>
      <c r="D572" s="1">
        <v>44627</v>
      </c>
      <c r="E572" s="1">
        <v>44988</v>
      </c>
      <c r="F572">
        <v>304</v>
      </c>
      <c r="G572">
        <v>30</v>
      </c>
      <c r="H572">
        <v>928.52</v>
      </c>
      <c r="I572">
        <v>177.51</v>
      </c>
      <c r="J572" t="s">
        <v>14</v>
      </c>
      <c r="K572" t="s">
        <v>20</v>
      </c>
      <c r="L572" t="s">
        <v>2106</v>
      </c>
      <c r="M572">
        <v>1</v>
      </c>
      <c r="N572" t="s">
        <v>174</v>
      </c>
      <c r="O572" t="s">
        <v>2109</v>
      </c>
    </row>
    <row r="573" spans="1:15">
      <c r="A573" t="s">
        <v>1783</v>
      </c>
      <c r="B573" t="s">
        <v>2090</v>
      </c>
      <c r="C573" t="s">
        <v>2108</v>
      </c>
      <c r="D573" s="1">
        <v>44258</v>
      </c>
      <c r="E573" s="1">
        <v>45157</v>
      </c>
      <c r="F573">
        <v>135</v>
      </c>
      <c r="G573">
        <v>7</v>
      </c>
      <c r="H573">
        <v>203.54</v>
      </c>
      <c r="I573">
        <v>94.85</v>
      </c>
      <c r="J573" t="s">
        <v>41</v>
      </c>
      <c r="K573" t="s">
        <v>20</v>
      </c>
      <c r="L573" t="s">
        <v>2087</v>
      </c>
      <c r="M573">
        <v>9</v>
      </c>
      <c r="N573" t="s">
        <v>194</v>
      </c>
      <c r="O573" t="s">
        <v>2121</v>
      </c>
    </row>
    <row r="574" spans="1:15">
      <c r="A574" t="s">
        <v>575</v>
      </c>
      <c r="B574" t="s">
        <v>2093</v>
      </c>
      <c r="C574" t="s">
        <v>2094</v>
      </c>
      <c r="D574" s="1">
        <v>44396</v>
      </c>
      <c r="E574" s="1">
        <v>45201</v>
      </c>
      <c r="F574">
        <v>91</v>
      </c>
      <c r="G574">
        <v>4</v>
      </c>
      <c r="H574">
        <v>111.45</v>
      </c>
      <c r="I574">
        <v>73.91</v>
      </c>
      <c r="J574" t="s">
        <v>41</v>
      </c>
      <c r="K574" t="s">
        <v>16</v>
      </c>
      <c r="L574" t="s">
        <v>2087</v>
      </c>
      <c r="M574">
        <v>10</v>
      </c>
      <c r="N574" t="s">
        <v>165</v>
      </c>
      <c r="O574" t="s">
        <v>2107</v>
      </c>
    </row>
    <row r="575" spans="1:15">
      <c r="A575" t="s">
        <v>2542</v>
      </c>
      <c r="B575" t="s">
        <v>2099</v>
      </c>
      <c r="C575" t="s">
        <v>2094</v>
      </c>
      <c r="D575" s="1">
        <v>43508</v>
      </c>
      <c r="E575" s="1">
        <v>45148</v>
      </c>
      <c r="F575">
        <v>144</v>
      </c>
      <c r="G575">
        <v>2</v>
      </c>
      <c r="H575">
        <v>134.65</v>
      </c>
      <c r="I575">
        <v>49.45</v>
      </c>
      <c r="J575" t="s">
        <v>41</v>
      </c>
      <c r="K575" t="s">
        <v>16</v>
      </c>
      <c r="L575" t="s">
        <v>2087</v>
      </c>
      <c r="M575">
        <v>6</v>
      </c>
      <c r="N575" t="s">
        <v>165</v>
      </c>
      <c r="O575" t="s">
        <v>2088</v>
      </c>
    </row>
    <row r="576" spans="1:15">
      <c r="A576" t="s">
        <v>786</v>
      </c>
      <c r="B576" t="s">
        <v>2097</v>
      </c>
      <c r="C576" t="s">
        <v>2100</v>
      </c>
      <c r="D576" s="1">
        <v>43892</v>
      </c>
      <c r="E576" s="1">
        <v>45134</v>
      </c>
      <c r="F576">
        <v>158</v>
      </c>
      <c r="G576">
        <v>9</v>
      </c>
      <c r="H576">
        <v>231.27</v>
      </c>
      <c r="I576">
        <v>112.65</v>
      </c>
      <c r="J576" t="s">
        <v>90</v>
      </c>
      <c r="K576" t="s">
        <v>16</v>
      </c>
      <c r="L576" t="s">
        <v>2106</v>
      </c>
      <c r="M576">
        <v>7</v>
      </c>
      <c r="N576" t="s">
        <v>204</v>
      </c>
      <c r="O576" t="s">
        <v>2109</v>
      </c>
    </row>
    <row r="577" spans="1:15">
      <c r="A577" t="s">
        <v>2543</v>
      </c>
      <c r="B577" t="s">
        <v>2099</v>
      </c>
      <c r="C577" t="s">
        <v>2091</v>
      </c>
      <c r="D577" s="1">
        <v>43738</v>
      </c>
      <c r="E577" s="1">
        <v>45198</v>
      </c>
      <c r="F577">
        <v>94</v>
      </c>
      <c r="G577">
        <v>2</v>
      </c>
      <c r="H577">
        <v>63.91</v>
      </c>
      <c r="I577">
        <v>73.23</v>
      </c>
      <c r="J577" t="s">
        <v>41</v>
      </c>
      <c r="K577" t="s">
        <v>16</v>
      </c>
      <c r="L577" t="s">
        <v>2106</v>
      </c>
      <c r="M577">
        <v>3</v>
      </c>
      <c r="N577" t="s">
        <v>232</v>
      </c>
      <c r="O577" t="s">
        <v>2107</v>
      </c>
    </row>
    <row r="578" spans="1:15">
      <c r="A578" t="s">
        <v>2544</v>
      </c>
      <c r="B578" t="s">
        <v>2093</v>
      </c>
      <c r="C578" t="s">
        <v>2094</v>
      </c>
      <c r="D578" s="1">
        <v>45232</v>
      </c>
      <c r="E578" s="1">
        <v>45136</v>
      </c>
      <c r="F578">
        <v>156</v>
      </c>
      <c r="G578">
        <v>5</v>
      </c>
      <c r="H578">
        <v>91.78</v>
      </c>
      <c r="I578">
        <v>47.8</v>
      </c>
      <c r="J578" t="s">
        <v>66</v>
      </c>
      <c r="K578" t="s">
        <v>16</v>
      </c>
      <c r="L578" t="s">
        <v>2087</v>
      </c>
      <c r="M578">
        <v>2</v>
      </c>
      <c r="N578" t="s">
        <v>204</v>
      </c>
      <c r="O578" t="s">
        <v>2096</v>
      </c>
    </row>
    <row r="579" spans="1:15">
      <c r="A579" t="s">
        <v>2545</v>
      </c>
      <c r="B579" t="s">
        <v>2090</v>
      </c>
      <c r="C579" t="s">
        <v>2100</v>
      </c>
      <c r="D579" s="1">
        <v>45052</v>
      </c>
      <c r="E579" s="1">
        <v>45246</v>
      </c>
      <c r="F579">
        <v>46</v>
      </c>
      <c r="G579">
        <v>7</v>
      </c>
      <c r="H579">
        <v>224.74</v>
      </c>
      <c r="I579">
        <v>112.37</v>
      </c>
      <c r="J579" t="s">
        <v>14</v>
      </c>
      <c r="K579" t="s">
        <v>16</v>
      </c>
      <c r="L579" t="s">
        <v>2095</v>
      </c>
      <c r="M579">
        <v>5</v>
      </c>
      <c r="N579" t="s">
        <v>232</v>
      </c>
      <c r="O579" t="s">
        <v>2107</v>
      </c>
    </row>
    <row r="580" spans="1:15">
      <c r="A580" t="s">
        <v>2546</v>
      </c>
      <c r="B580" t="s">
        <v>2093</v>
      </c>
      <c r="C580" t="s">
        <v>2108</v>
      </c>
      <c r="D580" s="1">
        <v>44373</v>
      </c>
      <c r="E580" s="1">
        <v>44939</v>
      </c>
      <c r="F580">
        <v>353</v>
      </c>
      <c r="G580">
        <v>4</v>
      </c>
      <c r="H580">
        <v>189.31</v>
      </c>
      <c r="I580">
        <v>45.91</v>
      </c>
      <c r="J580" t="s">
        <v>41</v>
      </c>
      <c r="K580" t="s">
        <v>16</v>
      </c>
      <c r="L580" t="s">
        <v>2106</v>
      </c>
      <c r="M580">
        <v>10</v>
      </c>
      <c r="N580" t="s">
        <v>157</v>
      </c>
      <c r="O580" t="s">
        <v>2121</v>
      </c>
    </row>
    <row r="581" spans="1:15">
      <c r="A581" t="s">
        <v>2547</v>
      </c>
      <c r="B581" t="s">
        <v>2093</v>
      </c>
      <c r="C581" t="s">
        <v>2091</v>
      </c>
      <c r="D581" s="1">
        <v>44643</v>
      </c>
      <c r="E581" s="1">
        <v>45028</v>
      </c>
      <c r="F581">
        <v>264</v>
      </c>
      <c r="G581">
        <v>5</v>
      </c>
      <c r="H581">
        <v>160.77000000000001</v>
      </c>
      <c r="I581">
        <v>58.47</v>
      </c>
      <c r="J581" t="s">
        <v>90</v>
      </c>
      <c r="K581" t="s">
        <v>16</v>
      </c>
      <c r="L581" t="s">
        <v>2087</v>
      </c>
      <c r="M581">
        <v>3</v>
      </c>
      <c r="N581" t="s">
        <v>179</v>
      </c>
      <c r="O581" t="s">
        <v>2107</v>
      </c>
    </row>
    <row r="582" spans="1:15">
      <c r="A582" t="s">
        <v>2548</v>
      </c>
      <c r="B582" t="s">
        <v>2099</v>
      </c>
      <c r="C582" t="s">
        <v>2111</v>
      </c>
      <c r="D582" s="1">
        <v>44552</v>
      </c>
      <c r="E582" s="1">
        <v>45248</v>
      </c>
      <c r="F582">
        <v>44</v>
      </c>
      <c r="G582">
        <v>2</v>
      </c>
      <c r="H582">
        <v>99.35</v>
      </c>
      <c r="I582">
        <v>81.069999999999993</v>
      </c>
      <c r="J582" t="s">
        <v>14</v>
      </c>
      <c r="K582" t="s">
        <v>16</v>
      </c>
      <c r="L582" t="s">
        <v>2095</v>
      </c>
      <c r="M582">
        <v>0</v>
      </c>
      <c r="N582" t="s">
        <v>174</v>
      </c>
      <c r="O582" t="s">
        <v>2096</v>
      </c>
    </row>
    <row r="583" spans="1:15">
      <c r="A583" t="s">
        <v>2549</v>
      </c>
      <c r="B583" t="s">
        <v>2113</v>
      </c>
      <c r="C583" t="s">
        <v>2091</v>
      </c>
      <c r="D583" s="1">
        <v>43881</v>
      </c>
      <c r="E583" s="1">
        <v>45004</v>
      </c>
      <c r="F583">
        <v>288</v>
      </c>
      <c r="G583">
        <v>7</v>
      </c>
      <c r="H583">
        <v>256.64999999999998</v>
      </c>
      <c r="I583">
        <v>75.09</v>
      </c>
      <c r="J583" t="s">
        <v>66</v>
      </c>
      <c r="K583" t="s">
        <v>16</v>
      </c>
      <c r="L583" t="s">
        <v>2087</v>
      </c>
      <c r="M583">
        <v>9</v>
      </c>
      <c r="N583" t="s">
        <v>194</v>
      </c>
      <c r="O583" t="s">
        <v>2088</v>
      </c>
    </row>
    <row r="584" spans="1:15">
      <c r="A584" t="s">
        <v>2550</v>
      </c>
      <c r="B584" t="s">
        <v>2099</v>
      </c>
      <c r="C584" t="s">
        <v>2086</v>
      </c>
      <c r="D584" s="1">
        <v>44087</v>
      </c>
      <c r="E584" s="1">
        <v>44978</v>
      </c>
      <c r="F584">
        <v>314</v>
      </c>
      <c r="G584">
        <v>2</v>
      </c>
      <c r="H584">
        <v>64.02</v>
      </c>
      <c r="I584">
        <v>34.020000000000003</v>
      </c>
      <c r="J584" t="s">
        <v>41</v>
      </c>
      <c r="K584" t="s">
        <v>16</v>
      </c>
      <c r="L584" t="s">
        <v>2095</v>
      </c>
      <c r="M584">
        <v>6</v>
      </c>
      <c r="N584" t="s">
        <v>174</v>
      </c>
      <c r="O584" t="s">
        <v>2088</v>
      </c>
    </row>
    <row r="585" spans="1:15">
      <c r="A585" t="s">
        <v>1185</v>
      </c>
      <c r="B585" t="s">
        <v>2090</v>
      </c>
      <c r="C585" t="s">
        <v>2094</v>
      </c>
      <c r="D585" s="1">
        <v>44427</v>
      </c>
      <c r="E585" s="1">
        <v>45285</v>
      </c>
      <c r="F585">
        <v>7</v>
      </c>
      <c r="G585">
        <v>5</v>
      </c>
      <c r="H585">
        <v>130.65</v>
      </c>
      <c r="I585">
        <v>84.19</v>
      </c>
      <c r="J585" t="s">
        <v>41</v>
      </c>
      <c r="K585" t="s">
        <v>16</v>
      </c>
      <c r="L585" t="s">
        <v>2106</v>
      </c>
      <c r="M585">
        <v>2</v>
      </c>
      <c r="N585" t="s">
        <v>204</v>
      </c>
      <c r="O585" t="s">
        <v>2096</v>
      </c>
    </row>
    <row r="586" spans="1:15">
      <c r="A586" t="s">
        <v>2551</v>
      </c>
      <c r="B586" t="s">
        <v>2085</v>
      </c>
      <c r="C586" t="s">
        <v>2111</v>
      </c>
      <c r="D586" s="1">
        <v>44442</v>
      </c>
      <c r="E586" s="1">
        <v>45014</v>
      </c>
      <c r="F586">
        <v>278</v>
      </c>
      <c r="G586">
        <v>16</v>
      </c>
      <c r="H586">
        <v>2736.51</v>
      </c>
      <c r="I586">
        <v>194.56</v>
      </c>
      <c r="J586" t="s">
        <v>115</v>
      </c>
      <c r="K586" t="s">
        <v>20</v>
      </c>
      <c r="L586" t="s">
        <v>2087</v>
      </c>
      <c r="M586">
        <v>7</v>
      </c>
      <c r="N586" t="s">
        <v>232</v>
      </c>
      <c r="O586" t="s">
        <v>2088</v>
      </c>
    </row>
    <row r="587" spans="1:15">
      <c r="A587" t="s">
        <v>2552</v>
      </c>
      <c r="B587" t="s">
        <v>2097</v>
      </c>
      <c r="C587" t="s">
        <v>2094</v>
      </c>
      <c r="D587" s="1">
        <v>44841</v>
      </c>
      <c r="E587" s="1">
        <v>45217</v>
      </c>
      <c r="F587">
        <v>75</v>
      </c>
      <c r="G587">
        <v>10</v>
      </c>
      <c r="H587">
        <v>731.09</v>
      </c>
      <c r="I587">
        <v>147.03</v>
      </c>
      <c r="J587" t="s">
        <v>66</v>
      </c>
      <c r="K587" t="s">
        <v>16</v>
      </c>
      <c r="L587" t="s">
        <v>2087</v>
      </c>
      <c r="M587">
        <v>1</v>
      </c>
      <c r="N587" t="s">
        <v>157</v>
      </c>
      <c r="O587" t="s">
        <v>2107</v>
      </c>
    </row>
    <row r="588" spans="1:15">
      <c r="A588" t="s">
        <v>1556</v>
      </c>
      <c r="B588" t="s">
        <v>2090</v>
      </c>
      <c r="C588" t="s">
        <v>2091</v>
      </c>
      <c r="D588" s="1">
        <v>43693</v>
      </c>
      <c r="E588" s="1">
        <v>45269</v>
      </c>
      <c r="F588">
        <v>23</v>
      </c>
      <c r="G588">
        <v>4</v>
      </c>
      <c r="H588">
        <v>296.76</v>
      </c>
      <c r="I588">
        <v>113.34</v>
      </c>
      <c r="J588" t="s">
        <v>66</v>
      </c>
      <c r="K588" t="s">
        <v>16</v>
      </c>
      <c r="L588" t="s">
        <v>2106</v>
      </c>
      <c r="M588">
        <v>1</v>
      </c>
      <c r="N588" t="s">
        <v>194</v>
      </c>
      <c r="O588" t="s">
        <v>2088</v>
      </c>
    </row>
    <row r="589" spans="1:15">
      <c r="A589" t="s">
        <v>2553</v>
      </c>
      <c r="B589" t="s">
        <v>2099</v>
      </c>
      <c r="C589" t="s">
        <v>2094</v>
      </c>
      <c r="D589" s="1">
        <v>43812</v>
      </c>
      <c r="E589" s="1">
        <v>45113</v>
      </c>
      <c r="F589">
        <v>179</v>
      </c>
      <c r="G589">
        <v>1</v>
      </c>
      <c r="H589">
        <v>100.84</v>
      </c>
      <c r="I589">
        <v>67.23</v>
      </c>
      <c r="J589" t="s">
        <v>41</v>
      </c>
      <c r="K589" t="s">
        <v>20</v>
      </c>
      <c r="L589" t="s">
        <v>2087</v>
      </c>
      <c r="M589">
        <v>8</v>
      </c>
      <c r="N589" t="s">
        <v>174</v>
      </c>
      <c r="O589" t="s">
        <v>2109</v>
      </c>
    </row>
    <row r="590" spans="1:15">
      <c r="A590" t="s">
        <v>2554</v>
      </c>
      <c r="B590" t="s">
        <v>2113</v>
      </c>
      <c r="C590" t="s">
        <v>2100</v>
      </c>
      <c r="D590" s="1">
        <v>44093</v>
      </c>
      <c r="E590" s="1">
        <v>45061</v>
      </c>
      <c r="F590">
        <v>231</v>
      </c>
      <c r="G590">
        <v>10</v>
      </c>
      <c r="H590">
        <v>126.01</v>
      </c>
      <c r="I590">
        <v>41.94</v>
      </c>
      <c r="J590" t="s">
        <v>90</v>
      </c>
      <c r="K590" t="s">
        <v>16</v>
      </c>
      <c r="L590" t="s">
        <v>2095</v>
      </c>
      <c r="M590">
        <v>4</v>
      </c>
      <c r="N590" t="s">
        <v>165</v>
      </c>
      <c r="O590" t="s">
        <v>2109</v>
      </c>
    </row>
    <row r="591" spans="1:15">
      <c r="A591" t="s">
        <v>995</v>
      </c>
      <c r="B591" t="s">
        <v>2093</v>
      </c>
      <c r="C591" t="s">
        <v>2111</v>
      </c>
      <c r="D591" s="1">
        <v>45251</v>
      </c>
      <c r="E591" s="1">
        <v>45246</v>
      </c>
      <c r="F591">
        <v>46</v>
      </c>
      <c r="G591">
        <v>1</v>
      </c>
      <c r="H591">
        <v>86.6</v>
      </c>
      <c r="I591">
        <v>21.88</v>
      </c>
      <c r="J591" t="s">
        <v>115</v>
      </c>
      <c r="K591" t="s">
        <v>16</v>
      </c>
      <c r="L591" t="s">
        <v>2087</v>
      </c>
      <c r="M591">
        <v>6</v>
      </c>
      <c r="N591" t="s">
        <v>157</v>
      </c>
      <c r="O591" t="s">
        <v>2109</v>
      </c>
    </row>
    <row r="592" spans="1:15">
      <c r="A592" t="s">
        <v>2555</v>
      </c>
      <c r="B592" t="s">
        <v>2099</v>
      </c>
      <c r="C592" t="s">
        <v>2094</v>
      </c>
      <c r="D592" s="1">
        <v>44893</v>
      </c>
      <c r="E592" s="1">
        <v>45119</v>
      </c>
      <c r="F592">
        <v>173</v>
      </c>
      <c r="G592">
        <v>2</v>
      </c>
      <c r="H592">
        <v>24.68</v>
      </c>
      <c r="I592">
        <v>73.75</v>
      </c>
      <c r="J592" t="s">
        <v>66</v>
      </c>
      <c r="K592" t="s">
        <v>20</v>
      </c>
      <c r="L592" t="s">
        <v>2087</v>
      </c>
      <c r="M592">
        <v>6</v>
      </c>
      <c r="N592" t="s">
        <v>165</v>
      </c>
      <c r="O592" t="s">
        <v>2121</v>
      </c>
    </row>
    <row r="593" spans="1:15">
      <c r="A593" t="s">
        <v>666</v>
      </c>
      <c r="B593" t="s">
        <v>2097</v>
      </c>
      <c r="C593" t="s">
        <v>2094</v>
      </c>
      <c r="D593" s="1">
        <v>44467</v>
      </c>
      <c r="E593" s="1">
        <v>45071</v>
      </c>
      <c r="F593">
        <v>221</v>
      </c>
      <c r="G593">
        <v>8</v>
      </c>
      <c r="H593">
        <v>617.42999999999995</v>
      </c>
      <c r="I593">
        <v>105.24</v>
      </c>
      <c r="J593" t="s">
        <v>14</v>
      </c>
      <c r="K593" t="s">
        <v>16</v>
      </c>
      <c r="L593" t="s">
        <v>2106</v>
      </c>
      <c r="M593">
        <v>1</v>
      </c>
      <c r="N593" t="s">
        <v>179</v>
      </c>
      <c r="O593" t="s">
        <v>2121</v>
      </c>
    </row>
    <row r="594" spans="1:15">
      <c r="A594" t="s">
        <v>2556</v>
      </c>
      <c r="B594" t="s">
        <v>2090</v>
      </c>
      <c r="C594" t="s">
        <v>2091</v>
      </c>
      <c r="D594" s="1">
        <v>45026</v>
      </c>
      <c r="E594" s="1">
        <v>44981</v>
      </c>
      <c r="F594">
        <v>311</v>
      </c>
      <c r="G594">
        <v>2</v>
      </c>
      <c r="H594">
        <v>87.36</v>
      </c>
      <c r="I594">
        <v>50.28</v>
      </c>
      <c r="J594" t="s">
        <v>14</v>
      </c>
      <c r="K594" t="s">
        <v>16</v>
      </c>
      <c r="L594" t="s">
        <v>2087</v>
      </c>
      <c r="M594">
        <v>1</v>
      </c>
      <c r="N594" t="s">
        <v>157</v>
      </c>
      <c r="O594" t="s">
        <v>2088</v>
      </c>
    </row>
    <row r="595" spans="1:15">
      <c r="A595" t="s">
        <v>1714</v>
      </c>
      <c r="B595" t="s">
        <v>2097</v>
      </c>
      <c r="C595" t="s">
        <v>2086</v>
      </c>
      <c r="D595" s="1">
        <v>43493</v>
      </c>
      <c r="E595" s="1">
        <v>45101</v>
      </c>
      <c r="F595">
        <v>191</v>
      </c>
      <c r="G595">
        <v>4</v>
      </c>
      <c r="H595">
        <v>711.4</v>
      </c>
      <c r="I595">
        <v>50.96</v>
      </c>
      <c r="J595" t="s">
        <v>14</v>
      </c>
      <c r="K595" t="s">
        <v>16</v>
      </c>
      <c r="L595" t="s">
        <v>2106</v>
      </c>
      <c r="M595">
        <v>10</v>
      </c>
      <c r="N595" t="s">
        <v>179</v>
      </c>
      <c r="O595" t="s">
        <v>2109</v>
      </c>
    </row>
    <row r="596" spans="1:15">
      <c r="A596" t="s">
        <v>2557</v>
      </c>
      <c r="B596" t="s">
        <v>2093</v>
      </c>
      <c r="C596" t="s">
        <v>2108</v>
      </c>
      <c r="D596" s="1">
        <v>43715</v>
      </c>
      <c r="E596" s="1">
        <v>44955</v>
      </c>
      <c r="F596">
        <v>337</v>
      </c>
      <c r="G596">
        <v>3</v>
      </c>
      <c r="H596">
        <v>163.63999999999999</v>
      </c>
      <c r="I596">
        <v>26.35</v>
      </c>
      <c r="J596" t="s">
        <v>41</v>
      </c>
      <c r="K596" t="s">
        <v>16</v>
      </c>
      <c r="L596" t="s">
        <v>2106</v>
      </c>
      <c r="M596">
        <v>1</v>
      </c>
      <c r="N596" t="s">
        <v>157</v>
      </c>
      <c r="O596" t="s">
        <v>2096</v>
      </c>
    </row>
    <row r="597" spans="1:15">
      <c r="A597" t="s">
        <v>2558</v>
      </c>
      <c r="B597" t="s">
        <v>2093</v>
      </c>
      <c r="C597" t="s">
        <v>2111</v>
      </c>
      <c r="D597" s="1">
        <v>43943</v>
      </c>
      <c r="E597" s="1">
        <v>45034</v>
      </c>
      <c r="F597">
        <v>258</v>
      </c>
      <c r="G597">
        <v>1</v>
      </c>
      <c r="H597">
        <v>30.65</v>
      </c>
      <c r="I597">
        <v>67.5</v>
      </c>
      <c r="J597" t="s">
        <v>14</v>
      </c>
      <c r="K597" t="s">
        <v>16</v>
      </c>
      <c r="L597" t="s">
        <v>2087</v>
      </c>
      <c r="M597">
        <v>10</v>
      </c>
      <c r="N597" t="s">
        <v>232</v>
      </c>
      <c r="O597" t="s">
        <v>2107</v>
      </c>
    </row>
    <row r="598" spans="1:15">
      <c r="A598" t="s">
        <v>2052</v>
      </c>
      <c r="B598" t="s">
        <v>2099</v>
      </c>
      <c r="C598" t="s">
        <v>2100</v>
      </c>
      <c r="D598" s="1">
        <v>44912</v>
      </c>
      <c r="E598" s="1">
        <v>45022</v>
      </c>
      <c r="F598">
        <v>270</v>
      </c>
      <c r="G598">
        <v>1</v>
      </c>
      <c r="H598">
        <v>112.07</v>
      </c>
      <c r="I598">
        <v>59.62</v>
      </c>
      <c r="J598" t="s">
        <v>66</v>
      </c>
      <c r="K598" t="s">
        <v>20</v>
      </c>
      <c r="L598" t="s">
        <v>2106</v>
      </c>
      <c r="M598">
        <v>9</v>
      </c>
      <c r="N598" t="s">
        <v>179</v>
      </c>
      <c r="O598" t="s">
        <v>2096</v>
      </c>
    </row>
    <row r="599" spans="1:15">
      <c r="A599" t="s">
        <v>2559</v>
      </c>
      <c r="B599" t="s">
        <v>2099</v>
      </c>
      <c r="C599" t="s">
        <v>2091</v>
      </c>
      <c r="D599" s="1">
        <v>43870</v>
      </c>
      <c r="E599" s="1">
        <v>45061</v>
      </c>
      <c r="F599">
        <v>231</v>
      </c>
      <c r="G599">
        <v>1</v>
      </c>
      <c r="H599">
        <v>85.99</v>
      </c>
      <c r="I599">
        <v>26.36</v>
      </c>
      <c r="J599" t="s">
        <v>115</v>
      </c>
      <c r="K599" t="s">
        <v>20</v>
      </c>
      <c r="L599" t="s">
        <v>2095</v>
      </c>
      <c r="M599">
        <v>1</v>
      </c>
      <c r="N599" t="s">
        <v>165</v>
      </c>
      <c r="O599" t="s">
        <v>2096</v>
      </c>
    </row>
    <row r="600" spans="1:15">
      <c r="A600" t="s">
        <v>2560</v>
      </c>
      <c r="B600" t="s">
        <v>2097</v>
      </c>
      <c r="C600" t="s">
        <v>2100</v>
      </c>
      <c r="D600" s="1">
        <v>43932</v>
      </c>
      <c r="E600" s="1">
        <v>45010</v>
      </c>
      <c r="F600">
        <v>282</v>
      </c>
      <c r="G600">
        <v>5</v>
      </c>
      <c r="H600">
        <v>701.6</v>
      </c>
      <c r="I600">
        <v>125.63</v>
      </c>
      <c r="J600" t="s">
        <v>115</v>
      </c>
      <c r="K600" t="s">
        <v>16</v>
      </c>
      <c r="L600" t="s">
        <v>2106</v>
      </c>
      <c r="M600">
        <v>6</v>
      </c>
      <c r="N600" t="s">
        <v>232</v>
      </c>
      <c r="O600" t="s">
        <v>2121</v>
      </c>
    </row>
    <row r="601" spans="1:15">
      <c r="A601" t="s">
        <v>2561</v>
      </c>
      <c r="B601" t="s">
        <v>2097</v>
      </c>
      <c r="C601" t="s">
        <v>2111</v>
      </c>
      <c r="D601" s="1">
        <v>43959</v>
      </c>
      <c r="E601" s="1">
        <v>45198</v>
      </c>
      <c r="F601">
        <v>94</v>
      </c>
      <c r="G601">
        <v>9</v>
      </c>
      <c r="H601">
        <v>313.12</v>
      </c>
      <c r="I601">
        <v>84.48</v>
      </c>
      <c r="J601" t="s">
        <v>66</v>
      </c>
      <c r="K601" t="s">
        <v>16</v>
      </c>
      <c r="L601" t="s">
        <v>2095</v>
      </c>
      <c r="M601">
        <v>1</v>
      </c>
      <c r="N601" t="s">
        <v>174</v>
      </c>
      <c r="O601" t="s">
        <v>2096</v>
      </c>
    </row>
    <row r="602" spans="1:15">
      <c r="A602" t="s">
        <v>2562</v>
      </c>
      <c r="B602" t="s">
        <v>2099</v>
      </c>
      <c r="C602" t="s">
        <v>2111</v>
      </c>
      <c r="D602" s="1">
        <v>45013</v>
      </c>
      <c r="E602" s="1">
        <v>45147</v>
      </c>
      <c r="F602">
        <v>145</v>
      </c>
      <c r="G602">
        <v>2</v>
      </c>
      <c r="H602">
        <v>137.35</v>
      </c>
      <c r="I602">
        <v>24.83</v>
      </c>
      <c r="J602" t="s">
        <v>90</v>
      </c>
      <c r="K602" t="s">
        <v>16</v>
      </c>
      <c r="L602" t="s">
        <v>2106</v>
      </c>
      <c r="M602">
        <v>10</v>
      </c>
      <c r="N602" t="s">
        <v>174</v>
      </c>
      <c r="O602" t="s">
        <v>2121</v>
      </c>
    </row>
    <row r="603" spans="1:15">
      <c r="A603" t="s">
        <v>2563</v>
      </c>
      <c r="B603" t="s">
        <v>2090</v>
      </c>
      <c r="C603" t="s">
        <v>2108</v>
      </c>
      <c r="D603" s="1">
        <v>44860</v>
      </c>
      <c r="E603" s="1">
        <v>45237</v>
      </c>
      <c r="F603">
        <v>55</v>
      </c>
      <c r="G603">
        <v>8</v>
      </c>
      <c r="H603">
        <v>373.23</v>
      </c>
      <c r="I603">
        <v>68.92</v>
      </c>
      <c r="J603" t="s">
        <v>14</v>
      </c>
      <c r="K603" t="s">
        <v>20</v>
      </c>
      <c r="L603" t="s">
        <v>2087</v>
      </c>
      <c r="M603">
        <v>5</v>
      </c>
      <c r="N603" t="s">
        <v>204</v>
      </c>
      <c r="O603" t="s">
        <v>2121</v>
      </c>
    </row>
    <row r="604" spans="1:15">
      <c r="A604" t="s">
        <v>2564</v>
      </c>
      <c r="B604" t="s">
        <v>2093</v>
      </c>
      <c r="C604" t="s">
        <v>2086</v>
      </c>
      <c r="D604" s="1">
        <v>44467</v>
      </c>
      <c r="E604" s="1">
        <v>45087</v>
      </c>
      <c r="F604">
        <v>205</v>
      </c>
      <c r="G604">
        <v>4</v>
      </c>
      <c r="H604">
        <v>92.98</v>
      </c>
      <c r="I604">
        <v>38.01</v>
      </c>
      <c r="J604" t="s">
        <v>41</v>
      </c>
      <c r="K604" t="s">
        <v>16</v>
      </c>
      <c r="L604" t="s">
        <v>2106</v>
      </c>
      <c r="M604">
        <v>2</v>
      </c>
      <c r="N604" t="s">
        <v>174</v>
      </c>
      <c r="O604" t="s">
        <v>2121</v>
      </c>
    </row>
    <row r="605" spans="1:15">
      <c r="A605" t="s">
        <v>2565</v>
      </c>
      <c r="B605" t="s">
        <v>2099</v>
      </c>
      <c r="C605" t="s">
        <v>2100</v>
      </c>
      <c r="D605" s="1">
        <v>45096</v>
      </c>
      <c r="E605" s="1">
        <v>45133</v>
      </c>
      <c r="F605">
        <v>159</v>
      </c>
      <c r="G605">
        <v>2</v>
      </c>
      <c r="H605">
        <v>134.4</v>
      </c>
      <c r="I605">
        <v>45.95</v>
      </c>
      <c r="J605" t="s">
        <v>90</v>
      </c>
      <c r="K605" t="s">
        <v>16</v>
      </c>
      <c r="L605" t="s">
        <v>2095</v>
      </c>
      <c r="M605">
        <v>2</v>
      </c>
      <c r="N605" t="s">
        <v>165</v>
      </c>
      <c r="O605" t="s">
        <v>2109</v>
      </c>
    </row>
    <row r="606" spans="1:15">
      <c r="A606" t="s">
        <v>2566</v>
      </c>
      <c r="B606" t="s">
        <v>2099</v>
      </c>
      <c r="C606" t="s">
        <v>2091</v>
      </c>
      <c r="D606" s="1">
        <v>44247</v>
      </c>
      <c r="E606" s="1">
        <v>45250</v>
      </c>
      <c r="F606">
        <v>42</v>
      </c>
      <c r="G606">
        <v>1</v>
      </c>
      <c r="H606">
        <v>133.54</v>
      </c>
      <c r="I606">
        <v>83.06</v>
      </c>
      <c r="J606" t="s">
        <v>90</v>
      </c>
      <c r="K606" t="s">
        <v>16</v>
      </c>
      <c r="L606" t="s">
        <v>2095</v>
      </c>
      <c r="M606">
        <v>6</v>
      </c>
      <c r="N606" t="s">
        <v>179</v>
      </c>
      <c r="O606" t="s">
        <v>2107</v>
      </c>
    </row>
    <row r="607" spans="1:15">
      <c r="A607" t="s">
        <v>2567</v>
      </c>
      <c r="B607" t="s">
        <v>2097</v>
      </c>
      <c r="C607" t="s">
        <v>2094</v>
      </c>
      <c r="D607" s="1">
        <v>44433</v>
      </c>
      <c r="E607" s="1">
        <v>45003</v>
      </c>
      <c r="F607">
        <v>289</v>
      </c>
      <c r="G607">
        <v>5</v>
      </c>
      <c r="H607">
        <v>291.05</v>
      </c>
      <c r="I607">
        <v>51.64</v>
      </c>
      <c r="J607" t="s">
        <v>66</v>
      </c>
      <c r="K607" t="s">
        <v>16</v>
      </c>
      <c r="L607" t="s">
        <v>2095</v>
      </c>
      <c r="M607">
        <v>7</v>
      </c>
      <c r="N607" t="s">
        <v>204</v>
      </c>
      <c r="O607" t="s">
        <v>2107</v>
      </c>
    </row>
    <row r="608" spans="1:15">
      <c r="A608" t="s">
        <v>2568</v>
      </c>
      <c r="B608" t="s">
        <v>2113</v>
      </c>
      <c r="C608" t="s">
        <v>2100</v>
      </c>
      <c r="D608" s="1">
        <v>44948</v>
      </c>
      <c r="E608" s="1">
        <v>45182</v>
      </c>
      <c r="F608">
        <v>110</v>
      </c>
      <c r="G608">
        <v>13</v>
      </c>
      <c r="H608">
        <v>213.87</v>
      </c>
      <c r="I608">
        <v>54.33</v>
      </c>
      <c r="J608" t="s">
        <v>90</v>
      </c>
      <c r="K608" t="s">
        <v>16</v>
      </c>
      <c r="L608" t="s">
        <v>2087</v>
      </c>
      <c r="M608">
        <v>10</v>
      </c>
      <c r="N608" t="s">
        <v>174</v>
      </c>
      <c r="O608" t="s">
        <v>2121</v>
      </c>
    </row>
    <row r="609" spans="1:15">
      <c r="A609" t="s">
        <v>1513</v>
      </c>
      <c r="B609" t="s">
        <v>2085</v>
      </c>
      <c r="C609" t="s">
        <v>2091</v>
      </c>
      <c r="D609" s="1">
        <v>44710</v>
      </c>
      <c r="E609" s="1">
        <v>45075</v>
      </c>
      <c r="F609">
        <v>217</v>
      </c>
      <c r="G609">
        <v>14</v>
      </c>
      <c r="H609">
        <v>2896.49</v>
      </c>
      <c r="I609">
        <v>241.2</v>
      </c>
      <c r="J609" t="s">
        <v>41</v>
      </c>
      <c r="K609" t="s">
        <v>20</v>
      </c>
      <c r="L609" t="s">
        <v>2087</v>
      </c>
      <c r="M609">
        <v>3</v>
      </c>
      <c r="N609" t="s">
        <v>204</v>
      </c>
      <c r="O609" t="s">
        <v>2109</v>
      </c>
    </row>
    <row r="610" spans="1:15">
      <c r="A610" t="s">
        <v>2569</v>
      </c>
      <c r="B610" t="s">
        <v>2085</v>
      </c>
      <c r="C610" t="s">
        <v>2086</v>
      </c>
      <c r="D610" s="1">
        <v>44102</v>
      </c>
      <c r="E610" s="1">
        <v>45277</v>
      </c>
      <c r="F610">
        <v>15</v>
      </c>
      <c r="G610">
        <v>21</v>
      </c>
      <c r="H610">
        <v>2189.3200000000002</v>
      </c>
      <c r="I610">
        <v>167.72</v>
      </c>
      <c r="J610" t="s">
        <v>90</v>
      </c>
      <c r="K610" t="s">
        <v>20</v>
      </c>
      <c r="L610" t="s">
        <v>2095</v>
      </c>
      <c r="M610">
        <v>9</v>
      </c>
      <c r="N610" t="s">
        <v>157</v>
      </c>
      <c r="O610" t="s">
        <v>2088</v>
      </c>
    </row>
    <row r="611" spans="1:15">
      <c r="A611" t="s">
        <v>698</v>
      </c>
      <c r="B611" t="s">
        <v>2113</v>
      </c>
      <c r="C611" t="s">
        <v>2094</v>
      </c>
      <c r="D611" s="1">
        <v>45235</v>
      </c>
      <c r="E611" s="1">
        <v>44992</v>
      </c>
      <c r="F611">
        <v>300</v>
      </c>
      <c r="G611">
        <v>15</v>
      </c>
      <c r="H611">
        <v>462.38</v>
      </c>
      <c r="I611">
        <v>70.36</v>
      </c>
      <c r="J611" t="s">
        <v>115</v>
      </c>
      <c r="K611" t="s">
        <v>16</v>
      </c>
      <c r="L611" t="s">
        <v>2095</v>
      </c>
      <c r="M611">
        <v>0</v>
      </c>
      <c r="N611" t="s">
        <v>204</v>
      </c>
      <c r="O611" t="s">
        <v>2121</v>
      </c>
    </row>
    <row r="612" spans="1:15">
      <c r="A612" t="s">
        <v>2570</v>
      </c>
      <c r="B612" t="s">
        <v>2099</v>
      </c>
      <c r="C612" t="s">
        <v>2108</v>
      </c>
      <c r="D612" s="1">
        <v>43944</v>
      </c>
      <c r="E612" s="1">
        <v>45087</v>
      </c>
      <c r="F612">
        <v>205</v>
      </c>
      <c r="G612">
        <v>1</v>
      </c>
      <c r="H612">
        <v>47.23</v>
      </c>
      <c r="I612">
        <v>46.1</v>
      </c>
      <c r="J612" t="s">
        <v>90</v>
      </c>
      <c r="K612" t="s">
        <v>16</v>
      </c>
      <c r="L612" t="s">
        <v>2106</v>
      </c>
      <c r="M612">
        <v>5</v>
      </c>
      <c r="N612" t="s">
        <v>232</v>
      </c>
      <c r="O612" t="s">
        <v>2121</v>
      </c>
    </row>
    <row r="613" spans="1:15">
      <c r="A613" t="s">
        <v>2571</v>
      </c>
      <c r="B613" t="s">
        <v>2093</v>
      </c>
      <c r="C613" t="s">
        <v>2086</v>
      </c>
      <c r="D613" s="1">
        <v>45066</v>
      </c>
      <c r="E613" s="1">
        <v>45250</v>
      </c>
      <c r="F613">
        <v>42</v>
      </c>
      <c r="G613">
        <v>2</v>
      </c>
      <c r="H613">
        <v>183.32</v>
      </c>
      <c r="I613">
        <v>77.930000000000007</v>
      </c>
      <c r="J613" t="s">
        <v>41</v>
      </c>
      <c r="K613" t="s">
        <v>20</v>
      </c>
      <c r="L613" t="s">
        <v>2106</v>
      </c>
      <c r="M613">
        <v>9</v>
      </c>
      <c r="N613" t="s">
        <v>157</v>
      </c>
      <c r="O613" t="s">
        <v>2107</v>
      </c>
    </row>
    <row r="614" spans="1:15">
      <c r="A614" t="s">
        <v>989</v>
      </c>
      <c r="B614" t="s">
        <v>2099</v>
      </c>
      <c r="C614" t="s">
        <v>2091</v>
      </c>
      <c r="D614" s="1">
        <v>43661</v>
      </c>
      <c r="E614" s="1">
        <v>45123</v>
      </c>
      <c r="F614">
        <v>169</v>
      </c>
      <c r="G614">
        <v>2</v>
      </c>
      <c r="H614">
        <v>135.77000000000001</v>
      </c>
      <c r="I614">
        <v>45.08</v>
      </c>
      <c r="J614" t="s">
        <v>115</v>
      </c>
      <c r="K614" t="s">
        <v>16</v>
      </c>
      <c r="L614" t="s">
        <v>2095</v>
      </c>
      <c r="M614">
        <v>8</v>
      </c>
      <c r="N614" t="s">
        <v>204</v>
      </c>
      <c r="O614" t="s">
        <v>2109</v>
      </c>
    </row>
    <row r="615" spans="1:15">
      <c r="A615" t="s">
        <v>633</v>
      </c>
      <c r="B615" t="s">
        <v>2090</v>
      </c>
      <c r="C615" t="s">
        <v>2094</v>
      </c>
      <c r="D615" s="1">
        <v>45058</v>
      </c>
      <c r="E615" s="1">
        <v>45025</v>
      </c>
      <c r="F615">
        <v>267</v>
      </c>
      <c r="G615">
        <v>7</v>
      </c>
      <c r="H615">
        <v>165.12</v>
      </c>
      <c r="I615">
        <v>75.959999999999994</v>
      </c>
      <c r="J615" t="s">
        <v>41</v>
      </c>
      <c r="K615" t="s">
        <v>16</v>
      </c>
      <c r="L615" t="s">
        <v>2095</v>
      </c>
      <c r="M615">
        <v>7</v>
      </c>
      <c r="N615" t="s">
        <v>157</v>
      </c>
      <c r="O615" t="s">
        <v>2107</v>
      </c>
    </row>
    <row r="616" spans="1:15">
      <c r="A616" t="s">
        <v>2572</v>
      </c>
      <c r="B616" t="s">
        <v>2093</v>
      </c>
      <c r="C616" t="s">
        <v>2091</v>
      </c>
      <c r="D616" s="1">
        <v>44454</v>
      </c>
      <c r="E616" s="1">
        <v>45214</v>
      </c>
      <c r="F616">
        <v>78</v>
      </c>
      <c r="G616">
        <v>1</v>
      </c>
      <c r="H616">
        <v>85.63</v>
      </c>
      <c r="I616">
        <v>69.489999999999995</v>
      </c>
      <c r="J616" t="s">
        <v>66</v>
      </c>
      <c r="K616" t="s">
        <v>16</v>
      </c>
      <c r="L616" t="s">
        <v>2087</v>
      </c>
      <c r="M616">
        <v>5</v>
      </c>
      <c r="N616" t="s">
        <v>232</v>
      </c>
      <c r="O616" t="s">
        <v>2088</v>
      </c>
    </row>
    <row r="617" spans="1:15">
      <c r="A617" t="s">
        <v>2573</v>
      </c>
      <c r="B617" t="s">
        <v>2097</v>
      </c>
      <c r="C617" t="s">
        <v>2108</v>
      </c>
      <c r="D617" s="1">
        <v>43712</v>
      </c>
      <c r="E617" s="1">
        <v>45078</v>
      </c>
      <c r="F617">
        <v>214</v>
      </c>
      <c r="G617">
        <v>6</v>
      </c>
      <c r="H617">
        <v>772.52</v>
      </c>
      <c r="I617">
        <v>109.76</v>
      </c>
      <c r="J617" t="s">
        <v>14</v>
      </c>
      <c r="K617" t="s">
        <v>20</v>
      </c>
      <c r="L617" t="s">
        <v>2095</v>
      </c>
      <c r="M617">
        <v>8</v>
      </c>
      <c r="N617" t="s">
        <v>179</v>
      </c>
      <c r="O617" t="s">
        <v>2088</v>
      </c>
    </row>
    <row r="618" spans="1:15">
      <c r="A618" t="s">
        <v>2574</v>
      </c>
      <c r="B618" t="s">
        <v>2113</v>
      </c>
      <c r="C618" t="s">
        <v>2094</v>
      </c>
      <c r="D618" s="1">
        <v>45142</v>
      </c>
      <c r="E618" s="1">
        <v>44932</v>
      </c>
      <c r="F618">
        <v>360</v>
      </c>
      <c r="G618">
        <v>12</v>
      </c>
      <c r="H618">
        <v>495.35</v>
      </c>
      <c r="I618">
        <v>51.15</v>
      </c>
      <c r="J618" t="s">
        <v>66</v>
      </c>
      <c r="K618" t="s">
        <v>16</v>
      </c>
      <c r="L618" t="s">
        <v>2095</v>
      </c>
      <c r="M618">
        <v>4</v>
      </c>
      <c r="N618" t="s">
        <v>174</v>
      </c>
      <c r="O618" t="s">
        <v>2096</v>
      </c>
    </row>
    <row r="619" spans="1:15">
      <c r="A619" t="s">
        <v>2575</v>
      </c>
      <c r="B619" t="s">
        <v>2093</v>
      </c>
      <c r="C619" t="s">
        <v>2108</v>
      </c>
      <c r="D619" s="1">
        <v>43768</v>
      </c>
      <c r="E619" s="1">
        <v>45155</v>
      </c>
      <c r="F619">
        <v>137</v>
      </c>
      <c r="G619">
        <v>4</v>
      </c>
      <c r="H619">
        <v>43.38</v>
      </c>
      <c r="I619">
        <v>47.9</v>
      </c>
      <c r="J619" t="s">
        <v>90</v>
      </c>
      <c r="K619" t="s">
        <v>20</v>
      </c>
      <c r="L619" t="s">
        <v>2095</v>
      </c>
      <c r="M619">
        <v>9</v>
      </c>
      <c r="N619" t="s">
        <v>204</v>
      </c>
      <c r="O619" t="s">
        <v>2121</v>
      </c>
    </row>
    <row r="620" spans="1:15">
      <c r="A620" t="s">
        <v>2056</v>
      </c>
      <c r="B620" t="s">
        <v>2085</v>
      </c>
      <c r="C620" t="s">
        <v>2094</v>
      </c>
      <c r="D620" s="1">
        <v>44708</v>
      </c>
      <c r="E620" s="1">
        <v>45159</v>
      </c>
      <c r="F620">
        <v>133</v>
      </c>
      <c r="G620">
        <v>20</v>
      </c>
      <c r="H620">
        <v>1803.08</v>
      </c>
      <c r="I620">
        <v>139.56</v>
      </c>
      <c r="J620" t="s">
        <v>41</v>
      </c>
      <c r="K620" t="s">
        <v>20</v>
      </c>
      <c r="L620" t="s">
        <v>2095</v>
      </c>
      <c r="M620">
        <v>5</v>
      </c>
      <c r="N620" t="s">
        <v>174</v>
      </c>
      <c r="O620" t="s">
        <v>2096</v>
      </c>
    </row>
    <row r="621" spans="1:15">
      <c r="A621" t="s">
        <v>2576</v>
      </c>
      <c r="B621" t="s">
        <v>2085</v>
      </c>
      <c r="C621" t="s">
        <v>2108</v>
      </c>
      <c r="D621" s="1">
        <v>43756</v>
      </c>
      <c r="E621" s="1">
        <v>45088</v>
      </c>
      <c r="F621">
        <v>204</v>
      </c>
      <c r="G621">
        <v>39</v>
      </c>
      <c r="H621">
        <v>1518.38</v>
      </c>
      <c r="I621">
        <v>195.42</v>
      </c>
      <c r="J621" t="s">
        <v>90</v>
      </c>
      <c r="K621" t="s">
        <v>20</v>
      </c>
      <c r="L621" t="s">
        <v>2095</v>
      </c>
      <c r="M621">
        <v>10</v>
      </c>
      <c r="N621" t="s">
        <v>204</v>
      </c>
      <c r="O621" t="s">
        <v>2121</v>
      </c>
    </row>
    <row r="622" spans="1:15">
      <c r="A622" t="s">
        <v>2577</v>
      </c>
      <c r="B622" t="s">
        <v>2099</v>
      </c>
      <c r="C622" t="s">
        <v>2094</v>
      </c>
      <c r="D622" s="1">
        <v>43536</v>
      </c>
      <c r="E622" s="1">
        <v>45256</v>
      </c>
      <c r="F622">
        <v>36</v>
      </c>
      <c r="G622">
        <v>1</v>
      </c>
      <c r="H622">
        <v>62.46</v>
      </c>
      <c r="I622">
        <v>86.89</v>
      </c>
      <c r="J622" t="s">
        <v>66</v>
      </c>
      <c r="K622" t="s">
        <v>20</v>
      </c>
      <c r="L622" t="s">
        <v>2106</v>
      </c>
      <c r="M622">
        <v>0</v>
      </c>
      <c r="N622" t="s">
        <v>232</v>
      </c>
      <c r="O622" t="s">
        <v>2096</v>
      </c>
    </row>
    <row r="623" spans="1:15">
      <c r="A623" t="s">
        <v>2578</v>
      </c>
      <c r="B623" t="s">
        <v>2093</v>
      </c>
      <c r="C623" t="s">
        <v>2111</v>
      </c>
      <c r="D623" s="1">
        <v>43752</v>
      </c>
      <c r="E623" s="1">
        <v>45004</v>
      </c>
      <c r="F623">
        <v>288</v>
      </c>
      <c r="G623">
        <v>2</v>
      </c>
      <c r="H623">
        <v>114.44</v>
      </c>
      <c r="I623">
        <v>75.62</v>
      </c>
      <c r="J623" t="s">
        <v>115</v>
      </c>
      <c r="K623" t="s">
        <v>16</v>
      </c>
      <c r="L623" t="s">
        <v>2106</v>
      </c>
      <c r="M623">
        <v>3</v>
      </c>
      <c r="N623" t="s">
        <v>174</v>
      </c>
      <c r="O623" t="s">
        <v>2121</v>
      </c>
    </row>
    <row r="624" spans="1:15">
      <c r="A624" t="s">
        <v>2579</v>
      </c>
      <c r="B624" t="s">
        <v>2113</v>
      </c>
      <c r="C624" t="s">
        <v>2100</v>
      </c>
      <c r="D624" s="1">
        <v>43608</v>
      </c>
      <c r="E624" s="1">
        <v>45179</v>
      </c>
      <c r="F624">
        <v>113</v>
      </c>
      <c r="G624">
        <v>15</v>
      </c>
      <c r="H624">
        <v>140.58000000000001</v>
      </c>
      <c r="I624">
        <v>47.18</v>
      </c>
      <c r="J624" t="s">
        <v>115</v>
      </c>
      <c r="K624" t="s">
        <v>16</v>
      </c>
      <c r="L624" t="s">
        <v>2106</v>
      </c>
      <c r="M624">
        <v>6</v>
      </c>
      <c r="N624" t="s">
        <v>165</v>
      </c>
      <c r="O624" t="s">
        <v>2109</v>
      </c>
    </row>
    <row r="625" spans="1:15">
      <c r="A625" t="s">
        <v>2580</v>
      </c>
      <c r="B625" t="s">
        <v>2093</v>
      </c>
      <c r="C625" t="s">
        <v>2091</v>
      </c>
      <c r="D625" s="1">
        <v>43890</v>
      </c>
      <c r="E625" s="1">
        <v>45156</v>
      </c>
      <c r="F625">
        <v>136</v>
      </c>
      <c r="G625">
        <v>2</v>
      </c>
      <c r="H625">
        <v>123.18</v>
      </c>
      <c r="I625">
        <v>25.37</v>
      </c>
      <c r="J625" t="s">
        <v>14</v>
      </c>
      <c r="K625" t="s">
        <v>16</v>
      </c>
      <c r="L625" t="s">
        <v>2095</v>
      </c>
      <c r="M625">
        <v>3</v>
      </c>
      <c r="N625" t="s">
        <v>174</v>
      </c>
      <c r="O625" t="s">
        <v>2088</v>
      </c>
    </row>
    <row r="626" spans="1:15">
      <c r="A626" t="s">
        <v>2581</v>
      </c>
      <c r="B626" t="s">
        <v>2085</v>
      </c>
      <c r="C626" t="s">
        <v>2111</v>
      </c>
      <c r="D626" s="1">
        <v>44446</v>
      </c>
      <c r="E626" s="1">
        <v>44948</v>
      </c>
      <c r="F626">
        <v>344</v>
      </c>
      <c r="G626">
        <v>13</v>
      </c>
      <c r="H626">
        <v>2214.39</v>
      </c>
      <c r="I626">
        <v>239.46</v>
      </c>
      <c r="J626" t="s">
        <v>41</v>
      </c>
      <c r="K626" t="s">
        <v>16</v>
      </c>
      <c r="L626" t="s">
        <v>2095</v>
      </c>
      <c r="M626">
        <v>2</v>
      </c>
      <c r="N626" t="s">
        <v>232</v>
      </c>
      <c r="O626" t="s">
        <v>2121</v>
      </c>
    </row>
    <row r="627" spans="1:15">
      <c r="A627" t="s">
        <v>2582</v>
      </c>
      <c r="B627" t="s">
        <v>2113</v>
      </c>
      <c r="C627" t="s">
        <v>2094</v>
      </c>
      <c r="D627" s="1">
        <v>43505</v>
      </c>
      <c r="E627" s="1">
        <v>45188</v>
      </c>
      <c r="F627">
        <v>104</v>
      </c>
      <c r="G627">
        <v>17</v>
      </c>
      <c r="H627">
        <v>477.98</v>
      </c>
      <c r="I627">
        <v>63.51</v>
      </c>
      <c r="J627" t="s">
        <v>90</v>
      </c>
      <c r="K627" t="s">
        <v>16</v>
      </c>
      <c r="L627" t="s">
        <v>2106</v>
      </c>
      <c r="M627">
        <v>6</v>
      </c>
      <c r="N627" t="s">
        <v>232</v>
      </c>
      <c r="O627" t="s">
        <v>2096</v>
      </c>
    </row>
    <row r="628" spans="1:15">
      <c r="A628" t="s">
        <v>2583</v>
      </c>
      <c r="B628" t="s">
        <v>2085</v>
      </c>
      <c r="C628" t="s">
        <v>2111</v>
      </c>
      <c r="D628" s="1">
        <v>44659</v>
      </c>
      <c r="E628" s="1">
        <v>45178</v>
      </c>
      <c r="F628">
        <v>114</v>
      </c>
      <c r="G628">
        <v>18</v>
      </c>
      <c r="H628">
        <v>2097.27</v>
      </c>
      <c r="I628">
        <v>141.77000000000001</v>
      </c>
      <c r="J628" t="s">
        <v>66</v>
      </c>
      <c r="K628" t="s">
        <v>20</v>
      </c>
      <c r="L628" t="s">
        <v>2095</v>
      </c>
      <c r="M628">
        <v>9</v>
      </c>
      <c r="N628" t="s">
        <v>194</v>
      </c>
      <c r="O628" t="s">
        <v>2088</v>
      </c>
    </row>
    <row r="629" spans="1:15">
      <c r="A629" t="s">
        <v>1066</v>
      </c>
      <c r="B629" t="s">
        <v>2097</v>
      </c>
      <c r="C629" t="s">
        <v>2094</v>
      </c>
      <c r="D629" s="1">
        <v>44751</v>
      </c>
      <c r="E629" s="1">
        <v>45245</v>
      </c>
      <c r="F629">
        <v>47</v>
      </c>
      <c r="G629">
        <v>9</v>
      </c>
      <c r="H629">
        <v>288.31</v>
      </c>
      <c r="I629">
        <v>103.62</v>
      </c>
      <c r="J629" t="s">
        <v>66</v>
      </c>
      <c r="K629" t="s">
        <v>20</v>
      </c>
      <c r="L629" t="s">
        <v>2087</v>
      </c>
      <c r="M629">
        <v>8</v>
      </c>
      <c r="N629" t="s">
        <v>204</v>
      </c>
      <c r="O629" t="s">
        <v>2107</v>
      </c>
    </row>
    <row r="630" spans="1:15">
      <c r="A630" t="s">
        <v>2584</v>
      </c>
      <c r="B630" t="s">
        <v>2097</v>
      </c>
      <c r="C630" t="s">
        <v>2111</v>
      </c>
      <c r="D630" s="1">
        <v>43999</v>
      </c>
      <c r="E630" s="1">
        <v>45128</v>
      </c>
      <c r="F630">
        <v>164</v>
      </c>
      <c r="G630">
        <v>7</v>
      </c>
      <c r="H630">
        <v>367.42</v>
      </c>
      <c r="I630">
        <v>82.71</v>
      </c>
      <c r="J630" t="s">
        <v>66</v>
      </c>
      <c r="K630" t="s">
        <v>16</v>
      </c>
      <c r="L630" t="s">
        <v>2095</v>
      </c>
      <c r="M630">
        <v>7</v>
      </c>
      <c r="N630" t="s">
        <v>232</v>
      </c>
      <c r="O630" t="s">
        <v>2088</v>
      </c>
    </row>
    <row r="631" spans="1:15">
      <c r="A631" t="s">
        <v>2585</v>
      </c>
      <c r="B631" t="s">
        <v>2099</v>
      </c>
      <c r="C631" t="s">
        <v>2108</v>
      </c>
      <c r="D631" s="1">
        <v>45113</v>
      </c>
      <c r="E631" s="1">
        <v>44981</v>
      </c>
      <c r="F631">
        <v>311</v>
      </c>
      <c r="G631">
        <v>1</v>
      </c>
      <c r="H631">
        <v>44.03</v>
      </c>
      <c r="I631">
        <v>23.33</v>
      </c>
      <c r="J631" t="s">
        <v>41</v>
      </c>
      <c r="K631" t="s">
        <v>16</v>
      </c>
      <c r="L631" t="s">
        <v>2106</v>
      </c>
      <c r="M631">
        <v>4</v>
      </c>
      <c r="N631" t="s">
        <v>179</v>
      </c>
      <c r="O631" t="s">
        <v>2107</v>
      </c>
    </row>
    <row r="632" spans="1:15">
      <c r="A632" t="s">
        <v>2586</v>
      </c>
      <c r="B632" t="s">
        <v>2090</v>
      </c>
      <c r="C632" t="s">
        <v>2091</v>
      </c>
      <c r="D632" s="1">
        <v>44792</v>
      </c>
      <c r="E632" s="1">
        <v>45247</v>
      </c>
      <c r="F632">
        <v>45</v>
      </c>
      <c r="G632">
        <v>8</v>
      </c>
      <c r="H632">
        <v>177.08</v>
      </c>
      <c r="I632">
        <v>77.099999999999994</v>
      </c>
      <c r="J632" t="s">
        <v>115</v>
      </c>
      <c r="K632" t="s">
        <v>16</v>
      </c>
      <c r="L632" t="s">
        <v>2095</v>
      </c>
      <c r="M632">
        <v>8</v>
      </c>
      <c r="N632" t="s">
        <v>174</v>
      </c>
      <c r="O632" t="s">
        <v>2121</v>
      </c>
    </row>
    <row r="633" spans="1:15">
      <c r="A633" t="s">
        <v>2587</v>
      </c>
      <c r="B633" t="s">
        <v>2085</v>
      </c>
      <c r="C633" t="s">
        <v>2108</v>
      </c>
      <c r="D633" s="1">
        <v>43888</v>
      </c>
      <c r="E633" s="1">
        <v>45182</v>
      </c>
      <c r="F633">
        <v>110</v>
      </c>
      <c r="G633">
        <v>18</v>
      </c>
      <c r="H633">
        <v>2625.09</v>
      </c>
      <c r="I633">
        <v>272.07</v>
      </c>
      <c r="J633" t="s">
        <v>90</v>
      </c>
      <c r="K633" t="s">
        <v>20</v>
      </c>
      <c r="L633" t="s">
        <v>2087</v>
      </c>
      <c r="M633">
        <v>7</v>
      </c>
      <c r="N633" t="s">
        <v>204</v>
      </c>
      <c r="O633" t="s">
        <v>2088</v>
      </c>
    </row>
    <row r="634" spans="1:15">
      <c r="A634" t="s">
        <v>2588</v>
      </c>
      <c r="B634" t="s">
        <v>2097</v>
      </c>
      <c r="C634" t="s">
        <v>2091</v>
      </c>
      <c r="D634" s="1">
        <v>45094</v>
      </c>
      <c r="E634" s="1">
        <v>45268</v>
      </c>
      <c r="F634">
        <v>24</v>
      </c>
      <c r="G634">
        <v>10</v>
      </c>
      <c r="H634">
        <v>462.11</v>
      </c>
      <c r="I634">
        <v>109.67</v>
      </c>
      <c r="J634" t="s">
        <v>14</v>
      </c>
      <c r="K634" t="s">
        <v>20</v>
      </c>
      <c r="L634" t="s">
        <v>2095</v>
      </c>
      <c r="M634">
        <v>0</v>
      </c>
      <c r="N634" t="s">
        <v>179</v>
      </c>
      <c r="O634" t="s">
        <v>2096</v>
      </c>
    </row>
    <row r="635" spans="1:15">
      <c r="A635" t="s">
        <v>2589</v>
      </c>
      <c r="B635" t="s">
        <v>2090</v>
      </c>
      <c r="C635" t="s">
        <v>2100</v>
      </c>
      <c r="D635" s="1">
        <v>43466</v>
      </c>
      <c r="E635" s="1">
        <v>45082</v>
      </c>
      <c r="F635">
        <v>210</v>
      </c>
      <c r="G635">
        <v>2</v>
      </c>
      <c r="H635">
        <v>354.29</v>
      </c>
      <c r="I635">
        <v>115.74</v>
      </c>
      <c r="J635" t="s">
        <v>90</v>
      </c>
      <c r="K635" t="s">
        <v>20</v>
      </c>
      <c r="L635" t="s">
        <v>2106</v>
      </c>
      <c r="M635">
        <v>2</v>
      </c>
      <c r="N635" t="s">
        <v>174</v>
      </c>
      <c r="O635" t="s">
        <v>2096</v>
      </c>
    </row>
    <row r="636" spans="1:15">
      <c r="A636" t="s">
        <v>1384</v>
      </c>
      <c r="B636" t="s">
        <v>2113</v>
      </c>
      <c r="C636" t="s">
        <v>2111</v>
      </c>
      <c r="D636" s="1">
        <v>44985</v>
      </c>
      <c r="E636" s="1">
        <v>45117</v>
      </c>
      <c r="F636">
        <v>175</v>
      </c>
      <c r="G636">
        <v>11</v>
      </c>
      <c r="H636">
        <v>422.89</v>
      </c>
      <c r="I636">
        <v>78.55</v>
      </c>
      <c r="J636" t="s">
        <v>66</v>
      </c>
      <c r="K636" t="s">
        <v>16</v>
      </c>
      <c r="L636" t="s">
        <v>2106</v>
      </c>
      <c r="M636">
        <v>0</v>
      </c>
      <c r="N636" t="s">
        <v>194</v>
      </c>
      <c r="O636" t="s">
        <v>2096</v>
      </c>
    </row>
    <row r="637" spans="1:15">
      <c r="A637" t="s">
        <v>2590</v>
      </c>
      <c r="B637" t="s">
        <v>2085</v>
      </c>
      <c r="C637" t="s">
        <v>2111</v>
      </c>
      <c r="D637" s="1">
        <v>45105</v>
      </c>
      <c r="E637" s="1">
        <v>45031</v>
      </c>
      <c r="F637">
        <v>261</v>
      </c>
      <c r="G637">
        <v>21</v>
      </c>
      <c r="H637">
        <v>1112.04</v>
      </c>
      <c r="I637">
        <v>191.39</v>
      </c>
      <c r="J637" t="s">
        <v>14</v>
      </c>
      <c r="K637" t="s">
        <v>16</v>
      </c>
      <c r="L637" t="s">
        <v>2095</v>
      </c>
      <c r="M637">
        <v>0</v>
      </c>
      <c r="N637" t="s">
        <v>174</v>
      </c>
      <c r="O637" t="s">
        <v>2096</v>
      </c>
    </row>
    <row r="638" spans="1:15">
      <c r="A638" t="s">
        <v>2591</v>
      </c>
      <c r="B638" t="s">
        <v>2093</v>
      </c>
      <c r="C638" t="s">
        <v>2094</v>
      </c>
      <c r="D638" s="1">
        <v>44889</v>
      </c>
      <c r="E638" s="1">
        <v>45212</v>
      </c>
      <c r="F638">
        <v>80</v>
      </c>
      <c r="G638">
        <v>2</v>
      </c>
      <c r="H638">
        <v>107.39</v>
      </c>
      <c r="I638">
        <v>73.19</v>
      </c>
      <c r="J638" t="s">
        <v>66</v>
      </c>
      <c r="K638" t="s">
        <v>16</v>
      </c>
      <c r="L638" t="s">
        <v>2106</v>
      </c>
      <c r="M638">
        <v>9</v>
      </c>
      <c r="N638" t="s">
        <v>204</v>
      </c>
      <c r="O638" t="s">
        <v>2096</v>
      </c>
    </row>
    <row r="639" spans="1:15">
      <c r="A639" t="s">
        <v>2592</v>
      </c>
      <c r="B639" t="s">
        <v>2093</v>
      </c>
      <c r="C639" t="s">
        <v>2111</v>
      </c>
      <c r="D639" s="1">
        <v>44238</v>
      </c>
      <c r="E639" s="1">
        <v>44942</v>
      </c>
      <c r="F639">
        <v>350</v>
      </c>
      <c r="G639">
        <v>2</v>
      </c>
      <c r="H639">
        <v>66.63</v>
      </c>
      <c r="I639">
        <v>43.85</v>
      </c>
      <c r="J639" t="s">
        <v>90</v>
      </c>
      <c r="K639" t="s">
        <v>16</v>
      </c>
      <c r="L639" t="s">
        <v>2087</v>
      </c>
      <c r="M639">
        <v>6</v>
      </c>
      <c r="N639" t="s">
        <v>157</v>
      </c>
      <c r="O639" t="s">
        <v>2096</v>
      </c>
    </row>
    <row r="640" spans="1:15">
      <c r="A640" t="s">
        <v>2593</v>
      </c>
      <c r="B640" t="s">
        <v>2090</v>
      </c>
      <c r="C640" t="s">
        <v>2108</v>
      </c>
      <c r="D640" s="1">
        <v>45260</v>
      </c>
      <c r="E640" s="1">
        <v>45070</v>
      </c>
      <c r="F640">
        <v>222</v>
      </c>
      <c r="G640">
        <v>2</v>
      </c>
      <c r="H640">
        <v>290.12</v>
      </c>
      <c r="I640">
        <v>116.75</v>
      </c>
      <c r="J640" t="s">
        <v>66</v>
      </c>
      <c r="K640" t="s">
        <v>20</v>
      </c>
      <c r="L640" t="s">
        <v>2087</v>
      </c>
      <c r="M640">
        <v>3</v>
      </c>
      <c r="N640" t="s">
        <v>179</v>
      </c>
      <c r="O640" t="s">
        <v>2121</v>
      </c>
    </row>
    <row r="641" spans="1:15">
      <c r="A641" t="s">
        <v>2594</v>
      </c>
      <c r="B641" t="s">
        <v>2085</v>
      </c>
      <c r="C641" t="s">
        <v>2100</v>
      </c>
      <c r="D641" s="1">
        <v>43946</v>
      </c>
      <c r="E641" s="1">
        <v>45280</v>
      </c>
      <c r="F641">
        <v>12</v>
      </c>
      <c r="G641">
        <v>33</v>
      </c>
      <c r="H641">
        <v>1398.32</v>
      </c>
      <c r="I641">
        <v>274.39999999999998</v>
      </c>
      <c r="J641" t="s">
        <v>14</v>
      </c>
      <c r="K641" t="s">
        <v>20</v>
      </c>
      <c r="L641" t="s">
        <v>2095</v>
      </c>
      <c r="M641">
        <v>9</v>
      </c>
      <c r="N641" t="s">
        <v>179</v>
      </c>
      <c r="O641" t="s">
        <v>2109</v>
      </c>
    </row>
    <row r="642" spans="1:15">
      <c r="A642" t="s">
        <v>2595</v>
      </c>
      <c r="B642" t="s">
        <v>2090</v>
      </c>
      <c r="C642" t="s">
        <v>2094</v>
      </c>
      <c r="D642" s="1">
        <v>45203</v>
      </c>
      <c r="E642" s="1">
        <v>44951</v>
      </c>
      <c r="F642">
        <v>341</v>
      </c>
      <c r="G642">
        <v>7</v>
      </c>
      <c r="H642">
        <v>236.33</v>
      </c>
      <c r="I642">
        <v>58.52</v>
      </c>
      <c r="J642" t="s">
        <v>66</v>
      </c>
      <c r="K642" t="s">
        <v>16</v>
      </c>
      <c r="L642" t="s">
        <v>2106</v>
      </c>
      <c r="M642">
        <v>5</v>
      </c>
      <c r="N642" t="s">
        <v>204</v>
      </c>
      <c r="O642" t="s">
        <v>2109</v>
      </c>
    </row>
    <row r="643" spans="1:15">
      <c r="A643" t="s">
        <v>270</v>
      </c>
      <c r="B643" t="s">
        <v>2090</v>
      </c>
      <c r="C643" t="s">
        <v>2086</v>
      </c>
      <c r="D643" s="1">
        <v>44953</v>
      </c>
      <c r="E643" s="1">
        <v>45209</v>
      </c>
      <c r="F643">
        <v>83</v>
      </c>
      <c r="G643">
        <v>3</v>
      </c>
      <c r="H643">
        <v>199.45</v>
      </c>
      <c r="I643">
        <v>112.15</v>
      </c>
      <c r="J643" t="s">
        <v>41</v>
      </c>
      <c r="K643" t="s">
        <v>16</v>
      </c>
      <c r="L643" t="s">
        <v>2106</v>
      </c>
      <c r="M643">
        <v>10</v>
      </c>
      <c r="N643" t="s">
        <v>194</v>
      </c>
      <c r="O643" t="s">
        <v>2109</v>
      </c>
    </row>
    <row r="644" spans="1:15">
      <c r="A644" t="s">
        <v>2596</v>
      </c>
      <c r="B644" t="s">
        <v>2097</v>
      </c>
      <c r="C644" t="s">
        <v>2091</v>
      </c>
      <c r="D644" s="1">
        <v>45037</v>
      </c>
      <c r="E644" s="1">
        <v>45076</v>
      </c>
      <c r="F644">
        <v>216</v>
      </c>
      <c r="G644">
        <v>9</v>
      </c>
      <c r="H644">
        <v>391.87</v>
      </c>
      <c r="I644">
        <v>148.35</v>
      </c>
      <c r="J644" t="s">
        <v>90</v>
      </c>
      <c r="K644" t="s">
        <v>20</v>
      </c>
      <c r="L644" t="s">
        <v>2106</v>
      </c>
      <c r="M644">
        <v>6</v>
      </c>
      <c r="N644" t="s">
        <v>194</v>
      </c>
      <c r="O644" t="s">
        <v>2109</v>
      </c>
    </row>
    <row r="645" spans="1:15">
      <c r="A645" t="s">
        <v>2597</v>
      </c>
      <c r="B645" t="s">
        <v>2085</v>
      </c>
      <c r="C645" t="s">
        <v>2100</v>
      </c>
      <c r="D645" s="1">
        <v>44200</v>
      </c>
      <c r="E645" s="1">
        <v>45257</v>
      </c>
      <c r="F645">
        <v>35</v>
      </c>
      <c r="G645">
        <v>31</v>
      </c>
      <c r="H645">
        <v>1357.04</v>
      </c>
      <c r="I645">
        <v>127.53</v>
      </c>
      <c r="J645" t="s">
        <v>90</v>
      </c>
      <c r="K645" t="s">
        <v>20</v>
      </c>
      <c r="L645" t="s">
        <v>2106</v>
      </c>
      <c r="M645">
        <v>2</v>
      </c>
      <c r="N645" t="s">
        <v>174</v>
      </c>
      <c r="O645" t="s">
        <v>2121</v>
      </c>
    </row>
    <row r="646" spans="1:15">
      <c r="A646" t="s">
        <v>407</v>
      </c>
      <c r="B646" t="s">
        <v>2090</v>
      </c>
      <c r="C646" t="s">
        <v>2108</v>
      </c>
      <c r="D646" s="1">
        <v>44165</v>
      </c>
      <c r="E646" s="1">
        <v>45203</v>
      </c>
      <c r="F646">
        <v>89</v>
      </c>
      <c r="G646">
        <v>8</v>
      </c>
      <c r="H646">
        <v>394.47</v>
      </c>
      <c r="I646">
        <v>51.6</v>
      </c>
      <c r="J646" t="s">
        <v>41</v>
      </c>
      <c r="K646" t="s">
        <v>20</v>
      </c>
      <c r="L646" t="s">
        <v>2095</v>
      </c>
      <c r="M646">
        <v>3</v>
      </c>
      <c r="N646" t="s">
        <v>179</v>
      </c>
      <c r="O646" t="s">
        <v>2109</v>
      </c>
    </row>
    <row r="647" spans="1:15">
      <c r="A647" t="s">
        <v>2598</v>
      </c>
      <c r="B647" t="s">
        <v>2085</v>
      </c>
      <c r="C647" t="s">
        <v>2111</v>
      </c>
      <c r="D647" s="1">
        <v>44492</v>
      </c>
      <c r="E647" s="1">
        <v>45205</v>
      </c>
      <c r="F647">
        <v>87</v>
      </c>
      <c r="G647">
        <v>38</v>
      </c>
      <c r="H647">
        <v>1721.75</v>
      </c>
      <c r="I647">
        <v>122.38</v>
      </c>
      <c r="J647" t="s">
        <v>115</v>
      </c>
      <c r="K647" t="s">
        <v>16</v>
      </c>
      <c r="L647" t="s">
        <v>2106</v>
      </c>
      <c r="M647">
        <v>0</v>
      </c>
      <c r="N647" t="s">
        <v>194</v>
      </c>
      <c r="O647" t="s">
        <v>2088</v>
      </c>
    </row>
    <row r="648" spans="1:15">
      <c r="A648" t="s">
        <v>2599</v>
      </c>
      <c r="B648" t="s">
        <v>2093</v>
      </c>
      <c r="C648" t="s">
        <v>2100</v>
      </c>
      <c r="D648" s="1">
        <v>45079</v>
      </c>
      <c r="E648" s="1">
        <v>45098</v>
      </c>
      <c r="F648">
        <v>194</v>
      </c>
      <c r="G648">
        <v>2</v>
      </c>
      <c r="H648">
        <v>155.75</v>
      </c>
      <c r="I648">
        <v>61.04</v>
      </c>
      <c r="J648" t="s">
        <v>14</v>
      </c>
      <c r="K648" t="s">
        <v>16</v>
      </c>
      <c r="L648" t="s">
        <v>2106</v>
      </c>
      <c r="M648">
        <v>5</v>
      </c>
      <c r="N648" t="s">
        <v>232</v>
      </c>
      <c r="O648" t="s">
        <v>2109</v>
      </c>
    </row>
    <row r="649" spans="1:15">
      <c r="A649" t="s">
        <v>2600</v>
      </c>
      <c r="B649" t="s">
        <v>2090</v>
      </c>
      <c r="C649" t="s">
        <v>2108</v>
      </c>
      <c r="D649" s="1">
        <v>44185</v>
      </c>
      <c r="E649" s="1">
        <v>45135</v>
      </c>
      <c r="F649">
        <v>157</v>
      </c>
      <c r="G649">
        <v>7</v>
      </c>
      <c r="H649">
        <v>342.2</v>
      </c>
      <c r="I649">
        <v>57.53</v>
      </c>
      <c r="J649" t="s">
        <v>14</v>
      </c>
      <c r="K649" t="s">
        <v>16</v>
      </c>
      <c r="L649" t="s">
        <v>2106</v>
      </c>
      <c r="M649">
        <v>10</v>
      </c>
      <c r="N649" t="s">
        <v>204</v>
      </c>
      <c r="O649" t="s">
        <v>2107</v>
      </c>
    </row>
    <row r="650" spans="1:15">
      <c r="A650" t="s">
        <v>2601</v>
      </c>
      <c r="B650" t="s">
        <v>2093</v>
      </c>
      <c r="C650" t="s">
        <v>2100</v>
      </c>
      <c r="D650" s="1">
        <v>44499</v>
      </c>
      <c r="E650" s="1">
        <v>44982</v>
      </c>
      <c r="F650">
        <v>310</v>
      </c>
      <c r="G650">
        <v>2</v>
      </c>
      <c r="H650">
        <v>151.75</v>
      </c>
      <c r="I650">
        <v>73.59</v>
      </c>
      <c r="J650" t="s">
        <v>41</v>
      </c>
      <c r="K650" t="s">
        <v>16</v>
      </c>
      <c r="L650" t="s">
        <v>2106</v>
      </c>
      <c r="M650">
        <v>4</v>
      </c>
      <c r="N650" t="s">
        <v>157</v>
      </c>
      <c r="O650" t="s">
        <v>2109</v>
      </c>
    </row>
    <row r="651" spans="1:15">
      <c r="A651" t="s">
        <v>2602</v>
      </c>
      <c r="B651" t="s">
        <v>2113</v>
      </c>
      <c r="C651" t="s">
        <v>2111</v>
      </c>
      <c r="D651" s="1">
        <v>45134</v>
      </c>
      <c r="E651" s="1">
        <v>45024</v>
      </c>
      <c r="F651">
        <v>268</v>
      </c>
      <c r="G651">
        <v>11</v>
      </c>
      <c r="H651">
        <v>370.98</v>
      </c>
      <c r="I651">
        <v>34.83</v>
      </c>
      <c r="J651" t="s">
        <v>14</v>
      </c>
      <c r="K651" t="s">
        <v>16</v>
      </c>
      <c r="L651" t="s">
        <v>2087</v>
      </c>
      <c r="M651">
        <v>1</v>
      </c>
      <c r="N651" t="s">
        <v>157</v>
      </c>
      <c r="O651" t="s">
        <v>2107</v>
      </c>
    </row>
    <row r="652" spans="1:15">
      <c r="A652" t="s">
        <v>2603</v>
      </c>
      <c r="B652" t="s">
        <v>2093</v>
      </c>
      <c r="C652" t="s">
        <v>2094</v>
      </c>
      <c r="D652" s="1">
        <v>43709</v>
      </c>
      <c r="E652" s="1">
        <v>45143</v>
      </c>
      <c r="F652">
        <v>149</v>
      </c>
      <c r="G652">
        <v>1</v>
      </c>
      <c r="H652">
        <v>41.39</v>
      </c>
      <c r="I652">
        <v>47.16</v>
      </c>
      <c r="J652" t="s">
        <v>90</v>
      </c>
      <c r="K652" t="s">
        <v>16</v>
      </c>
      <c r="L652" t="s">
        <v>2106</v>
      </c>
      <c r="M652">
        <v>9</v>
      </c>
      <c r="N652" t="s">
        <v>194</v>
      </c>
      <c r="O652" t="s">
        <v>2121</v>
      </c>
    </row>
    <row r="653" spans="1:15">
      <c r="A653" t="s">
        <v>2604</v>
      </c>
      <c r="B653" t="s">
        <v>2099</v>
      </c>
      <c r="C653" t="s">
        <v>2108</v>
      </c>
      <c r="D653" s="1">
        <v>44673</v>
      </c>
      <c r="E653" s="1">
        <v>45171</v>
      </c>
      <c r="F653">
        <v>121</v>
      </c>
      <c r="G653">
        <v>2</v>
      </c>
      <c r="H653">
        <v>47.1</v>
      </c>
      <c r="I653">
        <v>54.28</v>
      </c>
      <c r="J653" t="s">
        <v>115</v>
      </c>
      <c r="K653" t="s">
        <v>20</v>
      </c>
      <c r="L653" t="s">
        <v>2095</v>
      </c>
      <c r="M653">
        <v>10</v>
      </c>
      <c r="N653" t="s">
        <v>204</v>
      </c>
      <c r="O653" t="s">
        <v>2096</v>
      </c>
    </row>
    <row r="654" spans="1:15">
      <c r="A654" t="s">
        <v>2605</v>
      </c>
      <c r="B654" t="s">
        <v>2099</v>
      </c>
      <c r="C654" t="s">
        <v>2086</v>
      </c>
      <c r="D654" s="1">
        <v>44435</v>
      </c>
      <c r="E654" s="1">
        <v>45123</v>
      </c>
      <c r="F654">
        <v>169</v>
      </c>
      <c r="G654">
        <v>2</v>
      </c>
      <c r="H654">
        <v>65.69</v>
      </c>
      <c r="I654">
        <v>40.46</v>
      </c>
      <c r="J654" t="s">
        <v>14</v>
      </c>
      <c r="K654" t="s">
        <v>16</v>
      </c>
      <c r="L654" t="s">
        <v>2106</v>
      </c>
      <c r="M654">
        <v>9</v>
      </c>
      <c r="N654" t="s">
        <v>232</v>
      </c>
      <c r="O654" t="s">
        <v>2121</v>
      </c>
    </row>
    <row r="655" spans="1:15">
      <c r="A655" t="s">
        <v>2606</v>
      </c>
      <c r="B655" t="s">
        <v>2093</v>
      </c>
      <c r="C655" t="s">
        <v>2100</v>
      </c>
      <c r="D655" s="1">
        <v>44464</v>
      </c>
      <c r="E655" s="1">
        <v>44971</v>
      </c>
      <c r="F655">
        <v>321</v>
      </c>
      <c r="G655">
        <v>4</v>
      </c>
      <c r="H655">
        <v>199.09</v>
      </c>
      <c r="I655">
        <v>42.8</v>
      </c>
      <c r="J655" t="s">
        <v>66</v>
      </c>
      <c r="K655" t="s">
        <v>20</v>
      </c>
      <c r="L655" t="s">
        <v>2095</v>
      </c>
      <c r="M655">
        <v>1</v>
      </c>
      <c r="N655" t="s">
        <v>157</v>
      </c>
      <c r="O655" t="s">
        <v>2096</v>
      </c>
    </row>
    <row r="656" spans="1:15">
      <c r="A656" t="s">
        <v>2607</v>
      </c>
      <c r="B656" t="s">
        <v>2099</v>
      </c>
      <c r="C656" t="s">
        <v>2094</v>
      </c>
      <c r="D656" s="1">
        <v>44427</v>
      </c>
      <c r="E656" s="1">
        <v>44944</v>
      </c>
      <c r="F656">
        <v>348</v>
      </c>
      <c r="G656">
        <v>2</v>
      </c>
      <c r="H656">
        <v>117.38</v>
      </c>
      <c r="I656">
        <v>39.31</v>
      </c>
      <c r="J656" t="s">
        <v>66</v>
      </c>
      <c r="K656" t="s">
        <v>20</v>
      </c>
      <c r="L656" t="s">
        <v>2106</v>
      </c>
      <c r="M656">
        <v>7</v>
      </c>
      <c r="N656" t="s">
        <v>157</v>
      </c>
      <c r="O656" t="s">
        <v>2088</v>
      </c>
    </row>
    <row r="657" spans="1:15">
      <c r="A657" t="s">
        <v>2608</v>
      </c>
      <c r="B657" t="s">
        <v>2099</v>
      </c>
      <c r="C657" t="s">
        <v>2111</v>
      </c>
      <c r="D657" s="1">
        <v>45232</v>
      </c>
      <c r="E657" s="1">
        <v>45272</v>
      </c>
      <c r="F657">
        <v>20</v>
      </c>
      <c r="G657">
        <v>1</v>
      </c>
      <c r="H657">
        <v>21.34</v>
      </c>
      <c r="I657">
        <v>30.27</v>
      </c>
      <c r="J657" t="s">
        <v>115</v>
      </c>
      <c r="K657" t="s">
        <v>16</v>
      </c>
      <c r="L657" t="s">
        <v>2095</v>
      </c>
      <c r="M657">
        <v>8</v>
      </c>
      <c r="N657" t="s">
        <v>157</v>
      </c>
      <c r="O657" t="s">
        <v>2109</v>
      </c>
    </row>
    <row r="658" spans="1:15">
      <c r="A658" t="s">
        <v>2609</v>
      </c>
      <c r="B658" t="s">
        <v>2113</v>
      </c>
      <c r="C658" t="s">
        <v>2094</v>
      </c>
      <c r="D658" s="1">
        <v>44949</v>
      </c>
      <c r="E658" s="1">
        <v>44951</v>
      </c>
      <c r="F658">
        <v>341</v>
      </c>
      <c r="G658">
        <v>17</v>
      </c>
      <c r="H658">
        <v>500.65</v>
      </c>
      <c r="I658">
        <v>56.78</v>
      </c>
      <c r="J658" t="s">
        <v>115</v>
      </c>
      <c r="K658" t="s">
        <v>16</v>
      </c>
      <c r="L658" t="s">
        <v>2106</v>
      </c>
      <c r="M658">
        <v>8</v>
      </c>
      <c r="N658" t="s">
        <v>204</v>
      </c>
      <c r="O658" t="s">
        <v>2107</v>
      </c>
    </row>
    <row r="659" spans="1:15">
      <c r="A659" t="s">
        <v>2610</v>
      </c>
      <c r="B659" t="s">
        <v>2099</v>
      </c>
      <c r="C659" t="s">
        <v>2100</v>
      </c>
      <c r="D659" s="1">
        <v>44697</v>
      </c>
      <c r="E659" s="1">
        <v>45096</v>
      </c>
      <c r="F659">
        <v>196</v>
      </c>
      <c r="G659">
        <v>2</v>
      </c>
      <c r="H659">
        <v>130.96</v>
      </c>
      <c r="I659">
        <v>23.19</v>
      </c>
      <c r="J659" t="s">
        <v>14</v>
      </c>
      <c r="K659" t="s">
        <v>20</v>
      </c>
      <c r="L659" t="s">
        <v>2095</v>
      </c>
      <c r="M659">
        <v>1</v>
      </c>
      <c r="N659" t="s">
        <v>157</v>
      </c>
      <c r="O659" t="s">
        <v>2109</v>
      </c>
    </row>
    <row r="660" spans="1:15">
      <c r="A660" t="s">
        <v>2611</v>
      </c>
      <c r="B660" t="s">
        <v>2099</v>
      </c>
      <c r="C660" t="s">
        <v>2091</v>
      </c>
      <c r="D660" s="1">
        <v>45118</v>
      </c>
      <c r="E660" s="1">
        <v>45261</v>
      </c>
      <c r="F660">
        <v>31</v>
      </c>
      <c r="G660">
        <v>1</v>
      </c>
      <c r="H660">
        <v>20.74</v>
      </c>
      <c r="I660">
        <v>82.06</v>
      </c>
      <c r="J660" t="s">
        <v>90</v>
      </c>
      <c r="K660" t="s">
        <v>16</v>
      </c>
      <c r="L660" t="s">
        <v>2087</v>
      </c>
      <c r="M660">
        <v>2</v>
      </c>
      <c r="N660" t="s">
        <v>157</v>
      </c>
      <c r="O660" t="s">
        <v>2121</v>
      </c>
    </row>
    <row r="661" spans="1:15">
      <c r="A661" t="s">
        <v>959</v>
      </c>
      <c r="B661" t="s">
        <v>2093</v>
      </c>
      <c r="C661" t="s">
        <v>2111</v>
      </c>
      <c r="D661" s="1">
        <v>44376</v>
      </c>
      <c r="E661" s="1">
        <v>45285</v>
      </c>
      <c r="F661">
        <v>7</v>
      </c>
      <c r="G661">
        <v>5</v>
      </c>
      <c r="H661">
        <v>173.74</v>
      </c>
      <c r="I661">
        <v>33.72</v>
      </c>
      <c r="J661" t="s">
        <v>14</v>
      </c>
      <c r="K661" t="s">
        <v>16</v>
      </c>
      <c r="L661" t="s">
        <v>2095</v>
      </c>
      <c r="M661">
        <v>2</v>
      </c>
      <c r="N661" t="s">
        <v>165</v>
      </c>
      <c r="O661" t="s">
        <v>2088</v>
      </c>
    </row>
    <row r="662" spans="1:15">
      <c r="A662" t="s">
        <v>2612</v>
      </c>
      <c r="B662" t="s">
        <v>2090</v>
      </c>
      <c r="C662" t="s">
        <v>2111</v>
      </c>
      <c r="D662" s="1">
        <v>44897</v>
      </c>
      <c r="E662" s="1">
        <v>45147</v>
      </c>
      <c r="F662">
        <v>145</v>
      </c>
      <c r="G662">
        <v>2</v>
      </c>
      <c r="H662">
        <v>220.19</v>
      </c>
      <c r="I662">
        <v>69.33</v>
      </c>
      <c r="J662" t="s">
        <v>115</v>
      </c>
      <c r="K662" t="s">
        <v>20</v>
      </c>
      <c r="L662" t="s">
        <v>2087</v>
      </c>
      <c r="M662">
        <v>10</v>
      </c>
      <c r="N662" t="s">
        <v>232</v>
      </c>
      <c r="O662" t="s">
        <v>2096</v>
      </c>
    </row>
    <row r="663" spans="1:15">
      <c r="A663" t="s">
        <v>2613</v>
      </c>
      <c r="B663" t="s">
        <v>2099</v>
      </c>
      <c r="C663" t="s">
        <v>2111</v>
      </c>
      <c r="D663" s="1">
        <v>44903</v>
      </c>
      <c r="E663" s="1">
        <v>45143</v>
      </c>
      <c r="F663">
        <v>149</v>
      </c>
      <c r="G663">
        <v>2</v>
      </c>
      <c r="H663">
        <v>24.36</v>
      </c>
      <c r="I663">
        <v>54.9</v>
      </c>
      <c r="J663" t="s">
        <v>14</v>
      </c>
      <c r="K663" t="s">
        <v>16</v>
      </c>
      <c r="L663" t="s">
        <v>2087</v>
      </c>
      <c r="M663">
        <v>10</v>
      </c>
      <c r="N663" t="s">
        <v>194</v>
      </c>
      <c r="O663" t="s">
        <v>2109</v>
      </c>
    </row>
    <row r="664" spans="1:15">
      <c r="A664" t="s">
        <v>2614</v>
      </c>
      <c r="B664" t="s">
        <v>2099</v>
      </c>
      <c r="C664" t="s">
        <v>2091</v>
      </c>
      <c r="D664" s="1">
        <v>43713</v>
      </c>
      <c r="E664" s="1">
        <v>44939</v>
      </c>
      <c r="F664">
        <v>353</v>
      </c>
      <c r="G664">
        <v>1</v>
      </c>
      <c r="H664">
        <v>137.86000000000001</v>
      </c>
      <c r="I664">
        <v>90.04</v>
      </c>
      <c r="J664" t="s">
        <v>14</v>
      </c>
      <c r="K664" t="s">
        <v>20</v>
      </c>
      <c r="L664" t="s">
        <v>2095</v>
      </c>
      <c r="M664">
        <v>10</v>
      </c>
      <c r="N664" t="s">
        <v>157</v>
      </c>
      <c r="O664" t="s">
        <v>2109</v>
      </c>
    </row>
    <row r="665" spans="1:15">
      <c r="A665" t="s">
        <v>2615</v>
      </c>
      <c r="B665" t="s">
        <v>2093</v>
      </c>
      <c r="C665" t="s">
        <v>2091</v>
      </c>
      <c r="D665" s="1">
        <v>43602</v>
      </c>
      <c r="E665" s="1">
        <v>45263</v>
      </c>
      <c r="F665">
        <v>29</v>
      </c>
      <c r="G665">
        <v>5</v>
      </c>
      <c r="H665">
        <v>93.46</v>
      </c>
      <c r="I665">
        <v>35.78</v>
      </c>
      <c r="J665" t="s">
        <v>115</v>
      </c>
      <c r="K665" t="s">
        <v>16</v>
      </c>
      <c r="L665" t="s">
        <v>2095</v>
      </c>
      <c r="M665">
        <v>8</v>
      </c>
      <c r="N665" t="s">
        <v>174</v>
      </c>
      <c r="O665" t="s">
        <v>2107</v>
      </c>
    </row>
    <row r="666" spans="1:15">
      <c r="A666" t="s">
        <v>2616</v>
      </c>
      <c r="B666" t="s">
        <v>2097</v>
      </c>
      <c r="C666" t="s">
        <v>2094</v>
      </c>
      <c r="D666" s="1">
        <v>44266</v>
      </c>
      <c r="E666" s="1">
        <v>44932</v>
      </c>
      <c r="F666">
        <v>360</v>
      </c>
      <c r="G666">
        <v>5</v>
      </c>
      <c r="H666">
        <v>345.22</v>
      </c>
      <c r="I666">
        <v>124.66</v>
      </c>
      <c r="J666" t="s">
        <v>14</v>
      </c>
      <c r="K666" t="s">
        <v>20</v>
      </c>
      <c r="L666" t="s">
        <v>2095</v>
      </c>
      <c r="M666">
        <v>1</v>
      </c>
      <c r="N666" t="s">
        <v>232</v>
      </c>
      <c r="O666" t="s">
        <v>2121</v>
      </c>
    </row>
    <row r="667" spans="1:15">
      <c r="A667" t="s">
        <v>2617</v>
      </c>
      <c r="B667" t="s">
        <v>2090</v>
      </c>
      <c r="C667" t="s">
        <v>2091</v>
      </c>
      <c r="D667" s="1">
        <v>43746</v>
      </c>
      <c r="E667" s="1">
        <v>45090</v>
      </c>
      <c r="F667">
        <v>202</v>
      </c>
      <c r="G667">
        <v>6</v>
      </c>
      <c r="H667">
        <v>82.83</v>
      </c>
      <c r="I667">
        <v>110.43</v>
      </c>
      <c r="J667" t="s">
        <v>90</v>
      </c>
      <c r="K667" t="s">
        <v>16</v>
      </c>
      <c r="L667" t="s">
        <v>2095</v>
      </c>
      <c r="M667">
        <v>10</v>
      </c>
      <c r="N667" t="s">
        <v>204</v>
      </c>
      <c r="O667" t="s">
        <v>2109</v>
      </c>
    </row>
    <row r="668" spans="1:15">
      <c r="A668" t="s">
        <v>2618</v>
      </c>
      <c r="B668" t="s">
        <v>2099</v>
      </c>
      <c r="C668" t="s">
        <v>2086</v>
      </c>
      <c r="D668" s="1">
        <v>44763</v>
      </c>
      <c r="E668" s="1">
        <v>45248</v>
      </c>
      <c r="F668">
        <v>44</v>
      </c>
      <c r="G668">
        <v>1</v>
      </c>
      <c r="H668">
        <v>32.880000000000003</v>
      </c>
      <c r="I668">
        <v>51.03</v>
      </c>
      <c r="J668" t="s">
        <v>14</v>
      </c>
      <c r="K668" t="s">
        <v>16</v>
      </c>
      <c r="L668" t="s">
        <v>2106</v>
      </c>
      <c r="M668">
        <v>2</v>
      </c>
      <c r="N668" t="s">
        <v>179</v>
      </c>
      <c r="O668" t="s">
        <v>2088</v>
      </c>
    </row>
    <row r="669" spans="1:15">
      <c r="A669" t="s">
        <v>1014</v>
      </c>
      <c r="B669" t="s">
        <v>2097</v>
      </c>
      <c r="C669" t="s">
        <v>2091</v>
      </c>
      <c r="D669" s="1">
        <v>43614</v>
      </c>
      <c r="E669" s="1">
        <v>45216</v>
      </c>
      <c r="F669">
        <v>76</v>
      </c>
      <c r="G669">
        <v>4</v>
      </c>
      <c r="H669">
        <v>460.5</v>
      </c>
      <c r="I669">
        <v>148.99</v>
      </c>
      <c r="J669" t="s">
        <v>41</v>
      </c>
      <c r="K669" t="s">
        <v>20</v>
      </c>
      <c r="L669" t="s">
        <v>2087</v>
      </c>
      <c r="M669">
        <v>10</v>
      </c>
      <c r="N669" t="s">
        <v>194</v>
      </c>
      <c r="O669" t="s">
        <v>2107</v>
      </c>
    </row>
    <row r="670" spans="1:15">
      <c r="A670" t="s">
        <v>2619</v>
      </c>
      <c r="B670" t="s">
        <v>2113</v>
      </c>
      <c r="C670" t="s">
        <v>2100</v>
      </c>
      <c r="D670" s="1">
        <v>45249</v>
      </c>
      <c r="E670" s="1">
        <v>45091</v>
      </c>
      <c r="F670">
        <v>201</v>
      </c>
      <c r="G670">
        <v>18</v>
      </c>
      <c r="H670">
        <v>129.84</v>
      </c>
      <c r="I670">
        <v>51.59</v>
      </c>
      <c r="J670" t="s">
        <v>14</v>
      </c>
      <c r="K670" t="s">
        <v>16</v>
      </c>
      <c r="L670" t="s">
        <v>2106</v>
      </c>
      <c r="M670">
        <v>5</v>
      </c>
      <c r="N670" t="s">
        <v>204</v>
      </c>
      <c r="O670" t="s">
        <v>2109</v>
      </c>
    </row>
    <row r="671" spans="1:15">
      <c r="A671" t="s">
        <v>2620</v>
      </c>
      <c r="B671" t="s">
        <v>2090</v>
      </c>
      <c r="C671" t="s">
        <v>2086</v>
      </c>
      <c r="D671" s="1">
        <v>43726</v>
      </c>
      <c r="E671" s="1">
        <v>45172</v>
      </c>
      <c r="F671">
        <v>120</v>
      </c>
      <c r="G671">
        <v>8</v>
      </c>
      <c r="H671">
        <v>357.42</v>
      </c>
      <c r="I671">
        <v>99.89</v>
      </c>
      <c r="J671" t="s">
        <v>115</v>
      </c>
      <c r="K671" t="s">
        <v>16</v>
      </c>
      <c r="L671" t="s">
        <v>2106</v>
      </c>
      <c r="M671">
        <v>10</v>
      </c>
      <c r="N671" t="s">
        <v>157</v>
      </c>
      <c r="O671" t="s">
        <v>2107</v>
      </c>
    </row>
    <row r="672" spans="1:15">
      <c r="A672" t="s">
        <v>2621</v>
      </c>
      <c r="B672" t="s">
        <v>2090</v>
      </c>
      <c r="C672" t="s">
        <v>2111</v>
      </c>
      <c r="D672" s="1">
        <v>44352</v>
      </c>
      <c r="E672" s="1">
        <v>45234</v>
      </c>
      <c r="F672">
        <v>58</v>
      </c>
      <c r="G672">
        <v>6</v>
      </c>
      <c r="H672">
        <v>172.04</v>
      </c>
      <c r="I672">
        <v>101.85</v>
      </c>
      <c r="J672" t="s">
        <v>90</v>
      </c>
      <c r="K672" t="s">
        <v>16</v>
      </c>
      <c r="L672" t="s">
        <v>2106</v>
      </c>
      <c r="M672">
        <v>1</v>
      </c>
      <c r="N672" t="s">
        <v>165</v>
      </c>
      <c r="O672" t="s">
        <v>2107</v>
      </c>
    </row>
    <row r="673" spans="1:15">
      <c r="A673" t="s">
        <v>2622</v>
      </c>
      <c r="B673" t="s">
        <v>2093</v>
      </c>
      <c r="C673" t="s">
        <v>2094</v>
      </c>
      <c r="D673" s="1">
        <v>44417</v>
      </c>
      <c r="E673" s="1">
        <v>45259</v>
      </c>
      <c r="F673">
        <v>33</v>
      </c>
      <c r="G673">
        <v>1</v>
      </c>
      <c r="H673">
        <v>92.82</v>
      </c>
      <c r="I673">
        <v>43.6</v>
      </c>
      <c r="J673" t="s">
        <v>66</v>
      </c>
      <c r="K673" t="s">
        <v>20</v>
      </c>
      <c r="L673" t="s">
        <v>2106</v>
      </c>
      <c r="M673">
        <v>5</v>
      </c>
      <c r="N673" t="s">
        <v>194</v>
      </c>
      <c r="O673" t="s">
        <v>2109</v>
      </c>
    </row>
    <row r="674" spans="1:15">
      <c r="A674" t="s">
        <v>2623</v>
      </c>
      <c r="B674" t="s">
        <v>2090</v>
      </c>
      <c r="C674" t="s">
        <v>2108</v>
      </c>
      <c r="D674" s="1">
        <v>44875</v>
      </c>
      <c r="E674" s="1">
        <v>45228</v>
      </c>
      <c r="F674">
        <v>64</v>
      </c>
      <c r="G674">
        <v>5</v>
      </c>
      <c r="H674">
        <v>203.55</v>
      </c>
      <c r="I674">
        <v>109.69</v>
      </c>
      <c r="J674" t="s">
        <v>115</v>
      </c>
      <c r="K674" t="s">
        <v>20</v>
      </c>
      <c r="L674" t="s">
        <v>2106</v>
      </c>
      <c r="M674">
        <v>9</v>
      </c>
      <c r="N674" t="s">
        <v>165</v>
      </c>
      <c r="O674" t="s">
        <v>2088</v>
      </c>
    </row>
    <row r="675" spans="1:15">
      <c r="A675" t="s">
        <v>2624</v>
      </c>
      <c r="B675" t="s">
        <v>2097</v>
      </c>
      <c r="C675" t="s">
        <v>2086</v>
      </c>
      <c r="D675" s="1">
        <v>44167</v>
      </c>
      <c r="E675" s="1">
        <v>45199</v>
      </c>
      <c r="F675">
        <v>93</v>
      </c>
      <c r="G675">
        <v>10</v>
      </c>
      <c r="H675">
        <v>369.1</v>
      </c>
      <c r="I675">
        <v>119.14</v>
      </c>
      <c r="J675" t="s">
        <v>115</v>
      </c>
      <c r="K675" t="s">
        <v>20</v>
      </c>
      <c r="L675" t="s">
        <v>2095</v>
      </c>
      <c r="M675">
        <v>4</v>
      </c>
      <c r="N675" t="s">
        <v>165</v>
      </c>
      <c r="O675" t="s">
        <v>2121</v>
      </c>
    </row>
    <row r="676" spans="1:15">
      <c r="A676" t="s">
        <v>2625</v>
      </c>
      <c r="B676" t="s">
        <v>2113</v>
      </c>
      <c r="C676" t="s">
        <v>2086</v>
      </c>
      <c r="D676" s="1">
        <v>44129</v>
      </c>
      <c r="E676" s="1">
        <v>45049</v>
      </c>
      <c r="F676">
        <v>243</v>
      </c>
      <c r="G676">
        <v>14</v>
      </c>
      <c r="H676">
        <v>397.22</v>
      </c>
      <c r="I676">
        <v>41.39</v>
      </c>
      <c r="J676" t="s">
        <v>41</v>
      </c>
      <c r="K676" t="s">
        <v>16</v>
      </c>
      <c r="L676" t="s">
        <v>2087</v>
      </c>
      <c r="M676">
        <v>3</v>
      </c>
      <c r="N676" t="s">
        <v>179</v>
      </c>
      <c r="O676" t="s">
        <v>2121</v>
      </c>
    </row>
    <row r="677" spans="1:15">
      <c r="A677" t="s">
        <v>1059</v>
      </c>
      <c r="B677" t="s">
        <v>2090</v>
      </c>
      <c r="C677" t="s">
        <v>2108</v>
      </c>
      <c r="D677" s="1">
        <v>44334</v>
      </c>
      <c r="E677" s="1">
        <v>45269</v>
      </c>
      <c r="F677">
        <v>23</v>
      </c>
      <c r="G677">
        <v>7</v>
      </c>
      <c r="H677">
        <v>211.69</v>
      </c>
      <c r="I677">
        <v>61.11</v>
      </c>
      <c r="J677" t="s">
        <v>41</v>
      </c>
      <c r="K677" t="s">
        <v>20</v>
      </c>
      <c r="L677" t="s">
        <v>2095</v>
      </c>
      <c r="M677">
        <v>4</v>
      </c>
      <c r="N677" t="s">
        <v>157</v>
      </c>
      <c r="O677" t="s">
        <v>2121</v>
      </c>
    </row>
    <row r="678" spans="1:15">
      <c r="A678" t="s">
        <v>2626</v>
      </c>
      <c r="B678" t="s">
        <v>2093</v>
      </c>
      <c r="C678" t="s">
        <v>2086</v>
      </c>
      <c r="D678" s="1">
        <v>44413</v>
      </c>
      <c r="E678" s="1">
        <v>45224</v>
      </c>
      <c r="F678">
        <v>68</v>
      </c>
      <c r="G678">
        <v>5</v>
      </c>
      <c r="H678">
        <v>123.99</v>
      </c>
      <c r="I678">
        <v>32.270000000000003</v>
      </c>
      <c r="J678" t="s">
        <v>41</v>
      </c>
      <c r="K678" t="s">
        <v>16</v>
      </c>
      <c r="L678" t="s">
        <v>2106</v>
      </c>
      <c r="M678">
        <v>4</v>
      </c>
      <c r="N678" t="s">
        <v>165</v>
      </c>
      <c r="O678" t="s">
        <v>2107</v>
      </c>
    </row>
    <row r="679" spans="1:15">
      <c r="A679" t="s">
        <v>2627</v>
      </c>
      <c r="B679" t="s">
        <v>2097</v>
      </c>
      <c r="C679" t="s">
        <v>2091</v>
      </c>
      <c r="D679" s="1">
        <v>44483</v>
      </c>
      <c r="E679" s="1">
        <v>45118</v>
      </c>
      <c r="F679">
        <v>174</v>
      </c>
      <c r="G679">
        <v>8</v>
      </c>
      <c r="H679">
        <v>269</v>
      </c>
      <c r="I679">
        <v>114.75</v>
      </c>
      <c r="J679" t="s">
        <v>90</v>
      </c>
      <c r="K679" t="s">
        <v>16</v>
      </c>
      <c r="L679" t="s">
        <v>2106</v>
      </c>
      <c r="M679">
        <v>4</v>
      </c>
      <c r="N679" t="s">
        <v>232</v>
      </c>
      <c r="O679" t="s">
        <v>2109</v>
      </c>
    </row>
    <row r="680" spans="1:15">
      <c r="A680" t="s">
        <v>2628</v>
      </c>
      <c r="B680" t="s">
        <v>2090</v>
      </c>
      <c r="C680" t="s">
        <v>2100</v>
      </c>
      <c r="D680" s="1">
        <v>43983</v>
      </c>
      <c r="E680" s="1">
        <v>44990</v>
      </c>
      <c r="F680">
        <v>302</v>
      </c>
      <c r="G680">
        <v>4</v>
      </c>
      <c r="H680">
        <v>126.83</v>
      </c>
      <c r="I680">
        <v>88.48</v>
      </c>
      <c r="J680" t="s">
        <v>115</v>
      </c>
      <c r="K680" t="s">
        <v>16</v>
      </c>
      <c r="L680" t="s">
        <v>2095</v>
      </c>
      <c r="M680">
        <v>1</v>
      </c>
      <c r="N680" t="s">
        <v>157</v>
      </c>
      <c r="O680" t="s">
        <v>2121</v>
      </c>
    </row>
    <row r="681" spans="1:15">
      <c r="A681" t="s">
        <v>2629</v>
      </c>
      <c r="B681" t="s">
        <v>2099</v>
      </c>
      <c r="C681" t="s">
        <v>2086</v>
      </c>
      <c r="D681" s="1">
        <v>45147</v>
      </c>
      <c r="E681" s="1">
        <v>45068</v>
      </c>
      <c r="F681">
        <v>224</v>
      </c>
      <c r="G681">
        <v>2</v>
      </c>
      <c r="H681">
        <v>141.52000000000001</v>
      </c>
      <c r="I681">
        <v>64.05</v>
      </c>
      <c r="J681" t="s">
        <v>115</v>
      </c>
      <c r="K681" t="s">
        <v>16</v>
      </c>
      <c r="L681" t="s">
        <v>2095</v>
      </c>
      <c r="M681">
        <v>4</v>
      </c>
      <c r="N681" t="s">
        <v>174</v>
      </c>
      <c r="O681" t="s">
        <v>2109</v>
      </c>
    </row>
    <row r="682" spans="1:15">
      <c r="A682" t="s">
        <v>2630</v>
      </c>
      <c r="B682" t="s">
        <v>2093</v>
      </c>
      <c r="C682" t="s">
        <v>2111</v>
      </c>
      <c r="D682" s="1">
        <v>44258</v>
      </c>
      <c r="E682" s="1">
        <v>45087</v>
      </c>
      <c r="F682">
        <v>205</v>
      </c>
      <c r="G682">
        <v>4</v>
      </c>
      <c r="H682">
        <v>131.19999999999999</v>
      </c>
      <c r="I682">
        <v>48.58</v>
      </c>
      <c r="J682" t="s">
        <v>41</v>
      </c>
      <c r="K682" t="s">
        <v>16</v>
      </c>
      <c r="L682" t="s">
        <v>2095</v>
      </c>
      <c r="M682">
        <v>5</v>
      </c>
      <c r="N682" t="s">
        <v>179</v>
      </c>
      <c r="O682" t="s">
        <v>2096</v>
      </c>
    </row>
    <row r="683" spans="1:15">
      <c r="A683" t="s">
        <v>2631</v>
      </c>
      <c r="B683" t="s">
        <v>2085</v>
      </c>
      <c r="C683" t="s">
        <v>2091</v>
      </c>
      <c r="D683" s="1">
        <v>44562</v>
      </c>
      <c r="E683" s="1">
        <v>45064</v>
      </c>
      <c r="F683">
        <v>228</v>
      </c>
      <c r="G683">
        <v>39</v>
      </c>
      <c r="H683">
        <v>954.62</v>
      </c>
      <c r="I683">
        <v>121.49</v>
      </c>
      <c r="J683" t="s">
        <v>14</v>
      </c>
      <c r="K683" t="s">
        <v>20</v>
      </c>
      <c r="L683" t="s">
        <v>2106</v>
      </c>
      <c r="M683">
        <v>6</v>
      </c>
      <c r="N683" t="s">
        <v>157</v>
      </c>
      <c r="O683" t="s">
        <v>2096</v>
      </c>
    </row>
    <row r="684" spans="1:15">
      <c r="A684" t="s">
        <v>2632</v>
      </c>
      <c r="B684" t="s">
        <v>2093</v>
      </c>
      <c r="C684" t="s">
        <v>2094</v>
      </c>
      <c r="D684" s="1">
        <v>44744</v>
      </c>
      <c r="E684" s="1">
        <v>45068</v>
      </c>
      <c r="F684">
        <v>224</v>
      </c>
      <c r="G684">
        <v>5</v>
      </c>
      <c r="H684">
        <v>40.18</v>
      </c>
      <c r="I684">
        <v>26.69</v>
      </c>
      <c r="J684" t="s">
        <v>90</v>
      </c>
      <c r="K684" t="s">
        <v>16</v>
      </c>
      <c r="L684" t="s">
        <v>2095</v>
      </c>
      <c r="M684">
        <v>3</v>
      </c>
      <c r="N684" t="s">
        <v>232</v>
      </c>
      <c r="O684" t="s">
        <v>2088</v>
      </c>
    </row>
    <row r="685" spans="1:15">
      <c r="A685" t="s">
        <v>868</v>
      </c>
      <c r="B685" t="s">
        <v>2090</v>
      </c>
      <c r="C685" t="s">
        <v>2091</v>
      </c>
      <c r="D685" s="1">
        <v>45187</v>
      </c>
      <c r="E685" s="1">
        <v>45048</v>
      </c>
      <c r="F685">
        <v>244</v>
      </c>
      <c r="G685">
        <v>8</v>
      </c>
      <c r="H685">
        <v>165.36</v>
      </c>
      <c r="I685">
        <v>84.21</v>
      </c>
      <c r="J685" t="s">
        <v>14</v>
      </c>
      <c r="K685" t="s">
        <v>20</v>
      </c>
      <c r="L685" t="s">
        <v>2106</v>
      </c>
      <c r="M685">
        <v>5</v>
      </c>
      <c r="N685" t="s">
        <v>179</v>
      </c>
      <c r="O685" t="s">
        <v>2107</v>
      </c>
    </row>
    <row r="686" spans="1:15">
      <c r="A686" t="s">
        <v>2633</v>
      </c>
      <c r="B686" t="s">
        <v>2097</v>
      </c>
      <c r="C686" t="s">
        <v>2086</v>
      </c>
      <c r="D686" s="1">
        <v>43794</v>
      </c>
      <c r="E686" s="1">
        <v>44973</v>
      </c>
      <c r="F686">
        <v>319</v>
      </c>
      <c r="G686">
        <v>9</v>
      </c>
      <c r="H686">
        <v>282.04000000000002</v>
      </c>
      <c r="I686">
        <v>111.63</v>
      </c>
      <c r="J686" t="s">
        <v>115</v>
      </c>
      <c r="K686" t="s">
        <v>16</v>
      </c>
      <c r="L686" t="s">
        <v>2087</v>
      </c>
      <c r="M686">
        <v>1</v>
      </c>
      <c r="N686" t="s">
        <v>174</v>
      </c>
      <c r="O686" t="s">
        <v>2107</v>
      </c>
    </row>
    <row r="687" spans="1:15">
      <c r="A687" t="s">
        <v>2634</v>
      </c>
      <c r="B687" t="s">
        <v>2099</v>
      </c>
      <c r="C687" t="s">
        <v>2094</v>
      </c>
      <c r="D687" s="1">
        <v>43821</v>
      </c>
      <c r="E687" s="1">
        <v>45039</v>
      </c>
      <c r="F687">
        <v>253</v>
      </c>
      <c r="G687">
        <v>1</v>
      </c>
      <c r="H687">
        <v>51.46</v>
      </c>
      <c r="I687">
        <v>68.77</v>
      </c>
      <c r="J687" t="s">
        <v>14</v>
      </c>
      <c r="K687" t="s">
        <v>16</v>
      </c>
      <c r="L687" t="s">
        <v>2095</v>
      </c>
      <c r="M687">
        <v>10</v>
      </c>
      <c r="N687" t="s">
        <v>194</v>
      </c>
      <c r="O687" t="s">
        <v>2109</v>
      </c>
    </row>
    <row r="688" spans="1:15">
      <c r="A688" t="s">
        <v>2635</v>
      </c>
      <c r="B688" t="s">
        <v>2090</v>
      </c>
      <c r="C688" t="s">
        <v>2111</v>
      </c>
      <c r="D688" s="1">
        <v>43903</v>
      </c>
      <c r="E688" s="1">
        <v>45045</v>
      </c>
      <c r="F688">
        <v>247</v>
      </c>
      <c r="G688">
        <v>8</v>
      </c>
      <c r="H688">
        <v>271.91000000000003</v>
      </c>
      <c r="I688">
        <v>70.94</v>
      </c>
      <c r="J688" t="s">
        <v>14</v>
      </c>
      <c r="K688" t="s">
        <v>16</v>
      </c>
      <c r="L688" t="s">
        <v>2106</v>
      </c>
      <c r="M688">
        <v>7</v>
      </c>
      <c r="N688" t="s">
        <v>204</v>
      </c>
      <c r="O688" t="s">
        <v>2107</v>
      </c>
    </row>
    <row r="689" spans="1:15">
      <c r="A689" t="s">
        <v>2636</v>
      </c>
      <c r="B689" t="s">
        <v>2093</v>
      </c>
      <c r="C689" t="s">
        <v>2094</v>
      </c>
      <c r="D689" s="1">
        <v>43513</v>
      </c>
      <c r="E689" s="1">
        <v>45204</v>
      </c>
      <c r="F689">
        <v>88</v>
      </c>
      <c r="G689">
        <v>4</v>
      </c>
      <c r="H689">
        <v>174.6</v>
      </c>
      <c r="I689">
        <v>65.040000000000006</v>
      </c>
      <c r="J689" t="s">
        <v>41</v>
      </c>
      <c r="K689" t="s">
        <v>20</v>
      </c>
      <c r="L689" t="s">
        <v>2087</v>
      </c>
      <c r="M689">
        <v>6</v>
      </c>
      <c r="N689" t="s">
        <v>179</v>
      </c>
      <c r="O689" t="s">
        <v>2088</v>
      </c>
    </row>
    <row r="690" spans="1:15">
      <c r="A690" t="s">
        <v>2637</v>
      </c>
      <c r="B690" t="s">
        <v>2113</v>
      </c>
      <c r="C690" t="s">
        <v>2086</v>
      </c>
      <c r="D690" s="1">
        <v>44260</v>
      </c>
      <c r="E690" s="1">
        <v>45153</v>
      </c>
      <c r="F690">
        <v>139</v>
      </c>
      <c r="G690">
        <v>15</v>
      </c>
      <c r="H690">
        <v>110.36</v>
      </c>
      <c r="I690">
        <v>55.38</v>
      </c>
      <c r="J690" t="s">
        <v>41</v>
      </c>
      <c r="K690" t="s">
        <v>16</v>
      </c>
      <c r="L690" t="s">
        <v>2095</v>
      </c>
      <c r="M690">
        <v>1</v>
      </c>
      <c r="N690" t="s">
        <v>232</v>
      </c>
      <c r="O690" t="s">
        <v>2109</v>
      </c>
    </row>
    <row r="691" spans="1:15">
      <c r="A691" t="s">
        <v>2638</v>
      </c>
      <c r="B691" t="s">
        <v>2097</v>
      </c>
      <c r="C691" t="s">
        <v>2091</v>
      </c>
      <c r="D691" s="1">
        <v>44295</v>
      </c>
      <c r="E691" s="1">
        <v>45067</v>
      </c>
      <c r="F691">
        <v>225</v>
      </c>
      <c r="G691">
        <v>9</v>
      </c>
      <c r="H691">
        <v>284.64</v>
      </c>
      <c r="I691">
        <v>81.42</v>
      </c>
      <c r="J691" t="s">
        <v>66</v>
      </c>
      <c r="K691" t="s">
        <v>16</v>
      </c>
      <c r="L691" t="s">
        <v>2087</v>
      </c>
      <c r="M691">
        <v>9</v>
      </c>
      <c r="N691" t="s">
        <v>204</v>
      </c>
      <c r="O691" t="s">
        <v>2096</v>
      </c>
    </row>
    <row r="692" spans="1:15">
      <c r="A692" t="s">
        <v>542</v>
      </c>
      <c r="B692" t="s">
        <v>2093</v>
      </c>
      <c r="C692" t="s">
        <v>2100</v>
      </c>
      <c r="D692" s="1">
        <v>44392</v>
      </c>
      <c r="E692" s="1">
        <v>44938</v>
      </c>
      <c r="F692">
        <v>354</v>
      </c>
      <c r="G692">
        <v>5</v>
      </c>
      <c r="H692">
        <v>71.489999999999995</v>
      </c>
      <c r="I692">
        <v>61.85</v>
      </c>
      <c r="J692" t="s">
        <v>115</v>
      </c>
      <c r="K692" t="s">
        <v>16</v>
      </c>
      <c r="L692" t="s">
        <v>2087</v>
      </c>
      <c r="M692">
        <v>6</v>
      </c>
      <c r="N692" t="s">
        <v>174</v>
      </c>
      <c r="O692" t="s">
        <v>2109</v>
      </c>
    </row>
    <row r="693" spans="1:15">
      <c r="A693" t="s">
        <v>2639</v>
      </c>
      <c r="B693" t="s">
        <v>2099</v>
      </c>
      <c r="C693" t="s">
        <v>2091</v>
      </c>
      <c r="D693" s="1">
        <v>43988</v>
      </c>
      <c r="E693" s="1">
        <v>45105</v>
      </c>
      <c r="F693">
        <v>187</v>
      </c>
      <c r="G693">
        <v>2</v>
      </c>
      <c r="H693">
        <v>138.19</v>
      </c>
      <c r="I693">
        <v>27.16</v>
      </c>
      <c r="J693" t="s">
        <v>66</v>
      </c>
      <c r="K693" t="s">
        <v>16</v>
      </c>
      <c r="L693" t="s">
        <v>2087</v>
      </c>
      <c r="M693">
        <v>7</v>
      </c>
      <c r="N693" t="s">
        <v>157</v>
      </c>
      <c r="O693" t="s">
        <v>2107</v>
      </c>
    </row>
    <row r="694" spans="1:15">
      <c r="A694" t="s">
        <v>2640</v>
      </c>
      <c r="B694" t="s">
        <v>2097</v>
      </c>
      <c r="C694" t="s">
        <v>2100</v>
      </c>
      <c r="D694" s="1">
        <v>45198</v>
      </c>
      <c r="E694" s="1">
        <v>44945</v>
      </c>
      <c r="F694">
        <v>347</v>
      </c>
      <c r="G694">
        <v>11</v>
      </c>
      <c r="H694">
        <v>539.41999999999996</v>
      </c>
      <c r="I694">
        <v>131.01</v>
      </c>
      <c r="J694" t="s">
        <v>66</v>
      </c>
      <c r="K694" t="s">
        <v>16</v>
      </c>
      <c r="L694" t="s">
        <v>2095</v>
      </c>
      <c r="M694">
        <v>1</v>
      </c>
      <c r="N694" t="s">
        <v>165</v>
      </c>
      <c r="O694" t="s">
        <v>2107</v>
      </c>
    </row>
    <row r="695" spans="1:15">
      <c r="A695" t="s">
        <v>2641</v>
      </c>
      <c r="B695" t="s">
        <v>2085</v>
      </c>
      <c r="C695" t="s">
        <v>2094</v>
      </c>
      <c r="D695" s="1">
        <v>43628</v>
      </c>
      <c r="E695" s="1">
        <v>45195</v>
      </c>
      <c r="F695">
        <v>97</v>
      </c>
      <c r="G695">
        <v>31</v>
      </c>
      <c r="H695">
        <v>2329.69</v>
      </c>
      <c r="I695">
        <v>110.01</v>
      </c>
      <c r="J695" t="s">
        <v>90</v>
      </c>
      <c r="K695" t="s">
        <v>16</v>
      </c>
      <c r="L695" t="s">
        <v>2087</v>
      </c>
      <c r="M695">
        <v>2</v>
      </c>
      <c r="N695" t="s">
        <v>179</v>
      </c>
      <c r="O695" t="s">
        <v>2109</v>
      </c>
    </row>
    <row r="696" spans="1:15">
      <c r="A696" t="s">
        <v>732</v>
      </c>
      <c r="B696" t="s">
        <v>2113</v>
      </c>
      <c r="C696" t="s">
        <v>2091</v>
      </c>
      <c r="D696" s="1">
        <v>44532</v>
      </c>
      <c r="E696" s="1">
        <v>44961</v>
      </c>
      <c r="F696">
        <v>331</v>
      </c>
      <c r="G696">
        <v>10</v>
      </c>
      <c r="H696">
        <v>214.54</v>
      </c>
      <c r="I696">
        <v>45.58</v>
      </c>
      <c r="J696" t="s">
        <v>14</v>
      </c>
      <c r="K696" t="s">
        <v>20</v>
      </c>
      <c r="L696" t="s">
        <v>2095</v>
      </c>
      <c r="M696">
        <v>9</v>
      </c>
      <c r="N696" t="s">
        <v>165</v>
      </c>
      <c r="O696" t="s">
        <v>2107</v>
      </c>
    </row>
    <row r="697" spans="1:15">
      <c r="A697" t="s">
        <v>2642</v>
      </c>
      <c r="B697" t="s">
        <v>2113</v>
      </c>
      <c r="C697" t="s">
        <v>2091</v>
      </c>
      <c r="D697" s="1">
        <v>43949</v>
      </c>
      <c r="E697" s="1">
        <v>44935</v>
      </c>
      <c r="F697">
        <v>357</v>
      </c>
      <c r="G697">
        <v>20</v>
      </c>
      <c r="H697">
        <v>571.01</v>
      </c>
      <c r="I697">
        <v>74.75</v>
      </c>
      <c r="J697" t="s">
        <v>115</v>
      </c>
      <c r="K697" t="s">
        <v>20</v>
      </c>
      <c r="L697" t="s">
        <v>2095</v>
      </c>
      <c r="M697">
        <v>1</v>
      </c>
      <c r="N697" t="s">
        <v>179</v>
      </c>
      <c r="O697" t="s">
        <v>2096</v>
      </c>
    </row>
    <row r="698" spans="1:15">
      <c r="A698" t="s">
        <v>2643</v>
      </c>
      <c r="B698" t="s">
        <v>2113</v>
      </c>
      <c r="C698" t="s">
        <v>2108</v>
      </c>
      <c r="D698" s="1">
        <v>44599</v>
      </c>
      <c r="E698" s="1">
        <v>45115</v>
      </c>
      <c r="F698">
        <v>177</v>
      </c>
      <c r="G698">
        <v>10</v>
      </c>
      <c r="H698">
        <v>366.98</v>
      </c>
      <c r="I698">
        <v>68.95</v>
      </c>
      <c r="J698" t="s">
        <v>41</v>
      </c>
      <c r="K698" t="s">
        <v>16</v>
      </c>
      <c r="L698" t="s">
        <v>2106</v>
      </c>
      <c r="M698">
        <v>2</v>
      </c>
      <c r="N698" t="s">
        <v>157</v>
      </c>
      <c r="O698" t="s">
        <v>2096</v>
      </c>
    </row>
    <row r="699" spans="1:15">
      <c r="A699" t="s">
        <v>2644</v>
      </c>
      <c r="B699" t="s">
        <v>2113</v>
      </c>
      <c r="C699" t="s">
        <v>2086</v>
      </c>
      <c r="D699" s="1">
        <v>43508</v>
      </c>
      <c r="E699" s="1">
        <v>45183</v>
      </c>
      <c r="F699">
        <v>109</v>
      </c>
      <c r="G699">
        <v>10</v>
      </c>
      <c r="H699">
        <v>483.17</v>
      </c>
      <c r="I699">
        <v>55.66</v>
      </c>
      <c r="J699" t="s">
        <v>14</v>
      </c>
      <c r="K699" t="s">
        <v>16</v>
      </c>
      <c r="L699" t="s">
        <v>2095</v>
      </c>
      <c r="M699">
        <v>2</v>
      </c>
      <c r="N699" t="s">
        <v>174</v>
      </c>
      <c r="O699" t="s">
        <v>2109</v>
      </c>
    </row>
    <row r="700" spans="1:15">
      <c r="A700" t="s">
        <v>2645</v>
      </c>
      <c r="B700" t="s">
        <v>2097</v>
      </c>
      <c r="C700" t="s">
        <v>2094</v>
      </c>
      <c r="D700" s="1">
        <v>44218</v>
      </c>
      <c r="E700" s="1">
        <v>45220</v>
      </c>
      <c r="F700">
        <v>72</v>
      </c>
      <c r="G700">
        <v>5</v>
      </c>
      <c r="H700">
        <v>307.25</v>
      </c>
      <c r="I700">
        <v>110.9</v>
      </c>
      <c r="J700" t="s">
        <v>90</v>
      </c>
      <c r="K700" t="s">
        <v>16</v>
      </c>
      <c r="L700" t="s">
        <v>2087</v>
      </c>
      <c r="M700">
        <v>2</v>
      </c>
      <c r="N700" t="s">
        <v>165</v>
      </c>
      <c r="O700" t="s">
        <v>2096</v>
      </c>
    </row>
    <row r="701" spans="1:15">
      <c r="A701" t="s">
        <v>2646</v>
      </c>
      <c r="B701" t="s">
        <v>2093</v>
      </c>
      <c r="C701" t="s">
        <v>2100</v>
      </c>
      <c r="D701" s="1">
        <v>43552</v>
      </c>
      <c r="E701" s="1">
        <v>44961</v>
      </c>
      <c r="F701">
        <v>331</v>
      </c>
      <c r="G701">
        <v>2</v>
      </c>
      <c r="H701">
        <v>57.55</v>
      </c>
      <c r="I701">
        <v>56.36</v>
      </c>
      <c r="J701" t="s">
        <v>41</v>
      </c>
      <c r="K701" t="s">
        <v>16</v>
      </c>
      <c r="L701" t="s">
        <v>2087</v>
      </c>
      <c r="M701">
        <v>7</v>
      </c>
      <c r="N701" t="s">
        <v>232</v>
      </c>
      <c r="O701" t="s">
        <v>2109</v>
      </c>
    </row>
    <row r="702" spans="1:15">
      <c r="A702" t="s">
        <v>2647</v>
      </c>
      <c r="B702" t="s">
        <v>2093</v>
      </c>
      <c r="C702" t="s">
        <v>2108</v>
      </c>
      <c r="D702" s="1">
        <v>44541</v>
      </c>
      <c r="E702" s="1">
        <v>45165</v>
      </c>
      <c r="F702">
        <v>127</v>
      </c>
      <c r="G702">
        <v>4</v>
      </c>
      <c r="H702">
        <v>123.55</v>
      </c>
      <c r="I702">
        <v>63.57</v>
      </c>
      <c r="J702" t="s">
        <v>115</v>
      </c>
      <c r="K702" t="s">
        <v>16</v>
      </c>
      <c r="L702" t="s">
        <v>2106</v>
      </c>
      <c r="M702">
        <v>9</v>
      </c>
      <c r="N702" t="s">
        <v>165</v>
      </c>
      <c r="O702" t="s">
        <v>2109</v>
      </c>
    </row>
    <row r="703" spans="1:15">
      <c r="A703" t="s">
        <v>2648</v>
      </c>
      <c r="B703" t="s">
        <v>2113</v>
      </c>
      <c r="C703" t="s">
        <v>2091</v>
      </c>
      <c r="D703" s="1">
        <v>43724</v>
      </c>
      <c r="E703" s="1">
        <v>44945</v>
      </c>
      <c r="F703">
        <v>347</v>
      </c>
      <c r="G703">
        <v>18</v>
      </c>
      <c r="H703">
        <v>183.45</v>
      </c>
      <c r="I703">
        <v>72.900000000000006</v>
      </c>
      <c r="J703" t="s">
        <v>14</v>
      </c>
      <c r="K703" t="s">
        <v>20</v>
      </c>
      <c r="L703" t="s">
        <v>2087</v>
      </c>
      <c r="M703">
        <v>4</v>
      </c>
      <c r="N703" t="s">
        <v>174</v>
      </c>
      <c r="O703" t="s">
        <v>2088</v>
      </c>
    </row>
    <row r="704" spans="1:15">
      <c r="A704" t="s">
        <v>2649</v>
      </c>
      <c r="B704" t="s">
        <v>2099</v>
      </c>
      <c r="C704" t="s">
        <v>2091</v>
      </c>
      <c r="D704" s="1">
        <v>44110</v>
      </c>
      <c r="E704" s="1">
        <v>45176</v>
      </c>
      <c r="F704">
        <v>116</v>
      </c>
      <c r="G704">
        <v>2</v>
      </c>
      <c r="H704">
        <v>68.87</v>
      </c>
      <c r="I704">
        <v>49.89</v>
      </c>
      <c r="J704" t="s">
        <v>14</v>
      </c>
      <c r="K704" t="s">
        <v>16</v>
      </c>
      <c r="L704" t="s">
        <v>2087</v>
      </c>
      <c r="M704">
        <v>10</v>
      </c>
      <c r="N704" t="s">
        <v>179</v>
      </c>
      <c r="O704" t="s">
        <v>2107</v>
      </c>
    </row>
    <row r="705" spans="1:15">
      <c r="A705" t="s">
        <v>2650</v>
      </c>
      <c r="B705" t="s">
        <v>2099</v>
      </c>
      <c r="C705" t="s">
        <v>2111</v>
      </c>
      <c r="D705" s="1">
        <v>43966</v>
      </c>
      <c r="E705" s="1">
        <v>44999</v>
      </c>
      <c r="F705">
        <v>293</v>
      </c>
      <c r="G705">
        <v>1</v>
      </c>
      <c r="H705">
        <v>104.38</v>
      </c>
      <c r="I705">
        <v>44.16</v>
      </c>
      <c r="J705" t="s">
        <v>41</v>
      </c>
      <c r="K705" t="s">
        <v>16</v>
      </c>
      <c r="L705" t="s">
        <v>2087</v>
      </c>
      <c r="M705">
        <v>7</v>
      </c>
      <c r="N705" t="s">
        <v>204</v>
      </c>
      <c r="O705" t="s">
        <v>2109</v>
      </c>
    </row>
    <row r="706" spans="1:15">
      <c r="A706" t="s">
        <v>2651</v>
      </c>
      <c r="B706" t="s">
        <v>2093</v>
      </c>
      <c r="C706" t="s">
        <v>2111</v>
      </c>
      <c r="D706" s="1">
        <v>43733</v>
      </c>
      <c r="E706" s="1">
        <v>45139</v>
      </c>
      <c r="F706">
        <v>153</v>
      </c>
      <c r="G706">
        <v>4</v>
      </c>
      <c r="H706">
        <v>93.17</v>
      </c>
      <c r="I706">
        <v>32.28</v>
      </c>
      <c r="J706" t="s">
        <v>41</v>
      </c>
      <c r="K706" t="s">
        <v>16</v>
      </c>
      <c r="L706" t="s">
        <v>2106</v>
      </c>
      <c r="M706">
        <v>1</v>
      </c>
      <c r="N706" t="s">
        <v>194</v>
      </c>
      <c r="O706" t="s">
        <v>2121</v>
      </c>
    </row>
    <row r="707" spans="1:15">
      <c r="A707" t="s">
        <v>2652</v>
      </c>
      <c r="B707" t="s">
        <v>2085</v>
      </c>
      <c r="C707" t="s">
        <v>2111</v>
      </c>
      <c r="D707" s="1">
        <v>44804</v>
      </c>
      <c r="E707" s="1">
        <v>45148</v>
      </c>
      <c r="F707">
        <v>144</v>
      </c>
      <c r="G707">
        <v>23</v>
      </c>
      <c r="H707">
        <v>1823.2</v>
      </c>
      <c r="I707">
        <v>177.31</v>
      </c>
      <c r="J707" t="s">
        <v>115</v>
      </c>
      <c r="K707" t="s">
        <v>16</v>
      </c>
      <c r="L707" t="s">
        <v>2087</v>
      </c>
      <c r="M707">
        <v>8</v>
      </c>
      <c r="N707" t="s">
        <v>232</v>
      </c>
      <c r="O707" t="s">
        <v>2109</v>
      </c>
    </row>
    <row r="708" spans="1:15">
      <c r="A708" t="s">
        <v>444</v>
      </c>
      <c r="B708" t="s">
        <v>2085</v>
      </c>
      <c r="C708" t="s">
        <v>2094</v>
      </c>
      <c r="D708" s="1">
        <v>44144</v>
      </c>
      <c r="E708" s="1">
        <v>45026</v>
      </c>
      <c r="F708">
        <v>266</v>
      </c>
      <c r="G708">
        <v>39</v>
      </c>
      <c r="H708">
        <v>2663.78</v>
      </c>
      <c r="I708">
        <v>113.55</v>
      </c>
      <c r="J708" t="s">
        <v>115</v>
      </c>
      <c r="K708" t="s">
        <v>16</v>
      </c>
      <c r="L708" t="s">
        <v>2095</v>
      </c>
      <c r="M708">
        <v>1</v>
      </c>
      <c r="N708" t="s">
        <v>157</v>
      </c>
      <c r="O708" t="s">
        <v>2088</v>
      </c>
    </row>
    <row r="709" spans="1:15">
      <c r="A709" t="s">
        <v>2653</v>
      </c>
      <c r="B709" t="s">
        <v>2113</v>
      </c>
      <c r="C709" t="s">
        <v>2111</v>
      </c>
      <c r="D709" s="1">
        <v>44533</v>
      </c>
      <c r="E709" s="1">
        <v>45117</v>
      </c>
      <c r="F709">
        <v>175</v>
      </c>
      <c r="G709">
        <v>6</v>
      </c>
      <c r="H709">
        <v>112.34</v>
      </c>
      <c r="I709">
        <v>40.93</v>
      </c>
      <c r="J709" t="s">
        <v>90</v>
      </c>
      <c r="K709" t="s">
        <v>16</v>
      </c>
      <c r="L709" t="s">
        <v>2087</v>
      </c>
      <c r="M709">
        <v>9</v>
      </c>
      <c r="N709" t="s">
        <v>204</v>
      </c>
      <c r="O709" t="s">
        <v>2121</v>
      </c>
    </row>
    <row r="710" spans="1:15">
      <c r="A710" t="s">
        <v>982</v>
      </c>
      <c r="B710" t="s">
        <v>2090</v>
      </c>
      <c r="C710" t="s">
        <v>2111</v>
      </c>
      <c r="D710" s="1">
        <v>44524</v>
      </c>
      <c r="E710" s="1">
        <v>45226</v>
      </c>
      <c r="F710">
        <v>66</v>
      </c>
      <c r="G710">
        <v>4</v>
      </c>
      <c r="H710">
        <v>171.18</v>
      </c>
      <c r="I710">
        <v>44.07</v>
      </c>
      <c r="J710" t="s">
        <v>90</v>
      </c>
      <c r="K710" t="s">
        <v>16</v>
      </c>
      <c r="L710" t="s">
        <v>2087</v>
      </c>
      <c r="M710">
        <v>8</v>
      </c>
      <c r="N710" t="s">
        <v>174</v>
      </c>
      <c r="O710" t="s">
        <v>2088</v>
      </c>
    </row>
    <row r="711" spans="1:15">
      <c r="A711" t="s">
        <v>2654</v>
      </c>
      <c r="B711" t="s">
        <v>2093</v>
      </c>
      <c r="C711" t="s">
        <v>2094</v>
      </c>
      <c r="D711" s="1">
        <v>43780</v>
      </c>
      <c r="E711" s="1">
        <v>45120</v>
      </c>
      <c r="F711">
        <v>172</v>
      </c>
      <c r="G711">
        <v>5</v>
      </c>
      <c r="H711">
        <v>116.01</v>
      </c>
      <c r="I711">
        <v>79.92</v>
      </c>
      <c r="J711" t="s">
        <v>90</v>
      </c>
      <c r="K711" t="s">
        <v>20</v>
      </c>
      <c r="L711" t="s">
        <v>2106</v>
      </c>
      <c r="M711">
        <v>10</v>
      </c>
      <c r="N711" t="s">
        <v>194</v>
      </c>
      <c r="O711" t="s">
        <v>2107</v>
      </c>
    </row>
    <row r="712" spans="1:15">
      <c r="A712" t="s">
        <v>430</v>
      </c>
      <c r="B712" t="s">
        <v>2097</v>
      </c>
      <c r="C712" t="s">
        <v>2111</v>
      </c>
      <c r="D712" s="1">
        <v>44273</v>
      </c>
      <c r="E712" s="1">
        <v>45039</v>
      </c>
      <c r="F712">
        <v>253</v>
      </c>
      <c r="G712">
        <v>6</v>
      </c>
      <c r="H712">
        <v>210.57</v>
      </c>
      <c r="I712">
        <v>88.39</v>
      </c>
      <c r="J712" t="s">
        <v>14</v>
      </c>
      <c r="K712" t="s">
        <v>16</v>
      </c>
      <c r="L712" t="s">
        <v>2095</v>
      </c>
      <c r="M712">
        <v>2</v>
      </c>
      <c r="N712" t="s">
        <v>157</v>
      </c>
      <c r="O712" t="s">
        <v>2109</v>
      </c>
    </row>
    <row r="713" spans="1:15">
      <c r="A713" t="s">
        <v>1122</v>
      </c>
      <c r="B713" t="s">
        <v>2090</v>
      </c>
      <c r="C713" t="s">
        <v>2086</v>
      </c>
      <c r="D713" s="1">
        <v>43776</v>
      </c>
      <c r="E713" s="1">
        <v>45145</v>
      </c>
      <c r="F713">
        <v>147</v>
      </c>
      <c r="G713">
        <v>3</v>
      </c>
      <c r="H713">
        <v>213.63</v>
      </c>
      <c r="I713">
        <v>106.07</v>
      </c>
      <c r="J713" t="s">
        <v>115</v>
      </c>
      <c r="K713" t="s">
        <v>16</v>
      </c>
      <c r="L713" t="s">
        <v>2095</v>
      </c>
      <c r="M713">
        <v>0</v>
      </c>
      <c r="N713" t="s">
        <v>174</v>
      </c>
      <c r="O713" t="s">
        <v>2107</v>
      </c>
    </row>
    <row r="714" spans="1:15">
      <c r="A714" t="s">
        <v>2655</v>
      </c>
      <c r="B714" t="s">
        <v>2085</v>
      </c>
      <c r="C714" t="s">
        <v>2091</v>
      </c>
      <c r="D714" s="1">
        <v>43914</v>
      </c>
      <c r="E714" s="1">
        <v>45166</v>
      </c>
      <c r="F714">
        <v>126</v>
      </c>
      <c r="G714">
        <v>20</v>
      </c>
      <c r="H714">
        <v>2399.92</v>
      </c>
      <c r="I714">
        <v>257.39999999999998</v>
      </c>
      <c r="J714" t="s">
        <v>90</v>
      </c>
      <c r="K714" t="s">
        <v>16</v>
      </c>
      <c r="L714" t="s">
        <v>2095</v>
      </c>
      <c r="M714">
        <v>10</v>
      </c>
      <c r="N714" t="s">
        <v>204</v>
      </c>
      <c r="O714" t="s">
        <v>2121</v>
      </c>
    </row>
    <row r="715" spans="1:15">
      <c r="A715" t="s">
        <v>2656</v>
      </c>
      <c r="B715" t="s">
        <v>2090</v>
      </c>
      <c r="C715" t="s">
        <v>2086</v>
      </c>
      <c r="D715" s="1">
        <v>43994</v>
      </c>
      <c r="E715" s="1">
        <v>45222</v>
      </c>
      <c r="F715">
        <v>70</v>
      </c>
      <c r="G715">
        <v>7</v>
      </c>
      <c r="H715">
        <v>393.43</v>
      </c>
      <c r="I715">
        <v>108.05</v>
      </c>
      <c r="J715" t="s">
        <v>115</v>
      </c>
      <c r="K715" t="s">
        <v>20</v>
      </c>
      <c r="L715" t="s">
        <v>2087</v>
      </c>
      <c r="M715">
        <v>10</v>
      </c>
      <c r="N715" t="s">
        <v>165</v>
      </c>
      <c r="O715" t="s">
        <v>2121</v>
      </c>
    </row>
    <row r="716" spans="1:15">
      <c r="A716" t="s">
        <v>2657</v>
      </c>
      <c r="B716" t="s">
        <v>2090</v>
      </c>
      <c r="C716" t="s">
        <v>2108</v>
      </c>
      <c r="D716" s="1">
        <v>44673</v>
      </c>
      <c r="E716" s="1">
        <v>45193</v>
      </c>
      <c r="F716">
        <v>99</v>
      </c>
      <c r="G716">
        <v>3</v>
      </c>
      <c r="H716">
        <v>293.68</v>
      </c>
      <c r="I716">
        <v>106.83</v>
      </c>
      <c r="J716" t="s">
        <v>66</v>
      </c>
      <c r="K716" t="s">
        <v>20</v>
      </c>
      <c r="L716" t="s">
        <v>2095</v>
      </c>
      <c r="M716">
        <v>3</v>
      </c>
      <c r="N716" t="s">
        <v>179</v>
      </c>
      <c r="O716" t="s">
        <v>2096</v>
      </c>
    </row>
    <row r="717" spans="1:15">
      <c r="A717" t="s">
        <v>2658</v>
      </c>
      <c r="B717" t="s">
        <v>2099</v>
      </c>
      <c r="C717" t="s">
        <v>2108</v>
      </c>
      <c r="D717" s="1">
        <v>44081</v>
      </c>
      <c r="E717" s="1">
        <v>45182</v>
      </c>
      <c r="F717">
        <v>110</v>
      </c>
      <c r="G717">
        <v>2</v>
      </c>
      <c r="H717">
        <v>55.38</v>
      </c>
      <c r="I717">
        <v>95.2</v>
      </c>
      <c r="J717" t="s">
        <v>90</v>
      </c>
      <c r="K717" t="s">
        <v>16</v>
      </c>
      <c r="L717" t="s">
        <v>2106</v>
      </c>
      <c r="M717">
        <v>4</v>
      </c>
      <c r="N717" t="s">
        <v>179</v>
      </c>
      <c r="O717" t="s">
        <v>2121</v>
      </c>
    </row>
    <row r="718" spans="1:15">
      <c r="A718" t="s">
        <v>2659</v>
      </c>
      <c r="B718" t="s">
        <v>2085</v>
      </c>
      <c r="C718" t="s">
        <v>2091</v>
      </c>
      <c r="D718" s="1">
        <v>45070</v>
      </c>
      <c r="E718" s="1">
        <v>45039</v>
      </c>
      <c r="F718">
        <v>253</v>
      </c>
      <c r="G718">
        <v>38</v>
      </c>
      <c r="H718">
        <v>1125.54</v>
      </c>
      <c r="I718">
        <v>144.72999999999999</v>
      </c>
      <c r="J718" t="s">
        <v>90</v>
      </c>
      <c r="K718" t="s">
        <v>16</v>
      </c>
      <c r="L718" t="s">
        <v>2095</v>
      </c>
      <c r="M718">
        <v>8</v>
      </c>
      <c r="N718" t="s">
        <v>232</v>
      </c>
      <c r="O718" t="s">
        <v>2121</v>
      </c>
    </row>
    <row r="719" spans="1:15">
      <c r="A719" t="s">
        <v>2660</v>
      </c>
      <c r="B719" t="s">
        <v>2099</v>
      </c>
      <c r="C719" t="s">
        <v>2091</v>
      </c>
      <c r="D719" s="1">
        <v>43632</v>
      </c>
      <c r="E719" s="1">
        <v>45051</v>
      </c>
      <c r="F719">
        <v>241</v>
      </c>
      <c r="G719">
        <v>2</v>
      </c>
      <c r="H719">
        <v>74.510000000000005</v>
      </c>
      <c r="I719">
        <v>46.5</v>
      </c>
      <c r="J719" t="s">
        <v>115</v>
      </c>
      <c r="K719" t="s">
        <v>16</v>
      </c>
      <c r="L719" t="s">
        <v>2106</v>
      </c>
      <c r="M719">
        <v>1</v>
      </c>
      <c r="N719" t="s">
        <v>179</v>
      </c>
      <c r="O719" t="s">
        <v>2121</v>
      </c>
    </row>
    <row r="720" spans="1:15">
      <c r="A720" t="s">
        <v>2661</v>
      </c>
      <c r="B720" t="s">
        <v>2085</v>
      </c>
      <c r="C720" t="s">
        <v>2111</v>
      </c>
      <c r="D720" s="1">
        <v>44314</v>
      </c>
      <c r="E720" s="1">
        <v>45169</v>
      </c>
      <c r="F720">
        <v>123</v>
      </c>
      <c r="G720">
        <v>25</v>
      </c>
      <c r="H720">
        <v>1693.03</v>
      </c>
      <c r="I720">
        <v>186.43</v>
      </c>
      <c r="J720" t="s">
        <v>66</v>
      </c>
      <c r="K720" t="s">
        <v>16</v>
      </c>
      <c r="L720" t="s">
        <v>2095</v>
      </c>
      <c r="M720">
        <v>4</v>
      </c>
      <c r="N720" t="s">
        <v>157</v>
      </c>
      <c r="O720" t="s">
        <v>2109</v>
      </c>
    </row>
    <row r="721" spans="1:15">
      <c r="A721" t="s">
        <v>2662</v>
      </c>
      <c r="B721" t="s">
        <v>2099</v>
      </c>
      <c r="C721" t="s">
        <v>2094</v>
      </c>
      <c r="D721" s="1">
        <v>45205</v>
      </c>
      <c r="E721" s="1">
        <v>45047</v>
      </c>
      <c r="F721">
        <v>245</v>
      </c>
      <c r="G721">
        <v>2</v>
      </c>
      <c r="H721">
        <v>96.5</v>
      </c>
      <c r="I721">
        <v>52.43</v>
      </c>
      <c r="J721" t="s">
        <v>41</v>
      </c>
      <c r="K721" t="s">
        <v>20</v>
      </c>
      <c r="L721" t="s">
        <v>2095</v>
      </c>
      <c r="M721">
        <v>5</v>
      </c>
      <c r="N721" t="s">
        <v>157</v>
      </c>
      <c r="O721" t="s">
        <v>2088</v>
      </c>
    </row>
    <row r="722" spans="1:15">
      <c r="A722" t="s">
        <v>2663</v>
      </c>
      <c r="B722" t="s">
        <v>2113</v>
      </c>
      <c r="C722" t="s">
        <v>2091</v>
      </c>
      <c r="D722" s="1">
        <v>43634</v>
      </c>
      <c r="E722" s="1">
        <v>44931</v>
      </c>
      <c r="F722">
        <v>361</v>
      </c>
      <c r="G722">
        <v>17</v>
      </c>
      <c r="H722">
        <v>526.6</v>
      </c>
      <c r="I722">
        <v>35.03</v>
      </c>
      <c r="J722" t="s">
        <v>115</v>
      </c>
      <c r="K722" t="s">
        <v>16</v>
      </c>
      <c r="L722" t="s">
        <v>2087</v>
      </c>
      <c r="M722">
        <v>1</v>
      </c>
      <c r="N722" t="s">
        <v>179</v>
      </c>
      <c r="O722" t="s">
        <v>2107</v>
      </c>
    </row>
    <row r="723" spans="1:15">
      <c r="A723" t="s">
        <v>2664</v>
      </c>
      <c r="B723" t="s">
        <v>2085</v>
      </c>
      <c r="C723" t="s">
        <v>2108</v>
      </c>
      <c r="D723" s="1">
        <v>44062</v>
      </c>
      <c r="E723" s="1">
        <v>45114</v>
      </c>
      <c r="F723">
        <v>178</v>
      </c>
      <c r="G723">
        <v>12</v>
      </c>
      <c r="H723">
        <v>1836.66</v>
      </c>
      <c r="I723">
        <v>106.54</v>
      </c>
      <c r="J723" t="s">
        <v>66</v>
      </c>
      <c r="K723" t="s">
        <v>20</v>
      </c>
      <c r="L723" t="s">
        <v>2106</v>
      </c>
      <c r="M723">
        <v>1</v>
      </c>
      <c r="N723" t="s">
        <v>174</v>
      </c>
      <c r="O723" t="s">
        <v>2107</v>
      </c>
    </row>
    <row r="724" spans="1:15">
      <c r="A724" t="s">
        <v>2665</v>
      </c>
      <c r="B724" t="s">
        <v>2113</v>
      </c>
      <c r="C724" t="s">
        <v>2086</v>
      </c>
      <c r="D724" s="1">
        <v>43634</v>
      </c>
      <c r="E724" s="1">
        <v>44947</v>
      </c>
      <c r="F724">
        <v>345</v>
      </c>
      <c r="G724">
        <v>15</v>
      </c>
      <c r="H724">
        <v>149.99</v>
      </c>
      <c r="I724">
        <v>79.819999999999993</v>
      </c>
      <c r="J724" t="s">
        <v>14</v>
      </c>
      <c r="K724" t="s">
        <v>16</v>
      </c>
      <c r="L724" t="s">
        <v>2095</v>
      </c>
      <c r="M724">
        <v>6</v>
      </c>
      <c r="N724" t="s">
        <v>179</v>
      </c>
      <c r="O724" t="s">
        <v>2109</v>
      </c>
    </row>
    <row r="725" spans="1:15">
      <c r="A725" t="s">
        <v>2666</v>
      </c>
      <c r="B725" t="s">
        <v>2085</v>
      </c>
      <c r="C725" t="s">
        <v>2086</v>
      </c>
      <c r="D725" s="1">
        <v>44543</v>
      </c>
      <c r="E725" s="1">
        <v>44963</v>
      </c>
      <c r="F725">
        <v>329</v>
      </c>
      <c r="G725">
        <v>20</v>
      </c>
      <c r="H725">
        <v>2105.41</v>
      </c>
      <c r="I725">
        <v>223.09</v>
      </c>
      <c r="J725" t="s">
        <v>66</v>
      </c>
      <c r="K725" t="s">
        <v>16</v>
      </c>
      <c r="L725" t="s">
        <v>2095</v>
      </c>
      <c r="M725">
        <v>7</v>
      </c>
      <c r="N725" t="s">
        <v>232</v>
      </c>
      <c r="O725" t="s">
        <v>2121</v>
      </c>
    </row>
    <row r="726" spans="1:15">
      <c r="A726" t="s">
        <v>2667</v>
      </c>
      <c r="B726" t="s">
        <v>2097</v>
      </c>
      <c r="C726" t="s">
        <v>2111</v>
      </c>
      <c r="D726" s="1">
        <v>44877</v>
      </c>
      <c r="E726" s="1">
        <v>45072</v>
      </c>
      <c r="F726">
        <v>220</v>
      </c>
      <c r="G726">
        <v>11</v>
      </c>
      <c r="H726">
        <v>212.48</v>
      </c>
      <c r="I726">
        <v>110.65</v>
      </c>
      <c r="J726" t="s">
        <v>90</v>
      </c>
      <c r="K726" t="s">
        <v>16</v>
      </c>
      <c r="L726" t="s">
        <v>2106</v>
      </c>
      <c r="M726">
        <v>2</v>
      </c>
      <c r="N726" t="s">
        <v>165</v>
      </c>
      <c r="O726" t="s">
        <v>2109</v>
      </c>
    </row>
    <row r="727" spans="1:15">
      <c r="A727" t="s">
        <v>2668</v>
      </c>
      <c r="B727" t="s">
        <v>2099</v>
      </c>
      <c r="C727" t="s">
        <v>2100</v>
      </c>
      <c r="D727" s="1">
        <v>44804</v>
      </c>
      <c r="E727" s="1">
        <v>45288</v>
      </c>
      <c r="F727">
        <v>4</v>
      </c>
      <c r="G727">
        <v>2</v>
      </c>
      <c r="H727">
        <v>143.72</v>
      </c>
      <c r="I727">
        <v>44.51</v>
      </c>
      <c r="J727" t="s">
        <v>90</v>
      </c>
      <c r="K727" t="s">
        <v>16</v>
      </c>
      <c r="L727" t="s">
        <v>2087</v>
      </c>
      <c r="M727">
        <v>10</v>
      </c>
      <c r="N727" t="s">
        <v>194</v>
      </c>
      <c r="O727" t="s">
        <v>2107</v>
      </c>
    </row>
    <row r="728" spans="1:15">
      <c r="A728" t="s">
        <v>2669</v>
      </c>
      <c r="B728" t="s">
        <v>2097</v>
      </c>
      <c r="C728" t="s">
        <v>2086</v>
      </c>
      <c r="D728" s="1">
        <v>43628</v>
      </c>
      <c r="E728" s="1">
        <v>44957</v>
      </c>
      <c r="F728">
        <v>335</v>
      </c>
      <c r="G728">
        <v>10</v>
      </c>
      <c r="H728">
        <v>246.67</v>
      </c>
      <c r="I728">
        <v>65.52</v>
      </c>
      <c r="J728" t="s">
        <v>14</v>
      </c>
      <c r="K728" t="s">
        <v>16</v>
      </c>
      <c r="L728" t="s">
        <v>2095</v>
      </c>
      <c r="M728">
        <v>7</v>
      </c>
      <c r="N728" t="s">
        <v>157</v>
      </c>
      <c r="O728" t="s">
        <v>2107</v>
      </c>
    </row>
    <row r="729" spans="1:15">
      <c r="A729" t="s">
        <v>2670</v>
      </c>
      <c r="B729" t="s">
        <v>2093</v>
      </c>
      <c r="C729" t="s">
        <v>2091</v>
      </c>
      <c r="D729" s="1">
        <v>44121</v>
      </c>
      <c r="E729" s="1">
        <v>45223</v>
      </c>
      <c r="F729">
        <v>69</v>
      </c>
      <c r="G729">
        <v>1</v>
      </c>
      <c r="H729">
        <v>78.02</v>
      </c>
      <c r="I729">
        <v>39.96</v>
      </c>
      <c r="J729" t="s">
        <v>90</v>
      </c>
      <c r="K729" t="s">
        <v>16</v>
      </c>
      <c r="L729" t="s">
        <v>2087</v>
      </c>
      <c r="M729">
        <v>1</v>
      </c>
      <c r="N729" t="s">
        <v>165</v>
      </c>
      <c r="O729" t="s">
        <v>2088</v>
      </c>
    </row>
    <row r="730" spans="1:15">
      <c r="A730" t="s">
        <v>2671</v>
      </c>
      <c r="B730" t="s">
        <v>2093</v>
      </c>
      <c r="C730" t="s">
        <v>2111</v>
      </c>
      <c r="D730" s="1">
        <v>44435</v>
      </c>
      <c r="E730" s="1">
        <v>45262</v>
      </c>
      <c r="F730">
        <v>30</v>
      </c>
      <c r="G730">
        <v>5</v>
      </c>
      <c r="H730">
        <v>81.430000000000007</v>
      </c>
      <c r="I730">
        <v>62.55</v>
      </c>
      <c r="J730" t="s">
        <v>66</v>
      </c>
      <c r="K730" t="s">
        <v>16</v>
      </c>
      <c r="L730" t="s">
        <v>2087</v>
      </c>
      <c r="M730">
        <v>3</v>
      </c>
      <c r="N730" t="s">
        <v>194</v>
      </c>
      <c r="O730" t="s">
        <v>2096</v>
      </c>
    </row>
    <row r="731" spans="1:15">
      <c r="A731" t="s">
        <v>1170</v>
      </c>
      <c r="B731" t="s">
        <v>2085</v>
      </c>
      <c r="C731" t="s">
        <v>2100</v>
      </c>
      <c r="D731" s="1">
        <v>44263</v>
      </c>
      <c r="E731" s="1">
        <v>45022</v>
      </c>
      <c r="F731">
        <v>270</v>
      </c>
      <c r="G731">
        <v>13</v>
      </c>
      <c r="H731">
        <v>2650.47</v>
      </c>
      <c r="I731">
        <v>260.73</v>
      </c>
      <c r="J731" t="s">
        <v>90</v>
      </c>
      <c r="K731" t="s">
        <v>20</v>
      </c>
      <c r="L731" t="s">
        <v>2087</v>
      </c>
      <c r="M731">
        <v>5</v>
      </c>
      <c r="N731" t="s">
        <v>204</v>
      </c>
      <c r="O731" t="s">
        <v>2107</v>
      </c>
    </row>
    <row r="732" spans="1:15">
      <c r="A732" t="s">
        <v>2672</v>
      </c>
      <c r="B732" t="s">
        <v>2113</v>
      </c>
      <c r="C732" t="s">
        <v>2108</v>
      </c>
      <c r="D732" s="1">
        <v>45005</v>
      </c>
      <c r="E732" s="1">
        <v>45217</v>
      </c>
      <c r="F732">
        <v>75</v>
      </c>
      <c r="G732">
        <v>18</v>
      </c>
      <c r="H732">
        <v>429.2</v>
      </c>
      <c r="I732">
        <v>77.900000000000006</v>
      </c>
      <c r="J732" t="s">
        <v>41</v>
      </c>
      <c r="K732" t="s">
        <v>16</v>
      </c>
      <c r="L732" t="s">
        <v>2095</v>
      </c>
      <c r="M732">
        <v>4</v>
      </c>
      <c r="N732" t="s">
        <v>204</v>
      </c>
      <c r="O732" t="s">
        <v>2096</v>
      </c>
    </row>
    <row r="733" spans="1:15">
      <c r="A733" t="s">
        <v>2673</v>
      </c>
      <c r="B733" t="s">
        <v>2099</v>
      </c>
      <c r="C733" t="s">
        <v>2086</v>
      </c>
      <c r="D733" s="1">
        <v>43957</v>
      </c>
      <c r="E733" s="1">
        <v>45189</v>
      </c>
      <c r="F733">
        <v>103</v>
      </c>
      <c r="G733">
        <v>2</v>
      </c>
      <c r="H733">
        <v>39.26</v>
      </c>
      <c r="I733">
        <v>90.74</v>
      </c>
      <c r="J733" t="s">
        <v>90</v>
      </c>
      <c r="K733" t="s">
        <v>16</v>
      </c>
      <c r="L733" t="s">
        <v>2095</v>
      </c>
      <c r="M733">
        <v>2</v>
      </c>
      <c r="N733" t="s">
        <v>204</v>
      </c>
      <c r="O733" t="s">
        <v>2096</v>
      </c>
    </row>
    <row r="734" spans="1:15">
      <c r="A734" t="s">
        <v>2674</v>
      </c>
      <c r="B734" t="s">
        <v>2085</v>
      </c>
      <c r="C734" t="s">
        <v>2094</v>
      </c>
      <c r="D734" s="1">
        <v>44725</v>
      </c>
      <c r="E734" s="1">
        <v>45117</v>
      </c>
      <c r="F734">
        <v>175</v>
      </c>
      <c r="G734">
        <v>32</v>
      </c>
      <c r="H734">
        <v>1593.6</v>
      </c>
      <c r="I734">
        <v>168.59</v>
      </c>
      <c r="J734" t="s">
        <v>14</v>
      </c>
      <c r="K734" t="s">
        <v>16</v>
      </c>
      <c r="L734" t="s">
        <v>2087</v>
      </c>
      <c r="M734">
        <v>8</v>
      </c>
      <c r="N734" t="s">
        <v>157</v>
      </c>
      <c r="O734" t="s">
        <v>2107</v>
      </c>
    </row>
    <row r="735" spans="1:15">
      <c r="A735" t="s">
        <v>2675</v>
      </c>
      <c r="B735" t="s">
        <v>2097</v>
      </c>
      <c r="C735" t="s">
        <v>2094</v>
      </c>
      <c r="D735" s="1">
        <v>44989</v>
      </c>
      <c r="E735" s="1">
        <v>45185</v>
      </c>
      <c r="F735">
        <v>107</v>
      </c>
      <c r="G735">
        <v>8</v>
      </c>
      <c r="H735">
        <v>592.23</v>
      </c>
      <c r="I735">
        <v>135.78</v>
      </c>
      <c r="J735" t="s">
        <v>115</v>
      </c>
      <c r="K735" t="s">
        <v>16</v>
      </c>
      <c r="L735" t="s">
        <v>2106</v>
      </c>
      <c r="M735">
        <v>9</v>
      </c>
      <c r="N735" t="s">
        <v>232</v>
      </c>
      <c r="O735" t="s">
        <v>2088</v>
      </c>
    </row>
    <row r="736" spans="1:15">
      <c r="A736" t="s">
        <v>2676</v>
      </c>
      <c r="B736" t="s">
        <v>2097</v>
      </c>
      <c r="C736" t="s">
        <v>2108</v>
      </c>
      <c r="D736" s="1">
        <v>43546</v>
      </c>
      <c r="E736" s="1">
        <v>45159</v>
      </c>
      <c r="F736">
        <v>133</v>
      </c>
      <c r="G736">
        <v>9</v>
      </c>
      <c r="H736">
        <v>650.30999999999995</v>
      </c>
      <c r="I736">
        <v>123.13</v>
      </c>
      <c r="J736" t="s">
        <v>115</v>
      </c>
      <c r="K736" t="s">
        <v>20</v>
      </c>
      <c r="L736" t="s">
        <v>2087</v>
      </c>
      <c r="M736">
        <v>8</v>
      </c>
      <c r="N736" t="s">
        <v>179</v>
      </c>
      <c r="O736" t="s">
        <v>2109</v>
      </c>
    </row>
    <row r="737" spans="1:15">
      <c r="A737" t="s">
        <v>2677</v>
      </c>
      <c r="B737" t="s">
        <v>2085</v>
      </c>
      <c r="C737" t="s">
        <v>2100</v>
      </c>
      <c r="D737" s="1">
        <v>44750</v>
      </c>
      <c r="E737" s="1">
        <v>44959</v>
      </c>
      <c r="F737">
        <v>333</v>
      </c>
      <c r="G737">
        <v>21</v>
      </c>
      <c r="H737">
        <v>1531.73</v>
      </c>
      <c r="I737">
        <v>181.47</v>
      </c>
      <c r="J737" t="s">
        <v>90</v>
      </c>
      <c r="K737" t="s">
        <v>16</v>
      </c>
      <c r="L737" t="s">
        <v>2106</v>
      </c>
      <c r="M737">
        <v>9</v>
      </c>
      <c r="N737" t="s">
        <v>157</v>
      </c>
      <c r="O737" t="s">
        <v>2121</v>
      </c>
    </row>
    <row r="738" spans="1:15">
      <c r="A738" t="s">
        <v>2678</v>
      </c>
      <c r="B738" t="s">
        <v>2090</v>
      </c>
      <c r="C738" t="s">
        <v>2091</v>
      </c>
      <c r="D738" s="1">
        <v>44801</v>
      </c>
      <c r="E738" s="1">
        <v>44946</v>
      </c>
      <c r="F738">
        <v>346</v>
      </c>
      <c r="G738">
        <v>3</v>
      </c>
      <c r="H738">
        <v>223.77</v>
      </c>
      <c r="I738">
        <v>64.02</v>
      </c>
      <c r="J738" t="s">
        <v>115</v>
      </c>
      <c r="K738" t="s">
        <v>16</v>
      </c>
      <c r="L738" t="s">
        <v>2087</v>
      </c>
      <c r="M738">
        <v>4</v>
      </c>
      <c r="N738" t="s">
        <v>174</v>
      </c>
      <c r="O738" t="s">
        <v>2088</v>
      </c>
    </row>
    <row r="739" spans="1:15">
      <c r="A739" t="s">
        <v>642</v>
      </c>
      <c r="B739" t="s">
        <v>2097</v>
      </c>
      <c r="C739" t="s">
        <v>2111</v>
      </c>
      <c r="D739" s="1">
        <v>43955</v>
      </c>
      <c r="E739" s="1">
        <v>45130</v>
      </c>
      <c r="F739">
        <v>162</v>
      </c>
      <c r="G739">
        <v>3</v>
      </c>
      <c r="H739">
        <v>294.17</v>
      </c>
      <c r="I739">
        <v>132.15</v>
      </c>
      <c r="J739" t="s">
        <v>90</v>
      </c>
      <c r="K739" t="s">
        <v>16</v>
      </c>
      <c r="L739" t="s">
        <v>2095</v>
      </c>
      <c r="M739">
        <v>4</v>
      </c>
      <c r="N739" t="s">
        <v>232</v>
      </c>
      <c r="O739" t="s">
        <v>2088</v>
      </c>
    </row>
    <row r="740" spans="1:15">
      <c r="A740" t="s">
        <v>2679</v>
      </c>
      <c r="B740" t="s">
        <v>2099</v>
      </c>
      <c r="C740" t="s">
        <v>2094</v>
      </c>
      <c r="D740" s="1">
        <v>45093</v>
      </c>
      <c r="E740" s="1">
        <v>45254</v>
      </c>
      <c r="F740">
        <v>38</v>
      </c>
      <c r="G740">
        <v>1</v>
      </c>
      <c r="H740">
        <v>85.23</v>
      </c>
      <c r="I740">
        <v>96.21</v>
      </c>
      <c r="J740" t="s">
        <v>115</v>
      </c>
      <c r="K740" t="s">
        <v>20</v>
      </c>
      <c r="L740" t="s">
        <v>2095</v>
      </c>
      <c r="M740">
        <v>7</v>
      </c>
      <c r="N740" t="s">
        <v>232</v>
      </c>
      <c r="O740" t="s">
        <v>2107</v>
      </c>
    </row>
    <row r="741" spans="1:15">
      <c r="A741" t="s">
        <v>1888</v>
      </c>
      <c r="B741" t="s">
        <v>2090</v>
      </c>
      <c r="C741" t="s">
        <v>2100</v>
      </c>
      <c r="D741" s="1">
        <v>45217</v>
      </c>
      <c r="E741" s="1">
        <v>45047</v>
      </c>
      <c r="F741">
        <v>245</v>
      </c>
      <c r="G741">
        <v>7</v>
      </c>
      <c r="H741">
        <v>256.75</v>
      </c>
      <c r="I741">
        <v>102.37</v>
      </c>
      <c r="J741" t="s">
        <v>115</v>
      </c>
      <c r="K741" t="s">
        <v>20</v>
      </c>
      <c r="L741" t="s">
        <v>2087</v>
      </c>
      <c r="M741">
        <v>2</v>
      </c>
      <c r="N741" t="s">
        <v>232</v>
      </c>
      <c r="O741" t="s">
        <v>2107</v>
      </c>
    </row>
    <row r="742" spans="1:15">
      <c r="A742" t="s">
        <v>2680</v>
      </c>
      <c r="B742" t="s">
        <v>2085</v>
      </c>
      <c r="C742" t="s">
        <v>2111</v>
      </c>
      <c r="D742" s="1">
        <v>43968</v>
      </c>
      <c r="E742" s="1">
        <v>45172</v>
      </c>
      <c r="F742">
        <v>120</v>
      </c>
      <c r="G742">
        <v>33</v>
      </c>
      <c r="H742">
        <v>1744.9</v>
      </c>
      <c r="I742">
        <v>165.75</v>
      </c>
      <c r="J742" t="s">
        <v>14</v>
      </c>
      <c r="K742" t="s">
        <v>16</v>
      </c>
      <c r="L742" t="s">
        <v>2106</v>
      </c>
      <c r="M742">
        <v>4</v>
      </c>
      <c r="N742" t="s">
        <v>157</v>
      </c>
      <c r="O742" t="s">
        <v>2121</v>
      </c>
    </row>
    <row r="743" spans="1:15">
      <c r="A743" t="s">
        <v>2681</v>
      </c>
      <c r="B743" t="s">
        <v>2093</v>
      </c>
      <c r="C743" t="s">
        <v>2094</v>
      </c>
      <c r="D743" s="1">
        <v>43883</v>
      </c>
      <c r="E743" s="1">
        <v>45010</v>
      </c>
      <c r="F743">
        <v>282</v>
      </c>
      <c r="G743">
        <v>3</v>
      </c>
      <c r="H743">
        <v>100.65</v>
      </c>
      <c r="I743">
        <v>74.36</v>
      </c>
      <c r="J743" t="s">
        <v>14</v>
      </c>
      <c r="K743" t="s">
        <v>16</v>
      </c>
      <c r="L743" t="s">
        <v>2087</v>
      </c>
      <c r="M743">
        <v>8</v>
      </c>
      <c r="N743" t="s">
        <v>165</v>
      </c>
      <c r="O743" t="s">
        <v>2088</v>
      </c>
    </row>
    <row r="744" spans="1:15">
      <c r="A744" t="s">
        <v>2682</v>
      </c>
      <c r="B744" t="s">
        <v>2093</v>
      </c>
      <c r="C744" t="s">
        <v>2091</v>
      </c>
      <c r="D744" s="1">
        <v>43714</v>
      </c>
      <c r="E744" s="1">
        <v>44928</v>
      </c>
      <c r="F744">
        <v>364</v>
      </c>
      <c r="G744">
        <v>1</v>
      </c>
      <c r="H744">
        <v>42.96</v>
      </c>
      <c r="I744">
        <v>29.33</v>
      </c>
      <c r="J744" t="s">
        <v>14</v>
      </c>
      <c r="K744" t="s">
        <v>16</v>
      </c>
      <c r="L744" t="s">
        <v>2095</v>
      </c>
      <c r="M744">
        <v>1</v>
      </c>
      <c r="N744" t="s">
        <v>179</v>
      </c>
      <c r="O744" t="s">
        <v>2109</v>
      </c>
    </row>
    <row r="745" spans="1:15">
      <c r="A745" t="s">
        <v>2683</v>
      </c>
      <c r="B745" t="s">
        <v>2113</v>
      </c>
      <c r="C745" t="s">
        <v>2086</v>
      </c>
      <c r="D745" s="1">
        <v>44560</v>
      </c>
      <c r="E745" s="1">
        <v>45165</v>
      </c>
      <c r="F745">
        <v>127</v>
      </c>
      <c r="G745">
        <v>8</v>
      </c>
      <c r="H745">
        <v>350.23</v>
      </c>
      <c r="I745">
        <v>71.760000000000005</v>
      </c>
      <c r="J745" t="s">
        <v>14</v>
      </c>
      <c r="K745" t="s">
        <v>16</v>
      </c>
      <c r="L745" t="s">
        <v>2106</v>
      </c>
      <c r="M745">
        <v>9</v>
      </c>
      <c r="N745" t="s">
        <v>194</v>
      </c>
      <c r="O745" t="s">
        <v>2096</v>
      </c>
    </row>
    <row r="746" spans="1:15">
      <c r="A746" t="s">
        <v>2684</v>
      </c>
      <c r="B746" t="s">
        <v>2113</v>
      </c>
      <c r="C746" t="s">
        <v>2094</v>
      </c>
      <c r="D746" s="1">
        <v>43853</v>
      </c>
      <c r="E746" s="1">
        <v>45206</v>
      </c>
      <c r="F746">
        <v>86</v>
      </c>
      <c r="G746">
        <v>7</v>
      </c>
      <c r="H746">
        <v>276.62</v>
      </c>
      <c r="I746">
        <v>49.39</v>
      </c>
      <c r="J746" t="s">
        <v>14</v>
      </c>
      <c r="K746" t="s">
        <v>20</v>
      </c>
      <c r="L746" t="s">
        <v>2095</v>
      </c>
      <c r="M746">
        <v>1</v>
      </c>
      <c r="N746" t="s">
        <v>157</v>
      </c>
      <c r="O746" t="s">
        <v>2107</v>
      </c>
    </row>
    <row r="747" spans="1:15">
      <c r="A747" t="s">
        <v>2685</v>
      </c>
      <c r="B747" t="s">
        <v>2113</v>
      </c>
      <c r="C747" t="s">
        <v>2108</v>
      </c>
      <c r="D747" s="1">
        <v>43863</v>
      </c>
      <c r="E747" s="1">
        <v>45172</v>
      </c>
      <c r="F747">
        <v>120</v>
      </c>
      <c r="G747">
        <v>10</v>
      </c>
      <c r="H747">
        <v>361.04</v>
      </c>
      <c r="I747">
        <v>64.48</v>
      </c>
      <c r="J747" t="s">
        <v>66</v>
      </c>
      <c r="K747" t="s">
        <v>16</v>
      </c>
      <c r="L747" t="s">
        <v>2087</v>
      </c>
      <c r="M747">
        <v>6</v>
      </c>
      <c r="N747" t="s">
        <v>179</v>
      </c>
      <c r="O747" t="s">
        <v>2109</v>
      </c>
    </row>
    <row r="748" spans="1:15">
      <c r="A748" t="s">
        <v>2686</v>
      </c>
      <c r="B748" t="s">
        <v>2085</v>
      </c>
      <c r="C748" t="s">
        <v>2091</v>
      </c>
      <c r="D748" s="1">
        <v>43900</v>
      </c>
      <c r="E748" s="1">
        <v>45012</v>
      </c>
      <c r="F748">
        <v>280</v>
      </c>
      <c r="G748">
        <v>37</v>
      </c>
      <c r="H748">
        <v>1927.32</v>
      </c>
      <c r="I748">
        <v>262.36</v>
      </c>
      <c r="J748" t="s">
        <v>115</v>
      </c>
      <c r="K748" t="s">
        <v>20</v>
      </c>
      <c r="L748" t="s">
        <v>2087</v>
      </c>
      <c r="M748">
        <v>9</v>
      </c>
      <c r="N748" t="s">
        <v>165</v>
      </c>
      <c r="O748" t="s">
        <v>2096</v>
      </c>
    </row>
    <row r="749" spans="1:15">
      <c r="A749" t="s">
        <v>2687</v>
      </c>
      <c r="B749" t="s">
        <v>2093</v>
      </c>
      <c r="C749" t="s">
        <v>2086</v>
      </c>
      <c r="D749" s="1">
        <v>45065</v>
      </c>
      <c r="E749" s="1">
        <v>45180</v>
      </c>
      <c r="F749">
        <v>112</v>
      </c>
      <c r="G749">
        <v>2</v>
      </c>
      <c r="H749">
        <v>171.87</v>
      </c>
      <c r="I749">
        <v>76.03</v>
      </c>
      <c r="J749" t="s">
        <v>90</v>
      </c>
      <c r="K749" t="s">
        <v>16</v>
      </c>
      <c r="L749" t="s">
        <v>2087</v>
      </c>
      <c r="M749">
        <v>10</v>
      </c>
      <c r="N749" t="s">
        <v>194</v>
      </c>
      <c r="O749" t="s">
        <v>2107</v>
      </c>
    </row>
    <row r="750" spans="1:15">
      <c r="A750" t="s">
        <v>2688</v>
      </c>
      <c r="B750" t="s">
        <v>2085</v>
      </c>
      <c r="C750" t="s">
        <v>2108</v>
      </c>
      <c r="D750" s="1">
        <v>44193</v>
      </c>
      <c r="E750" s="1">
        <v>44935</v>
      </c>
      <c r="F750">
        <v>357</v>
      </c>
      <c r="G750">
        <v>13</v>
      </c>
      <c r="H750">
        <v>1796.4</v>
      </c>
      <c r="I750">
        <v>100.74</v>
      </c>
      <c r="J750" t="s">
        <v>66</v>
      </c>
      <c r="K750" t="s">
        <v>20</v>
      </c>
      <c r="L750" t="s">
        <v>2087</v>
      </c>
      <c r="M750">
        <v>6</v>
      </c>
      <c r="N750" t="s">
        <v>165</v>
      </c>
      <c r="O750" t="s">
        <v>2096</v>
      </c>
    </row>
    <row r="751" spans="1:15">
      <c r="A751" t="s">
        <v>2689</v>
      </c>
      <c r="B751" t="s">
        <v>2113</v>
      </c>
      <c r="C751" t="s">
        <v>2086</v>
      </c>
      <c r="D751" s="1">
        <v>44683</v>
      </c>
      <c r="E751" s="1">
        <v>45193</v>
      </c>
      <c r="F751">
        <v>99</v>
      </c>
      <c r="G751">
        <v>19</v>
      </c>
      <c r="H751">
        <v>142.61000000000001</v>
      </c>
      <c r="I751">
        <v>72.150000000000006</v>
      </c>
      <c r="J751" t="s">
        <v>14</v>
      </c>
      <c r="K751" t="s">
        <v>20</v>
      </c>
      <c r="L751" t="s">
        <v>2095</v>
      </c>
      <c r="M751">
        <v>7</v>
      </c>
      <c r="N751" t="s">
        <v>204</v>
      </c>
      <c r="O751" t="s">
        <v>2088</v>
      </c>
    </row>
    <row r="752" spans="1:15">
      <c r="A752" t="s">
        <v>2690</v>
      </c>
      <c r="B752" t="s">
        <v>2090</v>
      </c>
      <c r="C752" t="s">
        <v>2108</v>
      </c>
      <c r="D752" s="1">
        <v>45126</v>
      </c>
      <c r="E752" s="1">
        <v>44943</v>
      </c>
      <c r="F752">
        <v>349</v>
      </c>
      <c r="G752">
        <v>7</v>
      </c>
      <c r="H752">
        <v>323.70999999999998</v>
      </c>
      <c r="I752">
        <v>49.58</v>
      </c>
      <c r="J752" t="s">
        <v>66</v>
      </c>
      <c r="K752" t="s">
        <v>16</v>
      </c>
      <c r="L752" t="s">
        <v>2087</v>
      </c>
      <c r="M752">
        <v>8</v>
      </c>
      <c r="N752" t="s">
        <v>179</v>
      </c>
      <c r="O752" t="s">
        <v>2109</v>
      </c>
    </row>
    <row r="753" spans="1:15">
      <c r="A753" t="s">
        <v>2691</v>
      </c>
      <c r="B753" t="s">
        <v>2113</v>
      </c>
      <c r="C753" t="s">
        <v>2091</v>
      </c>
      <c r="D753" s="1">
        <v>44080</v>
      </c>
      <c r="E753" s="1">
        <v>45267</v>
      </c>
      <c r="F753">
        <v>25</v>
      </c>
      <c r="G753">
        <v>6</v>
      </c>
      <c r="H753">
        <v>529.33000000000004</v>
      </c>
      <c r="I753">
        <v>32.75</v>
      </c>
      <c r="J753" t="s">
        <v>66</v>
      </c>
      <c r="K753" t="s">
        <v>16</v>
      </c>
      <c r="L753" t="s">
        <v>2095</v>
      </c>
      <c r="M753">
        <v>4</v>
      </c>
      <c r="N753" t="s">
        <v>194</v>
      </c>
      <c r="O753" t="s">
        <v>2109</v>
      </c>
    </row>
    <row r="754" spans="1:15">
      <c r="A754" t="s">
        <v>2692</v>
      </c>
      <c r="B754" t="s">
        <v>2085</v>
      </c>
      <c r="C754" t="s">
        <v>2100</v>
      </c>
      <c r="D754" s="1">
        <v>44978</v>
      </c>
      <c r="E754" s="1">
        <v>45080</v>
      </c>
      <c r="F754">
        <v>212</v>
      </c>
      <c r="G754">
        <v>28</v>
      </c>
      <c r="H754">
        <v>1600.33</v>
      </c>
      <c r="I754">
        <v>199.66</v>
      </c>
      <c r="J754" t="s">
        <v>14</v>
      </c>
      <c r="K754" t="s">
        <v>16</v>
      </c>
      <c r="L754" t="s">
        <v>2087</v>
      </c>
      <c r="M754">
        <v>5</v>
      </c>
      <c r="N754" t="s">
        <v>157</v>
      </c>
      <c r="O754" t="s">
        <v>2096</v>
      </c>
    </row>
    <row r="755" spans="1:15">
      <c r="A755" t="s">
        <v>2693</v>
      </c>
      <c r="B755" t="s">
        <v>2097</v>
      </c>
      <c r="C755" t="s">
        <v>2111</v>
      </c>
      <c r="D755" s="1">
        <v>44208</v>
      </c>
      <c r="E755" s="1">
        <v>44985</v>
      </c>
      <c r="F755">
        <v>307</v>
      </c>
      <c r="G755">
        <v>11</v>
      </c>
      <c r="H755">
        <v>541.89</v>
      </c>
      <c r="I755">
        <v>135.16</v>
      </c>
      <c r="J755" t="s">
        <v>66</v>
      </c>
      <c r="K755" t="s">
        <v>16</v>
      </c>
      <c r="L755" t="s">
        <v>2087</v>
      </c>
      <c r="M755">
        <v>1</v>
      </c>
      <c r="N755" t="s">
        <v>157</v>
      </c>
      <c r="O755" t="s">
        <v>2088</v>
      </c>
    </row>
    <row r="756" spans="1:15">
      <c r="A756" t="s">
        <v>2694</v>
      </c>
      <c r="B756" t="s">
        <v>2097</v>
      </c>
      <c r="C756" t="s">
        <v>2086</v>
      </c>
      <c r="D756" s="1">
        <v>45189</v>
      </c>
      <c r="E756" s="1">
        <v>45208</v>
      </c>
      <c r="F756">
        <v>84</v>
      </c>
      <c r="G756">
        <v>4</v>
      </c>
      <c r="H756">
        <v>300.49</v>
      </c>
      <c r="I756">
        <v>77.650000000000006</v>
      </c>
      <c r="J756" t="s">
        <v>14</v>
      </c>
      <c r="K756" t="s">
        <v>20</v>
      </c>
      <c r="L756" t="s">
        <v>2106</v>
      </c>
      <c r="M756">
        <v>9</v>
      </c>
      <c r="N756" t="s">
        <v>179</v>
      </c>
      <c r="O756" t="s">
        <v>2088</v>
      </c>
    </row>
    <row r="757" spans="1:15">
      <c r="A757" t="s">
        <v>2695</v>
      </c>
      <c r="B757" t="s">
        <v>2113</v>
      </c>
      <c r="C757" t="s">
        <v>2100</v>
      </c>
      <c r="D757" s="1">
        <v>43549</v>
      </c>
      <c r="E757" s="1">
        <v>45086</v>
      </c>
      <c r="F757">
        <v>206</v>
      </c>
      <c r="G757">
        <v>14</v>
      </c>
      <c r="H757">
        <v>150.22</v>
      </c>
      <c r="I757">
        <v>50.18</v>
      </c>
      <c r="J757" t="s">
        <v>14</v>
      </c>
      <c r="K757" t="s">
        <v>20</v>
      </c>
      <c r="L757" t="s">
        <v>2087</v>
      </c>
      <c r="M757">
        <v>4</v>
      </c>
      <c r="N757" t="s">
        <v>165</v>
      </c>
      <c r="O757" t="s">
        <v>2096</v>
      </c>
    </row>
    <row r="758" spans="1:15">
      <c r="A758" t="s">
        <v>2696</v>
      </c>
      <c r="B758" t="s">
        <v>2097</v>
      </c>
      <c r="C758" t="s">
        <v>2100</v>
      </c>
      <c r="D758" s="1">
        <v>43474</v>
      </c>
      <c r="E758" s="1">
        <v>44981</v>
      </c>
      <c r="F758">
        <v>311</v>
      </c>
      <c r="G758">
        <v>4</v>
      </c>
      <c r="H758">
        <v>211.3</v>
      </c>
      <c r="I758">
        <v>144.47</v>
      </c>
      <c r="J758" t="s">
        <v>14</v>
      </c>
      <c r="K758" t="s">
        <v>16</v>
      </c>
      <c r="L758" t="s">
        <v>2087</v>
      </c>
      <c r="M758">
        <v>6</v>
      </c>
      <c r="N758" t="s">
        <v>232</v>
      </c>
      <c r="O758" t="s">
        <v>2096</v>
      </c>
    </row>
    <row r="759" spans="1:15">
      <c r="A759" t="s">
        <v>2697</v>
      </c>
      <c r="B759" t="s">
        <v>2113</v>
      </c>
      <c r="C759" t="s">
        <v>2111</v>
      </c>
      <c r="D759" s="1">
        <v>45092</v>
      </c>
      <c r="E759" s="1">
        <v>45053</v>
      </c>
      <c r="F759">
        <v>239</v>
      </c>
      <c r="G759">
        <v>10</v>
      </c>
      <c r="H759">
        <v>395.43</v>
      </c>
      <c r="I759">
        <v>58.06</v>
      </c>
      <c r="J759" t="s">
        <v>66</v>
      </c>
      <c r="K759" t="s">
        <v>16</v>
      </c>
      <c r="L759" t="s">
        <v>2095</v>
      </c>
      <c r="M759">
        <v>10</v>
      </c>
      <c r="N759" t="s">
        <v>232</v>
      </c>
      <c r="O759" t="s">
        <v>2096</v>
      </c>
    </row>
    <row r="760" spans="1:15">
      <c r="A760" t="s">
        <v>2698</v>
      </c>
      <c r="B760" t="s">
        <v>2093</v>
      </c>
      <c r="C760" t="s">
        <v>2108</v>
      </c>
      <c r="D760" s="1">
        <v>43725</v>
      </c>
      <c r="E760" s="1">
        <v>45013</v>
      </c>
      <c r="F760">
        <v>279</v>
      </c>
      <c r="G760">
        <v>1</v>
      </c>
      <c r="H760">
        <v>109.95</v>
      </c>
      <c r="I760">
        <v>63.72</v>
      </c>
      <c r="J760" t="s">
        <v>115</v>
      </c>
      <c r="K760" t="s">
        <v>16</v>
      </c>
      <c r="L760" t="s">
        <v>2087</v>
      </c>
      <c r="M760">
        <v>0</v>
      </c>
      <c r="N760" t="s">
        <v>165</v>
      </c>
      <c r="O760" t="s">
        <v>2088</v>
      </c>
    </row>
    <row r="761" spans="1:15">
      <c r="A761" t="s">
        <v>2699</v>
      </c>
      <c r="B761" t="s">
        <v>2113</v>
      </c>
      <c r="C761" t="s">
        <v>2086</v>
      </c>
      <c r="D761" s="1">
        <v>44346</v>
      </c>
      <c r="E761" s="1">
        <v>45035</v>
      </c>
      <c r="F761">
        <v>257</v>
      </c>
      <c r="G761">
        <v>11</v>
      </c>
      <c r="H761">
        <v>346.33</v>
      </c>
      <c r="I761">
        <v>41.9</v>
      </c>
      <c r="J761" t="s">
        <v>90</v>
      </c>
      <c r="K761" t="s">
        <v>16</v>
      </c>
      <c r="L761" t="s">
        <v>2106</v>
      </c>
      <c r="M761">
        <v>4</v>
      </c>
      <c r="N761" t="s">
        <v>194</v>
      </c>
      <c r="O761" t="s">
        <v>2107</v>
      </c>
    </row>
    <row r="762" spans="1:15">
      <c r="A762" t="s">
        <v>2700</v>
      </c>
      <c r="B762" t="s">
        <v>2099</v>
      </c>
      <c r="C762" t="s">
        <v>2111</v>
      </c>
      <c r="D762" s="1">
        <v>43976</v>
      </c>
      <c r="E762" s="1">
        <v>45242</v>
      </c>
      <c r="F762">
        <v>50</v>
      </c>
      <c r="G762">
        <v>2</v>
      </c>
      <c r="H762">
        <v>138.4</v>
      </c>
      <c r="I762">
        <v>43.01</v>
      </c>
      <c r="J762" t="s">
        <v>90</v>
      </c>
      <c r="K762" t="s">
        <v>16</v>
      </c>
      <c r="L762" t="s">
        <v>2106</v>
      </c>
      <c r="M762">
        <v>9</v>
      </c>
      <c r="N762" t="s">
        <v>204</v>
      </c>
      <c r="O762" t="s">
        <v>2096</v>
      </c>
    </row>
    <row r="763" spans="1:15">
      <c r="A763" t="s">
        <v>1356</v>
      </c>
      <c r="B763" t="s">
        <v>2085</v>
      </c>
      <c r="C763" t="s">
        <v>2086</v>
      </c>
      <c r="D763" s="1">
        <v>44881</v>
      </c>
      <c r="E763" s="1">
        <v>44992</v>
      </c>
      <c r="F763">
        <v>300</v>
      </c>
      <c r="G763">
        <v>24</v>
      </c>
      <c r="H763">
        <v>2099.62</v>
      </c>
      <c r="I763">
        <v>249.36</v>
      </c>
      <c r="J763" t="s">
        <v>41</v>
      </c>
      <c r="K763" t="s">
        <v>20</v>
      </c>
      <c r="L763" t="s">
        <v>2106</v>
      </c>
      <c r="M763">
        <v>1</v>
      </c>
      <c r="N763" t="s">
        <v>165</v>
      </c>
      <c r="O763" t="s">
        <v>2107</v>
      </c>
    </row>
    <row r="764" spans="1:15">
      <c r="A764" t="s">
        <v>2701</v>
      </c>
      <c r="B764" t="s">
        <v>2097</v>
      </c>
      <c r="C764" t="s">
        <v>2108</v>
      </c>
      <c r="D764" s="1">
        <v>43561</v>
      </c>
      <c r="E764" s="1">
        <v>44963</v>
      </c>
      <c r="F764">
        <v>329</v>
      </c>
      <c r="G764">
        <v>3</v>
      </c>
      <c r="H764">
        <v>300.06</v>
      </c>
      <c r="I764">
        <v>75</v>
      </c>
      <c r="J764" t="s">
        <v>90</v>
      </c>
      <c r="K764" t="s">
        <v>16</v>
      </c>
      <c r="L764" t="s">
        <v>2095</v>
      </c>
      <c r="M764">
        <v>4</v>
      </c>
      <c r="N764" t="s">
        <v>174</v>
      </c>
      <c r="O764" t="s">
        <v>2088</v>
      </c>
    </row>
    <row r="765" spans="1:15">
      <c r="A765" t="s">
        <v>610</v>
      </c>
      <c r="B765" t="s">
        <v>2085</v>
      </c>
      <c r="C765" t="s">
        <v>2100</v>
      </c>
      <c r="D765" s="1">
        <v>44891</v>
      </c>
      <c r="E765" s="1">
        <v>44934</v>
      </c>
      <c r="F765">
        <v>358</v>
      </c>
      <c r="G765">
        <v>32</v>
      </c>
      <c r="H765">
        <v>1262.45</v>
      </c>
      <c r="I765">
        <v>122.15</v>
      </c>
      <c r="J765" t="s">
        <v>14</v>
      </c>
      <c r="K765" t="s">
        <v>16</v>
      </c>
      <c r="L765" t="s">
        <v>2095</v>
      </c>
      <c r="M765">
        <v>7</v>
      </c>
      <c r="N765" t="s">
        <v>157</v>
      </c>
      <c r="O765" t="s">
        <v>2107</v>
      </c>
    </row>
    <row r="766" spans="1:15">
      <c r="A766" t="s">
        <v>1382</v>
      </c>
      <c r="B766" t="s">
        <v>2093</v>
      </c>
      <c r="C766" t="s">
        <v>2108</v>
      </c>
      <c r="D766" s="1">
        <v>44307</v>
      </c>
      <c r="E766" s="1">
        <v>45120</v>
      </c>
      <c r="F766">
        <v>172</v>
      </c>
      <c r="G766">
        <v>1</v>
      </c>
      <c r="H766">
        <v>177.7</v>
      </c>
      <c r="I766">
        <v>39.51</v>
      </c>
      <c r="J766" t="s">
        <v>115</v>
      </c>
      <c r="K766" t="s">
        <v>20</v>
      </c>
      <c r="L766" t="s">
        <v>2087</v>
      </c>
      <c r="M766">
        <v>7</v>
      </c>
      <c r="N766" t="s">
        <v>165</v>
      </c>
      <c r="O766" t="s">
        <v>2107</v>
      </c>
    </row>
    <row r="767" spans="1:15">
      <c r="A767" t="s">
        <v>1226</v>
      </c>
      <c r="B767" t="s">
        <v>2093</v>
      </c>
      <c r="C767" t="s">
        <v>2108</v>
      </c>
      <c r="D767" s="1">
        <v>45247</v>
      </c>
      <c r="E767" s="1">
        <v>45267</v>
      </c>
      <c r="F767">
        <v>25</v>
      </c>
      <c r="G767">
        <v>2</v>
      </c>
      <c r="H767">
        <v>65.150000000000006</v>
      </c>
      <c r="I767">
        <v>41.19</v>
      </c>
      <c r="J767" t="s">
        <v>41</v>
      </c>
      <c r="K767" t="s">
        <v>16</v>
      </c>
      <c r="L767" t="s">
        <v>2087</v>
      </c>
      <c r="M767">
        <v>4</v>
      </c>
      <c r="N767" t="s">
        <v>204</v>
      </c>
      <c r="O767" t="s">
        <v>2096</v>
      </c>
    </row>
    <row r="768" spans="1:15">
      <c r="A768" t="s">
        <v>2702</v>
      </c>
      <c r="B768" t="s">
        <v>2113</v>
      </c>
      <c r="C768" t="s">
        <v>2108</v>
      </c>
      <c r="D768" s="1">
        <v>45066</v>
      </c>
      <c r="E768" s="1">
        <v>44957</v>
      </c>
      <c r="F768">
        <v>335</v>
      </c>
      <c r="G768">
        <v>5</v>
      </c>
      <c r="H768">
        <v>316.64999999999998</v>
      </c>
      <c r="I768">
        <v>37.93</v>
      </c>
      <c r="J768" t="s">
        <v>90</v>
      </c>
      <c r="K768" t="s">
        <v>20</v>
      </c>
      <c r="L768" t="s">
        <v>2087</v>
      </c>
      <c r="M768">
        <v>3</v>
      </c>
      <c r="N768" t="s">
        <v>204</v>
      </c>
      <c r="O768" t="s">
        <v>2096</v>
      </c>
    </row>
    <row r="769" spans="1:15">
      <c r="A769" t="s">
        <v>2703</v>
      </c>
      <c r="B769" t="s">
        <v>2113</v>
      </c>
      <c r="C769" t="s">
        <v>2100</v>
      </c>
      <c r="D769" s="1">
        <v>45041</v>
      </c>
      <c r="E769" s="1">
        <v>44934</v>
      </c>
      <c r="F769">
        <v>358</v>
      </c>
      <c r="G769">
        <v>9</v>
      </c>
      <c r="H769">
        <v>241.72</v>
      </c>
      <c r="I769">
        <v>38.85</v>
      </c>
      <c r="J769" t="s">
        <v>115</v>
      </c>
      <c r="K769" t="s">
        <v>16</v>
      </c>
      <c r="L769" t="s">
        <v>2106</v>
      </c>
      <c r="M769">
        <v>7</v>
      </c>
      <c r="N769" t="s">
        <v>194</v>
      </c>
      <c r="O769" t="s">
        <v>2121</v>
      </c>
    </row>
    <row r="770" spans="1:15">
      <c r="A770" t="s">
        <v>291</v>
      </c>
      <c r="B770" t="s">
        <v>2093</v>
      </c>
      <c r="C770" t="s">
        <v>2100</v>
      </c>
      <c r="D770" s="1">
        <v>44030</v>
      </c>
      <c r="E770" s="1">
        <v>45171</v>
      </c>
      <c r="F770">
        <v>121</v>
      </c>
      <c r="G770">
        <v>2</v>
      </c>
      <c r="H770">
        <v>106.39</v>
      </c>
      <c r="I770">
        <v>61.31</v>
      </c>
      <c r="J770" t="s">
        <v>66</v>
      </c>
      <c r="K770" t="s">
        <v>16</v>
      </c>
      <c r="L770" t="s">
        <v>2087</v>
      </c>
      <c r="M770">
        <v>3</v>
      </c>
      <c r="N770" t="s">
        <v>204</v>
      </c>
      <c r="O770" t="s">
        <v>2107</v>
      </c>
    </row>
    <row r="771" spans="1:15">
      <c r="A771" t="s">
        <v>2704</v>
      </c>
      <c r="B771" t="s">
        <v>2085</v>
      </c>
      <c r="C771" t="s">
        <v>2086</v>
      </c>
      <c r="D771" s="1">
        <v>43914</v>
      </c>
      <c r="E771" s="1">
        <v>45209</v>
      </c>
      <c r="F771">
        <v>83</v>
      </c>
      <c r="G771">
        <v>36</v>
      </c>
      <c r="H771">
        <v>1315.73</v>
      </c>
      <c r="I771">
        <v>197.18</v>
      </c>
      <c r="J771" t="s">
        <v>41</v>
      </c>
      <c r="K771" t="s">
        <v>16</v>
      </c>
      <c r="L771" t="s">
        <v>2087</v>
      </c>
      <c r="M771">
        <v>5</v>
      </c>
      <c r="N771" t="s">
        <v>232</v>
      </c>
      <c r="O771" t="s">
        <v>2121</v>
      </c>
    </row>
    <row r="772" spans="1:15">
      <c r="A772" t="s">
        <v>1604</v>
      </c>
      <c r="B772" t="s">
        <v>2093</v>
      </c>
      <c r="C772" t="s">
        <v>2108</v>
      </c>
      <c r="D772" s="1">
        <v>45103</v>
      </c>
      <c r="E772" s="1">
        <v>45085</v>
      </c>
      <c r="F772">
        <v>207</v>
      </c>
      <c r="G772">
        <v>1</v>
      </c>
      <c r="H772">
        <v>76.209999999999994</v>
      </c>
      <c r="I772">
        <v>59.5</v>
      </c>
      <c r="J772" t="s">
        <v>90</v>
      </c>
      <c r="K772" t="s">
        <v>16</v>
      </c>
      <c r="L772" t="s">
        <v>2095</v>
      </c>
      <c r="M772">
        <v>9</v>
      </c>
      <c r="N772" t="s">
        <v>174</v>
      </c>
      <c r="O772" t="s">
        <v>2107</v>
      </c>
    </row>
    <row r="773" spans="1:15">
      <c r="A773" t="s">
        <v>2705</v>
      </c>
      <c r="B773" t="s">
        <v>2113</v>
      </c>
      <c r="C773" t="s">
        <v>2086</v>
      </c>
      <c r="D773" s="1">
        <v>44834</v>
      </c>
      <c r="E773" s="1">
        <v>45211</v>
      </c>
      <c r="F773">
        <v>81</v>
      </c>
      <c r="G773">
        <v>13</v>
      </c>
      <c r="H773">
        <v>504.86</v>
      </c>
      <c r="I773">
        <v>67.89</v>
      </c>
      <c r="J773" t="s">
        <v>115</v>
      </c>
      <c r="K773" t="s">
        <v>20</v>
      </c>
      <c r="L773" t="s">
        <v>2095</v>
      </c>
      <c r="M773">
        <v>10</v>
      </c>
      <c r="N773" t="s">
        <v>204</v>
      </c>
      <c r="O773" t="s">
        <v>2088</v>
      </c>
    </row>
    <row r="774" spans="1:15">
      <c r="A774" t="s">
        <v>2706</v>
      </c>
      <c r="B774" t="s">
        <v>2085</v>
      </c>
      <c r="C774" t="s">
        <v>2100</v>
      </c>
      <c r="D774" s="1">
        <v>44878</v>
      </c>
      <c r="E774" s="1">
        <v>45210</v>
      </c>
      <c r="F774">
        <v>82</v>
      </c>
      <c r="G774">
        <v>16</v>
      </c>
      <c r="H774">
        <v>2908.97</v>
      </c>
      <c r="I774">
        <v>165.48</v>
      </c>
      <c r="J774" t="s">
        <v>115</v>
      </c>
      <c r="K774" t="s">
        <v>16</v>
      </c>
      <c r="L774" t="s">
        <v>2095</v>
      </c>
      <c r="M774">
        <v>7</v>
      </c>
      <c r="N774" t="s">
        <v>157</v>
      </c>
      <c r="O774" t="s">
        <v>2107</v>
      </c>
    </row>
    <row r="775" spans="1:15">
      <c r="A775" t="s">
        <v>1837</v>
      </c>
      <c r="B775" t="s">
        <v>2085</v>
      </c>
      <c r="C775" t="s">
        <v>2094</v>
      </c>
      <c r="D775" s="1">
        <v>43980</v>
      </c>
      <c r="E775" s="1">
        <v>45283</v>
      </c>
      <c r="F775">
        <v>9</v>
      </c>
      <c r="G775">
        <v>35</v>
      </c>
      <c r="H775">
        <v>1473.94</v>
      </c>
      <c r="I775">
        <v>252.83</v>
      </c>
      <c r="J775" t="s">
        <v>115</v>
      </c>
      <c r="K775" t="s">
        <v>16</v>
      </c>
      <c r="L775" t="s">
        <v>2106</v>
      </c>
      <c r="M775">
        <v>6</v>
      </c>
      <c r="N775" t="s">
        <v>165</v>
      </c>
      <c r="O775" t="s">
        <v>2088</v>
      </c>
    </row>
    <row r="776" spans="1:15">
      <c r="A776" t="s">
        <v>2707</v>
      </c>
      <c r="B776" t="s">
        <v>2090</v>
      </c>
      <c r="C776" t="s">
        <v>2091</v>
      </c>
      <c r="D776" s="1">
        <v>44745</v>
      </c>
      <c r="E776" s="1">
        <v>45027</v>
      </c>
      <c r="F776">
        <v>265</v>
      </c>
      <c r="G776">
        <v>6</v>
      </c>
      <c r="H776">
        <v>194.2</v>
      </c>
      <c r="I776">
        <v>70.39</v>
      </c>
      <c r="J776" t="s">
        <v>66</v>
      </c>
      <c r="K776" t="s">
        <v>16</v>
      </c>
      <c r="L776" t="s">
        <v>2087</v>
      </c>
      <c r="M776">
        <v>5</v>
      </c>
      <c r="N776" t="s">
        <v>204</v>
      </c>
      <c r="O776" t="s">
        <v>2107</v>
      </c>
    </row>
    <row r="777" spans="1:15">
      <c r="A777" t="s">
        <v>1945</v>
      </c>
      <c r="B777" t="s">
        <v>2090</v>
      </c>
      <c r="C777" t="s">
        <v>2108</v>
      </c>
      <c r="D777" s="1">
        <v>44617</v>
      </c>
      <c r="E777" s="1">
        <v>44935</v>
      </c>
      <c r="F777">
        <v>357</v>
      </c>
      <c r="G777">
        <v>4</v>
      </c>
      <c r="H777">
        <v>237.81</v>
      </c>
      <c r="I777">
        <v>74.47</v>
      </c>
      <c r="J777" t="s">
        <v>14</v>
      </c>
      <c r="K777" t="s">
        <v>16</v>
      </c>
      <c r="L777" t="s">
        <v>2106</v>
      </c>
      <c r="M777">
        <v>2</v>
      </c>
      <c r="N777" t="s">
        <v>157</v>
      </c>
      <c r="O777" t="s">
        <v>2109</v>
      </c>
    </row>
    <row r="778" spans="1:15">
      <c r="A778" t="s">
        <v>2708</v>
      </c>
      <c r="B778" t="s">
        <v>2085</v>
      </c>
      <c r="C778" t="s">
        <v>2111</v>
      </c>
      <c r="D778" s="1">
        <v>44978</v>
      </c>
      <c r="E778" s="1">
        <v>44964</v>
      </c>
      <c r="F778">
        <v>328</v>
      </c>
      <c r="G778">
        <v>18</v>
      </c>
      <c r="H778">
        <v>1827.58</v>
      </c>
      <c r="I778">
        <v>207</v>
      </c>
      <c r="J778" t="s">
        <v>115</v>
      </c>
      <c r="K778" t="s">
        <v>16</v>
      </c>
      <c r="L778" t="s">
        <v>2106</v>
      </c>
      <c r="M778">
        <v>2</v>
      </c>
      <c r="N778" t="s">
        <v>157</v>
      </c>
      <c r="O778" t="s">
        <v>2107</v>
      </c>
    </row>
    <row r="779" spans="1:15">
      <c r="A779" t="s">
        <v>2709</v>
      </c>
      <c r="B779" t="s">
        <v>2097</v>
      </c>
      <c r="C779" t="s">
        <v>2111</v>
      </c>
      <c r="D779" s="1">
        <v>44669</v>
      </c>
      <c r="E779" s="1">
        <v>45136</v>
      </c>
      <c r="F779">
        <v>156</v>
      </c>
      <c r="G779">
        <v>8</v>
      </c>
      <c r="H779">
        <v>212.96</v>
      </c>
      <c r="I779">
        <v>75.650000000000006</v>
      </c>
      <c r="J779" t="s">
        <v>66</v>
      </c>
      <c r="K779" t="s">
        <v>20</v>
      </c>
      <c r="L779" t="s">
        <v>2106</v>
      </c>
      <c r="M779">
        <v>7</v>
      </c>
      <c r="N779" t="s">
        <v>157</v>
      </c>
      <c r="O779" t="s">
        <v>2096</v>
      </c>
    </row>
    <row r="780" spans="1:15">
      <c r="A780" t="s">
        <v>2710</v>
      </c>
      <c r="B780" t="s">
        <v>2113</v>
      </c>
      <c r="C780" t="s">
        <v>2086</v>
      </c>
      <c r="D780" s="1">
        <v>43978</v>
      </c>
      <c r="E780" s="1">
        <v>45233</v>
      </c>
      <c r="F780">
        <v>59</v>
      </c>
      <c r="G780">
        <v>12</v>
      </c>
      <c r="H780">
        <v>405.89</v>
      </c>
      <c r="I780">
        <v>34.68</v>
      </c>
      <c r="J780" t="s">
        <v>41</v>
      </c>
      <c r="K780" t="s">
        <v>16</v>
      </c>
      <c r="L780" t="s">
        <v>2087</v>
      </c>
      <c r="M780">
        <v>4</v>
      </c>
      <c r="N780" t="s">
        <v>232</v>
      </c>
      <c r="O780" t="s">
        <v>2107</v>
      </c>
    </row>
    <row r="781" spans="1:15">
      <c r="A781" t="s">
        <v>2711</v>
      </c>
      <c r="B781" t="s">
        <v>2093</v>
      </c>
      <c r="C781" t="s">
        <v>2094</v>
      </c>
      <c r="D781" s="1">
        <v>43909</v>
      </c>
      <c r="E781" s="1">
        <v>45137</v>
      </c>
      <c r="F781">
        <v>155</v>
      </c>
      <c r="G781">
        <v>1</v>
      </c>
      <c r="H781">
        <v>187.46</v>
      </c>
      <c r="I781">
        <v>49.37</v>
      </c>
      <c r="J781" t="s">
        <v>14</v>
      </c>
      <c r="K781" t="s">
        <v>16</v>
      </c>
      <c r="L781" t="s">
        <v>2106</v>
      </c>
      <c r="M781">
        <v>9</v>
      </c>
      <c r="N781" t="s">
        <v>157</v>
      </c>
      <c r="O781" t="s">
        <v>2088</v>
      </c>
    </row>
    <row r="782" spans="1:15">
      <c r="A782" t="s">
        <v>2712</v>
      </c>
      <c r="B782" t="s">
        <v>2113</v>
      </c>
      <c r="C782" t="s">
        <v>2086</v>
      </c>
      <c r="D782" s="1">
        <v>44196</v>
      </c>
      <c r="E782" s="1">
        <v>45158</v>
      </c>
      <c r="F782">
        <v>134</v>
      </c>
      <c r="G782">
        <v>5</v>
      </c>
      <c r="H782">
        <v>313.55</v>
      </c>
      <c r="I782">
        <v>47.45</v>
      </c>
      <c r="J782" t="s">
        <v>41</v>
      </c>
      <c r="K782" t="s">
        <v>16</v>
      </c>
      <c r="L782" t="s">
        <v>2106</v>
      </c>
      <c r="M782">
        <v>1</v>
      </c>
      <c r="N782" t="s">
        <v>165</v>
      </c>
      <c r="O782" t="s">
        <v>2088</v>
      </c>
    </row>
    <row r="783" spans="1:15">
      <c r="A783" t="s">
        <v>2713</v>
      </c>
      <c r="B783" t="s">
        <v>2085</v>
      </c>
      <c r="C783" t="s">
        <v>2108</v>
      </c>
      <c r="D783" s="1">
        <v>43787</v>
      </c>
      <c r="E783" s="1">
        <v>45046</v>
      </c>
      <c r="F783">
        <v>246</v>
      </c>
      <c r="G783">
        <v>33</v>
      </c>
      <c r="H783">
        <v>1405.57</v>
      </c>
      <c r="I783">
        <v>134.41</v>
      </c>
      <c r="J783" t="s">
        <v>14</v>
      </c>
      <c r="K783" t="s">
        <v>20</v>
      </c>
      <c r="L783" t="s">
        <v>2095</v>
      </c>
      <c r="M783">
        <v>3</v>
      </c>
      <c r="N783" t="s">
        <v>179</v>
      </c>
      <c r="O783" t="s">
        <v>2107</v>
      </c>
    </row>
    <row r="784" spans="1:15">
      <c r="A784" t="s">
        <v>498</v>
      </c>
      <c r="B784" t="s">
        <v>2097</v>
      </c>
      <c r="C784" t="s">
        <v>2086</v>
      </c>
      <c r="D784" s="1">
        <v>44386</v>
      </c>
      <c r="E784" s="1">
        <v>45042</v>
      </c>
      <c r="F784">
        <v>250</v>
      </c>
      <c r="G784">
        <v>5</v>
      </c>
      <c r="H784">
        <v>341.75</v>
      </c>
      <c r="I784">
        <v>56.13</v>
      </c>
      <c r="J784" t="s">
        <v>41</v>
      </c>
      <c r="K784" t="s">
        <v>16</v>
      </c>
      <c r="L784" t="s">
        <v>2095</v>
      </c>
      <c r="M784">
        <v>3</v>
      </c>
      <c r="N784" t="s">
        <v>194</v>
      </c>
      <c r="O784" t="s">
        <v>2121</v>
      </c>
    </row>
    <row r="785" spans="1:15">
      <c r="A785" t="s">
        <v>2714</v>
      </c>
      <c r="B785" t="s">
        <v>2093</v>
      </c>
      <c r="C785" t="s">
        <v>2100</v>
      </c>
      <c r="D785" s="1">
        <v>43791</v>
      </c>
      <c r="E785" s="1">
        <v>45169</v>
      </c>
      <c r="F785">
        <v>123</v>
      </c>
      <c r="G785">
        <v>4</v>
      </c>
      <c r="H785">
        <v>56.17</v>
      </c>
      <c r="I785">
        <v>23.8</v>
      </c>
      <c r="J785" t="s">
        <v>14</v>
      </c>
      <c r="K785" t="s">
        <v>16</v>
      </c>
      <c r="L785" t="s">
        <v>2087</v>
      </c>
      <c r="M785">
        <v>0</v>
      </c>
      <c r="N785" t="s">
        <v>232</v>
      </c>
      <c r="O785" t="s">
        <v>2107</v>
      </c>
    </row>
    <row r="786" spans="1:15">
      <c r="A786" t="s">
        <v>1393</v>
      </c>
      <c r="B786" t="s">
        <v>2093</v>
      </c>
      <c r="C786" t="s">
        <v>2091</v>
      </c>
      <c r="D786" s="1">
        <v>43899</v>
      </c>
      <c r="E786" s="1">
        <v>44964</v>
      </c>
      <c r="F786">
        <v>328</v>
      </c>
      <c r="G786">
        <v>4</v>
      </c>
      <c r="H786">
        <v>48.45</v>
      </c>
      <c r="I786">
        <v>65.87</v>
      </c>
      <c r="J786" t="s">
        <v>90</v>
      </c>
      <c r="K786" t="s">
        <v>16</v>
      </c>
      <c r="L786" t="s">
        <v>2087</v>
      </c>
      <c r="M786">
        <v>3</v>
      </c>
      <c r="N786" t="s">
        <v>165</v>
      </c>
      <c r="O786" t="s">
        <v>2107</v>
      </c>
    </row>
    <row r="787" spans="1:15">
      <c r="A787" t="s">
        <v>2715</v>
      </c>
      <c r="B787" t="s">
        <v>2113</v>
      </c>
      <c r="C787" t="s">
        <v>2108</v>
      </c>
      <c r="D787" s="1">
        <v>44683</v>
      </c>
      <c r="E787" s="1">
        <v>45199</v>
      </c>
      <c r="F787">
        <v>93</v>
      </c>
      <c r="G787">
        <v>15</v>
      </c>
      <c r="H787">
        <v>543.19000000000005</v>
      </c>
      <c r="I787">
        <v>37.869999999999997</v>
      </c>
      <c r="J787" t="s">
        <v>115</v>
      </c>
      <c r="K787" t="s">
        <v>16</v>
      </c>
      <c r="L787" t="s">
        <v>2087</v>
      </c>
      <c r="M787">
        <v>6</v>
      </c>
      <c r="N787" t="s">
        <v>157</v>
      </c>
      <c r="O787" t="s">
        <v>2088</v>
      </c>
    </row>
    <row r="788" spans="1:15">
      <c r="A788" t="s">
        <v>2716</v>
      </c>
      <c r="B788" t="s">
        <v>2099</v>
      </c>
      <c r="C788" t="s">
        <v>2091</v>
      </c>
      <c r="D788" s="1">
        <v>44968</v>
      </c>
      <c r="E788" s="1">
        <v>44937</v>
      </c>
      <c r="F788">
        <v>355</v>
      </c>
      <c r="G788">
        <v>2</v>
      </c>
      <c r="H788">
        <v>61.04</v>
      </c>
      <c r="I788">
        <v>68.5</v>
      </c>
      <c r="J788" t="s">
        <v>90</v>
      </c>
      <c r="K788" t="s">
        <v>16</v>
      </c>
      <c r="L788" t="s">
        <v>2087</v>
      </c>
      <c r="M788">
        <v>8</v>
      </c>
      <c r="N788" t="s">
        <v>204</v>
      </c>
      <c r="O788" t="s">
        <v>2096</v>
      </c>
    </row>
    <row r="789" spans="1:15">
      <c r="A789" t="s">
        <v>2717</v>
      </c>
      <c r="B789" t="s">
        <v>2090</v>
      </c>
      <c r="C789" t="s">
        <v>2108</v>
      </c>
      <c r="D789" s="1">
        <v>43576</v>
      </c>
      <c r="E789" s="1">
        <v>45044</v>
      </c>
      <c r="F789">
        <v>248</v>
      </c>
      <c r="G789">
        <v>2</v>
      </c>
      <c r="H789">
        <v>334.91</v>
      </c>
      <c r="I789">
        <v>50.14</v>
      </c>
      <c r="J789" t="s">
        <v>115</v>
      </c>
      <c r="K789" t="s">
        <v>16</v>
      </c>
      <c r="L789" t="s">
        <v>2106</v>
      </c>
      <c r="M789">
        <v>7</v>
      </c>
      <c r="N789" t="s">
        <v>204</v>
      </c>
      <c r="O789" t="s">
        <v>2088</v>
      </c>
    </row>
    <row r="790" spans="1:15">
      <c r="A790" t="s">
        <v>1164</v>
      </c>
      <c r="B790" t="s">
        <v>2093</v>
      </c>
      <c r="C790" t="s">
        <v>2091</v>
      </c>
      <c r="D790" s="1">
        <v>45259</v>
      </c>
      <c r="E790" s="1">
        <v>45045</v>
      </c>
      <c r="F790">
        <v>247</v>
      </c>
      <c r="G790">
        <v>2</v>
      </c>
      <c r="H790">
        <v>38.979999999999997</v>
      </c>
      <c r="I790">
        <v>30.79</v>
      </c>
      <c r="J790" t="s">
        <v>41</v>
      </c>
      <c r="K790" t="s">
        <v>16</v>
      </c>
      <c r="L790" t="s">
        <v>2106</v>
      </c>
      <c r="M790">
        <v>9</v>
      </c>
      <c r="N790" t="s">
        <v>232</v>
      </c>
      <c r="O790" t="s">
        <v>2096</v>
      </c>
    </row>
    <row r="791" spans="1:15">
      <c r="A791" t="s">
        <v>2718</v>
      </c>
      <c r="B791" t="s">
        <v>2097</v>
      </c>
      <c r="C791" t="s">
        <v>2094</v>
      </c>
      <c r="D791" s="1">
        <v>44566</v>
      </c>
      <c r="E791" s="1">
        <v>44974</v>
      </c>
      <c r="F791">
        <v>318</v>
      </c>
      <c r="G791">
        <v>11</v>
      </c>
      <c r="H791">
        <v>508.98</v>
      </c>
      <c r="I791">
        <v>83.91</v>
      </c>
      <c r="J791" t="s">
        <v>66</v>
      </c>
      <c r="K791" t="s">
        <v>16</v>
      </c>
      <c r="L791" t="s">
        <v>2106</v>
      </c>
      <c r="M791">
        <v>2</v>
      </c>
      <c r="N791" t="s">
        <v>179</v>
      </c>
      <c r="O791" t="s">
        <v>2107</v>
      </c>
    </row>
    <row r="792" spans="1:15">
      <c r="A792" t="s">
        <v>2719</v>
      </c>
      <c r="B792" t="s">
        <v>2085</v>
      </c>
      <c r="C792" t="s">
        <v>2108</v>
      </c>
      <c r="D792" s="1">
        <v>43752</v>
      </c>
      <c r="E792" s="1">
        <v>45039</v>
      </c>
      <c r="F792">
        <v>253</v>
      </c>
      <c r="G792">
        <v>25</v>
      </c>
      <c r="H792">
        <v>1879.12</v>
      </c>
      <c r="I792">
        <v>267.58</v>
      </c>
      <c r="J792" t="s">
        <v>14</v>
      </c>
      <c r="K792" t="s">
        <v>20</v>
      </c>
      <c r="L792" t="s">
        <v>2095</v>
      </c>
      <c r="M792">
        <v>9</v>
      </c>
      <c r="N792" t="s">
        <v>204</v>
      </c>
      <c r="O792" t="s">
        <v>2096</v>
      </c>
    </row>
    <row r="793" spans="1:15">
      <c r="A793" t="s">
        <v>2720</v>
      </c>
      <c r="B793" t="s">
        <v>2099</v>
      </c>
      <c r="C793" t="s">
        <v>2094</v>
      </c>
      <c r="D793" s="1">
        <v>43803</v>
      </c>
      <c r="E793" s="1">
        <v>45275</v>
      </c>
      <c r="F793">
        <v>17</v>
      </c>
      <c r="G793">
        <v>1</v>
      </c>
      <c r="H793">
        <v>115.91</v>
      </c>
      <c r="I793">
        <v>45.75</v>
      </c>
      <c r="J793" t="s">
        <v>66</v>
      </c>
      <c r="K793" t="s">
        <v>16</v>
      </c>
      <c r="L793" t="s">
        <v>2095</v>
      </c>
      <c r="M793">
        <v>0</v>
      </c>
      <c r="N793" t="s">
        <v>179</v>
      </c>
      <c r="O793" t="s">
        <v>2096</v>
      </c>
    </row>
    <row r="794" spans="1:15">
      <c r="A794" t="s">
        <v>1531</v>
      </c>
      <c r="B794" t="s">
        <v>2093</v>
      </c>
      <c r="C794" t="s">
        <v>2091</v>
      </c>
      <c r="D794" s="1">
        <v>43637</v>
      </c>
      <c r="E794" s="1">
        <v>45092</v>
      </c>
      <c r="F794">
        <v>200</v>
      </c>
      <c r="G794">
        <v>1</v>
      </c>
      <c r="H794">
        <v>176.69</v>
      </c>
      <c r="I794">
        <v>63.39</v>
      </c>
      <c r="J794" t="s">
        <v>115</v>
      </c>
      <c r="K794" t="s">
        <v>16</v>
      </c>
      <c r="L794" t="s">
        <v>2095</v>
      </c>
      <c r="M794">
        <v>3</v>
      </c>
      <c r="N794" t="s">
        <v>204</v>
      </c>
      <c r="O794" t="s">
        <v>2096</v>
      </c>
    </row>
    <row r="795" spans="1:15">
      <c r="A795" t="s">
        <v>2721</v>
      </c>
      <c r="B795" t="s">
        <v>2099</v>
      </c>
      <c r="C795" t="s">
        <v>2108</v>
      </c>
      <c r="D795" s="1">
        <v>44704</v>
      </c>
      <c r="E795" s="1">
        <v>44940</v>
      </c>
      <c r="F795">
        <v>352</v>
      </c>
      <c r="G795">
        <v>2</v>
      </c>
      <c r="H795">
        <v>27.44</v>
      </c>
      <c r="I795">
        <v>70.47</v>
      </c>
      <c r="J795" t="s">
        <v>41</v>
      </c>
      <c r="K795" t="s">
        <v>16</v>
      </c>
      <c r="L795" t="s">
        <v>2087</v>
      </c>
      <c r="M795">
        <v>6</v>
      </c>
      <c r="N795" t="s">
        <v>165</v>
      </c>
      <c r="O795" t="s">
        <v>2096</v>
      </c>
    </row>
    <row r="796" spans="1:15">
      <c r="A796" t="s">
        <v>428</v>
      </c>
      <c r="B796" t="s">
        <v>2090</v>
      </c>
      <c r="C796" t="s">
        <v>2086</v>
      </c>
      <c r="D796" s="1">
        <v>43792</v>
      </c>
      <c r="E796" s="1">
        <v>44970</v>
      </c>
      <c r="F796">
        <v>322</v>
      </c>
      <c r="G796">
        <v>7</v>
      </c>
      <c r="H796">
        <v>172.76</v>
      </c>
      <c r="I796">
        <v>63.37</v>
      </c>
      <c r="J796" t="s">
        <v>41</v>
      </c>
      <c r="K796" t="s">
        <v>20</v>
      </c>
      <c r="L796" t="s">
        <v>2106</v>
      </c>
      <c r="M796">
        <v>9</v>
      </c>
      <c r="N796" t="s">
        <v>232</v>
      </c>
      <c r="O796" t="s">
        <v>2109</v>
      </c>
    </row>
    <row r="797" spans="1:15">
      <c r="A797" t="s">
        <v>2722</v>
      </c>
      <c r="B797" t="s">
        <v>2113</v>
      </c>
      <c r="C797" t="s">
        <v>2094</v>
      </c>
      <c r="D797" s="1">
        <v>43774</v>
      </c>
      <c r="E797" s="1">
        <v>45016</v>
      </c>
      <c r="F797">
        <v>276</v>
      </c>
      <c r="G797">
        <v>20</v>
      </c>
      <c r="H797">
        <v>361.11</v>
      </c>
      <c r="I797">
        <v>68.400000000000006</v>
      </c>
      <c r="J797" t="s">
        <v>115</v>
      </c>
      <c r="K797" t="s">
        <v>20</v>
      </c>
      <c r="L797" t="s">
        <v>2095</v>
      </c>
      <c r="M797">
        <v>5</v>
      </c>
      <c r="N797" t="s">
        <v>204</v>
      </c>
      <c r="O797" t="s">
        <v>2109</v>
      </c>
    </row>
    <row r="798" spans="1:15">
      <c r="A798" t="s">
        <v>1775</v>
      </c>
      <c r="B798" t="s">
        <v>2085</v>
      </c>
      <c r="C798" t="s">
        <v>2111</v>
      </c>
      <c r="D798" s="1">
        <v>44693</v>
      </c>
      <c r="E798" s="1">
        <v>44952</v>
      </c>
      <c r="F798">
        <v>340</v>
      </c>
      <c r="G798">
        <v>28</v>
      </c>
      <c r="H798">
        <v>1756.32</v>
      </c>
      <c r="I798">
        <v>105.25</v>
      </c>
      <c r="J798" t="s">
        <v>66</v>
      </c>
      <c r="K798" t="s">
        <v>16</v>
      </c>
      <c r="L798" t="s">
        <v>2087</v>
      </c>
      <c r="M798">
        <v>5</v>
      </c>
      <c r="N798" t="s">
        <v>165</v>
      </c>
      <c r="O798" t="s">
        <v>2121</v>
      </c>
    </row>
    <row r="799" spans="1:15">
      <c r="A799" t="s">
        <v>2723</v>
      </c>
      <c r="B799" t="s">
        <v>2085</v>
      </c>
      <c r="C799" t="s">
        <v>2100</v>
      </c>
      <c r="D799" s="1">
        <v>43773</v>
      </c>
      <c r="E799" s="1">
        <v>45134</v>
      </c>
      <c r="F799">
        <v>158</v>
      </c>
      <c r="G799">
        <v>23</v>
      </c>
      <c r="H799">
        <v>2392.58</v>
      </c>
      <c r="I799">
        <v>155.02000000000001</v>
      </c>
      <c r="J799" t="s">
        <v>115</v>
      </c>
      <c r="K799" t="s">
        <v>16</v>
      </c>
      <c r="L799" t="s">
        <v>2095</v>
      </c>
      <c r="M799">
        <v>6</v>
      </c>
      <c r="N799" t="s">
        <v>157</v>
      </c>
      <c r="O799" t="s">
        <v>2121</v>
      </c>
    </row>
    <row r="800" spans="1:15">
      <c r="A800" t="s">
        <v>2724</v>
      </c>
      <c r="B800" t="s">
        <v>2090</v>
      </c>
      <c r="C800" t="s">
        <v>2094</v>
      </c>
      <c r="D800" s="1">
        <v>43566</v>
      </c>
      <c r="E800" s="1">
        <v>45114</v>
      </c>
      <c r="F800">
        <v>178</v>
      </c>
      <c r="G800">
        <v>3</v>
      </c>
      <c r="H800">
        <v>397.01</v>
      </c>
      <c r="I800">
        <v>69.569999999999993</v>
      </c>
      <c r="J800" t="s">
        <v>41</v>
      </c>
      <c r="K800" t="s">
        <v>20</v>
      </c>
      <c r="L800" t="s">
        <v>2087</v>
      </c>
      <c r="M800">
        <v>0</v>
      </c>
      <c r="N800" t="s">
        <v>232</v>
      </c>
      <c r="O800" t="s">
        <v>2096</v>
      </c>
    </row>
    <row r="801" spans="1:15">
      <c r="A801" t="s">
        <v>2725</v>
      </c>
      <c r="B801" t="s">
        <v>2093</v>
      </c>
      <c r="C801" t="s">
        <v>2086</v>
      </c>
      <c r="D801" s="1">
        <v>44306</v>
      </c>
      <c r="E801" s="1">
        <v>45235</v>
      </c>
      <c r="F801">
        <v>57</v>
      </c>
      <c r="G801">
        <v>4</v>
      </c>
      <c r="H801">
        <v>39.020000000000003</v>
      </c>
      <c r="I801">
        <v>32.47</v>
      </c>
      <c r="J801" t="s">
        <v>115</v>
      </c>
      <c r="K801" t="s">
        <v>16</v>
      </c>
      <c r="L801" t="s">
        <v>2106</v>
      </c>
      <c r="M801">
        <v>5</v>
      </c>
      <c r="N801" t="s">
        <v>179</v>
      </c>
      <c r="O801" t="s">
        <v>2096</v>
      </c>
    </row>
    <row r="802" spans="1:15">
      <c r="A802" t="s">
        <v>2726</v>
      </c>
      <c r="B802" t="s">
        <v>2090</v>
      </c>
      <c r="C802" t="s">
        <v>2091</v>
      </c>
      <c r="D802" s="1">
        <v>44542</v>
      </c>
      <c r="E802" s="1">
        <v>45021</v>
      </c>
      <c r="F802">
        <v>271</v>
      </c>
      <c r="G802">
        <v>8</v>
      </c>
      <c r="H802">
        <v>283.60000000000002</v>
      </c>
      <c r="I802">
        <v>115.09</v>
      </c>
      <c r="J802" t="s">
        <v>14</v>
      </c>
      <c r="K802" t="s">
        <v>16</v>
      </c>
      <c r="L802" t="s">
        <v>2087</v>
      </c>
      <c r="M802">
        <v>0</v>
      </c>
      <c r="N802" t="s">
        <v>174</v>
      </c>
      <c r="O802" t="s">
        <v>2109</v>
      </c>
    </row>
    <row r="803" spans="1:15">
      <c r="A803" t="s">
        <v>1773</v>
      </c>
      <c r="B803" t="s">
        <v>2113</v>
      </c>
      <c r="C803" t="s">
        <v>2094</v>
      </c>
      <c r="D803" s="1">
        <v>44978</v>
      </c>
      <c r="E803" s="1">
        <v>44929</v>
      </c>
      <c r="F803">
        <v>363</v>
      </c>
      <c r="G803">
        <v>8</v>
      </c>
      <c r="H803">
        <v>545.1</v>
      </c>
      <c r="I803">
        <v>75.760000000000005</v>
      </c>
      <c r="J803" t="s">
        <v>66</v>
      </c>
      <c r="K803" t="s">
        <v>20</v>
      </c>
      <c r="L803" t="s">
        <v>2095</v>
      </c>
      <c r="M803">
        <v>8</v>
      </c>
      <c r="N803" t="s">
        <v>204</v>
      </c>
      <c r="O803" t="s">
        <v>2109</v>
      </c>
    </row>
    <row r="804" spans="1:15">
      <c r="A804" t="s">
        <v>2727</v>
      </c>
      <c r="B804" t="s">
        <v>2097</v>
      </c>
      <c r="C804" t="s">
        <v>2108</v>
      </c>
      <c r="D804" s="1">
        <v>43850</v>
      </c>
      <c r="E804" s="1">
        <v>45197</v>
      </c>
      <c r="F804">
        <v>95</v>
      </c>
      <c r="G804">
        <v>11</v>
      </c>
      <c r="H804">
        <v>276.01</v>
      </c>
      <c r="I804">
        <v>121.82</v>
      </c>
      <c r="J804" t="s">
        <v>14</v>
      </c>
      <c r="K804" t="s">
        <v>16</v>
      </c>
      <c r="L804" t="s">
        <v>2087</v>
      </c>
      <c r="M804">
        <v>3</v>
      </c>
      <c r="N804" t="s">
        <v>157</v>
      </c>
      <c r="O804" t="s">
        <v>2096</v>
      </c>
    </row>
    <row r="805" spans="1:15">
      <c r="A805" t="s">
        <v>1310</v>
      </c>
      <c r="B805" t="s">
        <v>2097</v>
      </c>
      <c r="C805" t="s">
        <v>2086</v>
      </c>
      <c r="D805" s="1">
        <v>43815</v>
      </c>
      <c r="E805" s="1">
        <v>45194</v>
      </c>
      <c r="F805">
        <v>98</v>
      </c>
      <c r="G805">
        <v>9</v>
      </c>
      <c r="H805">
        <v>552.4</v>
      </c>
      <c r="I805">
        <v>79.52</v>
      </c>
      <c r="J805" t="s">
        <v>66</v>
      </c>
      <c r="K805" t="s">
        <v>16</v>
      </c>
      <c r="L805" t="s">
        <v>2087</v>
      </c>
      <c r="M805">
        <v>2</v>
      </c>
      <c r="N805" t="s">
        <v>174</v>
      </c>
      <c r="O805" t="s">
        <v>2107</v>
      </c>
    </row>
    <row r="806" spans="1:15">
      <c r="A806" t="s">
        <v>2728</v>
      </c>
      <c r="B806" t="s">
        <v>2099</v>
      </c>
      <c r="C806" t="s">
        <v>2091</v>
      </c>
      <c r="D806" s="1">
        <v>44548</v>
      </c>
      <c r="E806" s="1">
        <v>45147</v>
      </c>
      <c r="F806">
        <v>145</v>
      </c>
      <c r="G806">
        <v>1</v>
      </c>
      <c r="H806">
        <v>67.87</v>
      </c>
      <c r="I806">
        <v>78.02</v>
      </c>
      <c r="J806" t="s">
        <v>14</v>
      </c>
      <c r="K806" t="s">
        <v>16</v>
      </c>
      <c r="L806" t="s">
        <v>2087</v>
      </c>
      <c r="M806">
        <v>1</v>
      </c>
      <c r="N806" t="s">
        <v>204</v>
      </c>
      <c r="O806" t="s">
        <v>2096</v>
      </c>
    </row>
    <row r="807" spans="1:15">
      <c r="A807" t="s">
        <v>2729</v>
      </c>
      <c r="B807" t="s">
        <v>2099</v>
      </c>
      <c r="C807" t="s">
        <v>2094</v>
      </c>
      <c r="D807" s="1">
        <v>43786</v>
      </c>
      <c r="E807" s="1">
        <v>45108</v>
      </c>
      <c r="F807">
        <v>184</v>
      </c>
      <c r="G807">
        <v>2</v>
      </c>
      <c r="H807">
        <v>142.91</v>
      </c>
      <c r="I807">
        <v>70.53</v>
      </c>
      <c r="J807" t="s">
        <v>66</v>
      </c>
      <c r="K807" t="s">
        <v>16</v>
      </c>
      <c r="L807" t="s">
        <v>2095</v>
      </c>
      <c r="M807">
        <v>6</v>
      </c>
      <c r="N807" t="s">
        <v>179</v>
      </c>
      <c r="O807" t="s">
        <v>2107</v>
      </c>
    </row>
    <row r="808" spans="1:15">
      <c r="A808" t="s">
        <v>2730</v>
      </c>
      <c r="B808" t="s">
        <v>2093</v>
      </c>
      <c r="C808" t="s">
        <v>2108</v>
      </c>
      <c r="D808" s="1">
        <v>44067</v>
      </c>
      <c r="E808" s="1">
        <v>45025</v>
      </c>
      <c r="F808">
        <v>267</v>
      </c>
      <c r="G808">
        <v>3</v>
      </c>
      <c r="H808">
        <v>87.79</v>
      </c>
      <c r="I808">
        <v>60.99</v>
      </c>
      <c r="J808" t="s">
        <v>14</v>
      </c>
      <c r="K808" t="s">
        <v>20</v>
      </c>
      <c r="L808" t="s">
        <v>2095</v>
      </c>
      <c r="M808">
        <v>7</v>
      </c>
      <c r="N808" t="s">
        <v>204</v>
      </c>
      <c r="O808" t="s">
        <v>2121</v>
      </c>
    </row>
    <row r="809" spans="1:15">
      <c r="A809" t="s">
        <v>2731</v>
      </c>
      <c r="B809" t="s">
        <v>2099</v>
      </c>
      <c r="C809" t="s">
        <v>2086</v>
      </c>
      <c r="D809" s="1">
        <v>45134</v>
      </c>
      <c r="E809" s="1">
        <v>45198</v>
      </c>
      <c r="F809">
        <v>94</v>
      </c>
      <c r="G809">
        <v>2</v>
      </c>
      <c r="H809">
        <v>132.19999999999999</v>
      </c>
      <c r="I809">
        <v>61.04</v>
      </c>
      <c r="J809" t="s">
        <v>14</v>
      </c>
      <c r="K809" t="s">
        <v>16</v>
      </c>
      <c r="L809" t="s">
        <v>2106</v>
      </c>
      <c r="M809">
        <v>1</v>
      </c>
      <c r="N809" t="s">
        <v>194</v>
      </c>
      <c r="O809" t="s">
        <v>2107</v>
      </c>
    </row>
    <row r="810" spans="1:15">
      <c r="A810" t="s">
        <v>2732</v>
      </c>
      <c r="B810" t="s">
        <v>2090</v>
      </c>
      <c r="C810" t="s">
        <v>2108</v>
      </c>
      <c r="D810" s="1">
        <v>44030</v>
      </c>
      <c r="E810" s="1">
        <v>45096</v>
      </c>
      <c r="F810">
        <v>196</v>
      </c>
      <c r="G810">
        <v>7</v>
      </c>
      <c r="H810">
        <v>240.31</v>
      </c>
      <c r="I810">
        <v>54.28</v>
      </c>
      <c r="J810" t="s">
        <v>41</v>
      </c>
      <c r="K810" t="s">
        <v>16</v>
      </c>
      <c r="L810" t="s">
        <v>2106</v>
      </c>
      <c r="M810">
        <v>0</v>
      </c>
      <c r="N810" t="s">
        <v>165</v>
      </c>
      <c r="O810" t="s">
        <v>2121</v>
      </c>
    </row>
    <row r="811" spans="1:15">
      <c r="A811" t="s">
        <v>2733</v>
      </c>
      <c r="B811" t="s">
        <v>2085</v>
      </c>
      <c r="C811" t="s">
        <v>2091</v>
      </c>
      <c r="D811" s="1">
        <v>45212</v>
      </c>
      <c r="E811" s="1">
        <v>45076</v>
      </c>
      <c r="F811">
        <v>216</v>
      </c>
      <c r="G811">
        <v>21</v>
      </c>
      <c r="H811">
        <v>2311.02</v>
      </c>
      <c r="I811">
        <v>111.5</v>
      </c>
      <c r="J811" t="s">
        <v>41</v>
      </c>
      <c r="K811" t="s">
        <v>16</v>
      </c>
      <c r="L811" t="s">
        <v>2095</v>
      </c>
      <c r="M811">
        <v>5</v>
      </c>
      <c r="N811" t="s">
        <v>157</v>
      </c>
      <c r="O811" t="s">
        <v>2088</v>
      </c>
    </row>
    <row r="812" spans="1:15">
      <c r="A812" t="s">
        <v>2734</v>
      </c>
      <c r="B812" t="s">
        <v>2113</v>
      </c>
      <c r="C812" t="s">
        <v>2091</v>
      </c>
      <c r="D812" s="1">
        <v>44957</v>
      </c>
      <c r="E812" s="1">
        <v>45040</v>
      </c>
      <c r="F812">
        <v>252</v>
      </c>
      <c r="G812">
        <v>15</v>
      </c>
      <c r="H812">
        <v>541.74</v>
      </c>
      <c r="I812">
        <v>36.11</v>
      </c>
      <c r="J812" t="s">
        <v>14</v>
      </c>
      <c r="K812" t="s">
        <v>16</v>
      </c>
      <c r="L812" t="s">
        <v>2095</v>
      </c>
      <c r="M812">
        <v>9</v>
      </c>
      <c r="N812" t="s">
        <v>204</v>
      </c>
      <c r="O812" t="s">
        <v>2088</v>
      </c>
    </row>
    <row r="813" spans="1:15">
      <c r="A813" t="s">
        <v>2735</v>
      </c>
      <c r="B813" t="s">
        <v>2099</v>
      </c>
      <c r="C813" t="s">
        <v>2086</v>
      </c>
      <c r="D813" s="1">
        <v>43872</v>
      </c>
      <c r="E813" s="1">
        <v>45050</v>
      </c>
      <c r="F813">
        <v>242</v>
      </c>
      <c r="G813">
        <v>1</v>
      </c>
      <c r="H813">
        <v>90.77</v>
      </c>
      <c r="I813">
        <v>68.52</v>
      </c>
      <c r="J813" t="s">
        <v>14</v>
      </c>
      <c r="K813" t="s">
        <v>20</v>
      </c>
      <c r="L813" t="s">
        <v>2106</v>
      </c>
      <c r="M813">
        <v>3</v>
      </c>
      <c r="N813" t="s">
        <v>204</v>
      </c>
      <c r="O813" t="s">
        <v>2107</v>
      </c>
    </row>
    <row r="814" spans="1:15">
      <c r="A814" t="s">
        <v>2736</v>
      </c>
      <c r="B814" t="s">
        <v>2097</v>
      </c>
      <c r="C814" t="s">
        <v>2111</v>
      </c>
      <c r="D814" s="1">
        <v>43546</v>
      </c>
      <c r="E814" s="1">
        <v>45135</v>
      </c>
      <c r="F814">
        <v>157</v>
      </c>
      <c r="G814">
        <v>9</v>
      </c>
      <c r="H814">
        <v>568.62</v>
      </c>
      <c r="I814">
        <v>149.94</v>
      </c>
      <c r="J814" t="s">
        <v>14</v>
      </c>
      <c r="K814" t="s">
        <v>16</v>
      </c>
      <c r="L814" t="s">
        <v>2106</v>
      </c>
      <c r="M814">
        <v>8</v>
      </c>
      <c r="N814" t="s">
        <v>204</v>
      </c>
      <c r="O814" t="s">
        <v>2121</v>
      </c>
    </row>
    <row r="815" spans="1:15">
      <c r="A815" t="s">
        <v>2737</v>
      </c>
      <c r="B815" t="s">
        <v>2099</v>
      </c>
      <c r="C815" t="s">
        <v>2108</v>
      </c>
      <c r="D815" s="1">
        <v>44299</v>
      </c>
      <c r="E815" s="1">
        <v>45209</v>
      </c>
      <c r="F815">
        <v>83</v>
      </c>
      <c r="G815">
        <v>1</v>
      </c>
      <c r="H815">
        <v>80.02</v>
      </c>
      <c r="I815">
        <v>60.05</v>
      </c>
      <c r="J815" t="s">
        <v>115</v>
      </c>
      <c r="K815" t="s">
        <v>16</v>
      </c>
      <c r="L815" t="s">
        <v>2095</v>
      </c>
      <c r="M815">
        <v>2</v>
      </c>
      <c r="N815" t="s">
        <v>157</v>
      </c>
      <c r="O815" t="s">
        <v>2096</v>
      </c>
    </row>
    <row r="816" spans="1:15">
      <c r="A816" t="s">
        <v>2738</v>
      </c>
      <c r="B816" t="s">
        <v>2085</v>
      </c>
      <c r="C816" t="s">
        <v>2091</v>
      </c>
      <c r="D816" s="1">
        <v>43695</v>
      </c>
      <c r="E816" s="1">
        <v>45208</v>
      </c>
      <c r="F816">
        <v>84</v>
      </c>
      <c r="G816">
        <v>30</v>
      </c>
      <c r="H816">
        <v>1034.8399999999999</v>
      </c>
      <c r="I816">
        <v>255.73</v>
      </c>
      <c r="J816" t="s">
        <v>115</v>
      </c>
      <c r="K816" t="s">
        <v>20</v>
      </c>
      <c r="L816" t="s">
        <v>2095</v>
      </c>
      <c r="M816">
        <v>3</v>
      </c>
      <c r="N816" t="s">
        <v>165</v>
      </c>
      <c r="O816" t="s">
        <v>2109</v>
      </c>
    </row>
    <row r="817" spans="1:15">
      <c r="A817" t="s">
        <v>333</v>
      </c>
      <c r="B817" t="s">
        <v>2113</v>
      </c>
      <c r="C817" t="s">
        <v>2086</v>
      </c>
      <c r="D817" s="1">
        <v>44959</v>
      </c>
      <c r="E817" s="1">
        <v>45072</v>
      </c>
      <c r="F817">
        <v>220</v>
      </c>
      <c r="G817">
        <v>20</v>
      </c>
      <c r="H817">
        <v>418.42</v>
      </c>
      <c r="I817">
        <v>54.87</v>
      </c>
      <c r="J817" t="s">
        <v>14</v>
      </c>
      <c r="K817" t="s">
        <v>20</v>
      </c>
      <c r="L817" t="s">
        <v>2087</v>
      </c>
      <c r="M817">
        <v>0</v>
      </c>
      <c r="N817" t="s">
        <v>232</v>
      </c>
      <c r="O817" t="s">
        <v>2107</v>
      </c>
    </row>
    <row r="818" spans="1:15">
      <c r="A818" t="s">
        <v>606</v>
      </c>
      <c r="B818" t="s">
        <v>2099</v>
      </c>
      <c r="C818" t="s">
        <v>2094</v>
      </c>
      <c r="D818" s="1">
        <v>43584</v>
      </c>
      <c r="E818" s="1">
        <v>44966</v>
      </c>
      <c r="F818">
        <v>326</v>
      </c>
      <c r="G818">
        <v>2</v>
      </c>
      <c r="H818">
        <v>99.27</v>
      </c>
      <c r="I818">
        <v>47.66</v>
      </c>
      <c r="J818" t="s">
        <v>115</v>
      </c>
      <c r="K818" t="s">
        <v>16</v>
      </c>
      <c r="L818" t="s">
        <v>2095</v>
      </c>
      <c r="M818">
        <v>8</v>
      </c>
      <c r="N818" t="s">
        <v>165</v>
      </c>
      <c r="O818" t="s">
        <v>2088</v>
      </c>
    </row>
    <row r="819" spans="1:15">
      <c r="A819" t="s">
        <v>2739</v>
      </c>
      <c r="B819" t="s">
        <v>2113</v>
      </c>
      <c r="C819" t="s">
        <v>2100</v>
      </c>
      <c r="D819" s="1">
        <v>44279</v>
      </c>
      <c r="E819" s="1">
        <v>45198</v>
      </c>
      <c r="F819">
        <v>94</v>
      </c>
      <c r="G819">
        <v>8</v>
      </c>
      <c r="H819">
        <v>369.61</v>
      </c>
      <c r="I819">
        <v>41.29</v>
      </c>
      <c r="J819" t="s">
        <v>66</v>
      </c>
      <c r="K819" t="s">
        <v>16</v>
      </c>
      <c r="L819" t="s">
        <v>2106</v>
      </c>
      <c r="M819">
        <v>2</v>
      </c>
      <c r="N819" t="s">
        <v>179</v>
      </c>
      <c r="O819" t="s">
        <v>2109</v>
      </c>
    </row>
    <row r="820" spans="1:15">
      <c r="A820" t="s">
        <v>2740</v>
      </c>
      <c r="B820" t="s">
        <v>2097</v>
      </c>
      <c r="C820" t="s">
        <v>2086</v>
      </c>
      <c r="D820" s="1">
        <v>43907</v>
      </c>
      <c r="E820" s="1">
        <v>45237</v>
      </c>
      <c r="F820">
        <v>55</v>
      </c>
      <c r="G820">
        <v>5</v>
      </c>
      <c r="H820">
        <v>679.72</v>
      </c>
      <c r="I820">
        <v>65.77</v>
      </c>
      <c r="J820" t="s">
        <v>115</v>
      </c>
      <c r="K820" t="s">
        <v>16</v>
      </c>
      <c r="L820" t="s">
        <v>2095</v>
      </c>
      <c r="M820">
        <v>3</v>
      </c>
      <c r="N820" t="s">
        <v>204</v>
      </c>
      <c r="O820" t="s">
        <v>2121</v>
      </c>
    </row>
    <row r="821" spans="1:15">
      <c r="A821" t="s">
        <v>2741</v>
      </c>
      <c r="B821" t="s">
        <v>2113</v>
      </c>
      <c r="C821" t="s">
        <v>2108</v>
      </c>
      <c r="D821" s="1">
        <v>43540</v>
      </c>
      <c r="E821" s="1">
        <v>45283</v>
      </c>
      <c r="F821">
        <v>9</v>
      </c>
      <c r="G821">
        <v>15</v>
      </c>
      <c r="H821">
        <v>309.13</v>
      </c>
      <c r="I821">
        <v>34.61</v>
      </c>
      <c r="J821" t="s">
        <v>66</v>
      </c>
      <c r="K821" t="s">
        <v>16</v>
      </c>
      <c r="L821" t="s">
        <v>2106</v>
      </c>
      <c r="M821">
        <v>8</v>
      </c>
      <c r="N821" t="s">
        <v>204</v>
      </c>
      <c r="O821" t="s">
        <v>2096</v>
      </c>
    </row>
    <row r="822" spans="1:15">
      <c r="A822" t="s">
        <v>1275</v>
      </c>
      <c r="B822" t="s">
        <v>2113</v>
      </c>
      <c r="C822" t="s">
        <v>2100</v>
      </c>
      <c r="D822" s="1">
        <v>44474</v>
      </c>
      <c r="E822" s="1">
        <v>45129</v>
      </c>
      <c r="F822">
        <v>163</v>
      </c>
      <c r="G822">
        <v>5</v>
      </c>
      <c r="H822">
        <v>489.01</v>
      </c>
      <c r="I822">
        <v>46.87</v>
      </c>
      <c r="J822" t="s">
        <v>90</v>
      </c>
      <c r="K822" t="s">
        <v>20</v>
      </c>
      <c r="L822" t="s">
        <v>2095</v>
      </c>
      <c r="M822">
        <v>8</v>
      </c>
      <c r="N822" t="s">
        <v>165</v>
      </c>
      <c r="O822" t="s">
        <v>2096</v>
      </c>
    </row>
    <row r="823" spans="1:15">
      <c r="A823" t="s">
        <v>880</v>
      </c>
      <c r="B823" t="s">
        <v>2085</v>
      </c>
      <c r="C823" t="s">
        <v>2091</v>
      </c>
      <c r="D823" s="1">
        <v>43502</v>
      </c>
      <c r="E823" s="1">
        <v>44948</v>
      </c>
      <c r="F823">
        <v>344</v>
      </c>
      <c r="G823">
        <v>35</v>
      </c>
      <c r="H823">
        <v>1083.33</v>
      </c>
      <c r="I823">
        <v>256.06</v>
      </c>
      <c r="J823" t="s">
        <v>14</v>
      </c>
      <c r="K823" t="s">
        <v>20</v>
      </c>
      <c r="L823" t="s">
        <v>2095</v>
      </c>
      <c r="M823">
        <v>5</v>
      </c>
      <c r="N823" t="s">
        <v>204</v>
      </c>
      <c r="O823" t="s">
        <v>2109</v>
      </c>
    </row>
    <row r="824" spans="1:15">
      <c r="A824" t="s">
        <v>742</v>
      </c>
      <c r="B824" t="s">
        <v>2090</v>
      </c>
      <c r="C824" t="s">
        <v>2108</v>
      </c>
      <c r="D824" s="1">
        <v>44257</v>
      </c>
      <c r="E824" s="1">
        <v>45005</v>
      </c>
      <c r="F824">
        <v>287</v>
      </c>
      <c r="G824">
        <v>2</v>
      </c>
      <c r="H824">
        <v>341.82</v>
      </c>
      <c r="I824">
        <v>101.02</v>
      </c>
      <c r="J824" t="s">
        <v>90</v>
      </c>
      <c r="K824" t="s">
        <v>16</v>
      </c>
      <c r="L824" t="s">
        <v>2087</v>
      </c>
      <c r="M824">
        <v>3</v>
      </c>
      <c r="N824" t="s">
        <v>174</v>
      </c>
      <c r="O824" t="s">
        <v>2107</v>
      </c>
    </row>
    <row r="825" spans="1:15">
      <c r="A825" t="s">
        <v>2742</v>
      </c>
      <c r="B825" t="s">
        <v>2097</v>
      </c>
      <c r="C825" t="s">
        <v>2086</v>
      </c>
      <c r="D825" s="1">
        <v>45140</v>
      </c>
      <c r="E825" s="1">
        <v>45147</v>
      </c>
      <c r="F825">
        <v>145</v>
      </c>
      <c r="G825">
        <v>7</v>
      </c>
      <c r="H825">
        <v>733.37</v>
      </c>
      <c r="I825">
        <v>85.58</v>
      </c>
      <c r="J825" t="s">
        <v>115</v>
      </c>
      <c r="K825" t="s">
        <v>16</v>
      </c>
      <c r="L825" t="s">
        <v>2087</v>
      </c>
      <c r="M825">
        <v>9</v>
      </c>
      <c r="N825" t="s">
        <v>174</v>
      </c>
      <c r="O825" t="s">
        <v>2109</v>
      </c>
    </row>
    <row r="826" spans="1:15">
      <c r="A826" t="s">
        <v>1535</v>
      </c>
      <c r="B826" t="s">
        <v>2093</v>
      </c>
      <c r="C826" t="s">
        <v>2091</v>
      </c>
      <c r="D826" s="1">
        <v>43758</v>
      </c>
      <c r="E826" s="1">
        <v>45245</v>
      </c>
      <c r="F826">
        <v>47</v>
      </c>
      <c r="G826">
        <v>4</v>
      </c>
      <c r="H826">
        <v>102.16</v>
      </c>
      <c r="I826">
        <v>53.68</v>
      </c>
      <c r="J826" t="s">
        <v>115</v>
      </c>
      <c r="K826" t="s">
        <v>16</v>
      </c>
      <c r="L826" t="s">
        <v>2087</v>
      </c>
      <c r="M826">
        <v>0</v>
      </c>
      <c r="N826" t="s">
        <v>174</v>
      </c>
      <c r="O826" t="s">
        <v>2107</v>
      </c>
    </row>
    <row r="827" spans="1:15">
      <c r="A827" t="s">
        <v>2743</v>
      </c>
      <c r="B827" t="s">
        <v>2113</v>
      </c>
      <c r="C827" t="s">
        <v>2094</v>
      </c>
      <c r="D827" s="1">
        <v>45063</v>
      </c>
      <c r="E827" s="1">
        <v>45026</v>
      </c>
      <c r="F827">
        <v>266</v>
      </c>
      <c r="G827">
        <v>5</v>
      </c>
      <c r="H827">
        <v>496.91</v>
      </c>
      <c r="I827">
        <v>79.260000000000005</v>
      </c>
      <c r="J827" t="s">
        <v>66</v>
      </c>
      <c r="K827" t="s">
        <v>16</v>
      </c>
      <c r="L827" t="s">
        <v>2087</v>
      </c>
      <c r="M827">
        <v>10</v>
      </c>
      <c r="N827" t="s">
        <v>232</v>
      </c>
      <c r="O827" t="s">
        <v>2088</v>
      </c>
    </row>
    <row r="828" spans="1:15">
      <c r="A828" t="s">
        <v>2744</v>
      </c>
      <c r="B828" t="s">
        <v>2097</v>
      </c>
      <c r="C828" t="s">
        <v>2108</v>
      </c>
      <c r="D828" s="1">
        <v>44232</v>
      </c>
      <c r="E828" s="1">
        <v>45241</v>
      </c>
      <c r="F828">
        <v>51</v>
      </c>
      <c r="G828">
        <v>9</v>
      </c>
      <c r="H828">
        <v>179.98</v>
      </c>
      <c r="I828">
        <v>73.37</v>
      </c>
      <c r="J828" t="s">
        <v>14</v>
      </c>
      <c r="K828" t="s">
        <v>16</v>
      </c>
      <c r="L828" t="s">
        <v>2095</v>
      </c>
      <c r="M828">
        <v>10</v>
      </c>
      <c r="N828" t="s">
        <v>194</v>
      </c>
      <c r="O828" t="s">
        <v>2109</v>
      </c>
    </row>
    <row r="829" spans="1:15">
      <c r="A829" t="s">
        <v>1853</v>
      </c>
      <c r="B829" t="s">
        <v>2093</v>
      </c>
      <c r="C829" t="s">
        <v>2086</v>
      </c>
      <c r="D829" s="1">
        <v>44220</v>
      </c>
      <c r="E829" s="1">
        <v>45216</v>
      </c>
      <c r="F829">
        <v>76</v>
      </c>
      <c r="G829">
        <v>1</v>
      </c>
      <c r="H829">
        <v>132.97</v>
      </c>
      <c r="I829">
        <v>22.85</v>
      </c>
      <c r="J829" t="s">
        <v>14</v>
      </c>
      <c r="K829" t="s">
        <v>16</v>
      </c>
      <c r="L829" t="s">
        <v>2087</v>
      </c>
      <c r="M829">
        <v>9</v>
      </c>
      <c r="N829" t="s">
        <v>157</v>
      </c>
      <c r="O829" t="s">
        <v>2096</v>
      </c>
    </row>
    <row r="830" spans="1:15">
      <c r="A830" t="s">
        <v>2745</v>
      </c>
      <c r="B830" t="s">
        <v>2093</v>
      </c>
      <c r="C830" t="s">
        <v>2086</v>
      </c>
      <c r="D830" s="1">
        <v>43805</v>
      </c>
      <c r="E830" s="1">
        <v>45133</v>
      </c>
      <c r="F830">
        <v>159</v>
      </c>
      <c r="G830">
        <v>4</v>
      </c>
      <c r="H830">
        <v>198.62</v>
      </c>
      <c r="I830">
        <v>54.97</v>
      </c>
      <c r="J830" t="s">
        <v>115</v>
      </c>
      <c r="K830" t="s">
        <v>20</v>
      </c>
      <c r="L830" t="s">
        <v>2106</v>
      </c>
      <c r="M830">
        <v>6</v>
      </c>
      <c r="N830" t="s">
        <v>179</v>
      </c>
      <c r="O830" t="s">
        <v>2088</v>
      </c>
    </row>
    <row r="831" spans="1:15">
      <c r="A831" t="s">
        <v>2746</v>
      </c>
      <c r="B831" t="s">
        <v>2090</v>
      </c>
      <c r="C831" t="s">
        <v>2108</v>
      </c>
      <c r="D831" s="1">
        <v>44073</v>
      </c>
      <c r="E831" s="1">
        <v>45209</v>
      </c>
      <c r="F831">
        <v>83</v>
      </c>
      <c r="G831">
        <v>8</v>
      </c>
      <c r="H831">
        <v>200.28</v>
      </c>
      <c r="I831">
        <v>102.44</v>
      </c>
      <c r="J831" t="s">
        <v>115</v>
      </c>
      <c r="K831" t="s">
        <v>20</v>
      </c>
      <c r="L831" t="s">
        <v>2106</v>
      </c>
      <c r="M831">
        <v>10</v>
      </c>
      <c r="N831" t="s">
        <v>165</v>
      </c>
      <c r="O831" t="s">
        <v>2109</v>
      </c>
    </row>
    <row r="832" spans="1:15">
      <c r="A832" t="s">
        <v>1483</v>
      </c>
      <c r="B832" t="s">
        <v>2085</v>
      </c>
      <c r="C832" t="s">
        <v>2086</v>
      </c>
      <c r="D832" s="1">
        <v>45070</v>
      </c>
      <c r="E832" s="1">
        <v>45114</v>
      </c>
      <c r="F832">
        <v>178</v>
      </c>
      <c r="G832">
        <v>40</v>
      </c>
      <c r="H832">
        <v>1948.87</v>
      </c>
      <c r="I832">
        <v>129.04</v>
      </c>
      <c r="J832" t="s">
        <v>90</v>
      </c>
      <c r="K832" t="s">
        <v>20</v>
      </c>
      <c r="L832" t="s">
        <v>2106</v>
      </c>
      <c r="M832">
        <v>3</v>
      </c>
      <c r="N832" t="s">
        <v>157</v>
      </c>
      <c r="O832" t="s">
        <v>2121</v>
      </c>
    </row>
    <row r="833" spans="1:15">
      <c r="A833" t="s">
        <v>1143</v>
      </c>
      <c r="B833" t="s">
        <v>2090</v>
      </c>
      <c r="C833" t="s">
        <v>2086</v>
      </c>
      <c r="D833" s="1">
        <v>44100</v>
      </c>
      <c r="E833" s="1">
        <v>45218</v>
      </c>
      <c r="F833">
        <v>74</v>
      </c>
      <c r="G833">
        <v>2</v>
      </c>
      <c r="H833">
        <v>174.21</v>
      </c>
      <c r="I833">
        <v>101.78</v>
      </c>
      <c r="J833" t="s">
        <v>41</v>
      </c>
      <c r="K833" t="s">
        <v>16</v>
      </c>
      <c r="L833" t="s">
        <v>2095</v>
      </c>
      <c r="M833">
        <v>1</v>
      </c>
      <c r="N833" t="s">
        <v>157</v>
      </c>
      <c r="O833" t="s">
        <v>2107</v>
      </c>
    </row>
    <row r="834" spans="1:15">
      <c r="A834" t="s">
        <v>2747</v>
      </c>
      <c r="B834" t="s">
        <v>2113</v>
      </c>
      <c r="C834" t="s">
        <v>2111</v>
      </c>
      <c r="D834" s="1">
        <v>44620</v>
      </c>
      <c r="E834" s="1">
        <v>45213</v>
      </c>
      <c r="F834">
        <v>79</v>
      </c>
      <c r="G834">
        <v>9</v>
      </c>
      <c r="H834">
        <v>488.13</v>
      </c>
      <c r="I834">
        <v>51.49</v>
      </c>
      <c r="J834" t="s">
        <v>90</v>
      </c>
      <c r="K834" t="s">
        <v>20</v>
      </c>
      <c r="L834" t="s">
        <v>2106</v>
      </c>
      <c r="M834">
        <v>0</v>
      </c>
      <c r="N834" t="s">
        <v>232</v>
      </c>
      <c r="O834" t="s">
        <v>2109</v>
      </c>
    </row>
    <row r="835" spans="1:15">
      <c r="A835" t="s">
        <v>2748</v>
      </c>
      <c r="B835" t="s">
        <v>2097</v>
      </c>
      <c r="C835" t="s">
        <v>2108</v>
      </c>
      <c r="D835" s="1">
        <v>44321</v>
      </c>
      <c r="E835" s="1">
        <v>44942</v>
      </c>
      <c r="F835">
        <v>350</v>
      </c>
      <c r="G835">
        <v>9</v>
      </c>
      <c r="H835">
        <v>566.16</v>
      </c>
      <c r="I835">
        <v>95.72</v>
      </c>
      <c r="J835" t="s">
        <v>90</v>
      </c>
      <c r="K835" t="s">
        <v>16</v>
      </c>
      <c r="L835" t="s">
        <v>2106</v>
      </c>
      <c r="M835">
        <v>3</v>
      </c>
      <c r="N835" t="s">
        <v>194</v>
      </c>
      <c r="O835" t="s">
        <v>2088</v>
      </c>
    </row>
    <row r="836" spans="1:15">
      <c r="A836" t="s">
        <v>2749</v>
      </c>
      <c r="B836" t="s">
        <v>2093</v>
      </c>
      <c r="C836" t="s">
        <v>2086</v>
      </c>
      <c r="D836" s="1">
        <v>44838</v>
      </c>
      <c r="E836" s="1">
        <v>45266</v>
      </c>
      <c r="F836">
        <v>26</v>
      </c>
      <c r="G836">
        <v>2</v>
      </c>
      <c r="H836">
        <v>118.4</v>
      </c>
      <c r="I836">
        <v>33.22</v>
      </c>
      <c r="J836" t="s">
        <v>66</v>
      </c>
      <c r="K836" t="s">
        <v>20</v>
      </c>
      <c r="L836" t="s">
        <v>2095</v>
      </c>
      <c r="M836">
        <v>8</v>
      </c>
      <c r="N836" t="s">
        <v>157</v>
      </c>
      <c r="O836" t="s">
        <v>2088</v>
      </c>
    </row>
    <row r="837" spans="1:15">
      <c r="A837" t="s">
        <v>2750</v>
      </c>
      <c r="B837" t="s">
        <v>2085</v>
      </c>
      <c r="C837" t="s">
        <v>2100</v>
      </c>
      <c r="D837" s="1">
        <v>43472</v>
      </c>
      <c r="E837" s="1">
        <v>45103</v>
      </c>
      <c r="F837">
        <v>189</v>
      </c>
      <c r="G837">
        <v>38</v>
      </c>
      <c r="H837">
        <v>2601.3000000000002</v>
      </c>
      <c r="I837">
        <v>156.94</v>
      </c>
      <c r="J837" t="s">
        <v>14</v>
      </c>
      <c r="K837" t="s">
        <v>16</v>
      </c>
      <c r="L837" t="s">
        <v>2106</v>
      </c>
      <c r="M837">
        <v>9</v>
      </c>
      <c r="N837" t="s">
        <v>232</v>
      </c>
      <c r="O837" t="s">
        <v>2109</v>
      </c>
    </row>
    <row r="838" spans="1:15">
      <c r="A838" t="s">
        <v>2751</v>
      </c>
      <c r="B838" t="s">
        <v>2113</v>
      </c>
      <c r="C838" t="s">
        <v>2086</v>
      </c>
      <c r="D838" s="1">
        <v>43767</v>
      </c>
      <c r="E838" s="1">
        <v>45134</v>
      </c>
      <c r="F838">
        <v>158</v>
      </c>
      <c r="G838">
        <v>5</v>
      </c>
      <c r="H838">
        <v>374.63</v>
      </c>
      <c r="I838">
        <v>72.45</v>
      </c>
      <c r="J838" t="s">
        <v>66</v>
      </c>
      <c r="K838" t="s">
        <v>20</v>
      </c>
      <c r="L838" t="s">
        <v>2106</v>
      </c>
      <c r="M838">
        <v>2</v>
      </c>
      <c r="N838" t="s">
        <v>204</v>
      </c>
      <c r="O838" t="s">
        <v>2121</v>
      </c>
    </row>
    <row r="839" spans="1:15">
      <c r="A839" t="s">
        <v>2752</v>
      </c>
      <c r="B839" t="s">
        <v>2085</v>
      </c>
      <c r="C839" t="s">
        <v>2108</v>
      </c>
      <c r="D839" s="1">
        <v>44171</v>
      </c>
      <c r="E839" s="1">
        <v>45135</v>
      </c>
      <c r="F839">
        <v>157</v>
      </c>
      <c r="G839">
        <v>37</v>
      </c>
      <c r="H839">
        <v>2011.35</v>
      </c>
      <c r="I839">
        <v>214.58</v>
      </c>
      <c r="J839" t="s">
        <v>14</v>
      </c>
      <c r="K839" t="s">
        <v>16</v>
      </c>
      <c r="L839" t="s">
        <v>2095</v>
      </c>
      <c r="M839">
        <v>8</v>
      </c>
      <c r="N839" t="s">
        <v>204</v>
      </c>
      <c r="O839" t="s">
        <v>2109</v>
      </c>
    </row>
    <row r="840" spans="1:15">
      <c r="A840" t="s">
        <v>2753</v>
      </c>
      <c r="B840" t="s">
        <v>2085</v>
      </c>
      <c r="C840" t="s">
        <v>2086</v>
      </c>
      <c r="D840" s="1">
        <v>45035</v>
      </c>
      <c r="E840" s="1">
        <v>45024</v>
      </c>
      <c r="F840">
        <v>268</v>
      </c>
      <c r="G840">
        <v>33</v>
      </c>
      <c r="H840">
        <v>2627.35</v>
      </c>
      <c r="I840">
        <v>276.45999999999998</v>
      </c>
      <c r="J840" t="s">
        <v>66</v>
      </c>
      <c r="K840" t="s">
        <v>20</v>
      </c>
      <c r="L840" t="s">
        <v>2087</v>
      </c>
      <c r="M840">
        <v>1</v>
      </c>
      <c r="N840" t="s">
        <v>194</v>
      </c>
      <c r="O840" t="s">
        <v>2107</v>
      </c>
    </row>
    <row r="841" spans="1:15">
      <c r="A841" t="s">
        <v>2754</v>
      </c>
      <c r="B841" t="s">
        <v>2113</v>
      </c>
      <c r="C841" t="s">
        <v>2086</v>
      </c>
      <c r="D841" s="1">
        <v>45096</v>
      </c>
      <c r="E841" s="1">
        <v>45086</v>
      </c>
      <c r="F841">
        <v>206</v>
      </c>
      <c r="G841">
        <v>17</v>
      </c>
      <c r="H841">
        <v>370.73</v>
      </c>
      <c r="I841">
        <v>42.03</v>
      </c>
      <c r="J841" t="s">
        <v>66</v>
      </c>
      <c r="K841" t="s">
        <v>20</v>
      </c>
      <c r="L841" t="s">
        <v>2095</v>
      </c>
      <c r="M841">
        <v>0</v>
      </c>
      <c r="N841" t="s">
        <v>179</v>
      </c>
      <c r="O841" t="s">
        <v>2107</v>
      </c>
    </row>
    <row r="842" spans="1:15">
      <c r="A842" t="s">
        <v>2755</v>
      </c>
      <c r="B842" t="s">
        <v>2099</v>
      </c>
      <c r="C842" t="s">
        <v>2086</v>
      </c>
      <c r="D842" s="1">
        <v>44518</v>
      </c>
      <c r="E842" s="1">
        <v>45149</v>
      </c>
      <c r="F842">
        <v>143</v>
      </c>
      <c r="G842">
        <v>1</v>
      </c>
      <c r="H842">
        <v>20.13</v>
      </c>
      <c r="I842">
        <v>73.42</v>
      </c>
      <c r="J842" t="s">
        <v>90</v>
      </c>
      <c r="K842" t="s">
        <v>16</v>
      </c>
      <c r="L842" t="s">
        <v>2095</v>
      </c>
      <c r="M842">
        <v>0</v>
      </c>
      <c r="N842" t="s">
        <v>174</v>
      </c>
      <c r="O842" t="s">
        <v>2109</v>
      </c>
    </row>
    <row r="843" spans="1:15">
      <c r="A843" t="s">
        <v>2756</v>
      </c>
      <c r="B843" t="s">
        <v>2090</v>
      </c>
      <c r="C843" t="s">
        <v>2094</v>
      </c>
      <c r="D843" s="1">
        <v>45133</v>
      </c>
      <c r="E843" s="1">
        <v>45240</v>
      </c>
      <c r="F843">
        <v>52</v>
      </c>
      <c r="G843">
        <v>3</v>
      </c>
      <c r="H843">
        <v>104.02</v>
      </c>
      <c r="I843">
        <v>93.47</v>
      </c>
      <c r="J843" t="s">
        <v>14</v>
      </c>
      <c r="K843" t="s">
        <v>16</v>
      </c>
      <c r="L843" t="s">
        <v>2095</v>
      </c>
      <c r="M843">
        <v>6</v>
      </c>
      <c r="N843" t="s">
        <v>232</v>
      </c>
      <c r="O843" t="s">
        <v>2096</v>
      </c>
    </row>
    <row r="844" spans="1:15">
      <c r="A844" t="s">
        <v>2757</v>
      </c>
      <c r="B844" t="s">
        <v>2090</v>
      </c>
      <c r="C844" t="s">
        <v>2108</v>
      </c>
      <c r="D844" s="1">
        <v>44708</v>
      </c>
      <c r="E844" s="1">
        <v>44964</v>
      </c>
      <c r="F844">
        <v>328</v>
      </c>
      <c r="G844">
        <v>7</v>
      </c>
      <c r="H844">
        <v>169.36</v>
      </c>
      <c r="I844">
        <v>63.44</v>
      </c>
      <c r="J844" t="s">
        <v>66</v>
      </c>
      <c r="K844" t="s">
        <v>16</v>
      </c>
      <c r="L844" t="s">
        <v>2087</v>
      </c>
      <c r="M844">
        <v>6</v>
      </c>
      <c r="N844" t="s">
        <v>179</v>
      </c>
      <c r="O844" t="s">
        <v>2107</v>
      </c>
    </row>
    <row r="845" spans="1:15">
      <c r="A845" t="s">
        <v>2758</v>
      </c>
      <c r="B845" t="s">
        <v>2093</v>
      </c>
      <c r="C845" t="s">
        <v>2100</v>
      </c>
      <c r="D845" s="1">
        <v>44373</v>
      </c>
      <c r="E845" s="1">
        <v>45255</v>
      </c>
      <c r="F845">
        <v>37</v>
      </c>
      <c r="G845">
        <v>5</v>
      </c>
      <c r="H845">
        <v>63.3</v>
      </c>
      <c r="I845">
        <v>54.95</v>
      </c>
      <c r="J845" t="s">
        <v>41</v>
      </c>
      <c r="K845" t="s">
        <v>16</v>
      </c>
      <c r="L845" t="s">
        <v>2106</v>
      </c>
      <c r="M845">
        <v>5</v>
      </c>
      <c r="N845" t="s">
        <v>157</v>
      </c>
      <c r="O845" t="s">
        <v>2121</v>
      </c>
    </row>
    <row r="846" spans="1:15">
      <c r="A846" t="s">
        <v>2759</v>
      </c>
      <c r="B846" t="s">
        <v>2113</v>
      </c>
      <c r="C846" t="s">
        <v>2100</v>
      </c>
      <c r="D846" s="1">
        <v>44692</v>
      </c>
      <c r="E846" s="1">
        <v>45071</v>
      </c>
      <c r="F846">
        <v>221</v>
      </c>
      <c r="G846">
        <v>5</v>
      </c>
      <c r="H846">
        <v>547.86</v>
      </c>
      <c r="I846">
        <v>52.03</v>
      </c>
      <c r="J846" t="s">
        <v>41</v>
      </c>
      <c r="K846" t="s">
        <v>16</v>
      </c>
      <c r="L846" t="s">
        <v>2106</v>
      </c>
      <c r="M846">
        <v>7</v>
      </c>
      <c r="N846" t="s">
        <v>157</v>
      </c>
      <c r="O846" t="s">
        <v>2109</v>
      </c>
    </row>
    <row r="847" spans="1:15">
      <c r="A847" t="s">
        <v>2760</v>
      </c>
      <c r="B847" t="s">
        <v>2099</v>
      </c>
      <c r="C847" t="s">
        <v>2108</v>
      </c>
      <c r="D847" s="1">
        <v>44603</v>
      </c>
      <c r="E847" s="1">
        <v>44974</v>
      </c>
      <c r="F847">
        <v>318</v>
      </c>
      <c r="G847">
        <v>1</v>
      </c>
      <c r="H847">
        <v>97.52</v>
      </c>
      <c r="I847">
        <v>47.56</v>
      </c>
      <c r="J847" t="s">
        <v>90</v>
      </c>
      <c r="K847" t="s">
        <v>20</v>
      </c>
      <c r="L847" t="s">
        <v>2106</v>
      </c>
      <c r="M847">
        <v>7</v>
      </c>
      <c r="N847" t="s">
        <v>204</v>
      </c>
      <c r="O847" t="s">
        <v>2096</v>
      </c>
    </row>
    <row r="848" spans="1:15">
      <c r="A848" t="s">
        <v>1293</v>
      </c>
      <c r="B848" t="s">
        <v>2097</v>
      </c>
      <c r="C848" t="s">
        <v>2108</v>
      </c>
      <c r="D848" s="1">
        <v>44279</v>
      </c>
      <c r="E848" s="1">
        <v>45195</v>
      </c>
      <c r="F848">
        <v>97</v>
      </c>
      <c r="G848">
        <v>4</v>
      </c>
      <c r="H848">
        <v>649.91999999999996</v>
      </c>
      <c r="I848">
        <v>76.349999999999994</v>
      </c>
      <c r="J848" t="s">
        <v>115</v>
      </c>
      <c r="K848" t="s">
        <v>16</v>
      </c>
      <c r="L848" t="s">
        <v>2095</v>
      </c>
      <c r="M848">
        <v>3</v>
      </c>
      <c r="N848" t="s">
        <v>157</v>
      </c>
      <c r="O848" t="s">
        <v>2107</v>
      </c>
    </row>
    <row r="849" spans="1:15">
      <c r="A849" t="s">
        <v>968</v>
      </c>
      <c r="B849" t="s">
        <v>2099</v>
      </c>
      <c r="C849" t="s">
        <v>2108</v>
      </c>
      <c r="D849" s="1">
        <v>44109</v>
      </c>
      <c r="E849" s="1">
        <v>45110</v>
      </c>
      <c r="F849">
        <v>182</v>
      </c>
      <c r="G849">
        <v>1</v>
      </c>
      <c r="H849">
        <v>31.59</v>
      </c>
      <c r="I849">
        <v>30.61</v>
      </c>
      <c r="J849" t="s">
        <v>41</v>
      </c>
      <c r="K849" t="s">
        <v>16</v>
      </c>
      <c r="L849" t="s">
        <v>2087</v>
      </c>
      <c r="M849">
        <v>6</v>
      </c>
      <c r="N849" t="s">
        <v>174</v>
      </c>
      <c r="O849" t="s">
        <v>2109</v>
      </c>
    </row>
    <row r="850" spans="1:15">
      <c r="A850" t="s">
        <v>369</v>
      </c>
      <c r="B850" t="s">
        <v>2090</v>
      </c>
      <c r="C850" t="s">
        <v>2111</v>
      </c>
      <c r="D850" s="1">
        <v>43802</v>
      </c>
      <c r="E850" s="1">
        <v>45274</v>
      </c>
      <c r="F850">
        <v>18</v>
      </c>
      <c r="G850">
        <v>2</v>
      </c>
      <c r="H850">
        <v>228.56</v>
      </c>
      <c r="I850">
        <v>56.39</v>
      </c>
      <c r="J850" t="s">
        <v>14</v>
      </c>
      <c r="K850" t="s">
        <v>20</v>
      </c>
      <c r="L850" t="s">
        <v>2095</v>
      </c>
      <c r="M850">
        <v>0</v>
      </c>
      <c r="N850" t="s">
        <v>204</v>
      </c>
      <c r="O850" t="s">
        <v>2096</v>
      </c>
    </row>
    <row r="851" spans="1:15">
      <c r="A851" t="s">
        <v>2761</v>
      </c>
      <c r="B851" t="s">
        <v>2097</v>
      </c>
      <c r="C851" t="s">
        <v>2091</v>
      </c>
      <c r="D851" s="1">
        <v>44837</v>
      </c>
      <c r="E851" s="1">
        <v>45089</v>
      </c>
      <c r="F851">
        <v>203</v>
      </c>
      <c r="G851">
        <v>9</v>
      </c>
      <c r="H851">
        <v>304.68</v>
      </c>
      <c r="I851">
        <v>101.33</v>
      </c>
      <c r="J851" t="s">
        <v>90</v>
      </c>
      <c r="K851" t="s">
        <v>16</v>
      </c>
      <c r="L851" t="s">
        <v>2106</v>
      </c>
      <c r="M851">
        <v>9</v>
      </c>
      <c r="N851" t="s">
        <v>194</v>
      </c>
      <c r="O851" t="s">
        <v>2109</v>
      </c>
    </row>
    <row r="852" spans="1:15">
      <c r="A852" t="s">
        <v>2762</v>
      </c>
      <c r="B852" t="s">
        <v>2085</v>
      </c>
      <c r="C852" t="s">
        <v>2094</v>
      </c>
      <c r="D852" s="1">
        <v>44833</v>
      </c>
      <c r="E852" s="1">
        <v>45206</v>
      </c>
      <c r="F852">
        <v>86</v>
      </c>
      <c r="G852">
        <v>18</v>
      </c>
      <c r="H852">
        <v>1280.1600000000001</v>
      </c>
      <c r="I852">
        <v>114.87</v>
      </c>
      <c r="J852" t="s">
        <v>66</v>
      </c>
      <c r="K852" t="s">
        <v>16</v>
      </c>
      <c r="L852" t="s">
        <v>2106</v>
      </c>
      <c r="M852">
        <v>0</v>
      </c>
      <c r="N852" t="s">
        <v>165</v>
      </c>
      <c r="O852" t="s">
        <v>2107</v>
      </c>
    </row>
    <row r="853" spans="1:15">
      <c r="A853" t="s">
        <v>2763</v>
      </c>
      <c r="B853" t="s">
        <v>2090</v>
      </c>
      <c r="C853" t="s">
        <v>2111</v>
      </c>
      <c r="D853" s="1">
        <v>44068</v>
      </c>
      <c r="E853" s="1">
        <v>45188</v>
      </c>
      <c r="F853">
        <v>104</v>
      </c>
      <c r="G853">
        <v>4</v>
      </c>
      <c r="H853">
        <v>95.29</v>
      </c>
      <c r="I853">
        <v>109.13</v>
      </c>
      <c r="J853" t="s">
        <v>14</v>
      </c>
      <c r="K853" t="s">
        <v>16</v>
      </c>
      <c r="L853" t="s">
        <v>2087</v>
      </c>
      <c r="M853">
        <v>4</v>
      </c>
      <c r="N853" t="s">
        <v>174</v>
      </c>
      <c r="O853" t="s">
        <v>2107</v>
      </c>
    </row>
    <row r="854" spans="1:15">
      <c r="A854" t="s">
        <v>2764</v>
      </c>
      <c r="B854" t="s">
        <v>2099</v>
      </c>
      <c r="C854" t="s">
        <v>2086</v>
      </c>
      <c r="D854" s="1">
        <v>44281</v>
      </c>
      <c r="E854" s="1">
        <v>45167</v>
      </c>
      <c r="F854">
        <v>125</v>
      </c>
      <c r="G854">
        <v>1</v>
      </c>
      <c r="H854">
        <v>108.67</v>
      </c>
      <c r="I854">
        <v>86.56</v>
      </c>
      <c r="J854" t="s">
        <v>14</v>
      </c>
      <c r="K854" t="s">
        <v>16</v>
      </c>
      <c r="L854" t="s">
        <v>2087</v>
      </c>
      <c r="M854">
        <v>7</v>
      </c>
      <c r="N854" t="s">
        <v>165</v>
      </c>
      <c r="O854" t="s">
        <v>2088</v>
      </c>
    </row>
    <row r="855" spans="1:15">
      <c r="A855" t="s">
        <v>2765</v>
      </c>
      <c r="B855" t="s">
        <v>2097</v>
      </c>
      <c r="C855" t="s">
        <v>2100</v>
      </c>
      <c r="D855" s="1">
        <v>44774</v>
      </c>
      <c r="E855" s="1">
        <v>44974</v>
      </c>
      <c r="F855">
        <v>318</v>
      </c>
      <c r="G855">
        <v>5</v>
      </c>
      <c r="H855">
        <v>198.87</v>
      </c>
      <c r="I855">
        <v>133.4</v>
      </c>
      <c r="J855" t="s">
        <v>115</v>
      </c>
      <c r="K855" t="s">
        <v>20</v>
      </c>
      <c r="L855" t="s">
        <v>2095</v>
      </c>
      <c r="M855">
        <v>1</v>
      </c>
      <c r="N855" t="s">
        <v>165</v>
      </c>
      <c r="O855" t="s">
        <v>2107</v>
      </c>
    </row>
    <row r="856" spans="1:15">
      <c r="A856" t="s">
        <v>2766</v>
      </c>
      <c r="B856" t="s">
        <v>2113</v>
      </c>
      <c r="C856" t="s">
        <v>2108</v>
      </c>
      <c r="D856" s="1">
        <v>44970</v>
      </c>
      <c r="E856" s="1">
        <v>45178</v>
      </c>
      <c r="F856">
        <v>114</v>
      </c>
      <c r="G856">
        <v>18</v>
      </c>
      <c r="H856">
        <v>185.81</v>
      </c>
      <c r="I856">
        <v>57.31</v>
      </c>
      <c r="J856" t="s">
        <v>115</v>
      </c>
      <c r="K856" t="s">
        <v>16</v>
      </c>
      <c r="L856" t="s">
        <v>2095</v>
      </c>
      <c r="M856">
        <v>6</v>
      </c>
      <c r="N856" t="s">
        <v>179</v>
      </c>
      <c r="O856" t="s">
        <v>2107</v>
      </c>
    </row>
    <row r="857" spans="1:15">
      <c r="A857" t="s">
        <v>2767</v>
      </c>
      <c r="B857" t="s">
        <v>2090</v>
      </c>
      <c r="C857" t="s">
        <v>2108</v>
      </c>
      <c r="D857" s="1">
        <v>43828</v>
      </c>
      <c r="E857" s="1">
        <v>45205</v>
      </c>
      <c r="F857">
        <v>87</v>
      </c>
      <c r="G857">
        <v>3</v>
      </c>
      <c r="H857">
        <v>360.53</v>
      </c>
      <c r="I857">
        <v>107.85</v>
      </c>
      <c r="J857" t="s">
        <v>66</v>
      </c>
      <c r="K857" t="s">
        <v>16</v>
      </c>
      <c r="L857" t="s">
        <v>2095</v>
      </c>
      <c r="M857">
        <v>5</v>
      </c>
      <c r="N857" t="s">
        <v>157</v>
      </c>
      <c r="O857" t="s">
        <v>2088</v>
      </c>
    </row>
    <row r="858" spans="1:15">
      <c r="A858" t="s">
        <v>2768</v>
      </c>
      <c r="B858" t="s">
        <v>2099</v>
      </c>
      <c r="C858" t="s">
        <v>2100</v>
      </c>
      <c r="D858" s="1">
        <v>44581</v>
      </c>
      <c r="E858" s="1">
        <v>45252</v>
      </c>
      <c r="F858">
        <v>40</v>
      </c>
      <c r="G858">
        <v>1</v>
      </c>
      <c r="H858">
        <v>84.07</v>
      </c>
      <c r="I858">
        <v>76.23</v>
      </c>
      <c r="J858" t="s">
        <v>90</v>
      </c>
      <c r="K858" t="s">
        <v>20</v>
      </c>
      <c r="L858" t="s">
        <v>2095</v>
      </c>
      <c r="M858">
        <v>7</v>
      </c>
      <c r="N858" t="s">
        <v>204</v>
      </c>
      <c r="O858" t="s">
        <v>2096</v>
      </c>
    </row>
    <row r="859" spans="1:15">
      <c r="A859" t="s">
        <v>2769</v>
      </c>
      <c r="B859" t="s">
        <v>2099</v>
      </c>
      <c r="C859" t="s">
        <v>2111</v>
      </c>
      <c r="D859" s="1">
        <v>45063</v>
      </c>
      <c r="E859" s="1">
        <v>45002</v>
      </c>
      <c r="F859">
        <v>290</v>
      </c>
      <c r="G859">
        <v>2</v>
      </c>
      <c r="H859">
        <v>50.67</v>
      </c>
      <c r="I859">
        <v>52.41</v>
      </c>
      <c r="J859" t="s">
        <v>66</v>
      </c>
      <c r="K859" t="s">
        <v>16</v>
      </c>
      <c r="L859" t="s">
        <v>2087</v>
      </c>
      <c r="M859">
        <v>8</v>
      </c>
      <c r="N859" t="s">
        <v>157</v>
      </c>
      <c r="O859" t="s">
        <v>2096</v>
      </c>
    </row>
    <row r="860" spans="1:15">
      <c r="A860" t="s">
        <v>2770</v>
      </c>
      <c r="B860" t="s">
        <v>2093</v>
      </c>
      <c r="C860" t="s">
        <v>2091</v>
      </c>
      <c r="D860" s="1">
        <v>44137</v>
      </c>
      <c r="E860" s="1">
        <v>45272</v>
      </c>
      <c r="F860">
        <v>20</v>
      </c>
      <c r="G860">
        <v>2</v>
      </c>
      <c r="H860">
        <v>60.68</v>
      </c>
      <c r="I860">
        <v>57.75</v>
      </c>
      <c r="J860" t="s">
        <v>14</v>
      </c>
      <c r="K860" t="s">
        <v>16</v>
      </c>
      <c r="L860" t="s">
        <v>2106</v>
      </c>
      <c r="M860">
        <v>10</v>
      </c>
      <c r="N860" t="s">
        <v>194</v>
      </c>
      <c r="O860" t="s">
        <v>2096</v>
      </c>
    </row>
    <row r="861" spans="1:15">
      <c r="A861" t="s">
        <v>2771</v>
      </c>
      <c r="B861" t="s">
        <v>2113</v>
      </c>
      <c r="C861" t="s">
        <v>2091</v>
      </c>
      <c r="D861" s="1">
        <v>44295</v>
      </c>
      <c r="E861" s="1">
        <v>45218</v>
      </c>
      <c r="F861">
        <v>74</v>
      </c>
      <c r="G861">
        <v>19</v>
      </c>
      <c r="H861">
        <v>568.53</v>
      </c>
      <c r="I861">
        <v>64.34</v>
      </c>
      <c r="J861" t="s">
        <v>14</v>
      </c>
      <c r="K861" t="s">
        <v>20</v>
      </c>
      <c r="L861" t="s">
        <v>2106</v>
      </c>
      <c r="M861">
        <v>2</v>
      </c>
      <c r="N861" t="s">
        <v>174</v>
      </c>
      <c r="O861" t="s">
        <v>2088</v>
      </c>
    </row>
    <row r="862" spans="1:15">
      <c r="A862" t="s">
        <v>2772</v>
      </c>
      <c r="B862" t="s">
        <v>2097</v>
      </c>
      <c r="C862" t="s">
        <v>2111</v>
      </c>
      <c r="D862" s="1">
        <v>45012</v>
      </c>
      <c r="E862" s="1">
        <v>45231</v>
      </c>
      <c r="F862">
        <v>61</v>
      </c>
      <c r="G862">
        <v>8</v>
      </c>
      <c r="H862">
        <v>519.11</v>
      </c>
      <c r="I862">
        <v>146.88999999999999</v>
      </c>
      <c r="J862" t="s">
        <v>115</v>
      </c>
      <c r="K862" t="s">
        <v>20</v>
      </c>
      <c r="L862" t="s">
        <v>2106</v>
      </c>
      <c r="M862">
        <v>10</v>
      </c>
      <c r="N862" t="s">
        <v>194</v>
      </c>
      <c r="O862" t="s">
        <v>2107</v>
      </c>
    </row>
    <row r="863" spans="1:15">
      <c r="A863" t="s">
        <v>2773</v>
      </c>
      <c r="B863" t="s">
        <v>2099</v>
      </c>
      <c r="C863" t="s">
        <v>2111</v>
      </c>
      <c r="D863" s="1">
        <v>43790</v>
      </c>
      <c r="E863" s="1">
        <v>44991</v>
      </c>
      <c r="F863">
        <v>301</v>
      </c>
      <c r="G863">
        <v>2</v>
      </c>
      <c r="H863">
        <v>121.84</v>
      </c>
      <c r="I863">
        <v>89.45</v>
      </c>
      <c r="J863" t="s">
        <v>66</v>
      </c>
      <c r="K863" t="s">
        <v>16</v>
      </c>
      <c r="L863" t="s">
        <v>2106</v>
      </c>
      <c r="M863">
        <v>3</v>
      </c>
      <c r="N863" t="s">
        <v>165</v>
      </c>
      <c r="O863" t="s">
        <v>2088</v>
      </c>
    </row>
    <row r="864" spans="1:15">
      <c r="A864" t="s">
        <v>2774</v>
      </c>
      <c r="B864" t="s">
        <v>2099</v>
      </c>
      <c r="C864" t="s">
        <v>2086</v>
      </c>
      <c r="D864" s="1">
        <v>43732</v>
      </c>
      <c r="E864" s="1">
        <v>45079</v>
      </c>
      <c r="F864">
        <v>213</v>
      </c>
      <c r="G864">
        <v>2</v>
      </c>
      <c r="H864">
        <v>85.96</v>
      </c>
      <c r="I864">
        <v>43.35</v>
      </c>
      <c r="J864" t="s">
        <v>66</v>
      </c>
      <c r="K864" t="s">
        <v>20</v>
      </c>
      <c r="L864" t="s">
        <v>2106</v>
      </c>
      <c r="M864">
        <v>8</v>
      </c>
      <c r="N864" t="s">
        <v>232</v>
      </c>
      <c r="O864" t="s">
        <v>2096</v>
      </c>
    </row>
    <row r="865" spans="1:15">
      <c r="A865" t="s">
        <v>1166</v>
      </c>
      <c r="B865" t="s">
        <v>2093</v>
      </c>
      <c r="C865" t="s">
        <v>2100</v>
      </c>
      <c r="D865" s="1">
        <v>44583</v>
      </c>
      <c r="E865" s="1">
        <v>45186</v>
      </c>
      <c r="F865">
        <v>106</v>
      </c>
      <c r="G865">
        <v>1</v>
      </c>
      <c r="H865">
        <v>78.209999999999994</v>
      </c>
      <c r="I865">
        <v>47.11</v>
      </c>
      <c r="J865" t="s">
        <v>14</v>
      </c>
      <c r="K865" t="s">
        <v>20</v>
      </c>
      <c r="L865" t="s">
        <v>2106</v>
      </c>
      <c r="M865">
        <v>7</v>
      </c>
      <c r="N865" t="s">
        <v>174</v>
      </c>
      <c r="O865" t="s">
        <v>2121</v>
      </c>
    </row>
    <row r="866" spans="1:15">
      <c r="A866" t="s">
        <v>2001</v>
      </c>
      <c r="B866" t="s">
        <v>2097</v>
      </c>
      <c r="C866" t="s">
        <v>2091</v>
      </c>
      <c r="D866" s="1">
        <v>44265</v>
      </c>
      <c r="E866" s="1">
        <v>45171</v>
      </c>
      <c r="F866">
        <v>121</v>
      </c>
      <c r="G866">
        <v>6</v>
      </c>
      <c r="H866">
        <v>731.88</v>
      </c>
      <c r="I866">
        <v>90.17</v>
      </c>
      <c r="J866" t="s">
        <v>115</v>
      </c>
      <c r="K866" t="s">
        <v>20</v>
      </c>
      <c r="L866" t="s">
        <v>2095</v>
      </c>
      <c r="M866">
        <v>0</v>
      </c>
      <c r="N866" t="s">
        <v>232</v>
      </c>
      <c r="O866" t="s">
        <v>2109</v>
      </c>
    </row>
    <row r="867" spans="1:15">
      <c r="A867" t="s">
        <v>2775</v>
      </c>
      <c r="B867" t="s">
        <v>2113</v>
      </c>
      <c r="C867" t="s">
        <v>2108</v>
      </c>
      <c r="D867" s="1">
        <v>43596</v>
      </c>
      <c r="E867" s="1">
        <v>45248</v>
      </c>
      <c r="F867">
        <v>44</v>
      </c>
      <c r="G867">
        <v>17</v>
      </c>
      <c r="H867">
        <v>490.12</v>
      </c>
      <c r="I867">
        <v>78.180000000000007</v>
      </c>
      <c r="J867" t="s">
        <v>90</v>
      </c>
      <c r="K867" t="s">
        <v>16</v>
      </c>
      <c r="L867" t="s">
        <v>2106</v>
      </c>
      <c r="M867">
        <v>8</v>
      </c>
      <c r="N867" t="s">
        <v>204</v>
      </c>
      <c r="O867" t="s">
        <v>2109</v>
      </c>
    </row>
    <row r="868" spans="1:15">
      <c r="A868" t="s">
        <v>2776</v>
      </c>
      <c r="B868" t="s">
        <v>2090</v>
      </c>
      <c r="C868" t="s">
        <v>2100</v>
      </c>
      <c r="D868" s="1">
        <v>44359</v>
      </c>
      <c r="E868" s="1">
        <v>45185</v>
      </c>
      <c r="F868">
        <v>107</v>
      </c>
      <c r="G868">
        <v>3</v>
      </c>
      <c r="H868">
        <v>354.25</v>
      </c>
      <c r="I868">
        <v>85.97</v>
      </c>
      <c r="J868" t="s">
        <v>41</v>
      </c>
      <c r="K868" t="s">
        <v>16</v>
      </c>
      <c r="L868" t="s">
        <v>2087</v>
      </c>
      <c r="M868">
        <v>8</v>
      </c>
      <c r="N868" t="s">
        <v>232</v>
      </c>
      <c r="O868" t="s">
        <v>2107</v>
      </c>
    </row>
    <row r="869" spans="1:15">
      <c r="A869" t="s">
        <v>1450</v>
      </c>
      <c r="B869" t="s">
        <v>2099</v>
      </c>
      <c r="C869" t="s">
        <v>2111</v>
      </c>
      <c r="D869" s="1">
        <v>44861</v>
      </c>
      <c r="E869" s="1">
        <v>45195</v>
      </c>
      <c r="F869">
        <v>97</v>
      </c>
      <c r="G869">
        <v>1</v>
      </c>
      <c r="H869">
        <v>122.77</v>
      </c>
      <c r="I869">
        <v>62.57</v>
      </c>
      <c r="J869" t="s">
        <v>90</v>
      </c>
      <c r="K869" t="s">
        <v>20</v>
      </c>
      <c r="L869" t="s">
        <v>2095</v>
      </c>
      <c r="M869">
        <v>10</v>
      </c>
      <c r="N869" t="s">
        <v>165</v>
      </c>
      <c r="O869" t="s">
        <v>2107</v>
      </c>
    </row>
    <row r="870" spans="1:15">
      <c r="A870" t="s">
        <v>367</v>
      </c>
      <c r="B870" t="s">
        <v>2113</v>
      </c>
      <c r="C870" t="s">
        <v>2100</v>
      </c>
      <c r="D870" s="1">
        <v>44824</v>
      </c>
      <c r="E870" s="1">
        <v>45111</v>
      </c>
      <c r="F870">
        <v>181</v>
      </c>
      <c r="G870">
        <v>6</v>
      </c>
      <c r="H870">
        <v>447.75</v>
      </c>
      <c r="I870">
        <v>74.150000000000006</v>
      </c>
      <c r="J870" t="s">
        <v>90</v>
      </c>
      <c r="K870" t="s">
        <v>20</v>
      </c>
      <c r="L870" t="s">
        <v>2106</v>
      </c>
      <c r="M870">
        <v>5</v>
      </c>
      <c r="N870" t="s">
        <v>165</v>
      </c>
      <c r="O870" t="s">
        <v>2109</v>
      </c>
    </row>
    <row r="871" spans="1:15">
      <c r="A871" t="s">
        <v>2777</v>
      </c>
      <c r="B871" t="s">
        <v>2090</v>
      </c>
      <c r="C871" t="s">
        <v>2091</v>
      </c>
      <c r="D871" s="1">
        <v>44038</v>
      </c>
      <c r="E871" s="1">
        <v>45204</v>
      </c>
      <c r="F871">
        <v>88</v>
      </c>
      <c r="G871">
        <v>2</v>
      </c>
      <c r="H871">
        <v>89.8</v>
      </c>
      <c r="I871">
        <v>49.99</v>
      </c>
      <c r="J871" t="s">
        <v>66</v>
      </c>
      <c r="K871" t="s">
        <v>16</v>
      </c>
      <c r="L871" t="s">
        <v>2087</v>
      </c>
      <c r="M871">
        <v>4</v>
      </c>
      <c r="N871" t="s">
        <v>157</v>
      </c>
      <c r="O871" t="s">
        <v>2088</v>
      </c>
    </row>
    <row r="872" spans="1:15">
      <c r="A872" t="s">
        <v>2778</v>
      </c>
      <c r="B872" t="s">
        <v>2099</v>
      </c>
      <c r="C872" t="s">
        <v>2094</v>
      </c>
      <c r="D872" s="1">
        <v>44188</v>
      </c>
      <c r="E872" s="1">
        <v>45240</v>
      </c>
      <c r="F872">
        <v>52</v>
      </c>
      <c r="G872">
        <v>2</v>
      </c>
      <c r="H872">
        <v>97.17</v>
      </c>
      <c r="I872">
        <v>35.69</v>
      </c>
      <c r="J872" t="s">
        <v>41</v>
      </c>
      <c r="K872" t="s">
        <v>20</v>
      </c>
      <c r="L872" t="s">
        <v>2095</v>
      </c>
      <c r="M872">
        <v>10</v>
      </c>
      <c r="N872" t="s">
        <v>157</v>
      </c>
      <c r="O872" t="s">
        <v>2088</v>
      </c>
    </row>
    <row r="873" spans="1:15">
      <c r="A873" t="s">
        <v>1205</v>
      </c>
      <c r="B873" t="s">
        <v>2093</v>
      </c>
      <c r="C873" t="s">
        <v>2091</v>
      </c>
      <c r="D873" s="1">
        <v>45166</v>
      </c>
      <c r="E873" s="1">
        <v>45040</v>
      </c>
      <c r="F873">
        <v>252</v>
      </c>
      <c r="G873">
        <v>5</v>
      </c>
      <c r="H873">
        <v>173.95</v>
      </c>
      <c r="I873">
        <v>67.37</v>
      </c>
      <c r="J873" t="s">
        <v>115</v>
      </c>
      <c r="K873" t="s">
        <v>20</v>
      </c>
      <c r="L873" t="s">
        <v>2095</v>
      </c>
      <c r="M873">
        <v>5</v>
      </c>
      <c r="N873" t="s">
        <v>204</v>
      </c>
      <c r="O873" t="s">
        <v>2107</v>
      </c>
    </row>
    <row r="874" spans="1:15">
      <c r="A874" t="s">
        <v>2779</v>
      </c>
      <c r="B874" t="s">
        <v>2113</v>
      </c>
      <c r="C874" t="s">
        <v>2094</v>
      </c>
      <c r="D874" s="1">
        <v>43848</v>
      </c>
      <c r="E874" s="1">
        <v>45199</v>
      </c>
      <c r="F874">
        <v>93</v>
      </c>
      <c r="G874">
        <v>7</v>
      </c>
      <c r="H874">
        <v>442.23</v>
      </c>
      <c r="I874">
        <v>75.8</v>
      </c>
      <c r="J874" t="s">
        <v>90</v>
      </c>
      <c r="K874" t="s">
        <v>16</v>
      </c>
      <c r="L874" t="s">
        <v>2087</v>
      </c>
      <c r="M874">
        <v>6</v>
      </c>
      <c r="N874" t="s">
        <v>157</v>
      </c>
      <c r="O874" t="s">
        <v>2088</v>
      </c>
    </row>
    <row r="875" spans="1:15">
      <c r="A875" t="s">
        <v>2780</v>
      </c>
      <c r="B875" t="s">
        <v>2097</v>
      </c>
      <c r="C875" t="s">
        <v>2094</v>
      </c>
      <c r="D875" s="1">
        <v>44888</v>
      </c>
      <c r="E875" s="1">
        <v>45040</v>
      </c>
      <c r="F875">
        <v>252</v>
      </c>
      <c r="G875">
        <v>9</v>
      </c>
      <c r="H875">
        <v>764.94</v>
      </c>
      <c r="I875">
        <v>72.17</v>
      </c>
      <c r="J875" t="s">
        <v>115</v>
      </c>
      <c r="K875" t="s">
        <v>20</v>
      </c>
      <c r="L875" t="s">
        <v>2106</v>
      </c>
      <c r="M875">
        <v>5</v>
      </c>
      <c r="N875" t="s">
        <v>174</v>
      </c>
      <c r="O875" t="s">
        <v>2107</v>
      </c>
    </row>
    <row r="876" spans="1:15">
      <c r="A876" t="s">
        <v>2781</v>
      </c>
      <c r="B876" t="s">
        <v>2090</v>
      </c>
      <c r="C876" t="s">
        <v>2108</v>
      </c>
      <c r="D876" s="1">
        <v>44215</v>
      </c>
      <c r="E876" s="1">
        <v>44940</v>
      </c>
      <c r="F876">
        <v>352</v>
      </c>
      <c r="G876">
        <v>2</v>
      </c>
      <c r="H876">
        <v>259.18</v>
      </c>
      <c r="I876">
        <v>71.3</v>
      </c>
      <c r="J876" t="s">
        <v>90</v>
      </c>
      <c r="K876" t="s">
        <v>20</v>
      </c>
      <c r="L876" t="s">
        <v>2087</v>
      </c>
      <c r="M876">
        <v>6</v>
      </c>
      <c r="N876" t="s">
        <v>179</v>
      </c>
      <c r="O876" t="s">
        <v>2088</v>
      </c>
    </row>
    <row r="877" spans="1:15">
      <c r="A877" t="s">
        <v>2782</v>
      </c>
      <c r="B877" t="s">
        <v>2113</v>
      </c>
      <c r="C877" t="s">
        <v>2094</v>
      </c>
      <c r="D877" s="1">
        <v>45049</v>
      </c>
      <c r="E877" s="1">
        <v>45275</v>
      </c>
      <c r="F877">
        <v>17</v>
      </c>
      <c r="G877">
        <v>5</v>
      </c>
      <c r="H877">
        <v>404.94</v>
      </c>
      <c r="I877">
        <v>67.8</v>
      </c>
      <c r="J877" t="s">
        <v>66</v>
      </c>
      <c r="K877" t="s">
        <v>16</v>
      </c>
      <c r="L877" t="s">
        <v>2095</v>
      </c>
      <c r="M877">
        <v>3</v>
      </c>
      <c r="N877" t="s">
        <v>194</v>
      </c>
      <c r="O877" t="s">
        <v>2088</v>
      </c>
    </row>
    <row r="878" spans="1:15">
      <c r="A878" t="s">
        <v>1880</v>
      </c>
      <c r="B878" t="s">
        <v>2085</v>
      </c>
      <c r="C878" t="s">
        <v>2111</v>
      </c>
      <c r="D878" s="1">
        <v>44647</v>
      </c>
      <c r="E878" s="1">
        <v>44965</v>
      </c>
      <c r="F878">
        <v>327</v>
      </c>
      <c r="G878">
        <v>40</v>
      </c>
      <c r="H878">
        <v>2285.94</v>
      </c>
      <c r="I878">
        <v>202.46</v>
      </c>
      <c r="J878" t="s">
        <v>90</v>
      </c>
      <c r="K878" t="s">
        <v>20</v>
      </c>
      <c r="L878" t="s">
        <v>2087</v>
      </c>
      <c r="M878">
        <v>2</v>
      </c>
      <c r="N878" t="s">
        <v>174</v>
      </c>
      <c r="O878" t="s">
        <v>2107</v>
      </c>
    </row>
    <row r="879" spans="1:15">
      <c r="A879" t="s">
        <v>2783</v>
      </c>
      <c r="B879" t="s">
        <v>2090</v>
      </c>
      <c r="C879" t="s">
        <v>2111</v>
      </c>
      <c r="D879" s="1">
        <v>44017</v>
      </c>
      <c r="E879" s="1">
        <v>44946</v>
      </c>
      <c r="F879">
        <v>346</v>
      </c>
      <c r="G879">
        <v>8</v>
      </c>
      <c r="H879">
        <v>305.5</v>
      </c>
      <c r="I879">
        <v>86.56</v>
      </c>
      <c r="J879" t="s">
        <v>66</v>
      </c>
      <c r="K879" t="s">
        <v>16</v>
      </c>
      <c r="L879" t="s">
        <v>2087</v>
      </c>
      <c r="M879">
        <v>4</v>
      </c>
      <c r="N879" t="s">
        <v>174</v>
      </c>
      <c r="O879" t="s">
        <v>2121</v>
      </c>
    </row>
    <row r="880" spans="1:15">
      <c r="A880" t="s">
        <v>2784</v>
      </c>
      <c r="B880" t="s">
        <v>2113</v>
      </c>
      <c r="C880" t="s">
        <v>2091</v>
      </c>
      <c r="D880" s="1">
        <v>43880</v>
      </c>
      <c r="E880" s="1">
        <v>44981</v>
      </c>
      <c r="F880">
        <v>311</v>
      </c>
      <c r="G880">
        <v>19</v>
      </c>
      <c r="H880">
        <v>153.76</v>
      </c>
      <c r="I880">
        <v>71.38</v>
      </c>
      <c r="J880" t="s">
        <v>41</v>
      </c>
      <c r="K880" t="s">
        <v>16</v>
      </c>
      <c r="L880" t="s">
        <v>2106</v>
      </c>
      <c r="M880">
        <v>3</v>
      </c>
      <c r="N880" t="s">
        <v>179</v>
      </c>
      <c r="O880" t="s">
        <v>2109</v>
      </c>
    </row>
    <row r="881" spans="1:15">
      <c r="A881" t="s">
        <v>915</v>
      </c>
      <c r="B881" t="s">
        <v>2099</v>
      </c>
      <c r="C881" t="s">
        <v>2111</v>
      </c>
      <c r="D881" s="1">
        <v>45209</v>
      </c>
      <c r="E881" s="1">
        <v>45089</v>
      </c>
      <c r="F881">
        <v>203</v>
      </c>
      <c r="G881">
        <v>1</v>
      </c>
      <c r="H881">
        <v>50.96</v>
      </c>
      <c r="I881">
        <v>54.1</v>
      </c>
      <c r="J881" t="s">
        <v>14</v>
      </c>
      <c r="K881" t="s">
        <v>20</v>
      </c>
      <c r="L881" t="s">
        <v>2087</v>
      </c>
      <c r="M881">
        <v>2</v>
      </c>
      <c r="N881" t="s">
        <v>165</v>
      </c>
      <c r="O881" t="s">
        <v>2096</v>
      </c>
    </row>
    <row r="882" spans="1:15">
      <c r="A882" t="s">
        <v>2785</v>
      </c>
      <c r="B882" t="s">
        <v>2113</v>
      </c>
      <c r="C882" t="s">
        <v>2086</v>
      </c>
      <c r="D882" s="1">
        <v>44401</v>
      </c>
      <c r="E882" s="1">
        <v>45123</v>
      </c>
      <c r="F882">
        <v>169</v>
      </c>
      <c r="G882">
        <v>7</v>
      </c>
      <c r="H882">
        <v>117.6</v>
      </c>
      <c r="I882">
        <v>47.69</v>
      </c>
      <c r="J882" t="s">
        <v>115</v>
      </c>
      <c r="K882" t="s">
        <v>16</v>
      </c>
      <c r="L882" t="s">
        <v>2106</v>
      </c>
      <c r="M882">
        <v>9</v>
      </c>
      <c r="N882" t="s">
        <v>232</v>
      </c>
      <c r="O882" t="s">
        <v>2109</v>
      </c>
    </row>
    <row r="883" spans="1:15">
      <c r="A883" t="s">
        <v>2786</v>
      </c>
      <c r="B883" t="s">
        <v>2090</v>
      </c>
      <c r="C883" t="s">
        <v>2111</v>
      </c>
      <c r="D883" s="1">
        <v>45017</v>
      </c>
      <c r="E883" s="1">
        <v>45171</v>
      </c>
      <c r="F883">
        <v>121</v>
      </c>
      <c r="G883">
        <v>2</v>
      </c>
      <c r="H883">
        <v>273.62</v>
      </c>
      <c r="I883">
        <v>106.79</v>
      </c>
      <c r="J883" t="s">
        <v>66</v>
      </c>
      <c r="K883" t="s">
        <v>16</v>
      </c>
      <c r="L883" t="s">
        <v>2095</v>
      </c>
      <c r="M883">
        <v>3</v>
      </c>
      <c r="N883" t="s">
        <v>179</v>
      </c>
      <c r="O883" t="s">
        <v>2088</v>
      </c>
    </row>
    <row r="884" spans="1:15">
      <c r="A884" t="s">
        <v>2787</v>
      </c>
      <c r="B884" t="s">
        <v>2090</v>
      </c>
      <c r="C884" t="s">
        <v>2094</v>
      </c>
      <c r="D884" s="1">
        <v>43799</v>
      </c>
      <c r="E884" s="1">
        <v>44997</v>
      </c>
      <c r="F884">
        <v>295</v>
      </c>
      <c r="G884">
        <v>6</v>
      </c>
      <c r="H884">
        <v>354.07</v>
      </c>
      <c r="I884">
        <v>67.87</v>
      </c>
      <c r="J884" t="s">
        <v>115</v>
      </c>
      <c r="K884" t="s">
        <v>16</v>
      </c>
      <c r="L884" t="s">
        <v>2087</v>
      </c>
      <c r="M884">
        <v>0</v>
      </c>
      <c r="N884" t="s">
        <v>194</v>
      </c>
      <c r="O884" t="s">
        <v>2088</v>
      </c>
    </row>
    <row r="885" spans="1:15">
      <c r="A885" t="s">
        <v>2788</v>
      </c>
      <c r="B885" t="s">
        <v>2090</v>
      </c>
      <c r="C885" t="s">
        <v>2094</v>
      </c>
      <c r="D885" s="1">
        <v>44371</v>
      </c>
      <c r="E885" s="1">
        <v>45070</v>
      </c>
      <c r="F885">
        <v>222</v>
      </c>
      <c r="G885">
        <v>5</v>
      </c>
      <c r="H885">
        <v>333.53</v>
      </c>
      <c r="I885">
        <v>75.98</v>
      </c>
      <c r="J885" t="s">
        <v>41</v>
      </c>
      <c r="K885" t="s">
        <v>16</v>
      </c>
      <c r="L885" t="s">
        <v>2087</v>
      </c>
      <c r="M885">
        <v>5</v>
      </c>
      <c r="N885" t="s">
        <v>232</v>
      </c>
      <c r="O885" t="s">
        <v>2121</v>
      </c>
    </row>
    <row r="886" spans="1:15">
      <c r="A886" t="s">
        <v>2789</v>
      </c>
      <c r="B886" t="s">
        <v>2093</v>
      </c>
      <c r="C886" t="s">
        <v>2094</v>
      </c>
      <c r="D886" s="1">
        <v>44670</v>
      </c>
      <c r="E886" s="1">
        <v>45143</v>
      </c>
      <c r="F886">
        <v>149</v>
      </c>
      <c r="G886">
        <v>3</v>
      </c>
      <c r="H886">
        <v>122.03</v>
      </c>
      <c r="I886">
        <v>40.369999999999997</v>
      </c>
      <c r="J886" t="s">
        <v>66</v>
      </c>
      <c r="K886" t="s">
        <v>20</v>
      </c>
      <c r="L886" t="s">
        <v>2106</v>
      </c>
      <c r="M886">
        <v>4</v>
      </c>
      <c r="N886" t="s">
        <v>157</v>
      </c>
      <c r="O886" t="s">
        <v>2088</v>
      </c>
    </row>
    <row r="887" spans="1:15">
      <c r="A887" t="s">
        <v>2790</v>
      </c>
      <c r="B887" t="s">
        <v>2097</v>
      </c>
      <c r="C887" t="s">
        <v>2100</v>
      </c>
      <c r="D887" s="1">
        <v>43635</v>
      </c>
      <c r="E887" s="1">
        <v>45281</v>
      </c>
      <c r="F887">
        <v>11</v>
      </c>
      <c r="G887">
        <v>7</v>
      </c>
      <c r="H887">
        <v>772.7</v>
      </c>
      <c r="I887">
        <v>141.05000000000001</v>
      </c>
      <c r="J887" t="s">
        <v>66</v>
      </c>
      <c r="K887" t="s">
        <v>16</v>
      </c>
      <c r="L887" t="s">
        <v>2095</v>
      </c>
      <c r="M887">
        <v>0</v>
      </c>
      <c r="N887" t="s">
        <v>174</v>
      </c>
      <c r="O887" t="s">
        <v>2096</v>
      </c>
    </row>
    <row r="888" spans="1:15">
      <c r="A888" t="s">
        <v>2791</v>
      </c>
      <c r="B888" t="s">
        <v>2097</v>
      </c>
      <c r="C888" t="s">
        <v>2111</v>
      </c>
      <c r="D888" s="1">
        <v>44791</v>
      </c>
      <c r="E888" s="1">
        <v>45045</v>
      </c>
      <c r="F888">
        <v>247</v>
      </c>
      <c r="G888">
        <v>7</v>
      </c>
      <c r="H888">
        <v>392.13</v>
      </c>
      <c r="I888">
        <v>72.959999999999994</v>
      </c>
      <c r="J888" t="s">
        <v>41</v>
      </c>
      <c r="K888" t="s">
        <v>16</v>
      </c>
      <c r="L888" t="s">
        <v>2106</v>
      </c>
      <c r="M888">
        <v>1</v>
      </c>
      <c r="N888" t="s">
        <v>179</v>
      </c>
      <c r="O888" t="s">
        <v>2121</v>
      </c>
    </row>
    <row r="889" spans="1:15">
      <c r="A889" t="s">
        <v>2792</v>
      </c>
      <c r="B889" t="s">
        <v>2113</v>
      </c>
      <c r="C889" t="s">
        <v>2086</v>
      </c>
      <c r="D889" s="1">
        <v>44450</v>
      </c>
      <c r="E889" s="1">
        <v>44944</v>
      </c>
      <c r="F889">
        <v>348</v>
      </c>
      <c r="G889">
        <v>7</v>
      </c>
      <c r="H889">
        <v>204.17</v>
      </c>
      <c r="I889">
        <v>46.2</v>
      </c>
      <c r="J889" t="s">
        <v>41</v>
      </c>
      <c r="K889" t="s">
        <v>20</v>
      </c>
      <c r="L889" t="s">
        <v>2106</v>
      </c>
      <c r="M889">
        <v>6</v>
      </c>
      <c r="N889" t="s">
        <v>232</v>
      </c>
      <c r="O889" t="s">
        <v>2107</v>
      </c>
    </row>
    <row r="890" spans="1:15">
      <c r="A890" t="s">
        <v>2793</v>
      </c>
      <c r="B890" t="s">
        <v>2093</v>
      </c>
      <c r="C890" t="s">
        <v>2086</v>
      </c>
      <c r="D890" s="1">
        <v>44530</v>
      </c>
      <c r="E890" s="1">
        <v>45195</v>
      </c>
      <c r="F890">
        <v>97</v>
      </c>
      <c r="G890">
        <v>1</v>
      </c>
      <c r="H890">
        <v>78.260000000000005</v>
      </c>
      <c r="I890">
        <v>37.06</v>
      </c>
      <c r="J890" t="s">
        <v>90</v>
      </c>
      <c r="K890" t="s">
        <v>16</v>
      </c>
      <c r="L890" t="s">
        <v>2106</v>
      </c>
      <c r="M890">
        <v>9</v>
      </c>
      <c r="N890" t="s">
        <v>165</v>
      </c>
      <c r="O890" t="s">
        <v>2109</v>
      </c>
    </row>
    <row r="891" spans="1:15">
      <c r="A891" t="s">
        <v>2794</v>
      </c>
      <c r="B891" t="s">
        <v>2097</v>
      </c>
      <c r="C891" t="s">
        <v>2100</v>
      </c>
      <c r="D891" s="1">
        <v>43920</v>
      </c>
      <c r="E891" s="1">
        <v>45143</v>
      </c>
      <c r="F891">
        <v>149</v>
      </c>
      <c r="G891">
        <v>10</v>
      </c>
      <c r="H891">
        <v>776.01</v>
      </c>
      <c r="I891">
        <v>119.04</v>
      </c>
      <c r="J891" t="s">
        <v>90</v>
      </c>
      <c r="K891" t="s">
        <v>20</v>
      </c>
      <c r="L891" t="s">
        <v>2087</v>
      </c>
      <c r="M891">
        <v>10</v>
      </c>
      <c r="N891" t="s">
        <v>204</v>
      </c>
      <c r="O891" t="s">
        <v>2107</v>
      </c>
    </row>
    <row r="892" spans="1:15">
      <c r="A892" t="s">
        <v>2795</v>
      </c>
      <c r="B892" t="s">
        <v>2093</v>
      </c>
      <c r="C892" t="s">
        <v>2091</v>
      </c>
      <c r="D892" s="1">
        <v>44978</v>
      </c>
      <c r="E892" s="1">
        <v>45287</v>
      </c>
      <c r="F892">
        <v>5</v>
      </c>
      <c r="G892">
        <v>1</v>
      </c>
      <c r="H892">
        <v>52.06</v>
      </c>
      <c r="I892">
        <v>70.760000000000005</v>
      </c>
      <c r="J892" t="s">
        <v>66</v>
      </c>
      <c r="K892" t="s">
        <v>16</v>
      </c>
      <c r="L892" t="s">
        <v>2095</v>
      </c>
      <c r="M892">
        <v>1</v>
      </c>
      <c r="N892" t="s">
        <v>232</v>
      </c>
      <c r="O892" t="s">
        <v>2107</v>
      </c>
    </row>
    <row r="893" spans="1:15">
      <c r="A893" t="s">
        <v>2796</v>
      </c>
      <c r="B893" t="s">
        <v>2097</v>
      </c>
      <c r="C893" t="s">
        <v>2111</v>
      </c>
      <c r="D893" s="1">
        <v>43739</v>
      </c>
      <c r="E893" s="1">
        <v>45024</v>
      </c>
      <c r="F893">
        <v>268</v>
      </c>
      <c r="G893">
        <v>11</v>
      </c>
      <c r="H893">
        <v>675.02</v>
      </c>
      <c r="I893">
        <v>60.59</v>
      </c>
      <c r="J893" t="s">
        <v>41</v>
      </c>
      <c r="K893" t="s">
        <v>16</v>
      </c>
      <c r="L893" t="s">
        <v>2106</v>
      </c>
      <c r="M893">
        <v>2</v>
      </c>
      <c r="N893" t="s">
        <v>179</v>
      </c>
      <c r="O893" t="s">
        <v>2096</v>
      </c>
    </row>
    <row r="894" spans="1:15">
      <c r="A894" t="s">
        <v>2797</v>
      </c>
      <c r="B894" t="s">
        <v>2093</v>
      </c>
      <c r="C894" t="s">
        <v>2111</v>
      </c>
      <c r="D894" s="1">
        <v>44978</v>
      </c>
      <c r="E894" s="1">
        <v>44931</v>
      </c>
      <c r="F894">
        <v>361</v>
      </c>
      <c r="G894">
        <v>3</v>
      </c>
      <c r="H894">
        <v>136.09</v>
      </c>
      <c r="I894">
        <v>23.54</v>
      </c>
      <c r="J894" t="s">
        <v>115</v>
      </c>
      <c r="K894" t="s">
        <v>16</v>
      </c>
      <c r="L894" t="s">
        <v>2087</v>
      </c>
      <c r="M894">
        <v>4</v>
      </c>
      <c r="N894" t="s">
        <v>204</v>
      </c>
      <c r="O894" t="s">
        <v>2107</v>
      </c>
    </row>
    <row r="895" spans="1:15">
      <c r="A895" t="s">
        <v>2798</v>
      </c>
      <c r="B895" t="s">
        <v>2097</v>
      </c>
      <c r="C895" t="s">
        <v>2100</v>
      </c>
      <c r="D895" s="1">
        <v>43804</v>
      </c>
      <c r="E895" s="1">
        <v>45168</v>
      </c>
      <c r="F895">
        <v>124</v>
      </c>
      <c r="G895">
        <v>11</v>
      </c>
      <c r="H895">
        <v>451.07</v>
      </c>
      <c r="I895">
        <v>52.42</v>
      </c>
      <c r="J895" t="s">
        <v>115</v>
      </c>
      <c r="K895" t="s">
        <v>20</v>
      </c>
      <c r="L895" t="s">
        <v>2095</v>
      </c>
      <c r="M895">
        <v>10</v>
      </c>
      <c r="N895" t="s">
        <v>204</v>
      </c>
      <c r="O895" t="s">
        <v>2107</v>
      </c>
    </row>
    <row r="896" spans="1:15">
      <c r="A896" t="s">
        <v>2799</v>
      </c>
      <c r="B896" t="s">
        <v>2097</v>
      </c>
      <c r="C896" t="s">
        <v>2086</v>
      </c>
      <c r="D896" s="1">
        <v>44995</v>
      </c>
      <c r="E896" s="1">
        <v>45112</v>
      </c>
      <c r="F896">
        <v>180</v>
      </c>
      <c r="G896">
        <v>8</v>
      </c>
      <c r="H896">
        <v>462.05</v>
      </c>
      <c r="I896">
        <v>82.08</v>
      </c>
      <c r="J896" t="s">
        <v>66</v>
      </c>
      <c r="K896" t="s">
        <v>16</v>
      </c>
      <c r="L896" t="s">
        <v>2095</v>
      </c>
      <c r="M896">
        <v>6</v>
      </c>
      <c r="N896" t="s">
        <v>157</v>
      </c>
      <c r="O896" t="s">
        <v>2088</v>
      </c>
    </row>
    <row r="897" spans="1:15">
      <c r="A897" t="s">
        <v>2800</v>
      </c>
      <c r="B897" t="s">
        <v>2085</v>
      </c>
      <c r="C897" t="s">
        <v>2108</v>
      </c>
      <c r="D897" s="1">
        <v>45138</v>
      </c>
      <c r="E897" s="1">
        <v>45269</v>
      </c>
      <c r="F897">
        <v>23</v>
      </c>
      <c r="G897">
        <v>22</v>
      </c>
      <c r="H897">
        <v>1113.3800000000001</v>
      </c>
      <c r="I897">
        <v>118.05</v>
      </c>
      <c r="J897" t="s">
        <v>90</v>
      </c>
      <c r="K897" t="s">
        <v>16</v>
      </c>
      <c r="L897" t="s">
        <v>2106</v>
      </c>
      <c r="M897">
        <v>8</v>
      </c>
      <c r="N897" t="s">
        <v>157</v>
      </c>
      <c r="O897" t="s">
        <v>2096</v>
      </c>
    </row>
    <row r="898" spans="1:15">
      <c r="A898" t="s">
        <v>934</v>
      </c>
      <c r="B898" t="s">
        <v>2099</v>
      </c>
      <c r="C898" t="s">
        <v>2108</v>
      </c>
      <c r="D898" s="1">
        <v>44366</v>
      </c>
      <c r="E898" s="1">
        <v>44988</v>
      </c>
      <c r="F898">
        <v>304</v>
      </c>
      <c r="G898">
        <v>1</v>
      </c>
      <c r="H898">
        <v>91.42</v>
      </c>
      <c r="I898">
        <v>34.53</v>
      </c>
      <c r="J898" t="s">
        <v>90</v>
      </c>
      <c r="K898" t="s">
        <v>16</v>
      </c>
      <c r="L898" t="s">
        <v>2095</v>
      </c>
      <c r="M898">
        <v>7</v>
      </c>
      <c r="N898" t="s">
        <v>165</v>
      </c>
      <c r="O898" t="s">
        <v>2107</v>
      </c>
    </row>
    <row r="899" spans="1:15">
      <c r="A899" t="s">
        <v>339</v>
      </c>
      <c r="B899" t="s">
        <v>2097</v>
      </c>
      <c r="C899" t="s">
        <v>2086</v>
      </c>
      <c r="D899" s="1">
        <v>44622</v>
      </c>
      <c r="E899" s="1">
        <v>45262</v>
      </c>
      <c r="F899">
        <v>30</v>
      </c>
      <c r="G899">
        <v>10</v>
      </c>
      <c r="H899">
        <v>661.69</v>
      </c>
      <c r="I899">
        <v>122.83</v>
      </c>
      <c r="J899" t="s">
        <v>41</v>
      </c>
      <c r="K899" t="s">
        <v>16</v>
      </c>
      <c r="L899" t="s">
        <v>2087</v>
      </c>
      <c r="M899">
        <v>2</v>
      </c>
      <c r="N899" t="s">
        <v>157</v>
      </c>
      <c r="O899" t="s">
        <v>2107</v>
      </c>
    </row>
    <row r="900" spans="1:15">
      <c r="A900" t="s">
        <v>2801</v>
      </c>
      <c r="B900" t="s">
        <v>2090</v>
      </c>
      <c r="C900" t="s">
        <v>2111</v>
      </c>
      <c r="D900" s="1">
        <v>44309</v>
      </c>
      <c r="E900" s="1">
        <v>45014</v>
      </c>
      <c r="F900">
        <v>278</v>
      </c>
      <c r="G900">
        <v>6</v>
      </c>
      <c r="H900">
        <v>371.09</v>
      </c>
      <c r="I900">
        <v>57.13</v>
      </c>
      <c r="J900" t="s">
        <v>90</v>
      </c>
      <c r="K900" t="s">
        <v>16</v>
      </c>
      <c r="L900" t="s">
        <v>2106</v>
      </c>
      <c r="M900">
        <v>9</v>
      </c>
      <c r="N900" t="s">
        <v>174</v>
      </c>
      <c r="O900" t="s">
        <v>2121</v>
      </c>
    </row>
    <row r="901" spans="1:15">
      <c r="A901" t="s">
        <v>2802</v>
      </c>
      <c r="B901" t="s">
        <v>2097</v>
      </c>
      <c r="C901" t="s">
        <v>2108</v>
      </c>
      <c r="D901" s="1">
        <v>43807</v>
      </c>
      <c r="E901" s="1">
        <v>45093</v>
      </c>
      <c r="F901">
        <v>199</v>
      </c>
      <c r="G901">
        <v>11</v>
      </c>
      <c r="H901">
        <v>507.93</v>
      </c>
      <c r="I901">
        <v>73.650000000000006</v>
      </c>
      <c r="J901" t="s">
        <v>66</v>
      </c>
      <c r="K901" t="s">
        <v>20</v>
      </c>
      <c r="L901" t="s">
        <v>2095</v>
      </c>
      <c r="M901">
        <v>9</v>
      </c>
      <c r="N901" t="s">
        <v>179</v>
      </c>
      <c r="O901" t="s">
        <v>2088</v>
      </c>
    </row>
    <row r="902" spans="1:15">
      <c r="A902" t="s">
        <v>2803</v>
      </c>
      <c r="B902" t="s">
        <v>2097</v>
      </c>
      <c r="C902" t="s">
        <v>2100</v>
      </c>
      <c r="D902" s="1">
        <v>44321</v>
      </c>
      <c r="E902" s="1">
        <v>44989</v>
      </c>
      <c r="F902">
        <v>303</v>
      </c>
      <c r="G902">
        <v>8</v>
      </c>
      <c r="H902">
        <v>511.36</v>
      </c>
      <c r="I902">
        <v>80.81</v>
      </c>
      <c r="J902" t="s">
        <v>90</v>
      </c>
      <c r="K902" t="s">
        <v>20</v>
      </c>
      <c r="L902" t="s">
        <v>2106</v>
      </c>
      <c r="M902">
        <v>7</v>
      </c>
      <c r="N902" t="s">
        <v>157</v>
      </c>
      <c r="O902" t="s">
        <v>2107</v>
      </c>
    </row>
    <row r="903" spans="1:15">
      <c r="A903" t="s">
        <v>2804</v>
      </c>
      <c r="B903" t="s">
        <v>2099</v>
      </c>
      <c r="C903" t="s">
        <v>2094</v>
      </c>
      <c r="D903" s="1">
        <v>44147</v>
      </c>
      <c r="E903" s="1">
        <v>45060</v>
      </c>
      <c r="F903">
        <v>232</v>
      </c>
      <c r="G903">
        <v>2</v>
      </c>
      <c r="H903">
        <v>52.13</v>
      </c>
      <c r="I903">
        <v>21.56</v>
      </c>
      <c r="J903" t="s">
        <v>115</v>
      </c>
      <c r="K903" t="s">
        <v>16</v>
      </c>
      <c r="L903" t="s">
        <v>2106</v>
      </c>
      <c r="M903">
        <v>1</v>
      </c>
      <c r="N903" t="s">
        <v>157</v>
      </c>
      <c r="O903" t="s">
        <v>2109</v>
      </c>
    </row>
    <row r="904" spans="1:15">
      <c r="A904" t="s">
        <v>2805</v>
      </c>
      <c r="B904" t="s">
        <v>2090</v>
      </c>
      <c r="C904" t="s">
        <v>2086</v>
      </c>
      <c r="D904" s="1">
        <v>43471</v>
      </c>
      <c r="E904" s="1">
        <v>45022</v>
      </c>
      <c r="F904">
        <v>270</v>
      </c>
      <c r="G904">
        <v>8</v>
      </c>
      <c r="H904">
        <v>351.34</v>
      </c>
      <c r="I904">
        <v>86.58</v>
      </c>
      <c r="J904" t="s">
        <v>41</v>
      </c>
      <c r="K904" t="s">
        <v>16</v>
      </c>
      <c r="L904" t="s">
        <v>2095</v>
      </c>
      <c r="M904">
        <v>2</v>
      </c>
      <c r="N904" t="s">
        <v>174</v>
      </c>
      <c r="O904" t="s">
        <v>2121</v>
      </c>
    </row>
    <row r="905" spans="1:15">
      <c r="A905" t="s">
        <v>2806</v>
      </c>
      <c r="B905" t="s">
        <v>2097</v>
      </c>
      <c r="C905" t="s">
        <v>2091</v>
      </c>
      <c r="D905" s="1">
        <v>44938</v>
      </c>
      <c r="E905" s="1">
        <v>44984</v>
      </c>
      <c r="F905">
        <v>308</v>
      </c>
      <c r="G905">
        <v>10</v>
      </c>
      <c r="H905">
        <v>643.83000000000004</v>
      </c>
      <c r="I905">
        <v>141.07</v>
      </c>
      <c r="J905" t="s">
        <v>90</v>
      </c>
      <c r="K905" t="s">
        <v>20</v>
      </c>
      <c r="L905" t="s">
        <v>2087</v>
      </c>
      <c r="M905">
        <v>2</v>
      </c>
      <c r="N905" t="s">
        <v>232</v>
      </c>
      <c r="O905" t="s">
        <v>2088</v>
      </c>
    </row>
    <row r="906" spans="1:15">
      <c r="A906" t="s">
        <v>948</v>
      </c>
      <c r="B906" t="s">
        <v>2090</v>
      </c>
      <c r="C906" t="s">
        <v>2091</v>
      </c>
      <c r="D906" s="1">
        <v>44848</v>
      </c>
      <c r="E906" s="1">
        <v>44977</v>
      </c>
      <c r="F906">
        <v>315</v>
      </c>
      <c r="G906">
        <v>3</v>
      </c>
      <c r="H906">
        <v>121.81</v>
      </c>
      <c r="I906">
        <v>42.25</v>
      </c>
      <c r="J906" t="s">
        <v>66</v>
      </c>
      <c r="K906" t="s">
        <v>16</v>
      </c>
      <c r="L906" t="s">
        <v>2106</v>
      </c>
      <c r="M906">
        <v>0</v>
      </c>
      <c r="N906" t="s">
        <v>232</v>
      </c>
      <c r="O906" t="s">
        <v>2107</v>
      </c>
    </row>
    <row r="907" spans="1:15">
      <c r="A907" t="s">
        <v>2807</v>
      </c>
      <c r="B907" t="s">
        <v>2097</v>
      </c>
      <c r="C907" t="s">
        <v>2086</v>
      </c>
      <c r="D907" s="1">
        <v>44601</v>
      </c>
      <c r="E907" s="1">
        <v>45177</v>
      </c>
      <c r="F907">
        <v>115</v>
      </c>
      <c r="G907">
        <v>3</v>
      </c>
      <c r="H907">
        <v>724.19</v>
      </c>
      <c r="I907">
        <v>76.53</v>
      </c>
      <c r="J907" t="s">
        <v>90</v>
      </c>
      <c r="K907" t="s">
        <v>20</v>
      </c>
      <c r="L907" t="s">
        <v>2106</v>
      </c>
      <c r="M907">
        <v>8</v>
      </c>
      <c r="N907" t="s">
        <v>179</v>
      </c>
      <c r="O907" t="s">
        <v>2088</v>
      </c>
    </row>
    <row r="908" spans="1:15">
      <c r="A908" t="s">
        <v>2808</v>
      </c>
      <c r="B908" t="s">
        <v>2099</v>
      </c>
      <c r="C908" t="s">
        <v>2094</v>
      </c>
      <c r="D908" s="1">
        <v>44944</v>
      </c>
      <c r="E908" s="1">
        <v>45287</v>
      </c>
      <c r="F908">
        <v>5</v>
      </c>
      <c r="G908">
        <v>2</v>
      </c>
      <c r="H908">
        <v>108.87</v>
      </c>
      <c r="I908">
        <v>75.47</v>
      </c>
      <c r="J908" t="s">
        <v>115</v>
      </c>
      <c r="K908" t="s">
        <v>16</v>
      </c>
      <c r="L908" t="s">
        <v>2095</v>
      </c>
      <c r="M908">
        <v>3</v>
      </c>
      <c r="N908" t="s">
        <v>165</v>
      </c>
      <c r="O908" t="s">
        <v>2088</v>
      </c>
    </row>
    <row r="909" spans="1:15">
      <c r="A909" t="s">
        <v>2809</v>
      </c>
      <c r="B909" t="s">
        <v>2099</v>
      </c>
      <c r="C909" t="s">
        <v>2091</v>
      </c>
      <c r="D909" s="1">
        <v>45084</v>
      </c>
      <c r="E909" s="1">
        <v>44947</v>
      </c>
      <c r="F909">
        <v>345</v>
      </c>
      <c r="G909">
        <v>1</v>
      </c>
      <c r="H909">
        <v>123.83</v>
      </c>
      <c r="I909">
        <v>93.8</v>
      </c>
      <c r="J909" t="s">
        <v>14</v>
      </c>
      <c r="K909" t="s">
        <v>16</v>
      </c>
      <c r="L909" t="s">
        <v>2087</v>
      </c>
      <c r="M909">
        <v>3</v>
      </c>
      <c r="N909" t="s">
        <v>204</v>
      </c>
      <c r="O909" t="s">
        <v>2096</v>
      </c>
    </row>
    <row r="910" spans="1:15">
      <c r="A910" t="s">
        <v>2810</v>
      </c>
      <c r="B910" t="s">
        <v>2090</v>
      </c>
      <c r="C910" t="s">
        <v>2094</v>
      </c>
      <c r="D910" s="1">
        <v>44408</v>
      </c>
      <c r="E910" s="1">
        <v>44961</v>
      </c>
      <c r="F910">
        <v>331</v>
      </c>
      <c r="G910">
        <v>8</v>
      </c>
      <c r="H910">
        <v>334.16</v>
      </c>
      <c r="I910">
        <v>65.66</v>
      </c>
      <c r="J910" t="s">
        <v>41</v>
      </c>
      <c r="K910" t="s">
        <v>16</v>
      </c>
      <c r="L910" t="s">
        <v>2106</v>
      </c>
      <c r="M910">
        <v>9</v>
      </c>
      <c r="N910" t="s">
        <v>179</v>
      </c>
      <c r="O910" t="s">
        <v>2096</v>
      </c>
    </row>
    <row r="911" spans="1:15">
      <c r="A911" t="s">
        <v>2811</v>
      </c>
      <c r="B911" t="s">
        <v>2085</v>
      </c>
      <c r="C911" t="s">
        <v>2108</v>
      </c>
      <c r="D911" s="1">
        <v>45061</v>
      </c>
      <c r="E911" s="1">
        <v>45227</v>
      </c>
      <c r="F911">
        <v>65</v>
      </c>
      <c r="G911">
        <v>36</v>
      </c>
      <c r="H911">
        <v>1128.27</v>
      </c>
      <c r="I911">
        <v>215.44</v>
      </c>
      <c r="J911" t="s">
        <v>66</v>
      </c>
      <c r="K911" t="s">
        <v>20</v>
      </c>
      <c r="L911" t="s">
        <v>2095</v>
      </c>
      <c r="M911">
        <v>1</v>
      </c>
      <c r="N911" t="s">
        <v>194</v>
      </c>
      <c r="O911" t="s">
        <v>2107</v>
      </c>
    </row>
    <row r="912" spans="1:15">
      <c r="A912" t="s">
        <v>2812</v>
      </c>
      <c r="B912" t="s">
        <v>2099</v>
      </c>
      <c r="C912" t="s">
        <v>2086</v>
      </c>
      <c r="D912" s="1">
        <v>43860</v>
      </c>
      <c r="E912" s="1">
        <v>44956</v>
      </c>
      <c r="F912">
        <v>336</v>
      </c>
      <c r="G912">
        <v>2</v>
      </c>
      <c r="H912">
        <v>104.99</v>
      </c>
      <c r="I912">
        <v>78.790000000000006</v>
      </c>
      <c r="J912" t="s">
        <v>41</v>
      </c>
      <c r="K912" t="s">
        <v>16</v>
      </c>
      <c r="L912" t="s">
        <v>2106</v>
      </c>
      <c r="M912">
        <v>6</v>
      </c>
      <c r="N912" t="s">
        <v>204</v>
      </c>
      <c r="O912" t="s">
        <v>2096</v>
      </c>
    </row>
    <row r="913" spans="1:15">
      <c r="A913" t="s">
        <v>2813</v>
      </c>
      <c r="B913" t="s">
        <v>2097</v>
      </c>
      <c r="C913" t="s">
        <v>2111</v>
      </c>
      <c r="D913" s="1">
        <v>43763</v>
      </c>
      <c r="E913" s="1">
        <v>45130</v>
      </c>
      <c r="F913">
        <v>162</v>
      </c>
      <c r="G913">
        <v>10</v>
      </c>
      <c r="H913">
        <v>210.4</v>
      </c>
      <c r="I913">
        <v>146.74</v>
      </c>
      <c r="J913" t="s">
        <v>41</v>
      </c>
      <c r="K913" t="s">
        <v>20</v>
      </c>
      <c r="L913" t="s">
        <v>2095</v>
      </c>
      <c r="M913">
        <v>1</v>
      </c>
      <c r="N913" t="s">
        <v>157</v>
      </c>
      <c r="O913" t="s">
        <v>2107</v>
      </c>
    </row>
    <row r="914" spans="1:15">
      <c r="A914" t="s">
        <v>2814</v>
      </c>
      <c r="B914" t="s">
        <v>2085</v>
      </c>
      <c r="C914" t="s">
        <v>2100</v>
      </c>
      <c r="D914" s="1">
        <v>44408</v>
      </c>
      <c r="E914" s="1">
        <v>45136</v>
      </c>
      <c r="F914">
        <v>156</v>
      </c>
      <c r="G914">
        <v>39</v>
      </c>
      <c r="H914">
        <v>2310.9299999999998</v>
      </c>
      <c r="I914">
        <v>240.08</v>
      </c>
      <c r="J914" t="s">
        <v>41</v>
      </c>
      <c r="K914" t="s">
        <v>16</v>
      </c>
      <c r="L914" t="s">
        <v>2095</v>
      </c>
      <c r="M914">
        <v>9</v>
      </c>
      <c r="N914" t="s">
        <v>179</v>
      </c>
      <c r="O914" t="s">
        <v>2096</v>
      </c>
    </row>
    <row r="915" spans="1:15">
      <c r="A915" t="s">
        <v>2815</v>
      </c>
      <c r="B915" t="s">
        <v>2085</v>
      </c>
      <c r="C915" t="s">
        <v>2111</v>
      </c>
      <c r="D915" s="1">
        <v>43836</v>
      </c>
      <c r="E915" s="1">
        <v>44948</v>
      </c>
      <c r="F915">
        <v>344</v>
      </c>
      <c r="G915">
        <v>15</v>
      </c>
      <c r="H915">
        <v>1641.68</v>
      </c>
      <c r="I915">
        <v>120.9</v>
      </c>
      <c r="J915" t="s">
        <v>115</v>
      </c>
      <c r="K915" t="s">
        <v>20</v>
      </c>
      <c r="L915" t="s">
        <v>2095</v>
      </c>
      <c r="M915">
        <v>7</v>
      </c>
      <c r="N915" t="s">
        <v>157</v>
      </c>
      <c r="O915" t="s">
        <v>2121</v>
      </c>
    </row>
    <row r="916" spans="1:15">
      <c r="A916" t="s">
        <v>2816</v>
      </c>
      <c r="B916" t="s">
        <v>2093</v>
      </c>
      <c r="C916" t="s">
        <v>2108</v>
      </c>
      <c r="D916" s="1">
        <v>43871</v>
      </c>
      <c r="E916" s="1">
        <v>45245</v>
      </c>
      <c r="F916">
        <v>47</v>
      </c>
      <c r="G916">
        <v>5</v>
      </c>
      <c r="H916">
        <v>159.19</v>
      </c>
      <c r="I916">
        <v>75.94</v>
      </c>
      <c r="J916" t="s">
        <v>41</v>
      </c>
      <c r="K916" t="s">
        <v>16</v>
      </c>
      <c r="L916" t="s">
        <v>2087</v>
      </c>
      <c r="M916">
        <v>9</v>
      </c>
      <c r="N916" t="s">
        <v>157</v>
      </c>
      <c r="O916" t="s">
        <v>2109</v>
      </c>
    </row>
    <row r="917" spans="1:15">
      <c r="A917" t="s">
        <v>2817</v>
      </c>
      <c r="B917" t="s">
        <v>2099</v>
      </c>
      <c r="C917" t="s">
        <v>2108</v>
      </c>
      <c r="D917" s="1">
        <v>43832</v>
      </c>
      <c r="E917" s="1">
        <v>45160</v>
      </c>
      <c r="F917">
        <v>132</v>
      </c>
      <c r="G917">
        <v>2</v>
      </c>
      <c r="H917">
        <v>47.09</v>
      </c>
      <c r="I917">
        <v>21.07</v>
      </c>
      <c r="J917" t="s">
        <v>66</v>
      </c>
      <c r="K917" t="s">
        <v>20</v>
      </c>
      <c r="L917" t="s">
        <v>2095</v>
      </c>
      <c r="M917">
        <v>2</v>
      </c>
      <c r="N917" t="s">
        <v>179</v>
      </c>
      <c r="O917" t="s">
        <v>2121</v>
      </c>
    </row>
    <row r="918" spans="1:15">
      <c r="A918" t="s">
        <v>1018</v>
      </c>
      <c r="B918" t="s">
        <v>2097</v>
      </c>
      <c r="C918" t="s">
        <v>2100</v>
      </c>
      <c r="D918" s="1">
        <v>44609</v>
      </c>
      <c r="E918" s="1">
        <v>45276</v>
      </c>
      <c r="F918">
        <v>16</v>
      </c>
      <c r="G918">
        <v>4</v>
      </c>
      <c r="H918">
        <v>208.57</v>
      </c>
      <c r="I918">
        <v>52.27</v>
      </c>
      <c r="J918" t="s">
        <v>115</v>
      </c>
      <c r="K918" t="s">
        <v>16</v>
      </c>
      <c r="L918" t="s">
        <v>2087</v>
      </c>
      <c r="M918">
        <v>0</v>
      </c>
      <c r="N918" t="s">
        <v>232</v>
      </c>
      <c r="O918" t="s">
        <v>2121</v>
      </c>
    </row>
    <row r="919" spans="1:15">
      <c r="A919" t="s">
        <v>2035</v>
      </c>
      <c r="B919" t="s">
        <v>2097</v>
      </c>
      <c r="C919" t="s">
        <v>2091</v>
      </c>
      <c r="D919" s="1">
        <v>43501</v>
      </c>
      <c r="E919" s="1">
        <v>45229</v>
      </c>
      <c r="F919">
        <v>63</v>
      </c>
      <c r="G919">
        <v>5</v>
      </c>
      <c r="H919">
        <v>537.61</v>
      </c>
      <c r="I919">
        <v>87.56</v>
      </c>
      <c r="J919" t="s">
        <v>66</v>
      </c>
      <c r="K919" t="s">
        <v>16</v>
      </c>
      <c r="L919" t="s">
        <v>2106</v>
      </c>
      <c r="M919">
        <v>6</v>
      </c>
      <c r="N919" t="s">
        <v>179</v>
      </c>
      <c r="O919" t="s">
        <v>2096</v>
      </c>
    </row>
    <row r="920" spans="1:15">
      <c r="A920" t="s">
        <v>2818</v>
      </c>
      <c r="B920" t="s">
        <v>2093</v>
      </c>
      <c r="C920" t="s">
        <v>2086</v>
      </c>
      <c r="D920" s="1">
        <v>44831</v>
      </c>
      <c r="E920" s="1">
        <v>45218</v>
      </c>
      <c r="F920">
        <v>74</v>
      </c>
      <c r="G920">
        <v>1</v>
      </c>
      <c r="H920">
        <v>166.91</v>
      </c>
      <c r="I920">
        <v>32.880000000000003</v>
      </c>
      <c r="J920" t="s">
        <v>66</v>
      </c>
      <c r="K920" t="s">
        <v>16</v>
      </c>
      <c r="L920" t="s">
        <v>2106</v>
      </c>
      <c r="M920">
        <v>9</v>
      </c>
      <c r="N920" t="s">
        <v>204</v>
      </c>
      <c r="O920" t="s">
        <v>2096</v>
      </c>
    </row>
    <row r="921" spans="1:15">
      <c r="A921" t="s">
        <v>1791</v>
      </c>
      <c r="B921" t="s">
        <v>2085</v>
      </c>
      <c r="C921" t="s">
        <v>2100</v>
      </c>
      <c r="D921" s="1">
        <v>44030</v>
      </c>
      <c r="E921" s="1">
        <v>45024</v>
      </c>
      <c r="F921">
        <v>268</v>
      </c>
      <c r="G921">
        <v>19</v>
      </c>
      <c r="H921">
        <v>2931.55</v>
      </c>
      <c r="I921">
        <v>123.73</v>
      </c>
      <c r="J921" t="s">
        <v>66</v>
      </c>
      <c r="K921" t="s">
        <v>20</v>
      </c>
      <c r="L921" t="s">
        <v>2087</v>
      </c>
      <c r="M921">
        <v>8</v>
      </c>
      <c r="N921" t="s">
        <v>194</v>
      </c>
      <c r="O921" t="s">
        <v>2109</v>
      </c>
    </row>
    <row r="922" spans="1:15">
      <c r="A922" t="s">
        <v>155</v>
      </c>
      <c r="B922" t="s">
        <v>2113</v>
      </c>
      <c r="C922" t="s">
        <v>2111</v>
      </c>
      <c r="D922" s="1">
        <v>43619</v>
      </c>
      <c r="E922" s="1">
        <v>45006</v>
      </c>
      <c r="F922">
        <v>286</v>
      </c>
      <c r="G922">
        <v>9</v>
      </c>
      <c r="H922">
        <v>206.01</v>
      </c>
      <c r="I922">
        <v>31.35</v>
      </c>
      <c r="J922" t="s">
        <v>41</v>
      </c>
      <c r="K922" t="s">
        <v>16</v>
      </c>
      <c r="L922" t="s">
        <v>2095</v>
      </c>
      <c r="M922">
        <v>6</v>
      </c>
      <c r="N922" t="s">
        <v>174</v>
      </c>
      <c r="O922" t="s">
        <v>2121</v>
      </c>
    </row>
    <row r="923" spans="1:15">
      <c r="A923" t="s">
        <v>2819</v>
      </c>
      <c r="B923" t="s">
        <v>2090</v>
      </c>
      <c r="C923" t="s">
        <v>2091</v>
      </c>
      <c r="D923" s="1">
        <v>44035</v>
      </c>
      <c r="E923" s="1">
        <v>44957</v>
      </c>
      <c r="F923">
        <v>335</v>
      </c>
      <c r="G923">
        <v>3</v>
      </c>
      <c r="H923">
        <v>233.38</v>
      </c>
      <c r="I923">
        <v>84.6</v>
      </c>
      <c r="J923" t="s">
        <v>115</v>
      </c>
      <c r="K923" t="s">
        <v>20</v>
      </c>
      <c r="L923" t="s">
        <v>2095</v>
      </c>
      <c r="M923">
        <v>7</v>
      </c>
      <c r="N923" t="s">
        <v>165</v>
      </c>
      <c r="O923" t="s">
        <v>2096</v>
      </c>
    </row>
    <row r="924" spans="1:15">
      <c r="A924" t="s">
        <v>2820</v>
      </c>
      <c r="B924" t="s">
        <v>2099</v>
      </c>
      <c r="C924" t="s">
        <v>2091</v>
      </c>
      <c r="D924" s="1">
        <v>43933</v>
      </c>
      <c r="E924" s="1">
        <v>44993</v>
      </c>
      <c r="F924">
        <v>299</v>
      </c>
      <c r="G924">
        <v>2</v>
      </c>
      <c r="H924">
        <v>132.06</v>
      </c>
      <c r="I924">
        <v>21.79</v>
      </c>
      <c r="J924" t="s">
        <v>66</v>
      </c>
      <c r="K924" t="s">
        <v>20</v>
      </c>
      <c r="L924" t="s">
        <v>2106</v>
      </c>
      <c r="M924">
        <v>1</v>
      </c>
      <c r="N924" t="s">
        <v>194</v>
      </c>
      <c r="O924" t="s">
        <v>2121</v>
      </c>
    </row>
    <row r="925" spans="1:15">
      <c r="A925" t="s">
        <v>2821</v>
      </c>
      <c r="B925" t="s">
        <v>2113</v>
      </c>
      <c r="C925" t="s">
        <v>2091</v>
      </c>
      <c r="D925" s="1">
        <v>44780</v>
      </c>
      <c r="E925" s="1">
        <v>44930</v>
      </c>
      <c r="F925">
        <v>362</v>
      </c>
      <c r="G925">
        <v>10</v>
      </c>
      <c r="H925">
        <v>513.88</v>
      </c>
      <c r="I925">
        <v>64.22</v>
      </c>
      <c r="J925" t="s">
        <v>66</v>
      </c>
      <c r="K925" t="s">
        <v>16</v>
      </c>
      <c r="L925" t="s">
        <v>2095</v>
      </c>
      <c r="M925">
        <v>0</v>
      </c>
      <c r="N925" t="s">
        <v>174</v>
      </c>
      <c r="O925" t="s">
        <v>2096</v>
      </c>
    </row>
    <row r="926" spans="1:15">
      <c r="A926" t="s">
        <v>2822</v>
      </c>
      <c r="B926" t="s">
        <v>2090</v>
      </c>
      <c r="C926" t="s">
        <v>2108</v>
      </c>
      <c r="D926" s="1">
        <v>44482</v>
      </c>
      <c r="E926" s="1">
        <v>45215</v>
      </c>
      <c r="F926">
        <v>77</v>
      </c>
      <c r="G926">
        <v>4</v>
      </c>
      <c r="H926">
        <v>370.55</v>
      </c>
      <c r="I926">
        <v>72.44</v>
      </c>
      <c r="J926" t="s">
        <v>90</v>
      </c>
      <c r="K926" t="s">
        <v>16</v>
      </c>
      <c r="L926" t="s">
        <v>2087</v>
      </c>
      <c r="M926">
        <v>4</v>
      </c>
      <c r="N926" t="s">
        <v>232</v>
      </c>
      <c r="O926" t="s">
        <v>2096</v>
      </c>
    </row>
    <row r="927" spans="1:15">
      <c r="A927" t="s">
        <v>2823</v>
      </c>
      <c r="B927" t="s">
        <v>2113</v>
      </c>
      <c r="C927" t="s">
        <v>2094</v>
      </c>
      <c r="D927" s="1">
        <v>44178</v>
      </c>
      <c r="E927" s="1">
        <v>45117</v>
      </c>
      <c r="F927">
        <v>175</v>
      </c>
      <c r="G927">
        <v>19</v>
      </c>
      <c r="H927">
        <v>395.06</v>
      </c>
      <c r="I927">
        <v>68.92</v>
      </c>
      <c r="J927" t="s">
        <v>90</v>
      </c>
      <c r="K927" t="s">
        <v>16</v>
      </c>
      <c r="L927" t="s">
        <v>2095</v>
      </c>
      <c r="M927">
        <v>4</v>
      </c>
      <c r="N927" t="s">
        <v>204</v>
      </c>
      <c r="O927" t="s">
        <v>2096</v>
      </c>
    </row>
    <row r="928" spans="1:15">
      <c r="A928" t="s">
        <v>1481</v>
      </c>
      <c r="B928" t="s">
        <v>2097</v>
      </c>
      <c r="C928" t="s">
        <v>2111</v>
      </c>
      <c r="D928" s="1">
        <v>43556</v>
      </c>
      <c r="E928" s="1">
        <v>45211</v>
      </c>
      <c r="F928">
        <v>81</v>
      </c>
      <c r="G928">
        <v>7</v>
      </c>
      <c r="H928">
        <v>450.13</v>
      </c>
      <c r="I928">
        <v>50.27</v>
      </c>
      <c r="J928" t="s">
        <v>14</v>
      </c>
      <c r="K928" t="s">
        <v>20</v>
      </c>
      <c r="L928" t="s">
        <v>2095</v>
      </c>
      <c r="M928">
        <v>0</v>
      </c>
      <c r="N928" t="s">
        <v>157</v>
      </c>
      <c r="O928" t="s">
        <v>2096</v>
      </c>
    </row>
    <row r="929" spans="1:15">
      <c r="A929" t="s">
        <v>2824</v>
      </c>
      <c r="B929" t="s">
        <v>2093</v>
      </c>
      <c r="C929" t="s">
        <v>2111</v>
      </c>
      <c r="D929" s="1">
        <v>44282</v>
      </c>
      <c r="E929" s="1">
        <v>45068</v>
      </c>
      <c r="F929">
        <v>224</v>
      </c>
      <c r="G929">
        <v>4</v>
      </c>
      <c r="H929">
        <v>124.15</v>
      </c>
      <c r="I929">
        <v>26.02</v>
      </c>
      <c r="J929" t="s">
        <v>90</v>
      </c>
      <c r="K929" t="s">
        <v>16</v>
      </c>
      <c r="L929" t="s">
        <v>2087</v>
      </c>
      <c r="M929">
        <v>8</v>
      </c>
      <c r="N929" t="s">
        <v>174</v>
      </c>
      <c r="O929" t="s">
        <v>2088</v>
      </c>
    </row>
    <row r="930" spans="1:15">
      <c r="A930" t="s">
        <v>1756</v>
      </c>
      <c r="B930" t="s">
        <v>2085</v>
      </c>
      <c r="C930" t="s">
        <v>2111</v>
      </c>
      <c r="D930" s="1">
        <v>44216</v>
      </c>
      <c r="E930" s="1">
        <v>45156</v>
      </c>
      <c r="F930">
        <v>136</v>
      </c>
      <c r="G930">
        <v>28</v>
      </c>
      <c r="H930">
        <v>1014.34</v>
      </c>
      <c r="I930">
        <v>245.35</v>
      </c>
      <c r="J930" t="s">
        <v>41</v>
      </c>
      <c r="K930" t="s">
        <v>20</v>
      </c>
      <c r="L930" t="s">
        <v>2095</v>
      </c>
      <c r="M930">
        <v>1</v>
      </c>
      <c r="N930" t="s">
        <v>194</v>
      </c>
      <c r="O930" t="s">
        <v>2096</v>
      </c>
    </row>
    <row r="931" spans="1:15">
      <c r="A931" t="s">
        <v>2825</v>
      </c>
      <c r="B931" t="s">
        <v>2099</v>
      </c>
      <c r="C931" t="s">
        <v>2091</v>
      </c>
      <c r="D931" s="1">
        <v>44393</v>
      </c>
      <c r="E931" s="1">
        <v>44979</v>
      </c>
      <c r="F931">
        <v>313</v>
      </c>
      <c r="G931">
        <v>1</v>
      </c>
      <c r="H931">
        <v>45.41</v>
      </c>
      <c r="I931">
        <v>23.4</v>
      </c>
      <c r="J931" t="s">
        <v>14</v>
      </c>
      <c r="K931" t="s">
        <v>16</v>
      </c>
      <c r="L931" t="s">
        <v>2106</v>
      </c>
      <c r="M931">
        <v>3</v>
      </c>
      <c r="N931" t="s">
        <v>194</v>
      </c>
      <c r="O931" t="s">
        <v>2096</v>
      </c>
    </row>
    <row r="932" spans="1:15">
      <c r="A932" t="s">
        <v>2826</v>
      </c>
      <c r="B932" t="s">
        <v>2085</v>
      </c>
      <c r="C932" t="s">
        <v>2100</v>
      </c>
      <c r="D932" s="1">
        <v>44552</v>
      </c>
      <c r="E932" s="1">
        <v>45068</v>
      </c>
      <c r="F932">
        <v>224</v>
      </c>
      <c r="G932">
        <v>38</v>
      </c>
      <c r="H932">
        <v>2714.5</v>
      </c>
      <c r="I932">
        <v>172.22</v>
      </c>
      <c r="J932" t="s">
        <v>66</v>
      </c>
      <c r="K932" t="s">
        <v>16</v>
      </c>
      <c r="L932" t="s">
        <v>2087</v>
      </c>
      <c r="M932">
        <v>2</v>
      </c>
      <c r="N932" t="s">
        <v>174</v>
      </c>
      <c r="O932" t="s">
        <v>2107</v>
      </c>
    </row>
    <row r="933" spans="1:15">
      <c r="A933" t="s">
        <v>2827</v>
      </c>
      <c r="B933" t="s">
        <v>2085</v>
      </c>
      <c r="C933" t="s">
        <v>2108</v>
      </c>
      <c r="D933" s="1">
        <v>44554</v>
      </c>
      <c r="E933" s="1">
        <v>45197</v>
      </c>
      <c r="F933">
        <v>95</v>
      </c>
      <c r="G933">
        <v>12</v>
      </c>
      <c r="H933">
        <v>2043.29</v>
      </c>
      <c r="I933">
        <v>136.35</v>
      </c>
      <c r="J933" t="s">
        <v>66</v>
      </c>
      <c r="K933" t="s">
        <v>16</v>
      </c>
      <c r="L933" t="s">
        <v>2087</v>
      </c>
      <c r="M933">
        <v>6</v>
      </c>
      <c r="N933" t="s">
        <v>232</v>
      </c>
      <c r="O933" t="s">
        <v>2121</v>
      </c>
    </row>
    <row r="934" spans="1:15">
      <c r="A934" t="s">
        <v>2828</v>
      </c>
      <c r="B934" t="s">
        <v>2099</v>
      </c>
      <c r="C934" t="s">
        <v>2108</v>
      </c>
      <c r="D934" s="1">
        <v>44149</v>
      </c>
      <c r="E934" s="1">
        <v>45028</v>
      </c>
      <c r="F934">
        <v>264</v>
      </c>
      <c r="G934">
        <v>1</v>
      </c>
      <c r="H934">
        <v>46.59</v>
      </c>
      <c r="I934">
        <v>64.900000000000006</v>
      </c>
      <c r="J934" t="s">
        <v>41</v>
      </c>
      <c r="K934" t="s">
        <v>20</v>
      </c>
      <c r="L934" t="s">
        <v>2087</v>
      </c>
      <c r="M934">
        <v>2</v>
      </c>
      <c r="N934" t="s">
        <v>179</v>
      </c>
      <c r="O934" t="s">
        <v>2109</v>
      </c>
    </row>
    <row r="935" spans="1:15">
      <c r="A935" t="s">
        <v>2829</v>
      </c>
      <c r="B935" t="s">
        <v>2113</v>
      </c>
      <c r="C935" t="s">
        <v>2094</v>
      </c>
      <c r="D935" s="1">
        <v>43770</v>
      </c>
      <c r="E935" s="1">
        <v>44967</v>
      </c>
      <c r="F935">
        <v>325</v>
      </c>
      <c r="G935">
        <v>18</v>
      </c>
      <c r="H935">
        <v>544.82000000000005</v>
      </c>
      <c r="I935">
        <v>51.84</v>
      </c>
      <c r="J935" t="s">
        <v>115</v>
      </c>
      <c r="K935" t="s">
        <v>16</v>
      </c>
      <c r="L935" t="s">
        <v>2106</v>
      </c>
      <c r="M935">
        <v>3</v>
      </c>
      <c r="N935" t="s">
        <v>179</v>
      </c>
      <c r="O935" t="s">
        <v>2107</v>
      </c>
    </row>
    <row r="936" spans="1:15">
      <c r="A936" t="s">
        <v>2830</v>
      </c>
      <c r="B936" t="s">
        <v>2093</v>
      </c>
      <c r="C936" t="s">
        <v>2100</v>
      </c>
      <c r="D936" s="1">
        <v>44010</v>
      </c>
      <c r="E936" s="1">
        <v>45133</v>
      </c>
      <c r="F936">
        <v>159</v>
      </c>
      <c r="G936">
        <v>4</v>
      </c>
      <c r="H936">
        <v>33.229999999999997</v>
      </c>
      <c r="I936">
        <v>23.45</v>
      </c>
      <c r="J936" t="s">
        <v>90</v>
      </c>
      <c r="K936" t="s">
        <v>16</v>
      </c>
      <c r="L936" t="s">
        <v>2087</v>
      </c>
      <c r="M936">
        <v>5</v>
      </c>
      <c r="N936" t="s">
        <v>165</v>
      </c>
      <c r="O936" t="s">
        <v>2088</v>
      </c>
    </row>
    <row r="937" spans="1:15">
      <c r="A937" t="s">
        <v>2831</v>
      </c>
      <c r="B937" t="s">
        <v>2085</v>
      </c>
      <c r="C937" t="s">
        <v>2100</v>
      </c>
      <c r="D937" s="1">
        <v>44381</v>
      </c>
      <c r="E937" s="1">
        <v>45228</v>
      </c>
      <c r="F937">
        <v>64</v>
      </c>
      <c r="G937">
        <v>36</v>
      </c>
      <c r="H937">
        <v>949.18</v>
      </c>
      <c r="I937">
        <v>123.3</v>
      </c>
      <c r="J937" t="s">
        <v>90</v>
      </c>
      <c r="K937" t="s">
        <v>16</v>
      </c>
      <c r="L937" t="s">
        <v>2087</v>
      </c>
      <c r="M937">
        <v>0</v>
      </c>
      <c r="N937" t="s">
        <v>174</v>
      </c>
      <c r="O937" t="s">
        <v>2121</v>
      </c>
    </row>
    <row r="938" spans="1:15">
      <c r="A938" t="s">
        <v>1308</v>
      </c>
      <c r="B938" t="s">
        <v>2090</v>
      </c>
      <c r="C938" t="s">
        <v>2108</v>
      </c>
      <c r="D938" s="1">
        <v>43605</v>
      </c>
      <c r="E938" s="1">
        <v>45215</v>
      </c>
      <c r="F938">
        <v>77</v>
      </c>
      <c r="G938">
        <v>3</v>
      </c>
      <c r="H938">
        <v>254.04</v>
      </c>
      <c r="I938">
        <v>115.32</v>
      </c>
      <c r="J938" t="s">
        <v>66</v>
      </c>
      <c r="K938" t="s">
        <v>20</v>
      </c>
      <c r="L938" t="s">
        <v>2095</v>
      </c>
      <c r="M938">
        <v>5</v>
      </c>
      <c r="N938" t="s">
        <v>157</v>
      </c>
      <c r="O938" t="s">
        <v>2096</v>
      </c>
    </row>
    <row r="939" spans="1:15">
      <c r="A939" t="s">
        <v>2832</v>
      </c>
      <c r="B939" t="s">
        <v>2113</v>
      </c>
      <c r="C939" t="s">
        <v>2086</v>
      </c>
      <c r="D939" s="1">
        <v>44493</v>
      </c>
      <c r="E939" s="1">
        <v>44946</v>
      </c>
      <c r="F939">
        <v>346</v>
      </c>
      <c r="G939">
        <v>10</v>
      </c>
      <c r="H939">
        <v>121.15</v>
      </c>
      <c r="I939">
        <v>60.53</v>
      </c>
      <c r="J939" t="s">
        <v>66</v>
      </c>
      <c r="K939" t="s">
        <v>20</v>
      </c>
      <c r="L939" t="s">
        <v>2106</v>
      </c>
      <c r="M939">
        <v>7</v>
      </c>
      <c r="N939" t="s">
        <v>204</v>
      </c>
      <c r="O939" t="s">
        <v>2088</v>
      </c>
    </row>
    <row r="940" spans="1:15">
      <c r="A940" t="s">
        <v>2833</v>
      </c>
      <c r="B940" t="s">
        <v>2090</v>
      </c>
      <c r="C940" t="s">
        <v>2086</v>
      </c>
      <c r="D940" s="1">
        <v>43872</v>
      </c>
      <c r="E940" s="1">
        <v>45164</v>
      </c>
      <c r="F940">
        <v>128</v>
      </c>
      <c r="G940">
        <v>5</v>
      </c>
      <c r="H940">
        <v>284.44</v>
      </c>
      <c r="I940">
        <v>91.84</v>
      </c>
      <c r="J940" t="s">
        <v>90</v>
      </c>
      <c r="K940" t="s">
        <v>20</v>
      </c>
      <c r="L940" t="s">
        <v>2095</v>
      </c>
      <c r="M940">
        <v>6</v>
      </c>
      <c r="N940" t="s">
        <v>204</v>
      </c>
      <c r="O940" t="s">
        <v>2088</v>
      </c>
    </row>
    <row r="941" spans="1:15">
      <c r="A941" t="s">
        <v>2834</v>
      </c>
      <c r="B941" t="s">
        <v>2090</v>
      </c>
      <c r="C941" t="s">
        <v>2091</v>
      </c>
      <c r="D941" s="1">
        <v>44248</v>
      </c>
      <c r="E941" s="1">
        <v>44977</v>
      </c>
      <c r="F941">
        <v>315</v>
      </c>
      <c r="G941">
        <v>7</v>
      </c>
      <c r="H941">
        <v>173.64</v>
      </c>
      <c r="I941">
        <v>72.87</v>
      </c>
      <c r="J941" t="s">
        <v>41</v>
      </c>
      <c r="K941" t="s">
        <v>16</v>
      </c>
      <c r="L941" t="s">
        <v>2087</v>
      </c>
      <c r="M941">
        <v>0</v>
      </c>
      <c r="N941" t="s">
        <v>204</v>
      </c>
      <c r="O941" t="s">
        <v>2109</v>
      </c>
    </row>
    <row r="942" spans="1:15">
      <c r="A942" t="s">
        <v>2835</v>
      </c>
      <c r="B942" t="s">
        <v>2090</v>
      </c>
      <c r="C942" t="s">
        <v>2100</v>
      </c>
      <c r="D942" s="1">
        <v>45026</v>
      </c>
      <c r="E942" s="1">
        <v>45092</v>
      </c>
      <c r="F942">
        <v>200</v>
      </c>
      <c r="G942">
        <v>4</v>
      </c>
      <c r="H942">
        <v>159.44</v>
      </c>
      <c r="I942">
        <v>106.47</v>
      </c>
      <c r="J942" t="s">
        <v>41</v>
      </c>
      <c r="K942" t="s">
        <v>16</v>
      </c>
      <c r="L942" t="s">
        <v>2106</v>
      </c>
      <c r="M942">
        <v>8</v>
      </c>
      <c r="N942" t="s">
        <v>165</v>
      </c>
      <c r="O942" t="s">
        <v>2088</v>
      </c>
    </row>
    <row r="943" spans="1:15">
      <c r="A943" t="s">
        <v>2836</v>
      </c>
      <c r="B943" t="s">
        <v>2090</v>
      </c>
      <c r="C943" t="s">
        <v>2111</v>
      </c>
      <c r="D943" s="1">
        <v>44716</v>
      </c>
      <c r="E943" s="1">
        <v>45155</v>
      </c>
      <c r="F943">
        <v>137</v>
      </c>
      <c r="G943">
        <v>4</v>
      </c>
      <c r="H943">
        <v>266.52</v>
      </c>
      <c r="I943">
        <v>112.96</v>
      </c>
      <c r="J943" t="s">
        <v>14</v>
      </c>
      <c r="K943" t="s">
        <v>20</v>
      </c>
      <c r="L943" t="s">
        <v>2087</v>
      </c>
      <c r="M943">
        <v>2</v>
      </c>
      <c r="N943" t="s">
        <v>204</v>
      </c>
      <c r="O943" t="s">
        <v>2107</v>
      </c>
    </row>
    <row r="944" spans="1:15">
      <c r="A944" t="s">
        <v>418</v>
      </c>
      <c r="B944" t="s">
        <v>2085</v>
      </c>
      <c r="C944" t="s">
        <v>2091</v>
      </c>
      <c r="D944" s="1">
        <v>45144</v>
      </c>
      <c r="E944" s="1">
        <v>45203</v>
      </c>
      <c r="F944">
        <v>89</v>
      </c>
      <c r="G944">
        <v>18</v>
      </c>
      <c r="H944">
        <v>1827.99</v>
      </c>
      <c r="I944">
        <v>203.11</v>
      </c>
      <c r="J944" t="s">
        <v>14</v>
      </c>
      <c r="K944" t="s">
        <v>16</v>
      </c>
      <c r="L944" t="s">
        <v>2087</v>
      </c>
      <c r="M944">
        <v>0</v>
      </c>
      <c r="N944" t="s">
        <v>179</v>
      </c>
      <c r="O944" t="s">
        <v>2107</v>
      </c>
    </row>
    <row r="945" spans="1:15">
      <c r="A945" t="s">
        <v>2837</v>
      </c>
      <c r="B945" t="s">
        <v>2093</v>
      </c>
      <c r="C945" t="s">
        <v>2086</v>
      </c>
      <c r="D945" s="1">
        <v>43997</v>
      </c>
      <c r="E945" s="1">
        <v>44975</v>
      </c>
      <c r="F945">
        <v>317</v>
      </c>
      <c r="G945">
        <v>1</v>
      </c>
      <c r="H945">
        <v>137.24</v>
      </c>
      <c r="I945">
        <v>59.63</v>
      </c>
      <c r="J945" t="s">
        <v>14</v>
      </c>
      <c r="K945" t="s">
        <v>16</v>
      </c>
      <c r="L945" t="s">
        <v>2087</v>
      </c>
      <c r="M945">
        <v>10</v>
      </c>
      <c r="N945" t="s">
        <v>165</v>
      </c>
      <c r="O945" t="s">
        <v>2088</v>
      </c>
    </row>
    <row r="946" spans="1:15">
      <c r="A946" t="s">
        <v>2838</v>
      </c>
      <c r="B946" t="s">
        <v>2090</v>
      </c>
      <c r="C946" t="s">
        <v>2100</v>
      </c>
      <c r="D946" s="1">
        <v>45063</v>
      </c>
      <c r="E946" s="1">
        <v>45226</v>
      </c>
      <c r="F946">
        <v>66</v>
      </c>
      <c r="G946">
        <v>6</v>
      </c>
      <c r="H946">
        <v>270.55</v>
      </c>
      <c r="I946">
        <v>110.8</v>
      </c>
      <c r="J946" t="s">
        <v>41</v>
      </c>
      <c r="K946" t="s">
        <v>16</v>
      </c>
      <c r="L946" t="s">
        <v>2095</v>
      </c>
      <c r="M946">
        <v>7</v>
      </c>
      <c r="N946" t="s">
        <v>174</v>
      </c>
      <c r="O946" t="s">
        <v>2088</v>
      </c>
    </row>
    <row r="947" spans="1:15">
      <c r="A947" t="s">
        <v>2839</v>
      </c>
      <c r="B947" t="s">
        <v>2090</v>
      </c>
      <c r="C947" t="s">
        <v>2111</v>
      </c>
      <c r="D947" s="1">
        <v>44820</v>
      </c>
      <c r="E947" s="1">
        <v>45187</v>
      </c>
      <c r="F947">
        <v>105</v>
      </c>
      <c r="G947">
        <v>7</v>
      </c>
      <c r="H947">
        <v>268.05</v>
      </c>
      <c r="I947">
        <v>63.18</v>
      </c>
      <c r="J947" t="s">
        <v>14</v>
      </c>
      <c r="K947" t="s">
        <v>20</v>
      </c>
      <c r="L947" t="s">
        <v>2087</v>
      </c>
      <c r="M947">
        <v>4</v>
      </c>
      <c r="N947" t="s">
        <v>194</v>
      </c>
      <c r="O947" t="s">
        <v>2088</v>
      </c>
    </row>
    <row r="948" spans="1:15">
      <c r="A948" t="s">
        <v>2840</v>
      </c>
      <c r="B948" t="s">
        <v>2097</v>
      </c>
      <c r="C948" t="s">
        <v>2086</v>
      </c>
      <c r="D948" s="1">
        <v>44195</v>
      </c>
      <c r="E948" s="1">
        <v>45194</v>
      </c>
      <c r="F948">
        <v>98</v>
      </c>
      <c r="G948">
        <v>5</v>
      </c>
      <c r="H948">
        <v>642.59</v>
      </c>
      <c r="I948">
        <v>95.13</v>
      </c>
      <c r="J948" t="s">
        <v>41</v>
      </c>
      <c r="K948" t="s">
        <v>20</v>
      </c>
      <c r="L948" t="s">
        <v>2087</v>
      </c>
      <c r="M948">
        <v>8</v>
      </c>
      <c r="N948" t="s">
        <v>194</v>
      </c>
      <c r="O948" t="s">
        <v>2109</v>
      </c>
    </row>
    <row r="949" spans="1:15">
      <c r="A949" t="s">
        <v>2841</v>
      </c>
      <c r="B949" t="s">
        <v>2085</v>
      </c>
      <c r="C949" t="s">
        <v>2111</v>
      </c>
      <c r="D949" s="1">
        <v>43997</v>
      </c>
      <c r="E949" s="1">
        <v>45203</v>
      </c>
      <c r="F949">
        <v>89</v>
      </c>
      <c r="G949">
        <v>29</v>
      </c>
      <c r="H949">
        <v>1179.67</v>
      </c>
      <c r="I949">
        <v>262.37</v>
      </c>
      <c r="J949" t="s">
        <v>90</v>
      </c>
      <c r="K949" t="s">
        <v>16</v>
      </c>
      <c r="L949" t="s">
        <v>2087</v>
      </c>
      <c r="M949">
        <v>7</v>
      </c>
      <c r="N949" t="s">
        <v>165</v>
      </c>
      <c r="O949" t="s">
        <v>2096</v>
      </c>
    </row>
    <row r="950" spans="1:15">
      <c r="A950" t="s">
        <v>2842</v>
      </c>
      <c r="B950" t="s">
        <v>2097</v>
      </c>
      <c r="C950" t="s">
        <v>2111</v>
      </c>
      <c r="D950" s="1">
        <v>44685</v>
      </c>
      <c r="E950" s="1">
        <v>45133</v>
      </c>
      <c r="F950">
        <v>159</v>
      </c>
      <c r="G950">
        <v>6</v>
      </c>
      <c r="H950">
        <v>397.16</v>
      </c>
      <c r="I950">
        <v>58.51</v>
      </c>
      <c r="J950" t="s">
        <v>14</v>
      </c>
      <c r="K950" t="s">
        <v>16</v>
      </c>
      <c r="L950" t="s">
        <v>2106</v>
      </c>
      <c r="M950">
        <v>7</v>
      </c>
      <c r="N950" t="s">
        <v>165</v>
      </c>
      <c r="O950" t="s">
        <v>2088</v>
      </c>
    </row>
    <row r="951" spans="1:15">
      <c r="A951" t="s">
        <v>1214</v>
      </c>
      <c r="B951" t="s">
        <v>2113</v>
      </c>
      <c r="C951" t="s">
        <v>2100</v>
      </c>
      <c r="D951" s="1">
        <v>44499</v>
      </c>
      <c r="E951" s="1">
        <v>45004</v>
      </c>
      <c r="F951">
        <v>288</v>
      </c>
      <c r="G951">
        <v>10</v>
      </c>
      <c r="H951">
        <v>399.95</v>
      </c>
      <c r="I951">
        <v>51.17</v>
      </c>
      <c r="J951" t="s">
        <v>90</v>
      </c>
      <c r="K951" t="s">
        <v>20</v>
      </c>
      <c r="L951" t="s">
        <v>2106</v>
      </c>
      <c r="M951">
        <v>7</v>
      </c>
      <c r="N951" t="s">
        <v>165</v>
      </c>
      <c r="O951" t="s">
        <v>2096</v>
      </c>
    </row>
    <row r="952" spans="1:15">
      <c r="A952" t="s">
        <v>2843</v>
      </c>
      <c r="B952" t="s">
        <v>2113</v>
      </c>
      <c r="C952" t="s">
        <v>2111</v>
      </c>
      <c r="D952" s="1">
        <v>43707</v>
      </c>
      <c r="E952" s="1">
        <v>45059</v>
      </c>
      <c r="F952">
        <v>233</v>
      </c>
      <c r="G952">
        <v>6</v>
      </c>
      <c r="H952">
        <v>394.42</v>
      </c>
      <c r="I952">
        <v>41.47</v>
      </c>
      <c r="J952" t="s">
        <v>115</v>
      </c>
      <c r="K952" t="s">
        <v>16</v>
      </c>
      <c r="L952" t="s">
        <v>2095</v>
      </c>
      <c r="M952">
        <v>5</v>
      </c>
      <c r="N952" t="s">
        <v>204</v>
      </c>
      <c r="O952" t="s">
        <v>2096</v>
      </c>
    </row>
    <row r="953" spans="1:15">
      <c r="A953" t="s">
        <v>608</v>
      </c>
      <c r="B953" t="s">
        <v>2099</v>
      </c>
      <c r="C953" t="s">
        <v>2086</v>
      </c>
      <c r="D953" s="1">
        <v>45121</v>
      </c>
      <c r="E953" s="1">
        <v>45280</v>
      </c>
      <c r="F953">
        <v>12</v>
      </c>
      <c r="G953">
        <v>1</v>
      </c>
      <c r="H953">
        <v>43.01</v>
      </c>
      <c r="I953">
        <v>42.73</v>
      </c>
      <c r="J953" t="s">
        <v>115</v>
      </c>
      <c r="K953" t="s">
        <v>16</v>
      </c>
      <c r="L953" t="s">
        <v>2087</v>
      </c>
      <c r="M953">
        <v>6</v>
      </c>
      <c r="N953" t="s">
        <v>194</v>
      </c>
      <c r="O953" t="s">
        <v>2096</v>
      </c>
    </row>
    <row r="954" spans="1:15">
      <c r="A954" t="s">
        <v>2844</v>
      </c>
      <c r="B954" t="s">
        <v>2099</v>
      </c>
      <c r="C954" t="s">
        <v>2108</v>
      </c>
      <c r="D954" s="1">
        <v>44704</v>
      </c>
      <c r="E954" s="1">
        <v>45142</v>
      </c>
      <c r="F954">
        <v>150</v>
      </c>
      <c r="G954">
        <v>2</v>
      </c>
      <c r="H954">
        <v>43.62</v>
      </c>
      <c r="I954">
        <v>71.2</v>
      </c>
      <c r="J954" t="s">
        <v>66</v>
      </c>
      <c r="K954" t="s">
        <v>20</v>
      </c>
      <c r="L954" t="s">
        <v>2087</v>
      </c>
      <c r="M954">
        <v>6</v>
      </c>
      <c r="N954" t="s">
        <v>232</v>
      </c>
      <c r="O954" t="s">
        <v>2107</v>
      </c>
    </row>
    <row r="955" spans="1:15">
      <c r="A955" t="s">
        <v>1358</v>
      </c>
      <c r="B955" t="s">
        <v>2093</v>
      </c>
      <c r="C955" t="s">
        <v>2086</v>
      </c>
      <c r="D955" s="1">
        <v>44010</v>
      </c>
      <c r="E955" s="1">
        <v>45158</v>
      </c>
      <c r="F955">
        <v>134</v>
      </c>
      <c r="G955">
        <v>3</v>
      </c>
      <c r="H955">
        <v>189.04</v>
      </c>
      <c r="I955">
        <v>45.76</v>
      </c>
      <c r="J955" t="s">
        <v>66</v>
      </c>
      <c r="K955" t="s">
        <v>16</v>
      </c>
      <c r="L955" t="s">
        <v>2095</v>
      </c>
      <c r="M955">
        <v>7</v>
      </c>
      <c r="N955" t="s">
        <v>174</v>
      </c>
      <c r="O955" t="s">
        <v>2107</v>
      </c>
    </row>
    <row r="956" spans="1:15">
      <c r="A956" t="s">
        <v>1678</v>
      </c>
      <c r="B956" t="s">
        <v>2090</v>
      </c>
      <c r="C956" t="s">
        <v>2091</v>
      </c>
      <c r="D956" s="1">
        <v>44194</v>
      </c>
      <c r="E956" s="1">
        <v>45223</v>
      </c>
      <c r="F956">
        <v>69</v>
      </c>
      <c r="G956">
        <v>4</v>
      </c>
      <c r="H956">
        <v>112.71</v>
      </c>
      <c r="I956">
        <v>51.39</v>
      </c>
      <c r="J956" t="s">
        <v>90</v>
      </c>
      <c r="K956" t="s">
        <v>16</v>
      </c>
      <c r="L956" t="s">
        <v>2106</v>
      </c>
      <c r="M956">
        <v>8</v>
      </c>
      <c r="N956" t="s">
        <v>157</v>
      </c>
      <c r="O956" t="s">
        <v>2096</v>
      </c>
    </row>
    <row r="957" spans="1:15">
      <c r="A957" t="s">
        <v>2845</v>
      </c>
      <c r="B957" t="s">
        <v>2090</v>
      </c>
      <c r="C957" t="s">
        <v>2100</v>
      </c>
      <c r="D957" s="1">
        <v>44010</v>
      </c>
      <c r="E957" s="1">
        <v>45200</v>
      </c>
      <c r="F957">
        <v>92</v>
      </c>
      <c r="G957">
        <v>6</v>
      </c>
      <c r="H957">
        <v>387.25</v>
      </c>
      <c r="I957">
        <v>102.29</v>
      </c>
      <c r="J957" t="s">
        <v>115</v>
      </c>
      <c r="K957" t="s">
        <v>20</v>
      </c>
      <c r="L957" t="s">
        <v>2106</v>
      </c>
      <c r="M957">
        <v>3</v>
      </c>
      <c r="N957" t="s">
        <v>232</v>
      </c>
      <c r="O957" t="s">
        <v>2096</v>
      </c>
    </row>
    <row r="958" spans="1:15">
      <c r="A958" t="s">
        <v>309</v>
      </c>
      <c r="B958" t="s">
        <v>2099</v>
      </c>
      <c r="C958" t="s">
        <v>2100</v>
      </c>
      <c r="D958" s="1">
        <v>43775</v>
      </c>
      <c r="E958" s="1">
        <v>45196</v>
      </c>
      <c r="F958">
        <v>96</v>
      </c>
      <c r="G958">
        <v>1</v>
      </c>
      <c r="H958">
        <v>148.05000000000001</v>
      </c>
      <c r="I958">
        <v>51.62</v>
      </c>
      <c r="J958" t="s">
        <v>115</v>
      </c>
      <c r="K958" t="s">
        <v>20</v>
      </c>
      <c r="L958" t="s">
        <v>2095</v>
      </c>
      <c r="M958">
        <v>6</v>
      </c>
      <c r="N958" t="s">
        <v>174</v>
      </c>
      <c r="O958" t="s">
        <v>2088</v>
      </c>
    </row>
    <row r="959" spans="1:15">
      <c r="A959" t="s">
        <v>2846</v>
      </c>
      <c r="B959" t="s">
        <v>2085</v>
      </c>
      <c r="C959" t="s">
        <v>2086</v>
      </c>
      <c r="D959" s="1">
        <v>45165</v>
      </c>
      <c r="E959" s="1">
        <v>44984</v>
      </c>
      <c r="F959">
        <v>308</v>
      </c>
      <c r="G959">
        <v>14</v>
      </c>
      <c r="H959">
        <v>1459.78</v>
      </c>
      <c r="I959">
        <v>142.88999999999999</v>
      </c>
      <c r="J959" t="s">
        <v>41</v>
      </c>
      <c r="K959" t="s">
        <v>16</v>
      </c>
      <c r="L959" t="s">
        <v>2106</v>
      </c>
      <c r="M959">
        <v>9</v>
      </c>
      <c r="N959" t="s">
        <v>165</v>
      </c>
      <c r="O959" t="s">
        <v>2107</v>
      </c>
    </row>
    <row r="960" spans="1:15">
      <c r="A960" t="s">
        <v>2847</v>
      </c>
      <c r="B960" t="s">
        <v>2097</v>
      </c>
      <c r="C960" t="s">
        <v>2111</v>
      </c>
      <c r="D960" s="1">
        <v>44939</v>
      </c>
      <c r="E960" s="1">
        <v>45135</v>
      </c>
      <c r="F960">
        <v>157</v>
      </c>
      <c r="G960">
        <v>9</v>
      </c>
      <c r="H960">
        <v>220.17</v>
      </c>
      <c r="I960">
        <v>71.33</v>
      </c>
      <c r="J960" t="s">
        <v>66</v>
      </c>
      <c r="K960" t="s">
        <v>16</v>
      </c>
      <c r="L960" t="s">
        <v>2095</v>
      </c>
      <c r="M960">
        <v>0</v>
      </c>
      <c r="N960" t="s">
        <v>194</v>
      </c>
      <c r="O960" t="s">
        <v>2121</v>
      </c>
    </row>
    <row r="961" spans="1:15">
      <c r="A961" t="s">
        <v>2848</v>
      </c>
      <c r="B961" t="s">
        <v>2090</v>
      </c>
      <c r="C961" t="s">
        <v>2111</v>
      </c>
      <c r="D961" s="1">
        <v>45165</v>
      </c>
      <c r="E961" s="1">
        <v>45285</v>
      </c>
      <c r="F961">
        <v>7</v>
      </c>
      <c r="G961">
        <v>6</v>
      </c>
      <c r="H961">
        <v>110.21</v>
      </c>
      <c r="I961">
        <v>66.599999999999994</v>
      </c>
      <c r="J961" t="s">
        <v>41</v>
      </c>
      <c r="K961" t="s">
        <v>16</v>
      </c>
      <c r="L961" t="s">
        <v>2087</v>
      </c>
      <c r="M961">
        <v>4</v>
      </c>
      <c r="N961" t="s">
        <v>204</v>
      </c>
      <c r="O961" t="s">
        <v>2107</v>
      </c>
    </row>
    <row r="962" spans="1:15">
      <c r="A962" t="s">
        <v>193</v>
      </c>
      <c r="B962" t="s">
        <v>2113</v>
      </c>
      <c r="C962" t="s">
        <v>2091</v>
      </c>
      <c r="D962" s="1">
        <v>44797</v>
      </c>
      <c r="E962" s="1">
        <v>44943</v>
      </c>
      <c r="F962">
        <v>349</v>
      </c>
      <c r="G962">
        <v>8</v>
      </c>
      <c r="H962">
        <v>408.14</v>
      </c>
      <c r="I962">
        <v>51.45</v>
      </c>
      <c r="J962" t="s">
        <v>66</v>
      </c>
      <c r="K962" t="s">
        <v>16</v>
      </c>
      <c r="L962" t="s">
        <v>2095</v>
      </c>
      <c r="M962">
        <v>9</v>
      </c>
      <c r="N962" t="s">
        <v>204</v>
      </c>
      <c r="O962" t="s">
        <v>2109</v>
      </c>
    </row>
    <row r="963" spans="1:15">
      <c r="A963" t="s">
        <v>2849</v>
      </c>
      <c r="B963" t="s">
        <v>2085</v>
      </c>
      <c r="C963" t="s">
        <v>2086</v>
      </c>
      <c r="D963" s="1">
        <v>44996</v>
      </c>
      <c r="E963" s="1">
        <v>44960</v>
      </c>
      <c r="F963">
        <v>332</v>
      </c>
      <c r="G963">
        <v>27</v>
      </c>
      <c r="H963">
        <v>2462.33</v>
      </c>
      <c r="I963">
        <v>196.85</v>
      </c>
      <c r="J963" t="s">
        <v>41</v>
      </c>
      <c r="K963" t="s">
        <v>20</v>
      </c>
      <c r="L963" t="s">
        <v>2087</v>
      </c>
      <c r="M963">
        <v>9</v>
      </c>
      <c r="N963" t="s">
        <v>232</v>
      </c>
      <c r="O963" t="s">
        <v>2088</v>
      </c>
    </row>
    <row r="964" spans="1:15">
      <c r="A964" t="s">
        <v>2850</v>
      </c>
      <c r="B964" t="s">
        <v>2090</v>
      </c>
      <c r="C964" t="s">
        <v>2100</v>
      </c>
      <c r="D964" s="1">
        <v>44959</v>
      </c>
      <c r="E964" s="1">
        <v>44928</v>
      </c>
      <c r="F964">
        <v>364</v>
      </c>
      <c r="G964">
        <v>7</v>
      </c>
      <c r="H964">
        <v>93.39</v>
      </c>
      <c r="I964">
        <v>83.28</v>
      </c>
      <c r="J964" t="s">
        <v>90</v>
      </c>
      <c r="K964" t="s">
        <v>20</v>
      </c>
      <c r="L964" t="s">
        <v>2095</v>
      </c>
      <c r="M964">
        <v>1</v>
      </c>
      <c r="N964" t="s">
        <v>194</v>
      </c>
      <c r="O964" t="s">
        <v>2096</v>
      </c>
    </row>
    <row r="965" spans="1:15">
      <c r="A965" t="s">
        <v>1600</v>
      </c>
      <c r="B965" t="s">
        <v>2099</v>
      </c>
      <c r="C965" t="s">
        <v>2094</v>
      </c>
      <c r="D965" s="1">
        <v>43680</v>
      </c>
      <c r="E965" s="1">
        <v>45042</v>
      </c>
      <c r="F965">
        <v>250</v>
      </c>
      <c r="G965">
        <v>2</v>
      </c>
      <c r="H965">
        <v>73.78</v>
      </c>
      <c r="I965">
        <v>87.82</v>
      </c>
      <c r="J965" t="s">
        <v>115</v>
      </c>
      <c r="K965" t="s">
        <v>16</v>
      </c>
      <c r="L965" t="s">
        <v>2087</v>
      </c>
      <c r="M965">
        <v>10</v>
      </c>
      <c r="N965" t="s">
        <v>204</v>
      </c>
      <c r="O965" t="s">
        <v>2121</v>
      </c>
    </row>
    <row r="966" spans="1:15">
      <c r="A966" t="s">
        <v>2851</v>
      </c>
      <c r="B966" t="s">
        <v>2090</v>
      </c>
      <c r="C966" t="s">
        <v>2108</v>
      </c>
      <c r="D966" s="1">
        <v>45114</v>
      </c>
      <c r="E966" s="1">
        <v>45054</v>
      </c>
      <c r="F966">
        <v>238</v>
      </c>
      <c r="G966">
        <v>5</v>
      </c>
      <c r="H966">
        <v>277.27</v>
      </c>
      <c r="I966">
        <v>83.07</v>
      </c>
      <c r="J966" t="s">
        <v>115</v>
      </c>
      <c r="K966" t="s">
        <v>16</v>
      </c>
      <c r="L966" t="s">
        <v>2106</v>
      </c>
      <c r="M966">
        <v>9</v>
      </c>
      <c r="N966" t="s">
        <v>232</v>
      </c>
      <c r="O966" t="s">
        <v>2109</v>
      </c>
    </row>
    <row r="967" spans="1:15">
      <c r="A967" t="s">
        <v>1698</v>
      </c>
      <c r="B967" t="s">
        <v>2113</v>
      </c>
      <c r="C967" t="s">
        <v>2094</v>
      </c>
      <c r="D967" s="1">
        <v>45241</v>
      </c>
      <c r="E967" s="1">
        <v>44973</v>
      </c>
      <c r="F967">
        <v>319</v>
      </c>
      <c r="G967">
        <v>17</v>
      </c>
      <c r="H967">
        <v>383.61</v>
      </c>
      <c r="I967">
        <v>64.430000000000007</v>
      </c>
      <c r="J967" t="s">
        <v>66</v>
      </c>
      <c r="K967" t="s">
        <v>20</v>
      </c>
      <c r="L967" t="s">
        <v>2087</v>
      </c>
      <c r="M967">
        <v>5</v>
      </c>
      <c r="N967" t="s">
        <v>179</v>
      </c>
      <c r="O967" t="s">
        <v>2096</v>
      </c>
    </row>
    <row r="968" spans="1:15">
      <c r="A968" t="s">
        <v>2852</v>
      </c>
      <c r="B968" t="s">
        <v>2085</v>
      </c>
      <c r="C968" t="s">
        <v>2111</v>
      </c>
      <c r="D968" s="1">
        <v>44857</v>
      </c>
      <c r="E968" s="1">
        <v>45019</v>
      </c>
      <c r="F968">
        <v>273</v>
      </c>
      <c r="G968">
        <v>15</v>
      </c>
      <c r="H968">
        <v>2150.13</v>
      </c>
      <c r="I968">
        <v>244.48</v>
      </c>
      <c r="J968" t="s">
        <v>90</v>
      </c>
      <c r="K968" t="s">
        <v>16</v>
      </c>
      <c r="L968" t="s">
        <v>2095</v>
      </c>
      <c r="M968">
        <v>6</v>
      </c>
      <c r="N968" t="s">
        <v>165</v>
      </c>
      <c r="O968" t="s">
        <v>2096</v>
      </c>
    </row>
    <row r="969" spans="1:15">
      <c r="A969" t="s">
        <v>2853</v>
      </c>
      <c r="B969" t="s">
        <v>2113</v>
      </c>
      <c r="C969" t="s">
        <v>2091</v>
      </c>
      <c r="D969" s="1">
        <v>44864</v>
      </c>
      <c r="E969" s="1">
        <v>44958</v>
      </c>
      <c r="F969">
        <v>334</v>
      </c>
      <c r="G969">
        <v>8</v>
      </c>
      <c r="H969">
        <v>135.19</v>
      </c>
      <c r="I969">
        <v>33.93</v>
      </c>
      <c r="J969" t="s">
        <v>115</v>
      </c>
      <c r="K969" t="s">
        <v>20</v>
      </c>
      <c r="L969" t="s">
        <v>2106</v>
      </c>
      <c r="M969">
        <v>6</v>
      </c>
      <c r="N969" t="s">
        <v>157</v>
      </c>
      <c r="O969" t="s">
        <v>2109</v>
      </c>
    </row>
    <row r="970" spans="1:15">
      <c r="A970" t="s">
        <v>2854</v>
      </c>
      <c r="B970" t="s">
        <v>2113</v>
      </c>
      <c r="C970" t="s">
        <v>2086</v>
      </c>
      <c r="D970" s="1">
        <v>43723</v>
      </c>
      <c r="E970" s="1">
        <v>44978</v>
      </c>
      <c r="F970">
        <v>314</v>
      </c>
      <c r="G970">
        <v>12</v>
      </c>
      <c r="H970">
        <v>305.39</v>
      </c>
      <c r="I970">
        <v>65.47</v>
      </c>
      <c r="J970" t="s">
        <v>115</v>
      </c>
      <c r="K970" t="s">
        <v>16</v>
      </c>
      <c r="L970" t="s">
        <v>2087</v>
      </c>
      <c r="M970">
        <v>5</v>
      </c>
      <c r="N970" t="s">
        <v>232</v>
      </c>
      <c r="O970" t="s">
        <v>2096</v>
      </c>
    </row>
    <row r="971" spans="1:15">
      <c r="A971" t="s">
        <v>528</v>
      </c>
      <c r="B971" t="s">
        <v>2099</v>
      </c>
      <c r="C971" t="s">
        <v>2086</v>
      </c>
      <c r="D971" s="1">
        <v>44809</v>
      </c>
      <c r="E971" s="1">
        <v>45260</v>
      </c>
      <c r="F971">
        <v>32</v>
      </c>
      <c r="G971">
        <v>2</v>
      </c>
      <c r="H971">
        <v>21</v>
      </c>
      <c r="I971">
        <v>21.98</v>
      </c>
      <c r="J971" t="s">
        <v>66</v>
      </c>
      <c r="K971" t="s">
        <v>16</v>
      </c>
      <c r="L971" t="s">
        <v>2087</v>
      </c>
      <c r="M971">
        <v>8</v>
      </c>
      <c r="N971" t="s">
        <v>232</v>
      </c>
      <c r="O971" t="s">
        <v>2121</v>
      </c>
    </row>
    <row r="972" spans="1:15">
      <c r="A972" t="s">
        <v>2855</v>
      </c>
      <c r="B972" t="s">
        <v>2097</v>
      </c>
      <c r="C972" t="s">
        <v>2094</v>
      </c>
      <c r="D972" s="1">
        <v>44234</v>
      </c>
      <c r="E972" s="1">
        <v>45276</v>
      </c>
      <c r="F972">
        <v>16</v>
      </c>
      <c r="G972">
        <v>3</v>
      </c>
      <c r="H972">
        <v>340.66</v>
      </c>
      <c r="I972">
        <v>87.63</v>
      </c>
      <c r="J972" t="s">
        <v>115</v>
      </c>
      <c r="K972" t="s">
        <v>20</v>
      </c>
      <c r="L972" t="s">
        <v>2087</v>
      </c>
      <c r="M972">
        <v>6</v>
      </c>
      <c r="N972" t="s">
        <v>204</v>
      </c>
      <c r="O972" t="s">
        <v>2109</v>
      </c>
    </row>
    <row r="973" spans="1:15">
      <c r="A973" t="s">
        <v>2856</v>
      </c>
      <c r="B973" t="s">
        <v>2085</v>
      </c>
      <c r="C973" t="s">
        <v>2094</v>
      </c>
      <c r="D973" s="1">
        <v>43495</v>
      </c>
      <c r="E973" s="1">
        <v>45086</v>
      </c>
      <c r="F973">
        <v>206</v>
      </c>
      <c r="G973">
        <v>22</v>
      </c>
      <c r="H973">
        <v>2536.19</v>
      </c>
      <c r="I973">
        <v>152.43</v>
      </c>
      <c r="J973" t="s">
        <v>90</v>
      </c>
      <c r="K973" t="s">
        <v>16</v>
      </c>
      <c r="L973" t="s">
        <v>2087</v>
      </c>
      <c r="M973">
        <v>7</v>
      </c>
      <c r="N973" t="s">
        <v>194</v>
      </c>
      <c r="O973" t="s">
        <v>2088</v>
      </c>
    </row>
    <row r="974" spans="1:15">
      <c r="A974" t="s">
        <v>2857</v>
      </c>
      <c r="B974" t="s">
        <v>2085</v>
      </c>
      <c r="C974" t="s">
        <v>2091</v>
      </c>
      <c r="D974" s="1">
        <v>45038</v>
      </c>
      <c r="E974" s="1">
        <v>45090</v>
      </c>
      <c r="F974">
        <v>202</v>
      </c>
      <c r="G974">
        <v>30</v>
      </c>
      <c r="H974">
        <v>1791.37</v>
      </c>
      <c r="I974">
        <v>290.60000000000002</v>
      </c>
      <c r="J974" t="s">
        <v>41</v>
      </c>
      <c r="K974" t="s">
        <v>20</v>
      </c>
      <c r="L974" t="s">
        <v>2106</v>
      </c>
      <c r="M974">
        <v>0</v>
      </c>
      <c r="N974" t="s">
        <v>204</v>
      </c>
      <c r="O974" t="s">
        <v>2107</v>
      </c>
    </row>
    <row r="975" spans="1:15">
      <c r="A975" t="s">
        <v>480</v>
      </c>
      <c r="B975" t="s">
        <v>2097</v>
      </c>
      <c r="C975" t="s">
        <v>2108</v>
      </c>
      <c r="D975" s="1">
        <v>44246</v>
      </c>
      <c r="E975" s="1">
        <v>44993</v>
      </c>
      <c r="F975">
        <v>299</v>
      </c>
      <c r="G975">
        <v>8</v>
      </c>
      <c r="H975">
        <v>317.76</v>
      </c>
      <c r="I975">
        <v>90.44</v>
      </c>
      <c r="J975" t="s">
        <v>41</v>
      </c>
      <c r="K975" t="s">
        <v>16</v>
      </c>
      <c r="L975" t="s">
        <v>2087</v>
      </c>
      <c r="M975">
        <v>4</v>
      </c>
      <c r="N975" t="s">
        <v>174</v>
      </c>
      <c r="O975" t="s">
        <v>2096</v>
      </c>
    </row>
    <row r="976" spans="1:15">
      <c r="A976" t="s">
        <v>1509</v>
      </c>
      <c r="B976" t="s">
        <v>2099</v>
      </c>
      <c r="C976" t="s">
        <v>2108</v>
      </c>
      <c r="D976" s="1">
        <v>43575</v>
      </c>
      <c r="E976" s="1">
        <v>44931</v>
      </c>
      <c r="F976">
        <v>361</v>
      </c>
      <c r="G976">
        <v>2</v>
      </c>
      <c r="H976">
        <v>98.47</v>
      </c>
      <c r="I976">
        <v>47.76</v>
      </c>
      <c r="J976" t="s">
        <v>90</v>
      </c>
      <c r="K976" t="s">
        <v>16</v>
      </c>
      <c r="L976" t="s">
        <v>2095</v>
      </c>
      <c r="M976">
        <v>1</v>
      </c>
      <c r="N976" t="s">
        <v>157</v>
      </c>
      <c r="O976" t="s">
        <v>2107</v>
      </c>
    </row>
    <row r="977" spans="1:15">
      <c r="A977" t="s">
        <v>2858</v>
      </c>
      <c r="B977" t="s">
        <v>2113</v>
      </c>
      <c r="C977" t="s">
        <v>2108</v>
      </c>
      <c r="D977" s="1">
        <v>44342</v>
      </c>
      <c r="E977" s="1">
        <v>45171</v>
      </c>
      <c r="F977">
        <v>121</v>
      </c>
      <c r="G977">
        <v>10</v>
      </c>
      <c r="H977">
        <v>581.64</v>
      </c>
      <c r="I977">
        <v>69.91</v>
      </c>
      <c r="J977" t="s">
        <v>90</v>
      </c>
      <c r="K977" t="s">
        <v>16</v>
      </c>
      <c r="L977" t="s">
        <v>2087</v>
      </c>
      <c r="M977">
        <v>2</v>
      </c>
      <c r="N977" t="s">
        <v>179</v>
      </c>
      <c r="O977" t="s">
        <v>2121</v>
      </c>
    </row>
    <row r="978" spans="1:15">
      <c r="A978" t="s">
        <v>1672</v>
      </c>
      <c r="B978" t="s">
        <v>2090</v>
      </c>
      <c r="C978" t="s">
        <v>2108</v>
      </c>
      <c r="D978" s="1">
        <v>43828</v>
      </c>
      <c r="E978" s="1">
        <v>45070</v>
      </c>
      <c r="F978">
        <v>222</v>
      </c>
      <c r="G978">
        <v>2</v>
      </c>
      <c r="H978">
        <v>204.85</v>
      </c>
      <c r="I978">
        <v>48.29</v>
      </c>
      <c r="J978" t="s">
        <v>14</v>
      </c>
      <c r="K978" t="s">
        <v>16</v>
      </c>
      <c r="L978" t="s">
        <v>2087</v>
      </c>
      <c r="M978">
        <v>8</v>
      </c>
      <c r="N978" t="s">
        <v>179</v>
      </c>
      <c r="O978" t="s">
        <v>2121</v>
      </c>
    </row>
    <row r="979" spans="1:15">
      <c r="A979" t="s">
        <v>218</v>
      </c>
      <c r="B979" t="s">
        <v>2090</v>
      </c>
      <c r="C979" t="s">
        <v>2086</v>
      </c>
      <c r="D979" s="1">
        <v>43588</v>
      </c>
      <c r="E979" s="1">
        <v>44930</v>
      </c>
      <c r="F979">
        <v>362</v>
      </c>
      <c r="G979">
        <v>8</v>
      </c>
      <c r="H979">
        <v>245.46</v>
      </c>
      <c r="I979">
        <v>71.06</v>
      </c>
      <c r="J979" t="s">
        <v>14</v>
      </c>
      <c r="K979" t="s">
        <v>16</v>
      </c>
      <c r="L979" t="s">
        <v>2087</v>
      </c>
      <c r="M979">
        <v>9</v>
      </c>
      <c r="N979" t="s">
        <v>232</v>
      </c>
      <c r="O979" t="s">
        <v>2109</v>
      </c>
    </row>
    <row r="980" spans="1:15">
      <c r="A980" t="s">
        <v>1388</v>
      </c>
      <c r="B980" t="s">
        <v>2099</v>
      </c>
      <c r="C980" t="s">
        <v>2091</v>
      </c>
      <c r="D980" s="1">
        <v>45257</v>
      </c>
      <c r="E980" s="1">
        <v>44967</v>
      </c>
      <c r="F980">
        <v>325</v>
      </c>
      <c r="G980">
        <v>2</v>
      </c>
      <c r="H980">
        <v>148.91</v>
      </c>
      <c r="I980">
        <v>30.23</v>
      </c>
      <c r="J980" t="s">
        <v>115</v>
      </c>
      <c r="K980" t="s">
        <v>20</v>
      </c>
      <c r="L980" t="s">
        <v>2087</v>
      </c>
      <c r="M980">
        <v>7</v>
      </c>
      <c r="N980" t="s">
        <v>179</v>
      </c>
      <c r="O980" t="s">
        <v>2096</v>
      </c>
    </row>
    <row r="981" spans="1:15">
      <c r="A981" t="s">
        <v>1727</v>
      </c>
      <c r="B981" t="s">
        <v>2113</v>
      </c>
      <c r="C981" t="s">
        <v>2091</v>
      </c>
      <c r="D981" s="1">
        <v>45089</v>
      </c>
      <c r="E981" s="1">
        <v>45061</v>
      </c>
      <c r="F981">
        <v>231</v>
      </c>
      <c r="G981">
        <v>19</v>
      </c>
      <c r="H981">
        <v>167.46</v>
      </c>
      <c r="I981">
        <v>65.91</v>
      </c>
      <c r="J981" t="s">
        <v>90</v>
      </c>
      <c r="K981" t="s">
        <v>16</v>
      </c>
      <c r="L981" t="s">
        <v>2095</v>
      </c>
      <c r="M981">
        <v>1</v>
      </c>
      <c r="N981" t="s">
        <v>157</v>
      </c>
      <c r="O981" t="s">
        <v>2096</v>
      </c>
    </row>
    <row r="982" spans="1:15">
      <c r="A982" t="s">
        <v>2859</v>
      </c>
      <c r="B982" t="s">
        <v>2097</v>
      </c>
      <c r="C982" t="s">
        <v>2091</v>
      </c>
      <c r="D982" s="1">
        <v>44446</v>
      </c>
      <c r="E982" s="1">
        <v>45102</v>
      </c>
      <c r="F982">
        <v>190</v>
      </c>
      <c r="G982">
        <v>11</v>
      </c>
      <c r="H982">
        <v>313.3</v>
      </c>
      <c r="I982">
        <v>123.54</v>
      </c>
      <c r="J982" t="s">
        <v>90</v>
      </c>
      <c r="K982" t="s">
        <v>16</v>
      </c>
      <c r="L982" t="s">
        <v>2106</v>
      </c>
      <c r="M982">
        <v>9</v>
      </c>
      <c r="N982" t="s">
        <v>165</v>
      </c>
      <c r="O982" t="s">
        <v>2109</v>
      </c>
    </row>
    <row r="983" spans="1:15">
      <c r="A983" t="s">
        <v>1916</v>
      </c>
      <c r="B983" t="s">
        <v>2090</v>
      </c>
      <c r="C983" t="s">
        <v>2091</v>
      </c>
      <c r="D983" s="1">
        <v>45143</v>
      </c>
      <c r="E983" s="1">
        <v>45252</v>
      </c>
      <c r="F983">
        <v>40</v>
      </c>
      <c r="G983">
        <v>2</v>
      </c>
      <c r="H983">
        <v>227.59</v>
      </c>
      <c r="I983">
        <v>68.03</v>
      </c>
      <c r="J983" t="s">
        <v>66</v>
      </c>
      <c r="K983" t="s">
        <v>16</v>
      </c>
      <c r="L983" t="s">
        <v>2106</v>
      </c>
      <c r="M983">
        <v>2</v>
      </c>
      <c r="N983" t="s">
        <v>194</v>
      </c>
      <c r="O983" t="s">
        <v>2107</v>
      </c>
    </row>
    <row r="984" spans="1:15">
      <c r="A984" t="s">
        <v>2860</v>
      </c>
      <c r="B984" t="s">
        <v>2085</v>
      </c>
      <c r="C984" t="s">
        <v>2094</v>
      </c>
      <c r="D984" s="1">
        <v>44497</v>
      </c>
      <c r="E984" s="1">
        <v>45093</v>
      </c>
      <c r="F984">
        <v>199</v>
      </c>
      <c r="G984">
        <v>33</v>
      </c>
      <c r="H984">
        <v>2026.48</v>
      </c>
      <c r="I984">
        <v>250.24</v>
      </c>
      <c r="J984" t="s">
        <v>66</v>
      </c>
      <c r="K984" t="s">
        <v>16</v>
      </c>
      <c r="L984" t="s">
        <v>2095</v>
      </c>
      <c r="M984">
        <v>0</v>
      </c>
      <c r="N984" t="s">
        <v>165</v>
      </c>
      <c r="O984" t="s">
        <v>2109</v>
      </c>
    </row>
    <row r="985" spans="1:15">
      <c r="A985" t="s">
        <v>2861</v>
      </c>
      <c r="B985" t="s">
        <v>2113</v>
      </c>
      <c r="C985" t="s">
        <v>2108</v>
      </c>
      <c r="D985" s="1">
        <v>44422</v>
      </c>
      <c r="E985" s="1">
        <v>45100</v>
      </c>
      <c r="F985">
        <v>192</v>
      </c>
      <c r="G985">
        <v>14</v>
      </c>
      <c r="H985">
        <v>426.41</v>
      </c>
      <c r="I985">
        <v>44.26</v>
      </c>
      <c r="J985" t="s">
        <v>41</v>
      </c>
      <c r="K985" t="s">
        <v>16</v>
      </c>
      <c r="L985" t="s">
        <v>2095</v>
      </c>
      <c r="M985">
        <v>1</v>
      </c>
      <c r="N985" t="s">
        <v>157</v>
      </c>
      <c r="O985" t="s">
        <v>2107</v>
      </c>
    </row>
    <row r="986" spans="1:15">
      <c r="A986" t="s">
        <v>2862</v>
      </c>
      <c r="B986" t="s">
        <v>2097</v>
      </c>
      <c r="C986" t="s">
        <v>2108</v>
      </c>
      <c r="D986" s="1">
        <v>45033</v>
      </c>
      <c r="E986" s="1">
        <v>45178</v>
      </c>
      <c r="F986">
        <v>114</v>
      </c>
      <c r="G986">
        <v>10</v>
      </c>
      <c r="H986">
        <v>335.55</v>
      </c>
      <c r="I986">
        <v>103.73</v>
      </c>
      <c r="J986" t="s">
        <v>115</v>
      </c>
      <c r="K986" t="s">
        <v>20</v>
      </c>
      <c r="L986" t="s">
        <v>2095</v>
      </c>
      <c r="M986">
        <v>7</v>
      </c>
      <c r="N986" t="s">
        <v>204</v>
      </c>
      <c r="O986" t="s">
        <v>2109</v>
      </c>
    </row>
    <row r="987" spans="1:15">
      <c r="A987" t="s">
        <v>652</v>
      </c>
      <c r="B987" t="s">
        <v>2097</v>
      </c>
      <c r="C987" t="s">
        <v>2100</v>
      </c>
      <c r="D987" s="1">
        <v>44855</v>
      </c>
      <c r="E987" s="1">
        <v>45012</v>
      </c>
      <c r="F987">
        <v>280</v>
      </c>
      <c r="G987">
        <v>6</v>
      </c>
      <c r="H987">
        <v>581.91999999999996</v>
      </c>
      <c r="I987">
        <v>114.51</v>
      </c>
      <c r="J987" t="s">
        <v>41</v>
      </c>
      <c r="K987" t="s">
        <v>16</v>
      </c>
      <c r="L987" t="s">
        <v>2095</v>
      </c>
      <c r="M987">
        <v>8</v>
      </c>
      <c r="N987" t="s">
        <v>232</v>
      </c>
      <c r="O987" t="s">
        <v>2109</v>
      </c>
    </row>
    <row r="988" spans="1:15">
      <c r="A988" t="s">
        <v>327</v>
      </c>
      <c r="B988" t="s">
        <v>2093</v>
      </c>
      <c r="C988" t="s">
        <v>2108</v>
      </c>
      <c r="D988" s="1">
        <v>44190</v>
      </c>
      <c r="E988" s="1">
        <v>44933</v>
      </c>
      <c r="F988">
        <v>359</v>
      </c>
      <c r="G988">
        <v>2</v>
      </c>
      <c r="H988">
        <v>169.34</v>
      </c>
      <c r="I988">
        <v>73.86</v>
      </c>
      <c r="J988" t="s">
        <v>115</v>
      </c>
      <c r="K988" t="s">
        <v>16</v>
      </c>
      <c r="L988" t="s">
        <v>2095</v>
      </c>
      <c r="M988">
        <v>9</v>
      </c>
      <c r="N988" t="s">
        <v>179</v>
      </c>
      <c r="O988" t="s">
        <v>2109</v>
      </c>
    </row>
    <row r="989" spans="1:15">
      <c r="A989" t="s">
        <v>2863</v>
      </c>
      <c r="B989" t="s">
        <v>2097</v>
      </c>
      <c r="C989" t="s">
        <v>2100</v>
      </c>
      <c r="D989" s="1">
        <v>43864</v>
      </c>
      <c r="E989" s="1">
        <v>44943</v>
      </c>
      <c r="F989">
        <v>349</v>
      </c>
      <c r="G989">
        <v>3</v>
      </c>
      <c r="H989">
        <v>315.7</v>
      </c>
      <c r="I989">
        <v>121.48</v>
      </c>
      <c r="J989" t="s">
        <v>115</v>
      </c>
      <c r="K989" t="s">
        <v>16</v>
      </c>
      <c r="L989" t="s">
        <v>2087</v>
      </c>
      <c r="M989">
        <v>8</v>
      </c>
      <c r="N989" t="s">
        <v>232</v>
      </c>
      <c r="O989" t="s">
        <v>2107</v>
      </c>
    </row>
    <row r="990" spans="1:15">
      <c r="A990" t="s">
        <v>2864</v>
      </c>
      <c r="B990" t="s">
        <v>2113</v>
      </c>
      <c r="C990" t="s">
        <v>2111</v>
      </c>
      <c r="D990" s="1">
        <v>44091</v>
      </c>
      <c r="E990" s="1">
        <v>44933</v>
      </c>
      <c r="F990">
        <v>359</v>
      </c>
      <c r="G990">
        <v>12</v>
      </c>
      <c r="H990">
        <v>265.51</v>
      </c>
      <c r="I990">
        <v>41.48</v>
      </c>
      <c r="J990" t="s">
        <v>14</v>
      </c>
      <c r="K990" t="s">
        <v>20</v>
      </c>
      <c r="L990" t="s">
        <v>2095</v>
      </c>
      <c r="M990">
        <v>6</v>
      </c>
      <c r="N990" t="s">
        <v>204</v>
      </c>
      <c r="O990" t="s">
        <v>2109</v>
      </c>
    </row>
    <row r="991" spans="1:15">
      <c r="A991" t="s">
        <v>2865</v>
      </c>
      <c r="B991" t="s">
        <v>2090</v>
      </c>
      <c r="C991" t="s">
        <v>2091</v>
      </c>
      <c r="D991" s="1">
        <v>44336</v>
      </c>
      <c r="E991" s="1">
        <v>45103</v>
      </c>
      <c r="F991">
        <v>189</v>
      </c>
      <c r="G991">
        <v>4</v>
      </c>
      <c r="H991">
        <v>244.54</v>
      </c>
      <c r="I991">
        <v>45.36</v>
      </c>
      <c r="J991" t="s">
        <v>66</v>
      </c>
      <c r="K991" t="s">
        <v>16</v>
      </c>
      <c r="L991" t="s">
        <v>2087</v>
      </c>
      <c r="M991">
        <v>10</v>
      </c>
      <c r="N991" t="s">
        <v>194</v>
      </c>
      <c r="O991" t="s">
        <v>2121</v>
      </c>
    </row>
    <row r="992" spans="1:15">
      <c r="A992" t="s">
        <v>1010</v>
      </c>
      <c r="B992" t="s">
        <v>2113</v>
      </c>
      <c r="C992" t="s">
        <v>2094</v>
      </c>
      <c r="D992" s="1">
        <v>45144</v>
      </c>
      <c r="E992" s="1">
        <v>45200</v>
      </c>
      <c r="F992">
        <v>92</v>
      </c>
      <c r="G992">
        <v>18</v>
      </c>
      <c r="H992">
        <v>126.74</v>
      </c>
      <c r="I992">
        <v>56.59</v>
      </c>
      <c r="J992" t="s">
        <v>14</v>
      </c>
      <c r="K992" t="s">
        <v>16</v>
      </c>
      <c r="L992" t="s">
        <v>2106</v>
      </c>
      <c r="M992">
        <v>9</v>
      </c>
      <c r="N992" t="s">
        <v>157</v>
      </c>
      <c r="O992" t="s">
        <v>2109</v>
      </c>
    </row>
    <row r="993" spans="1:15">
      <c r="A993" t="s">
        <v>2866</v>
      </c>
      <c r="B993" t="s">
        <v>2093</v>
      </c>
      <c r="C993" t="s">
        <v>2094</v>
      </c>
      <c r="D993" s="1">
        <v>44799</v>
      </c>
      <c r="E993" s="1">
        <v>45269</v>
      </c>
      <c r="F993">
        <v>23</v>
      </c>
      <c r="G993">
        <v>5</v>
      </c>
      <c r="H993">
        <v>48.22</v>
      </c>
      <c r="I993">
        <v>58.51</v>
      </c>
      <c r="J993" t="s">
        <v>41</v>
      </c>
      <c r="K993" t="s">
        <v>20</v>
      </c>
      <c r="L993" t="s">
        <v>2106</v>
      </c>
      <c r="M993">
        <v>1</v>
      </c>
      <c r="N993" t="s">
        <v>157</v>
      </c>
      <c r="O993" t="s">
        <v>2088</v>
      </c>
    </row>
    <row r="994" spans="1:15">
      <c r="A994" t="s">
        <v>2867</v>
      </c>
      <c r="B994" t="s">
        <v>2099</v>
      </c>
      <c r="C994" t="s">
        <v>2086</v>
      </c>
      <c r="D994" s="1">
        <v>45112</v>
      </c>
      <c r="E994" s="1">
        <v>45245</v>
      </c>
      <c r="F994">
        <v>47</v>
      </c>
      <c r="G994">
        <v>2</v>
      </c>
      <c r="H994">
        <v>133.63999999999999</v>
      </c>
      <c r="I994">
        <v>78.83</v>
      </c>
      <c r="J994" t="s">
        <v>115</v>
      </c>
      <c r="K994" t="s">
        <v>16</v>
      </c>
      <c r="L994" t="s">
        <v>2106</v>
      </c>
      <c r="M994">
        <v>8</v>
      </c>
      <c r="N994" t="s">
        <v>232</v>
      </c>
      <c r="O994" t="s">
        <v>2107</v>
      </c>
    </row>
    <row r="995" spans="1:15">
      <c r="A995" t="s">
        <v>2868</v>
      </c>
      <c r="B995" t="s">
        <v>2093</v>
      </c>
      <c r="C995" t="s">
        <v>2086</v>
      </c>
      <c r="D995" s="1">
        <v>44110</v>
      </c>
      <c r="E995" s="1">
        <v>45173</v>
      </c>
      <c r="F995">
        <v>119</v>
      </c>
      <c r="G995">
        <v>5</v>
      </c>
      <c r="H995">
        <v>40.36</v>
      </c>
      <c r="I995">
        <v>79.59</v>
      </c>
      <c r="J995" t="s">
        <v>41</v>
      </c>
      <c r="K995" t="s">
        <v>16</v>
      </c>
      <c r="L995" t="s">
        <v>2095</v>
      </c>
      <c r="M995">
        <v>4</v>
      </c>
      <c r="N995" t="s">
        <v>179</v>
      </c>
      <c r="O995" t="s">
        <v>2109</v>
      </c>
    </row>
    <row r="996" spans="1:15">
      <c r="A996" t="s">
        <v>2869</v>
      </c>
      <c r="B996" t="s">
        <v>2093</v>
      </c>
      <c r="C996" t="s">
        <v>2108</v>
      </c>
      <c r="D996" s="1">
        <v>45125</v>
      </c>
      <c r="E996" s="1">
        <v>44972</v>
      </c>
      <c r="F996">
        <v>320</v>
      </c>
      <c r="G996">
        <v>2</v>
      </c>
      <c r="H996">
        <v>73.14</v>
      </c>
      <c r="I996">
        <v>33.950000000000003</v>
      </c>
      <c r="J996" t="s">
        <v>115</v>
      </c>
      <c r="K996" t="s">
        <v>20</v>
      </c>
      <c r="L996" t="s">
        <v>2106</v>
      </c>
      <c r="M996">
        <v>6</v>
      </c>
      <c r="N996" t="s">
        <v>165</v>
      </c>
      <c r="O996" t="s">
        <v>2121</v>
      </c>
    </row>
    <row r="997" spans="1:15">
      <c r="A997" t="s">
        <v>2870</v>
      </c>
      <c r="B997" t="s">
        <v>2097</v>
      </c>
      <c r="C997" t="s">
        <v>2091</v>
      </c>
      <c r="D997" s="1">
        <v>44606</v>
      </c>
      <c r="E997" s="1">
        <v>45259</v>
      </c>
      <c r="F997">
        <v>33</v>
      </c>
      <c r="G997">
        <v>7</v>
      </c>
      <c r="H997">
        <v>235.93</v>
      </c>
      <c r="I997">
        <v>70.37</v>
      </c>
      <c r="J997" t="s">
        <v>115</v>
      </c>
      <c r="K997" t="s">
        <v>16</v>
      </c>
      <c r="L997" t="s">
        <v>2095</v>
      </c>
      <c r="M997">
        <v>8</v>
      </c>
      <c r="N997" t="s">
        <v>157</v>
      </c>
      <c r="O997" t="s">
        <v>2107</v>
      </c>
    </row>
    <row r="998" spans="1:15">
      <c r="A998" t="s">
        <v>246</v>
      </c>
      <c r="B998" t="s">
        <v>2090</v>
      </c>
      <c r="C998" t="s">
        <v>2086</v>
      </c>
      <c r="D998" s="1">
        <v>44789</v>
      </c>
      <c r="E998" s="1">
        <v>45264</v>
      </c>
      <c r="F998">
        <v>28</v>
      </c>
      <c r="G998">
        <v>8</v>
      </c>
      <c r="H998">
        <v>113.03</v>
      </c>
      <c r="I998">
        <v>118.06</v>
      </c>
      <c r="J998" t="s">
        <v>90</v>
      </c>
      <c r="K998" t="s">
        <v>16</v>
      </c>
      <c r="L998" t="s">
        <v>2087</v>
      </c>
      <c r="M998">
        <v>2</v>
      </c>
      <c r="N998" t="s">
        <v>232</v>
      </c>
      <c r="O998" t="s">
        <v>2107</v>
      </c>
    </row>
    <row r="999" spans="1:15">
      <c r="A999" t="s">
        <v>2871</v>
      </c>
      <c r="B999" t="s">
        <v>2097</v>
      </c>
      <c r="C999" t="s">
        <v>2086</v>
      </c>
      <c r="D999" s="1">
        <v>44923</v>
      </c>
      <c r="E999" s="1">
        <v>45222</v>
      </c>
      <c r="F999">
        <v>70</v>
      </c>
      <c r="G999">
        <v>11</v>
      </c>
      <c r="H999">
        <v>713.51</v>
      </c>
      <c r="I999">
        <v>142.41999999999999</v>
      </c>
      <c r="J999" t="s">
        <v>41</v>
      </c>
      <c r="K999" t="s">
        <v>16</v>
      </c>
      <c r="L999" t="s">
        <v>2095</v>
      </c>
      <c r="M999">
        <v>1</v>
      </c>
      <c r="N999" t="s">
        <v>174</v>
      </c>
      <c r="O999" t="s">
        <v>2096</v>
      </c>
    </row>
    <row r="1000" spans="1:15">
      <c r="A1000" t="s">
        <v>2872</v>
      </c>
      <c r="B1000" t="s">
        <v>2085</v>
      </c>
      <c r="C1000" t="s">
        <v>2108</v>
      </c>
      <c r="D1000" s="1">
        <v>43499</v>
      </c>
      <c r="E1000" s="1">
        <v>44959</v>
      </c>
      <c r="F1000">
        <v>333</v>
      </c>
      <c r="G1000">
        <v>17</v>
      </c>
      <c r="H1000">
        <v>1306.04</v>
      </c>
      <c r="I1000">
        <v>277.79000000000002</v>
      </c>
      <c r="J1000" t="s">
        <v>115</v>
      </c>
      <c r="K1000" t="s">
        <v>16</v>
      </c>
      <c r="L1000" t="s">
        <v>2087</v>
      </c>
      <c r="M1000">
        <v>6</v>
      </c>
      <c r="N1000" t="s">
        <v>204</v>
      </c>
      <c r="O1000" t="s">
        <v>2096</v>
      </c>
    </row>
    <row r="1001" spans="1:15">
      <c r="A1001" t="s">
        <v>170</v>
      </c>
      <c r="B1001" t="s">
        <v>2085</v>
      </c>
      <c r="C1001" t="s">
        <v>2108</v>
      </c>
      <c r="D1001" s="1">
        <v>44841</v>
      </c>
      <c r="E1001" s="1">
        <v>45212</v>
      </c>
      <c r="F1001">
        <v>80</v>
      </c>
      <c r="G1001">
        <v>12</v>
      </c>
      <c r="H1001">
        <v>1917.43</v>
      </c>
      <c r="I1001">
        <v>226.28</v>
      </c>
      <c r="J1001" t="s">
        <v>90</v>
      </c>
      <c r="K1001" t="s">
        <v>20</v>
      </c>
      <c r="L1001" t="s">
        <v>2087</v>
      </c>
      <c r="M1001">
        <v>1</v>
      </c>
      <c r="N1001" t="s">
        <v>174</v>
      </c>
      <c r="O1001" t="s">
        <v>2088</v>
      </c>
    </row>
    <row r="1002" spans="1:15">
      <c r="A1002" t="s">
        <v>2873</v>
      </c>
      <c r="B1002" t="s">
        <v>2085</v>
      </c>
      <c r="C1002" t="s">
        <v>2094</v>
      </c>
      <c r="D1002" s="1">
        <v>45097</v>
      </c>
      <c r="E1002" s="1">
        <v>44974</v>
      </c>
      <c r="F1002">
        <v>318</v>
      </c>
      <c r="G1002">
        <v>38</v>
      </c>
      <c r="H1002">
        <v>1450.04</v>
      </c>
      <c r="I1002">
        <v>174.53</v>
      </c>
      <c r="J1002" t="s">
        <v>14</v>
      </c>
      <c r="K1002" t="s">
        <v>20</v>
      </c>
      <c r="L1002" t="s">
        <v>2095</v>
      </c>
      <c r="M1002">
        <v>8</v>
      </c>
      <c r="N1002" t="s">
        <v>194</v>
      </c>
      <c r="O1002" t="s">
        <v>2121</v>
      </c>
    </row>
    <row r="1003" spans="1:15">
      <c r="A1003" t="s">
        <v>2874</v>
      </c>
      <c r="B1003" t="s">
        <v>2093</v>
      </c>
      <c r="C1003" t="s">
        <v>2100</v>
      </c>
      <c r="D1003" s="1">
        <v>44511</v>
      </c>
      <c r="E1003" s="1">
        <v>44951</v>
      </c>
      <c r="F1003">
        <v>341</v>
      </c>
      <c r="G1003">
        <v>2</v>
      </c>
      <c r="H1003">
        <v>139</v>
      </c>
      <c r="I1003">
        <v>25.1</v>
      </c>
      <c r="J1003" t="s">
        <v>66</v>
      </c>
      <c r="K1003" t="s">
        <v>16</v>
      </c>
      <c r="L1003" t="s">
        <v>2106</v>
      </c>
      <c r="M1003">
        <v>10</v>
      </c>
      <c r="N1003" t="s">
        <v>157</v>
      </c>
      <c r="O1003" t="s">
        <v>2107</v>
      </c>
    </row>
    <row r="1004" spans="1:15">
      <c r="A1004" t="s">
        <v>1795</v>
      </c>
      <c r="B1004" t="s">
        <v>2113</v>
      </c>
      <c r="C1004" t="s">
        <v>2111</v>
      </c>
      <c r="D1004" s="1">
        <v>44113</v>
      </c>
      <c r="E1004" s="1">
        <v>45273</v>
      </c>
      <c r="F1004">
        <v>19</v>
      </c>
      <c r="G1004">
        <v>14</v>
      </c>
      <c r="H1004">
        <v>304.33</v>
      </c>
      <c r="I1004">
        <v>79.12</v>
      </c>
      <c r="J1004" t="s">
        <v>14</v>
      </c>
      <c r="K1004" t="s">
        <v>16</v>
      </c>
      <c r="L1004" t="s">
        <v>2095</v>
      </c>
      <c r="M1004">
        <v>0</v>
      </c>
      <c r="N1004" t="s">
        <v>204</v>
      </c>
      <c r="O1004" t="s">
        <v>2109</v>
      </c>
    </row>
    <row r="1005" spans="1:15">
      <c r="A1005" t="s">
        <v>2875</v>
      </c>
      <c r="B1005" t="s">
        <v>2097</v>
      </c>
      <c r="C1005" t="s">
        <v>2100</v>
      </c>
      <c r="D1005" s="1">
        <v>44140</v>
      </c>
      <c r="E1005" s="1">
        <v>45228</v>
      </c>
      <c r="F1005">
        <v>64</v>
      </c>
      <c r="G1005">
        <v>3</v>
      </c>
      <c r="H1005">
        <v>390.54</v>
      </c>
      <c r="I1005">
        <v>131.56</v>
      </c>
      <c r="J1005" t="s">
        <v>90</v>
      </c>
      <c r="K1005" t="s">
        <v>16</v>
      </c>
      <c r="L1005" t="s">
        <v>2087</v>
      </c>
      <c r="M1005">
        <v>0</v>
      </c>
      <c r="N1005" t="s">
        <v>165</v>
      </c>
      <c r="O1005" t="s">
        <v>2096</v>
      </c>
    </row>
    <row r="1006" spans="1:15">
      <c r="A1006" t="s">
        <v>2047</v>
      </c>
      <c r="B1006" t="s">
        <v>2099</v>
      </c>
      <c r="C1006" t="s">
        <v>2111</v>
      </c>
      <c r="D1006" s="1">
        <v>44330</v>
      </c>
      <c r="E1006" s="1">
        <v>45064</v>
      </c>
      <c r="F1006">
        <v>228</v>
      </c>
      <c r="G1006">
        <v>2</v>
      </c>
      <c r="H1006">
        <v>146.41999999999999</v>
      </c>
      <c r="I1006">
        <v>73.48</v>
      </c>
      <c r="J1006" t="s">
        <v>14</v>
      </c>
      <c r="K1006" t="s">
        <v>16</v>
      </c>
      <c r="L1006" t="s">
        <v>2106</v>
      </c>
      <c r="M1006">
        <v>6</v>
      </c>
      <c r="N1006" t="s">
        <v>194</v>
      </c>
      <c r="O1006" t="s">
        <v>2121</v>
      </c>
    </row>
    <row r="1007" spans="1:15">
      <c r="A1007" t="s">
        <v>2876</v>
      </c>
      <c r="B1007" t="s">
        <v>2085</v>
      </c>
      <c r="C1007" t="s">
        <v>2111</v>
      </c>
      <c r="D1007" s="1">
        <v>43926</v>
      </c>
      <c r="E1007" s="1">
        <v>45071</v>
      </c>
      <c r="F1007">
        <v>221</v>
      </c>
      <c r="G1007">
        <v>34</v>
      </c>
      <c r="H1007">
        <v>998.65</v>
      </c>
      <c r="I1007">
        <v>268.14</v>
      </c>
      <c r="J1007" t="s">
        <v>90</v>
      </c>
      <c r="K1007" t="s">
        <v>20</v>
      </c>
      <c r="L1007" t="s">
        <v>2087</v>
      </c>
      <c r="M1007">
        <v>1</v>
      </c>
      <c r="N1007" t="s">
        <v>204</v>
      </c>
      <c r="O1007" t="s">
        <v>2088</v>
      </c>
    </row>
    <row r="1008" spans="1:15">
      <c r="A1008" t="s">
        <v>2877</v>
      </c>
      <c r="B1008" t="s">
        <v>2090</v>
      </c>
      <c r="C1008" t="s">
        <v>2111</v>
      </c>
      <c r="D1008" s="1">
        <v>44536</v>
      </c>
      <c r="E1008" s="1">
        <v>45241</v>
      </c>
      <c r="F1008">
        <v>51</v>
      </c>
      <c r="G1008">
        <v>4</v>
      </c>
      <c r="H1008">
        <v>327.18</v>
      </c>
      <c r="I1008">
        <v>77.55</v>
      </c>
      <c r="J1008" t="s">
        <v>66</v>
      </c>
      <c r="K1008" t="s">
        <v>20</v>
      </c>
      <c r="L1008" t="s">
        <v>2095</v>
      </c>
      <c r="M1008">
        <v>6</v>
      </c>
      <c r="N1008" t="s">
        <v>204</v>
      </c>
      <c r="O1008" t="s">
        <v>2088</v>
      </c>
    </row>
    <row r="1009" spans="1:15">
      <c r="A1009" t="s">
        <v>2878</v>
      </c>
      <c r="B1009" t="s">
        <v>2097</v>
      </c>
      <c r="C1009" t="s">
        <v>2086</v>
      </c>
      <c r="D1009" s="1">
        <v>44952</v>
      </c>
      <c r="E1009" s="1">
        <v>45217</v>
      </c>
      <c r="F1009">
        <v>75</v>
      </c>
      <c r="G1009">
        <v>7</v>
      </c>
      <c r="H1009">
        <v>510.07</v>
      </c>
      <c r="I1009">
        <v>87.79</v>
      </c>
      <c r="J1009" t="s">
        <v>115</v>
      </c>
      <c r="K1009" t="s">
        <v>16</v>
      </c>
      <c r="L1009" t="s">
        <v>2095</v>
      </c>
      <c r="M1009">
        <v>6</v>
      </c>
      <c r="N1009" t="s">
        <v>232</v>
      </c>
      <c r="O1009" t="s">
        <v>2109</v>
      </c>
    </row>
    <row r="1010" spans="1:15">
      <c r="A1010" t="s">
        <v>1974</v>
      </c>
      <c r="B1010" t="s">
        <v>2085</v>
      </c>
      <c r="C1010" t="s">
        <v>2108</v>
      </c>
      <c r="D1010" s="1">
        <v>44603</v>
      </c>
      <c r="E1010" s="1">
        <v>45193</v>
      </c>
      <c r="F1010">
        <v>99</v>
      </c>
      <c r="G1010">
        <v>28</v>
      </c>
      <c r="H1010">
        <v>1314.98</v>
      </c>
      <c r="I1010">
        <v>186.69</v>
      </c>
      <c r="J1010" t="s">
        <v>115</v>
      </c>
      <c r="K1010" t="s">
        <v>16</v>
      </c>
      <c r="L1010" t="s">
        <v>2087</v>
      </c>
      <c r="M1010">
        <v>8</v>
      </c>
      <c r="N1010" t="s">
        <v>165</v>
      </c>
      <c r="O1010" t="s">
        <v>2109</v>
      </c>
    </row>
    <row r="1011" spans="1:15">
      <c r="A1011" t="s">
        <v>2879</v>
      </c>
      <c r="B1011" t="s">
        <v>2090</v>
      </c>
      <c r="C1011" t="s">
        <v>2091</v>
      </c>
      <c r="D1011" s="1">
        <v>44677</v>
      </c>
      <c r="E1011" s="1">
        <v>45146</v>
      </c>
      <c r="F1011">
        <v>146</v>
      </c>
      <c r="G1011">
        <v>2</v>
      </c>
      <c r="H1011">
        <v>196.51</v>
      </c>
      <c r="I1011">
        <v>69.680000000000007</v>
      </c>
      <c r="J1011" t="s">
        <v>66</v>
      </c>
      <c r="K1011" t="s">
        <v>16</v>
      </c>
      <c r="L1011" t="s">
        <v>2095</v>
      </c>
      <c r="M1011">
        <v>9</v>
      </c>
      <c r="N1011" t="s">
        <v>204</v>
      </c>
      <c r="O1011" t="s">
        <v>2109</v>
      </c>
    </row>
    <row r="1012" spans="1:15">
      <c r="A1012" t="s">
        <v>2880</v>
      </c>
      <c r="B1012" t="s">
        <v>2085</v>
      </c>
      <c r="C1012" t="s">
        <v>2100</v>
      </c>
      <c r="D1012" s="1">
        <v>43644</v>
      </c>
      <c r="E1012" s="1">
        <v>44994</v>
      </c>
      <c r="F1012">
        <v>298</v>
      </c>
      <c r="G1012">
        <v>34</v>
      </c>
      <c r="H1012">
        <v>2108.34</v>
      </c>
      <c r="I1012">
        <v>125.3</v>
      </c>
      <c r="J1012" t="s">
        <v>66</v>
      </c>
      <c r="K1012" t="s">
        <v>16</v>
      </c>
      <c r="L1012" t="s">
        <v>2106</v>
      </c>
      <c r="M1012">
        <v>8</v>
      </c>
      <c r="N1012" t="s">
        <v>232</v>
      </c>
      <c r="O1012" t="s">
        <v>2088</v>
      </c>
    </row>
    <row r="1013" spans="1:15">
      <c r="A1013" t="s">
        <v>2881</v>
      </c>
      <c r="B1013" t="s">
        <v>2097</v>
      </c>
      <c r="C1013" t="s">
        <v>2086</v>
      </c>
      <c r="D1013" s="1">
        <v>44599</v>
      </c>
      <c r="E1013" s="1">
        <v>44929</v>
      </c>
      <c r="F1013">
        <v>363</v>
      </c>
      <c r="G1013">
        <v>9</v>
      </c>
      <c r="H1013">
        <v>159.55000000000001</v>
      </c>
      <c r="I1013">
        <v>147.78</v>
      </c>
      <c r="J1013" t="s">
        <v>66</v>
      </c>
      <c r="K1013" t="s">
        <v>16</v>
      </c>
      <c r="L1013" t="s">
        <v>2095</v>
      </c>
      <c r="M1013">
        <v>7</v>
      </c>
      <c r="N1013" t="s">
        <v>194</v>
      </c>
      <c r="O1013" t="s">
        <v>2121</v>
      </c>
    </row>
    <row r="1014" spans="1:15">
      <c r="A1014" t="s">
        <v>1366</v>
      </c>
      <c r="B1014" t="s">
        <v>2090</v>
      </c>
      <c r="C1014" t="s">
        <v>2094</v>
      </c>
      <c r="D1014" s="1">
        <v>44462</v>
      </c>
      <c r="E1014" s="1">
        <v>45160</v>
      </c>
      <c r="F1014">
        <v>132</v>
      </c>
      <c r="G1014">
        <v>4</v>
      </c>
      <c r="H1014">
        <v>390.88</v>
      </c>
      <c r="I1014">
        <v>49.42</v>
      </c>
      <c r="J1014" t="s">
        <v>14</v>
      </c>
      <c r="K1014" t="s">
        <v>20</v>
      </c>
      <c r="L1014" t="s">
        <v>2106</v>
      </c>
      <c r="M1014">
        <v>2</v>
      </c>
      <c r="N1014" t="s">
        <v>204</v>
      </c>
      <c r="O1014" t="s">
        <v>2121</v>
      </c>
    </row>
    <row r="1015" spans="1:15">
      <c r="A1015" t="s">
        <v>2882</v>
      </c>
      <c r="B1015" t="s">
        <v>2099</v>
      </c>
      <c r="C1015" t="s">
        <v>2086</v>
      </c>
      <c r="D1015" s="1">
        <v>44844</v>
      </c>
      <c r="E1015" s="1">
        <v>45257</v>
      </c>
      <c r="F1015">
        <v>35</v>
      </c>
      <c r="G1015">
        <v>1</v>
      </c>
      <c r="H1015">
        <v>121.93</v>
      </c>
      <c r="I1015">
        <v>27.73</v>
      </c>
      <c r="J1015" t="s">
        <v>41</v>
      </c>
      <c r="K1015" t="s">
        <v>16</v>
      </c>
      <c r="L1015" t="s">
        <v>2095</v>
      </c>
      <c r="M1015">
        <v>9</v>
      </c>
      <c r="N1015" t="s">
        <v>165</v>
      </c>
      <c r="O1015" t="s">
        <v>2088</v>
      </c>
    </row>
    <row r="1016" spans="1:15">
      <c r="A1016" t="s">
        <v>2883</v>
      </c>
      <c r="B1016" t="s">
        <v>2099</v>
      </c>
      <c r="C1016" t="s">
        <v>2100</v>
      </c>
      <c r="D1016" s="1">
        <v>43754</v>
      </c>
      <c r="E1016" s="1">
        <v>45235</v>
      </c>
      <c r="F1016">
        <v>57</v>
      </c>
      <c r="G1016">
        <v>1</v>
      </c>
      <c r="H1016">
        <v>76.650000000000006</v>
      </c>
      <c r="I1016">
        <v>34.159999999999997</v>
      </c>
      <c r="J1016" t="s">
        <v>66</v>
      </c>
      <c r="K1016" t="s">
        <v>20</v>
      </c>
      <c r="L1016" t="s">
        <v>2106</v>
      </c>
      <c r="M1016">
        <v>1</v>
      </c>
      <c r="N1016" t="s">
        <v>204</v>
      </c>
      <c r="O1016" t="s">
        <v>2096</v>
      </c>
    </row>
    <row r="1017" spans="1:15">
      <c r="A1017" t="s">
        <v>927</v>
      </c>
      <c r="B1017" t="s">
        <v>2093</v>
      </c>
      <c r="C1017" t="s">
        <v>2086</v>
      </c>
      <c r="D1017" s="1">
        <v>43736</v>
      </c>
      <c r="E1017" s="1">
        <v>44980</v>
      </c>
      <c r="F1017">
        <v>312</v>
      </c>
      <c r="G1017">
        <v>3</v>
      </c>
      <c r="H1017">
        <v>152.57</v>
      </c>
      <c r="I1017">
        <v>41.99</v>
      </c>
      <c r="J1017" t="s">
        <v>66</v>
      </c>
      <c r="K1017" t="s">
        <v>20</v>
      </c>
      <c r="L1017" t="s">
        <v>2087</v>
      </c>
      <c r="M1017">
        <v>5</v>
      </c>
      <c r="N1017" t="s">
        <v>204</v>
      </c>
      <c r="O1017" t="s">
        <v>2096</v>
      </c>
    </row>
    <row r="1018" spans="1:15">
      <c r="A1018" t="s">
        <v>874</v>
      </c>
      <c r="B1018" t="s">
        <v>2113</v>
      </c>
      <c r="C1018" t="s">
        <v>2091</v>
      </c>
      <c r="D1018" s="1">
        <v>45196</v>
      </c>
      <c r="E1018" s="1">
        <v>45222</v>
      </c>
      <c r="F1018">
        <v>70</v>
      </c>
      <c r="G1018">
        <v>18</v>
      </c>
      <c r="H1018">
        <v>489.75</v>
      </c>
      <c r="I1018">
        <v>36.32</v>
      </c>
      <c r="J1018" t="s">
        <v>41</v>
      </c>
      <c r="K1018" t="s">
        <v>16</v>
      </c>
      <c r="L1018" t="s">
        <v>2087</v>
      </c>
      <c r="M1018">
        <v>0</v>
      </c>
      <c r="N1018" t="s">
        <v>165</v>
      </c>
      <c r="O1018" t="s">
        <v>2088</v>
      </c>
    </row>
    <row r="1019" spans="1:15">
      <c r="A1019" t="s">
        <v>2884</v>
      </c>
      <c r="B1019" t="s">
        <v>2085</v>
      </c>
      <c r="C1019" t="s">
        <v>2094</v>
      </c>
      <c r="D1019" s="1">
        <v>43915</v>
      </c>
      <c r="E1019" s="1">
        <v>45287</v>
      </c>
      <c r="F1019">
        <v>5</v>
      </c>
      <c r="G1019">
        <v>35</v>
      </c>
      <c r="H1019">
        <v>909.52</v>
      </c>
      <c r="I1019">
        <v>226.42</v>
      </c>
      <c r="J1019" t="s">
        <v>90</v>
      </c>
      <c r="K1019" t="s">
        <v>16</v>
      </c>
      <c r="L1019" t="s">
        <v>2095</v>
      </c>
      <c r="M1019">
        <v>7</v>
      </c>
      <c r="N1019" t="s">
        <v>157</v>
      </c>
      <c r="O1019" t="s">
        <v>2107</v>
      </c>
    </row>
    <row r="1020" spans="1:15">
      <c r="A1020" t="s">
        <v>1374</v>
      </c>
      <c r="B1020" t="s">
        <v>2097</v>
      </c>
      <c r="C1020" t="s">
        <v>2091</v>
      </c>
      <c r="D1020" s="1">
        <v>43829</v>
      </c>
      <c r="E1020" s="1">
        <v>45184</v>
      </c>
      <c r="F1020">
        <v>108</v>
      </c>
      <c r="G1020">
        <v>7</v>
      </c>
      <c r="H1020">
        <v>700.95</v>
      </c>
      <c r="I1020">
        <v>97</v>
      </c>
      <c r="J1020" t="s">
        <v>115</v>
      </c>
      <c r="K1020" t="s">
        <v>20</v>
      </c>
      <c r="L1020" t="s">
        <v>2087</v>
      </c>
      <c r="M1020">
        <v>4</v>
      </c>
      <c r="N1020" t="s">
        <v>174</v>
      </c>
      <c r="O1020" t="s">
        <v>2096</v>
      </c>
    </row>
    <row r="1021" spans="1:15">
      <c r="A1021" t="s">
        <v>2885</v>
      </c>
      <c r="B1021" t="s">
        <v>2085</v>
      </c>
      <c r="C1021" t="s">
        <v>2091</v>
      </c>
      <c r="D1021" s="1">
        <v>45138</v>
      </c>
      <c r="E1021" s="1">
        <v>45191</v>
      </c>
      <c r="F1021">
        <v>101</v>
      </c>
      <c r="G1021">
        <v>27</v>
      </c>
      <c r="H1021">
        <v>1944.38</v>
      </c>
      <c r="I1021">
        <v>289.06</v>
      </c>
      <c r="J1021" t="s">
        <v>41</v>
      </c>
      <c r="K1021" t="s">
        <v>20</v>
      </c>
      <c r="L1021" t="s">
        <v>2087</v>
      </c>
      <c r="M1021">
        <v>7</v>
      </c>
      <c r="N1021" t="s">
        <v>157</v>
      </c>
      <c r="O1021" t="s">
        <v>2096</v>
      </c>
    </row>
    <row r="1022" spans="1:15">
      <c r="A1022" t="s">
        <v>2886</v>
      </c>
      <c r="B1022" t="s">
        <v>2097</v>
      </c>
      <c r="C1022" t="s">
        <v>2111</v>
      </c>
      <c r="D1022" s="1">
        <v>44576</v>
      </c>
      <c r="E1022" s="1">
        <v>45118</v>
      </c>
      <c r="F1022">
        <v>174</v>
      </c>
      <c r="G1022">
        <v>9</v>
      </c>
      <c r="H1022">
        <v>197.12</v>
      </c>
      <c r="I1022">
        <v>144.16</v>
      </c>
      <c r="J1022" t="s">
        <v>90</v>
      </c>
      <c r="K1022" t="s">
        <v>16</v>
      </c>
      <c r="L1022" t="s">
        <v>2095</v>
      </c>
      <c r="M1022">
        <v>5</v>
      </c>
      <c r="N1022" t="s">
        <v>232</v>
      </c>
      <c r="O1022" t="s">
        <v>2096</v>
      </c>
    </row>
    <row r="1023" spans="1:15">
      <c r="A1023" t="s">
        <v>2887</v>
      </c>
      <c r="B1023" t="s">
        <v>2085</v>
      </c>
      <c r="C1023" t="s">
        <v>2100</v>
      </c>
      <c r="D1023" s="1">
        <v>44716</v>
      </c>
      <c r="E1023" s="1">
        <v>45018</v>
      </c>
      <c r="F1023">
        <v>274</v>
      </c>
      <c r="G1023">
        <v>15</v>
      </c>
      <c r="H1023">
        <v>2063.59</v>
      </c>
      <c r="I1023">
        <v>294.94</v>
      </c>
      <c r="J1023" t="s">
        <v>14</v>
      </c>
      <c r="K1023" t="s">
        <v>20</v>
      </c>
      <c r="L1023" t="s">
        <v>2095</v>
      </c>
      <c r="M1023">
        <v>5</v>
      </c>
      <c r="N1023" t="s">
        <v>157</v>
      </c>
      <c r="O1023" t="s">
        <v>2109</v>
      </c>
    </row>
    <row r="1024" spans="1:15">
      <c r="A1024" t="s">
        <v>952</v>
      </c>
      <c r="B1024" t="s">
        <v>2085</v>
      </c>
      <c r="C1024" t="s">
        <v>2111</v>
      </c>
      <c r="D1024" s="1">
        <v>43931</v>
      </c>
      <c r="E1024" s="1">
        <v>45152</v>
      </c>
      <c r="F1024">
        <v>140</v>
      </c>
      <c r="G1024">
        <v>35</v>
      </c>
      <c r="H1024">
        <v>2736.25</v>
      </c>
      <c r="I1024">
        <v>248.77</v>
      </c>
      <c r="J1024" t="s">
        <v>115</v>
      </c>
      <c r="K1024" t="s">
        <v>16</v>
      </c>
      <c r="L1024" t="s">
        <v>2095</v>
      </c>
      <c r="M1024">
        <v>0</v>
      </c>
      <c r="N1024" t="s">
        <v>174</v>
      </c>
      <c r="O1024" t="s">
        <v>2109</v>
      </c>
    </row>
    <row r="1025" spans="1:15">
      <c r="A1025" t="s">
        <v>2888</v>
      </c>
      <c r="B1025" t="s">
        <v>2085</v>
      </c>
      <c r="C1025" t="s">
        <v>2100</v>
      </c>
      <c r="D1025" s="1">
        <v>43496</v>
      </c>
      <c r="E1025" s="1">
        <v>44929</v>
      </c>
      <c r="F1025">
        <v>363</v>
      </c>
      <c r="G1025">
        <v>37</v>
      </c>
      <c r="H1025">
        <v>1746.41</v>
      </c>
      <c r="I1025">
        <v>162.78</v>
      </c>
      <c r="J1025" t="s">
        <v>66</v>
      </c>
      <c r="K1025" t="s">
        <v>20</v>
      </c>
      <c r="L1025" t="s">
        <v>2106</v>
      </c>
      <c r="M1025">
        <v>1</v>
      </c>
      <c r="N1025" t="s">
        <v>232</v>
      </c>
      <c r="O1025" t="s">
        <v>2088</v>
      </c>
    </row>
    <row r="1026" spans="1:15">
      <c r="A1026" t="s">
        <v>2889</v>
      </c>
      <c r="B1026" t="s">
        <v>2113</v>
      </c>
      <c r="C1026" t="s">
        <v>2086</v>
      </c>
      <c r="D1026" s="1">
        <v>44788</v>
      </c>
      <c r="E1026" s="1">
        <v>44999</v>
      </c>
      <c r="F1026">
        <v>293</v>
      </c>
      <c r="G1026">
        <v>15</v>
      </c>
      <c r="H1026">
        <v>449.56</v>
      </c>
      <c r="I1026">
        <v>41.35</v>
      </c>
      <c r="J1026" t="s">
        <v>115</v>
      </c>
      <c r="K1026" t="s">
        <v>16</v>
      </c>
      <c r="L1026" t="s">
        <v>2087</v>
      </c>
      <c r="M1026">
        <v>9</v>
      </c>
      <c r="N1026" t="s">
        <v>232</v>
      </c>
      <c r="O1026" t="s">
        <v>2088</v>
      </c>
    </row>
    <row r="1027" spans="1:15">
      <c r="A1027" t="s">
        <v>2890</v>
      </c>
      <c r="B1027" t="s">
        <v>2097</v>
      </c>
      <c r="C1027" t="s">
        <v>2111</v>
      </c>
      <c r="D1027" s="1">
        <v>44037</v>
      </c>
      <c r="E1027" s="1">
        <v>45168</v>
      </c>
      <c r="F1027">
        <v>124</v>
      </c>
      <c r="G1027">
        <v>9</v>
      </c>
      <c r="H1027">
        <v>374</v>
      </c>
      <c r="I1027">
        <v>109.52</v>
      </c>
      <c r="J1027" t="s">
        <v>90</v>
      </c>
      <c r="K1027" t="s">
        <v>20</v>
      </c>
      <c r="L1027" t="s">
        <v>2095</v>
      </c>
      <c r="M1027">
        <v>9</v>
      </c>
      <c r="N1027" t="s">
        <v>179</v>
      </c>
      <c r="O1027" t="s">
        <v>2088</v>
      </c>
    </row>
    <row r="1028" spans="1:15">
      <c r="A1028" t="s">
        <v>1380</v>
      </c>
      <c r="B1028" t="s">
        <v>2097</v>
      </c>
      <c r="C1028" t="s">
        <v>2091</v>
      </c>
      <c r="D1028" s="1">
        <v>44568</v>
      </c>
      <c r="E1028" s="1">
        <v>44969</v>
      </c>
      <c r="F1028">
        <v>323</v>
      </c>
      <c r="G1028">
        <v>10</v>
      </c>
      <c r="H1028">
        <v>281.42</v>
      </c>
      <c r="I1028">
        <v>81.09</v>
      </c>
      <c r="J1028" t="s">
        <v>14</v>
      </c>
      <c r="K1028" t="s">
        <v>16</v>
      </c>
      <c r="L1028" t="s">
        <v>2087</v>
      </c>
      <c r="M1028">
        <v>5</v>
      </c>
      <c r="N1028" t="s">
        <v>174</v>
      </c>
      <c r="O1028" t="s">
        <v>2107</v>
      </c>
    </row>
    <row r="1029" spans="1:15">
      <c r="A1029" t="s">
        <v>2891</v>
      </c>
      <c r="B1029" t="s">
        <v>2113</v>
      </c>
      <c r="C1029" t="s">
        <v>2091</v>
      </c>
      <c r="D1029" s="1">
        <v>44425</v>
      </c>
      <c r="E1029" s="1">
        <v>45078</v>
      </c>
      <c r="F1029">
        <v>214</v>
      </c>
      <c r="G1029">
        <v>17</v>
      </c>
      <c r="H1029">
        <v>210.89</v>
      </c>
      <c r="I1029">
        <v>39.159999999999997</v>
      </c>
      <c r="J1029" t="s">
        <v>66</v>
      </c>
      <c r="K1029" t="s">
        <v>16</v>
      </c>
      <c r="L1029" t="s">
        <v>2087</v>
      </c>
      <c r="M1029">
        <v>8</v>
      </c>
      <c r="N1029" t="s">
        <v>179</v>
      </c>
      <c r="O1029" t="s">
        <v>2107</v>
      </c>
    </row>
    <row r="1030" spans="1:15">
      <c r="A1030" t="s">
        <v>2892</v>
      </c>
      <c r="B1030" t="s">
        <v>2113</v>
      </c>
      <c r="C1030" t="s">
        <v>2086</v>
      </c>
      <c r="D1030" s="1">
        <v>45231</v>
      </c>
      <c r="E1030" s="1">
        <v>45066</v>
      </c>
      <c r="F1030">
        <v>226</v>
      </c>
      <c r="G1030">
        <v>9</v>
      </c>
      <c r="H1030">
        <v>310.33999999999997</v>
      </c>
      <c r="I1030">
        <v>33.020000000000003</v>
      </c>
      <c r="J1030" t="s">
        <v>90</v>
      </c>
      <c r="K1030" t="s">
        <v>16</v>
      </c>
      <c r="L1030" t="s">
        <v>2106</v>
      </c>
      <c r="M1030">
        <v>6</v>
      </c>
      <c r="N1030" t="s">
        <v>204</v>
      </c>
      <c r="O1030" t="s">
        <v>2107</v>
      </c>
    </row>
    <row r="1031" spans="1:15">
      <c r="A1031" t="s">
        <v>2893</v>
      </c>
      <c r="B1031" t="s">
        <v>2090</v>
      </c>
      <c r="C1031" t="s">
        <v>2086</v>
      </c>
      <c r="D1031" s="1">
        <v>43980</v>
      </c>
      <c r="E1031" s="1">
        <v>45080</v>
      </c>
      <c r="F1031">
        <v>212</v>
      </c>
      <c r="G1031">
        <v>6</v>
      </c>
      <c r="H1031">
        <v>150.09</v>
      </c>
      <c r="I1031">
        <v>97.42</v>
      </c>
      <c r="J1031" t="s">
        <v>115</v>
      </c>
      <c r="K1031" t="s">
        <v>16</v>
      </c>
      <c r="L1031" t="s">
        <v>2106</v>
      </c>
      <c r="M1031">
        <v>4</v>
      </c>
      <c r="N1031" t="s">
        <v>157</v>
      </c>
      <c r="O1031" t="s">
        <v>2121</v>
      </c>
    </row>
    <row r="1032" spans="1:15">
      <c r="A1032" t="s">
        <v>2894</v>
      </c>
      <c r="B1032" t="s">
        <v>2097</v>
      </c>
      <c r="C1032" t="s">
        <v>2100</v>
      </c>
      <c r="D1032" s="1">
        <v>44757</v>
      </c>
      <c r="E1032" s="1">
        <v>45079</v>
      </c>
      <c r="F1032">
        <v>213</v>
      </c>
      <c r="G1032">
        <v>9</v>
      </c>
      <c r="H1032">
        <v>748.74</v>
      </c>
      <c r="I1032">
        <v>129.78</v>
      </c>
      <c r="J1032" t="s">
        <v>41</v>
      </c>
      <c r="K1032" t="s">
        <v>20</v>
      </c>
      <c r="L1032" t="s">
        <v>2095</v>
      </c>
      <c r="M1032">
        <v>5</v>
      </c>
      <c r="N1032" t="s">
        <v>194</v>
      </c>
      <c r="O1032" t="s">
        <v>2096</v>
      </c>
    </row>
    <row r="1033" spans="1:15">
      <c r="A1033" t="s">
        <v>2895</v>
      </c>
      <c r="B1033" t="s">
        <v>2099</v>
      </c>
      <c r="C1033" t="s">
        <v>2100</v>
      </c>
      <c r="D1033" s="1">
        <v>44271</v>
      </c>
      <c r="E1033" s="1">
        <v>45111</v>
      </c>
      <c r="F1033">
        <v>181</v>
      </c>
      <c r="G1033">
        <v>2</v>
      </c>
      <c r="H1033">
        <v>140.51</v>
      </c>
      <c r="I1033">
        <v>76.38</v>
      </c>
      <c r="J1033" t="s">
        <v>115</v>
      </c>
      <c r="K1033" t="s">
        <v>16</v>
      </c>
      <c r="L1033" t="s">
        <v>2087</v>
      </c>
      <c r="M1033">
        <v>1</v>
      </c>
      <c r="N1033" t="s">
        <v>194</v>
      </c>
      <c r="O1033" t="s">
        <v>2109</v>
      </c>
    </row>
    <row r="1034" spans="1:15">
      <c r="A1034" t="s">
        <v>2896</v>
      </c>
      <c r="B1034" t="s">
        <v>2097</v>
      </c>
      <c r="C1034" t="s">
        <v>2111</v>
      </c>
      <c r="D1034" s="1">
        <v>43485</v>
      </c>
      <c r="E1034" s="1">
        <v>45231</v>
      </c>
      <c r="F1034">
        <v>61</v>
      </c>
      <c r="G1034">
        <v>6</v>
      </c>
      <c r="H1034">
        <v>516.97</v>
      </c>
      <c r="I1034">
        <v>122.92</v>
      </c>
      <c r="J1034" t="s">
        <v>115</v>
      </c>
      <c r="K1034" t="s">
        <v>16</v>
      </c>
      <c r="L1034" t="s">
        <v>2087</v>
      </c>
      <c r="M1034">
        <v>1</v>
      </c>
      <c r="N1034" t="s">
        <v>174</v>
      </c>
      <c r="O1034" t="s">
        <v>2109</v>
      </c>
    </row>
    <row r="1035" spans="1:15">
      <c r="A1035" t="s">
        <v>213</v>
      </c>
      <c r="B1035" t="s">
        <v>2093</v>
      </c>
      <c r="C1035" t="s">
        <v>2091</v>
      </c>
      <c r="D1035" s="1">
        <v>44694</v>
      </c>
      <c r="E1035" s="1">
        <v>44979</v>
      </c>
      <c r="F1035">
        <v>313</v>
      </c>
      <c r="G1035">
        <v>3</v>
      </c>
      <c r="H1035">
        <v>154.21</v>
      </c>
      <c r="I1035">
        <v>59.96</v>
      </c>
      <c r="J1035" t="s">
        <v>14</v>
      </c>
      <c r="K1035" t="s">
        <v>16</v>
      </c>
      <c r="L1035" t="s">
        <v>2095</v>
      </c>
      <c r="M1035">
        <v>7</v>
      </c>
      <c r="N1035" t="s">
        <v>179</v>
      </c>
      <c r="O1035" t="s">
        <v>2088</v>
      </c>
    </row>
    <row r="1036" spans="1:15">
      <c r="A1036" t="s">
        <v>2897</v>
      </c>
      <c r="B1036" t="s">
        <v>2099</v>
      </c>
      <c r="C1036" t="s">
        <v>2094</v>
      </c>
      <c r="D1036" s="1">
        <v>43757</v>
      </c>
      <c r="E1036" s="1">
        <v>45095</v>
      </c>
      <c r="F1036">
        <v>197</v>
      </c>
      <c r="G1036">
        <v>1</v>
      </c>
      <c r="H1036">
        <v>98.13</v>
      </c>
      <c r="I1036">
        <v>74.930000000000007</v>
      </c>
      <c r="J1036" t="s">
        <v>90</v>
      </c>
      <c r="K1036" t="s">
        <v>20</v>
      </c>
      <c r="L1036" t="s">
        <v>2087</v>
      </c>
      <c r="M1036">
        <v>0</v>
      </c>
      <c r="N1036" t="s">
        <v>165</v>
      </c>
      <c r="O1036" t="s">
        <v>2107</v>
      </c>
    </row>
    <row r="1037" spans="1:15">
      <c r="A1037" t="s">
        <v>2898</v>
      </c>
      <c r="B1037" t="s">
        <v>2097</v>
      </c>
      <c r="C1037" t="s">
        <v>2094</v>
      </c>
      <c r="D1037" s="1">
        <v>43944</v>
      </c>
      <c r="E1037" s="1">
        <v>45088</v>
      </c>
      <c r="F1037">
        <v>204</v>
      </c>
      <c r="G1037">
        <v>3</v>
      </c>
      <c r="H1037">
        <v>413.98</v>
      </c>
      <c r="I1037">
        <v>112.1</v>
      </c>
      <c r="J1037" t="s">
        <v>14</v>
      </c>
      <c r="K1037" t="s">
        <v>20</v>
      </c>
      <c r="L1037" t="s">
        <v>2095</v>
      </c>
      <c r="M1037">
        <v>0</v>
      </c>
      <c r="N1037" t="s">
        <v>174</v>
      </c>
      <c r="O1037" t="s">
        <v>2107</v>
      </c>
    </row>
    <row r="1038" spans="1:15">
      <c r="A1038" t="s">
        <v>2899</v>
      </c>
      <c r="B1038" t="s">
        <v>2097</v>
      </c>
      <c r="C1038" t="s">
        <v>2111</v>
      </c>
      <c r="D1038" s="1">
        <v>44624</v>
      </c>
      <c r="E1038" s="1">
        <v>45109</v>
      </c>
      <c r="F1038">
        <v>183</v>
      </c>
      <c r="G1038">
        <v>10</v>
      </c>
      <c r="H1038">
        <v>735.73</v>
      </c>
      <c r="I1038">
        <v>128.49</v>
      </c>
      <c r="J1038" t="s">
        <v>14</v>
      </c>
      <c r="K1038" t="s">
        <v>16</v>
      </c>
      <c r="L1038" t="s">
        <v>2087</v>
      </c>
      <c r="M1038">
        <v>0</v>
      </c>
      <c r="N1038" t="s">
        <v>174</v>
      </c>
      <c r="O1038" t="s">
        <v>2121</v>
      </c>
    </row>
    <row r="1039" spans="1:15">
      <c r="A1039" t="s">
        <v>2900</v>
      </c>
      <c r="B1039" t="s">
        <v>2085</v>
      </c>
      <c r="C1039" t="s">
        <v>2108</v>
      </c>
      <c r="D1039" s="1">
        <v>43840</v>
      </c>
      <c r="E1039" s="1">
        <v>45104</v>
      </c>
      <c r="F1039">
        <v>188</v>
      </c>
      <c r="G1039">
        <v>22</v>
      </c>
      <c r="H1039">
        <v>1272.1199999999999</v>
      </c>
      <c r="I1039">
        <v>243.89</v>
      </c>
      <c r="J1039" t="s">
        <v>115</v>
      </c>
      <c r="K1039" t="s">
        <v>16</v>
      </c>
      <c r="L1039" t="s">
        <v>2087</v>
      </c>
      <c r="M1039">
        <v>10</v>
      </c>
      <c r="N1039" t="s">
        <v>232</v>
      </c>
      <c r="O1039" t="s">
        <v>2121</v>
      </c>
    </row>
    <row r="1040" spans="1:15">
      <c r="A1040" t="s">
        <v>2901</v>
      </c>
      <c r="B1040" t="s">
        <v>2085</v>
      </c>
      <c r="C1040" t="s">
        <v>2100</v>
      </c>
      <c r="D1040" s="1">
        <v>44474</v>
      </c>
      <c r="E1040" s="1">
        <v>44978</v>
      </c>
      <c r="F1040">
        <v>314</v>
      </c>
      <c r="G1040">
        <v>26</v>
      </c>
      <c r="H1040">
        <v>1421.54</v>
      </c>
      <c r="I1040">
        <v>291.17</v>
      </c>
      <c r="J1040" t="s">
        <v>41</v>
      </c>
      <c r="K1040" t="s">
        <v>16</v>
      </c>
      <c r="L1040" t="s">
        <v>2087</v>
      </c>
      <c r="M1040">
        <v>9</v>
      </c>
      <c r="N1040" t="s">
        <v>232</v>
      </c>
      <c r="O1040" t="s">
        <v>2096</v>
      </c>
    </row>
    <row r="1041" spans="1:15">
      <c r="A1041" t="s">
        <v>2902</v>
      </c>
      <c r="B1041" t="s">
        <v>2113</v>
      </c>
      <c r="C1041" t="s">
        <v>2111</v>
      </c>
      <c r="D1041" s="1">
        <v>44830</v>
      </c>
      <c r="E1041" s="1">
        <v>44960</v>
      </c>
      <c r="F1041">
        <v>332</v>
      </c>
      <c r="G1041">
        <v>16</v>
      </c>
      <c r="H1041">
        <v>421.96</v>
      </c>
      <c r="I1041">
        <v>75.67</v>
      </c>
      <c r="J1041" t="s">
        <v>14</v>
      </c>
      <c r="K1041" t="s">
        <v>16</v>
      </c>
      <c r="L1041" t="s">
        <v>2087</v>
      </c>
      <c r="M1041">
        <v>10</v>
      </c>
      <c r="N1041" t="s">
        <v>232</v>
      </c>
      <c r="O1041" t="s">
        <v>2107</v>
      </c>
    </row>
    <row r="1042" spans="1:15">
      <c r="A1042" t="s">
        <v>2903</v>
      </c>
      <c r="B1042" t="s">
        <v>2113</v>
      </c>
      <c r="C1042" t="s">
        <v>2094</v>
      </c>
      <c r="D1042" s="1">
        <v>43708</v>
      </c>
      <c r="E1042" s="1">
        <v>44928</v>
      </c>
      <c r="F1042">
        <v>364</v>
      </c>
      <c r="G1042">
        <v>5</v>
      </c>
      <c r="H1042">
        <v>201.63</v>
      </c>
      <c r="I1042">
        <v>74.86</v>
      </c>
      <c r="J1042" t="s">
        <v>66</v>
      </c>
      <c r="K1042" t="s">
        <v>16</v>
      </c>
      <c r="L1042" t="s">
        <v>2095</v>
      </c>
      <c r="M1042">
        <v>3</v>
      </c>
      <c r="N1042" t="s">
        <v>204</v>
      </c>
      <c r="O1042" t="s">
        <v>2096</v>
      </c>
    </row>
    <row r="1043" spans="1:15">
      <c r="A1043" t="s">
        <v>2904</v>
      </c>
      <c r="B1043" t="s">
        <v>2090</v>
      </c>
      <c r="C1043" t="s">
        <v>2086</v>
      </c>
      <c r="D1043" s="1">
        <v>43597</v>
      </c>
      <c r="E1043" s="1">
        <v>44963</v>
      </c>
      <c r="F1043">
        <v>329</v>
      </c>
      <c r="G1043">
        <v>6</v>
      </c>
      <c r="H1043">
        <v>303.58999999999997</v>
      </c>
      <c r="I1043">
        <v>100.83</v>
      </c>
      <c r="J1043" t="s">
        <v>66</v>
      </c>
      <c r="K1043" t="s">
        <v>20</v>
      </c>
      <c r="L1043" t="s">
        <v>2106</v>
      </c>
      <c r="M1043">
        <v>1</v>
      </c>
      <c r="N1043" t="s">
        <v>157</v>
      </c>
      <c r="O1043" t="s">
        <v>2121</v>
      </c>
    </row>
    <row r="1044" spans="1:15">
      <c r="A1044" t="s">
        <v>2905</v>
      </c>
      <c r="B1044" t="s">
        <v>2090</v>
      </c>
      <c r="C1044" t="s">
        <v>2091</v>
      </c>
      <c r="D1044" s="1">
        <v>44201</v>
      </c>
      <c r="E1044" s="1">
        <v>45104</v>
      </c>
      <c r="F1044">
        <v>188</v>
      </c>
      <c r="G1044">
        <v>6</v>
      </c>
      <c r="H1044">
        <v>365.41</v>
      </c>
      <c r="I1044">
        <v>116.79</v>
      </c>
      <c r="J1044" t="s">
        <v>66</v>
      </c>
      <c r="K1044" t="s">
        <v>20</v>
      </c>
      <c r="L1044" t="s">
        <v>2106</v>
      </c>
      <c r="M1044">
        <v>5</v>
      </c>
      <c r="N1044" t="s">
        <v>157</v>
      </c>
      <c r="O1044" t="s">
        <v>2096</v>
      </c>
    </row>
    <row r="1045" spans="1:15">
      <c r="A1045" t="s">
        <v>2906</v>
      </c>
      <c r="B1045" t="s">
        <v>2113</v>
      </c>
      <c r="C1045" t="s">
        <v>2086</v>
      </c>
      <c r="D1045" s="1">
        <v>44463</v>
      </c>
      <c r="E1045" s="1">
        <v>45218</v>
      </c>
      <c r="F1045">
        <v>74</v>
      </c>
      <c r="G1045">
        <v>17</v>
      </c>
      <c r="H1045">
        <v>135.33000000000001</v>
      </c>
      <c r="I1045">
        <v>32.97</v>
      </c>
      <c r="J1045" t="s">
        <v>14</v>
      </c>
      <c r="K1045" t="s">
        <v>20</v>
      </c>
      <c r="L1045" t="s">
        <v>2095</v>
      </c>
      <c r="M1045">
        <v>6</v>
      </c>
      <c r="N1045" t="s">
        <v>232</v>
      </c>
      <c r="O1045" t="s">
        <v>2109</v>
      </c>
    </row>
    <row r="1046" spans="1:15">
      <c r="A1046" t="s">
        <v>668</v>
      </c>
      <c r="B1046" t="s">
        <v>2090</v>
      </c>
      <c r="C1046" t="s">
        <v>2094</v>
      </c>
      <c r="D1046" s="1">
        <v>44365</v>
      </c>
      <c r="E1046" s="1">
        <v>45171</v>
      </c>
      <c r="F1046">
        <v>121</v>
      </c>
      <c r="G1046">
        <v>2</v>
      </c>
      <c r="H1046">
        <v>103.58</v>
      </c>
      <c r="I1046">
        <v>70.95</v>
      </c>
      <c r="J1046" t="s">
        <v>14</v>
      </c>
      <c r="K1046" t="s">
        <v>20</v>
      </c>
      <c r="L1046" t="s">
        <v>2095</v>
      </c>
      <c r="M1046">
        <v>7</v>
      </c>
      <c r="N1046" t="s">
        <v>232</v>
      </c>
      <c r="O1046" t="s">
        <v>2121</v>
      </c>
    </row>
    <row r="1047" spans="1:15">
      <c r="A1047" t="s">
        <v>1981</v>
      </c>
      <c r="B1047" t="s">
        <v>2093</v>
      </c>
      <c r="C1047" t="s">
        <v>2086</v>
      </c>
      <c r="D1047" s="1">
        <v>44822</v>
      </c>
      <c r="E1047" s="1">
        <v>45026</v>
      </c>
      <c r="F1047">
        <v>266</v>
      </c>
      <c r="G1047">
        <v>2</v>
      </c>
      <c r="H1047">
        <v>151.83000000000001</v>
      </c>
      <c r="I1047">
        <v>77.38</v>
      </c>
      <c r="J1047" t="s">
        <v>66</v>
      </c>
      <c r="K1047" t="s">
        <v>16</v>
      </c>
      <c r="L1047" t="s">
        <v>2106</v>
      </c>
      <c r="M1047">
        <v>5</v>
      </c>
      <c r="N1047" t="s">
        <v>179</v>
      </c>
      <c r="O1047" t="s">
        <v>2107</v>
      </c>
    </row>
    <row r="1048" spans="1:15">
      <c r="A1048" t="s">
        <v>2907</v>
      </c>
      <c r="B1048" t="s">
        <v>2085</v>
      </c>
      <c r="C1048" t="s">
        <v>2094</v>
      </c>
      <c r="D1048" s="1">
        <v>45019</v>
      </c>
      <c r="E1048" s="1">
        <v>45007</v>
      </c>
      <c r="F1048">
        <v>285</v>
      </c>
      <c r="G1048">
        <v>12</v>
      </c>
      <c r="H1048">
        <v>1663.79</v>
      </c>
      <c r="I1048">
        <v>191.7</v>
      </c>
      <c r="J1048" t="s">
        <v>66</v>
      </c>
      <c r="K1048" t="s">
        <v>16</v>
      </c>
      <c r="L1048" t="s">
        <v>2095</v>
      </c>
      <c r="M1048">
        <v>2</v>
      </c>
      <c r="N1048" t="s">
        <v>165</v>
      </c>
      <c r="O1048" t="s">
        <v>2121</v>
      </c>
    </row>
    <row r="1049" spans="1:15">
      <c r="A1049" t="s">
        <v>2908</v>
      </c>
      <c r="B1049" t="s">
        <v>2085</v>
      </c>
      <c r="C1049" t="s">
        <v>2091</v>
      </c>
      <c r="D1049" s="1">
        <v>44107</v>
      </c>
      <c r="E1049" s="1">
        <v>45057</v>
      </c>
      <c r="F1049">
        <v>235</v>
      </c>
      <c r="G1049">
        <v>14</v>
      </c>
      <c r="H1049">
        <v>1885.11</v>
      </c>
      <c r="I1049">
        <v>297.07</v>
      </c>
      <c r="J1049" t="s">
        <v>90</v>
      </c>
      <c r="K1049" t="s">
        <v>16</v>
      </c>
      <c r="L1049" t="s">
        <v>2087</v>
      </c>
      <c r="M1049">
        <v>1</v>
      </c>
      <c r="N1049" t="s">
        <v>204</v>
      </c>
      <c r="O1049" t="s">
        <v>2088</v>
      </c>
    </row>
    <row r="1050" spans="1:15">
      <c r="A1050" t="s">
        <v>2909</v>
      </c>
      <c r="B1050" t="s">
        <v>2113</v>
      </c>
      <c r="C1050" t="s">
        <v>2108</v>
      </c>
      <c r="D1050" s="1">
        <v>44820</v>
      </c>
      <c r="E1050" s="1">
        <v>45220</v>
      </c>
      <c r="F1050">
        <v>72</v>
      </c>
      <c r="G1050">
        <v>10</v>
      </c>
      <c r="H1050">
        <v>391.06</v>
      </c>
      <c r="I1050">
        <v>61.39</v>
      </c>
      <c r="J1050" t="s">
        <v>41</v>
      </c>
      <c r="K1050" t="s">
        <v>16</v>
      </c>
      <c r="L1050" t="s">
        <v>2095</v>
      </c>
      <c r="M1050">
        <v>4</v>
      </c>
      <c r="N1050" t="s">
        <v>194</v>
      </c>
      <c r="O1050" t="s">
        <v>2096</v>
      </c>
    </row>
    <row r="1051" spans="1:15">
      <c r="A1051" t="s">
        <v>2910</v>
      </c>
      <c r="B1051" t="s">
        <v>2085</v>
      </c>
      <c r="C1051" t="s">
        <v>2100</v>
      </c>
      <c r="D1051" s="1">
        <v>43547</v>
      </c>
      <c r="E1051" s="1">
        <v>45256</v>
      </c>
      <c r="F1051">
        <v>36</v>
      </c>
      <c r="G1051">
        <v>12</v>
      </c>
      <c r="H1051">
        <v>2421.9</v>
      </c>
      <c r="I1051">
        <v>106.39</v>
      </c>
      <c r="J1051" t="s">
        <v>14</v>
      </c>
      <c r="K1051" t="s">
        <v>16</v>
      </c>
      <c r="L1051" t="s">
        <v>2095</v>
      </c>
      <c r="M1051">
        <v>0</v>
      </c>
      <c r="N1051" t="s">
        <v>165</v>
      </c>
      <c r="O1051" t="s">
        <v>2088</v>
      </c>
    </row>
    <row r="1052" spans="1:15">
      <c r="A1052" t="s">
        <v>2911</v>
      </c>
      <c r="B1052" t="s">
        <v>2090</v>
      </c>
      <c r="C1052" t="s">
        <v>2111</v>
      </c>
      <c r="D1052" s="1">
        <v>43776</v>
      </c>
      <c r="E1052" s="1">
        <v>44986</v>
      </c>
      <c r="F1052">
        <v>306</v>
      </c>
      <c r="G1052">
        <v>5</v>
      </c>
      <c r="H1052">
        <v>243.34</v>
      </c>
      <c r="I1052">
        <v>59.44</v>
      </c>
      <c r="J1052" t="s">
        <v>90</v>
      </c>
      <c r="K1052" t="s">
        <v>16</v>
      </c>
      <c r="L1052" t="s">
        <v>2087</v>
      </c>
      <c r="M1052">
        <v>3</v>
      </c>
      <c r="N1052" t="s">
        <v>179</v>
      </c>
      <c r="O1052" t="s">
        <v>2107</v>
      </c>
    </row>
    <row r="1053" spans="1:15">
      <c r="A1053" t="s">
        <v>2912</v>
      </c>
      <c r="B1053" t="s">
        <v>2090</v>
      </c>
      <c r="C1053" t="s">
        <v>2086</v>
      </c>
      <c r="D1053" s="1">
        <v>44400</v>
      </c>
      <c r="E1053" s="1">
        <v>45098</v>
      </c>
      <c r="F1053">
        <v>194</v>
      </c>
      <c r="G1053">
        <v>2</v>
      </c>
      <c r="H1053">
        <v>170.11</v>
      </c>
      <c r="I1053">
        <v>94.27</v>
      </c>
      <c r="J1053" t="s">
        <v>115</v>
      </c>
      <c r="K1053" t="s">
        <v>20</v>
      </c>
      <c r="L1053" t="s">
        <v>2087</v>
      </c>
      <c r="M1053">
        <v>5</v>
      </c>
      <c r="N1053" t="s">
        <v>179</v>
      </c>
      <c r="O1053" t="s">
        <v>2088</v>
      </c>
    </row>
    <row r="1054" spans="1:15">
      <c r="A1054" t="s">
        <v>2913</v>
      </c>
      <c r="B1054" t="s">
        <v>2097</v>
      </c>
      <c r="C1054" t="s">
        <v>2094</v>
      </c>
      <c r="D1054" s="1">
        <v>45045</v>
      </c>
      <c r="E1054" s="1">
        <v>45143</v>
      </c>
      <c r="F1054">
        <v>149</v>
      </c>
      <c r="G1054">
        <v>4</v>
      </c>
      <c r="H1054">
        <v>261.14</v>
      </c>
      <c r="I1054">
        <v>123.69</v>
      </c>
      <c r="J1054" t="s">
        <v>41</v>
      </c>
      <c r="K1054" t="s">
        <v>16</v>
      </c>
      <c r="L1054" t="s">
        <v>2095</v>
      </c>
      <c r="M1054">
        <v>3</v>
      </c>
      <c r="N1054" t="s">
        <v>179</v>
      </c>
      <c r="O1054" t="s">
        <v>2107</v>
      </c>
    </row>
    <row r="1055" spans="1:15">
      <c r="A1055" t="s">
        <v>2914</v>
      </c>
      <c r="B1055" t="s">
        <v>2099</v>
      </c>
      <c r="C1055" t="s">
        <v>2094</v>
      </c>
      <c r="D1055" s="1">
        <v>43755</v>
      </c>
      <c r="E1055" s="1">
        <v>45161</v>
      </c>
      <c r="F1055">
        <v>131</v>
      </c>
      <c r="G1055">
        <v>1</v>
      </c>
      <c r="H1055">
        <v>123.65</v>
      </c>
      <c r="I1055">
        <v>90.78</v>
      </c>
      <c r="J1055" t="s">
        <v>66</v>
      </c>
      <c r="K1055" t="s">
        <v>20</v>
      </c>
      <c r="L1055" t="s">
        <v>2095</v>
      </c>
      <c r="M1055">
        <v>1</v>
      </c>
      <c r="N1055" t="s">
        <v>194</v>
      </c>
      <c r="O1055" t="s">
        <v>2109</v>
      </c>
    </row>
    <row r="1056" spans="1:15">
      <c r="A1056" t="s">
        <v>2915</v>
      </c>
      <c r="B1056" t="s">
        <v>2099</v>
      </c>
      <c r="C1056" t="s">
        <v>2111</v>
      </c>
      <c r="D1056" s="1">
        <v>44377</v>
      </c>
      <c r="E1056" s="1">
        <v>44985</v>
      </c>
      <c r="F1056">
        <v>307</v>
      </c>
      <c r="G1056">
        <v>1</v>
      </c>
      <c r="H1056">
        <v>110.34</v>
      </c>
      <c r="I1056">
        <v>30.09</v>
      </c>
      <c r="J1056" t="s">
        <v>66</v>
      </c>
      <c r="K1056" t="s">
        <v>16</v>
      </c>
      <c r="L1056" t="s">
        <v>2095</v>
      </c>
      <c r="M1056">
        <v>8</v>
      </c>
      <c r="N1056" t="s">
        <v>174</v>
      </c>
      <c r="O1056" t="s">
        <v>2107</v>
      </c>
    </row>
    <row r="1057" spans="1:15">
      <c r="A1057" t="s">
        <v>2916</v>
      </c>
      <c r="B1057" t="s">
        <v>2097</v>
      </c>
      <c r="C1057" t="s">
        <v>2108</v>
      </c>
      <c r="D1057" s="1">
        <v>44791</v>
      </c>
      <c r="E1057" s="1">
        <v>45238</v>
      </c>
      <c r="F1057">
        <v>54</v>
      </c>
      <c r="G1057">
        <v>9</v>
      </c>
      <c r="H1057">
        <v>605.28</v>
      </c>
      <c r="I1057">
        <v>66.819999999999993</v>
      </c>
      <c r="J1057" t="s">
        <v>41</v>
      </c>
      <c r="K1057" t="s">
        <v>16</v>
      </c>
      <c r="L1057" t="s">
        <v>2087</v>
      </c>
      <c r="M1057">
        <v>8</v>
      </c>
      <c r="N1057" t="s">
        <v>179</v>
      </c>
      <c r="O1057" t="s">
        <v>2096</v>
      </c>
    </row>
    <row r="1058" spans="1:15">
      <c r="A1058" t="s">
        <v>2917</v>
      </c>
      <c r="B1058" t="s">
        <v>2090</v>
      </c>
      <c r="C1058" t="s">
        <v>2086</v>
      </c>
      <c r="D1058" s="1">
        <v>44871</v>
      </c>
      <c r="E1058" s="1">
        <v>45114</v>
      </c>
      <c r="F1058">
        <v>178</v>
      </c>
      <c r="G1058">
        <v>6</v>
      </c>
      <c r="H1058">
        <v>371.16</v>
      </c>
      <c r="I1058">
        <v>97.82</v>
      </c>
      <c r="J1058" t="s">
        <v>14</v>
      </c>
      <c r="K1058" t="s">
        <v>16</v>
      </c>
      <c r="L1058" t="s">
        <v>2095</v>
      </c>
      <c r="M1058">
        <v>1</v>
      </c>
      <c r="N1058" t="s">
        <v>232</v>
      </c>
      <c r="O1058" t="s">
        <v>2109</v>
      </c>
    </row>
    <row r="1059" spans="1:15">
      <c r="A1059" t="s">
        <v>2918</v>
      </c>
      <c r="B1059" t="s">
        <v>2097</v>
      </c>
      <c r="C1059" t="s">
        <v>2094</v>
      </c>
      <c r="D1059" s="1">
        <v>43633</v>
      </c>
      <c r="E1059" s="1">
        <v>45228</v>
      </c>
      <c r="F1059">
        <v>64</v>
      </c>
      <c r="G1059">
        <v>11</v>
      </c>
      <c r="H1059">
        <v>391.43</v>
      </c>
      <c r="I1059">
        <v>105.02</v>
      </c>
      <c r="J1059" t="s">
        <v>115</v>
      </c>
      <c r="K1059" t="s">
        <v>20</v>
      </c>
      <c r="L1059" t="s">
        <v>2087</v>
      </c>
      <c r="M1059">
        <v>7</v>
      </c>
      <c r="N1059" t="s">
        <v>157</v>
      </c>
      <c r="O1059" t="s">
        <v>2096</v>
      </c>
    </row>
    <row r="1060" spans="1:15">
      <c r="A1060" t="s">
        <v>1899</v>
      </c>
      <c r="B1060" t="s">
        <v>2099</v>
      </c>
      <c r="C1060" t="s">
        <v>2091</v>
      </c>
      <c r="D1060" s="1">
        <v>45049</v>
      </c>
      <c r="E1060" s="1">
        <v>45100</v>
      </c>
      <c r="F1060">
        <v>192</v>
      </c>
      <c r="G1060">
        <v>1</v>
      </c>
      <c r="H1060">
        <v>112.15</v>
      </c>
      <c r="I1060">
        <v>80.03</v>
      </c>
      <c r="J1060" t="s">
        <v>90</v>
      </c>
      <c r="K1060" t="s">
        <v>20</v>
      </c>
      <c r="L1060" t="s">
        <v>2106</v>
      </c>
      <c r="M1060">
        <v>9</v>
      </c>
      <c r="N1060" t="s">
        <v>179</v>
      </c>
      <c r="O1060" t="s">
        <v>2107</v>
      </c>
    </row>
    <row r="1061" spans="1:15">
      <c r="A1061" t="s">
        <v>2919</v>
      </c>
      <c r="B1061" t="s">
        <v>2085</v>
      </c>
      <c r="C1061" t="s">
        <v>2086</v>
      </c>
      <c r="D1061" s="1">
        <v>43782</v>
      </c>
      <c r="E1061" s="1">
        <v>45187</v>
      </c>
      <c r="F1061">
        <v>105</v>
      </c>
      <c r="G1061">
        <v>29</v>
      </c>
      <c r="H1061">
        <v>2954</v>
      </c>
      <c r="I1061">
        <v>221.73</v>
      </c>
      <c r="J1061" t="s">
        <v>90</v>
      </c>
      <c r="K1061" t="s">
        <v>16</v>
      </c>
      <c r="L1061" t="s">
        <v>2106</v>
      </c>
      <c r="M1061">
        <v>4</v>
      </c>
      <c r="N1061" t="s">
        <v>194</v>
      </c>
      <c r="O1061" t="s">
        <v>2121</v>
      </c>
    </row>
    <row r="1062" spans="1:15">
      <c r="A1062" t="s">
        <v>909</v>
      </c>
      <c r="B1062" t="s">
        <v>2085</v>
      </c>
      <c r="C1062" t="s">
        <v>2091</v>
      </c>
      <c r="D1062" s="1">
        <v>43810</v>
      </c>
      <c r="E1062" s="1">
        <v>45171</v>
      </c>
      <c r="F1062">
        <v>121</v>
      </c>
      <c r="G1062">
        <v>33</v>
      </c>
      <c r="H1062">
        <v>1011.14</v>
      </c>
      <c r="I1062">
        <v>202.78</v>
      </c>
      <c r="J1062" t="s">
        <v>14</v>
      </c>
      <c r="K1062" t="s">
        <v>16</v>
      </c>
      <c r="L1062" t="s">
        <v>2095</v>
      </c>
      <c r="M1062">
        <v>8</v>
      </c>
      <c r="N1062" t="s">
        <v>157</v>
      </c>
      <c r="O1062" t="s">
        <v>2088</v>
      </c>
    </row>
    <row r="1063" spans="1:15">
      <c r="A1063" t="s">
        <v>2920</v>
      </c>
      <c r="B1063" t="s">
        <v>2113</v>
      </c>
      <c r="C1063" t="s">
        <v>2108</v>
      </c>
      <c r="D1063" s="1">
        <v>43934</v>
      </c>
      <c r="E1063" s="1">
        <v>44996</v>
      </c>
      <c r="F1063">
        <v>296</v>
      </c>
      <c r="G1063">
        <v>9</v>
      </c>
      <c r="H1063">
        <v>412.64</v>
      </c>
      <c r="I1063">
        <v>71.930000000000007</v>
      </c>
      <c r="J1063" t="s">
        <v>41</v>
      </c>
      <c r="K1063" t="s">
        <v>16</v>
      </c>
      <c r="L1063" t="s">
        <v>2087</v>
      </c>
      <c r="M1063">
        <v>1</v>
      </c>
      <c r="N1063" t="s">
        <v>194</v>
      </c>
      <c r="O1063" t="s">
        <v>2121</v>
      </c>
    </row>
    <row r="1064" spans="1:15">
      <c r="A1064" t="s">
        <v>2921</v>
      </c>
      <c r="B1064" t="s">
        <v>2099</v>
      </c>
      <c r="C1064" t="s">
        <v>2108</v>
      </c>
      <c r="D1064" s="1">
        <v>45000</v>
      </c>
      <c r="E1064" s="1">
        <v>45195</v>
      </c>
      <c r="F1064">
        <v>97</v>
      </c>
      <c r="G1064">
        <v>2</v>
      </c>
      <c r="H1064">
        <v>105.13</v>
      </c>
      <c r="I1064">
        <v>78.489999999999995</v>
      </c>
      <c r="J1064" t="s">
        <v>14</v>
      </c>
      <c r="K1064" t="s">
        <v>16</v>
      </c>
      <c r="L1064" t="s">
        <v>2087</v>
      </c>
      <c r="M1064">
        <v>5</v>
      </c>
      <c r="N1064" t="s">
        <v>232</v>
      </c>
      <c r="O1064" t="s">
        <v>2088</v>
      </c>
    </row>
    <row r="1065" spans="1:15">
      <c r="A1065" t="s">
        <v>2922</v>
      </c>
      <c r="B1065" t="s">
        <v>2093</v>
      </c>
      <c r="C1065" t="s">
        <v>2108</v>
      </c>
      <c r="D1065" s="1">
        <v>44972</v>
      </c>
      <c r="E1065" s="1">
        <v>45248</v>
      </c>
      <c r="F1065">
        <v>44</v>
      </c>
      <c r="G1065">
        <v>2</v>
      </c>
      <c r="H1065">
        <v>149.19</v>
      </c>
      <c r="I1065">
        <v>60.39</v>
      </c>
      <c r="J1065" t="s">
        <v>14</v>
      </c>
      <c r="K1065" t="s">
        <v>16</v>
      </c>
      <c r="L1065" t="s">
        <v>2095</v>
      </c>
      <c r="M1065">
        <v>10</v>
      </c>
      <c r="N1065" t="s">
        <v>157</v>
      </c>
      <c r="O1065" t="s">
        <v>2096</v>
      </c>
    </row>
    <row r="1066" spans="1:15">
      <c r="A1066" t="s">
        <v>1315</v>
      </c>
      <c r="B1066" t="s">
        <v>2113</v>
      </c>
      <c r="C1066" t="s">
        <v>2100</v>
      </c>
      <c r="D1066" s="1">
        <v>44934</v>
      </c>
      <c r="E1066" s="1">
        <v>45151</v>
      </c>
      <c r="F1066">
        <v>141</v>
      </c>
      <c r="G1066">
        <v>9</v>
      </c>
      <c r="H1066">
        <v>209.51</v>
      </c>
      <c r="I1066">
        <v>36.56</v>
      </c>
      <c r="J1066" t="s">
        <v>66</v>
      </c>
      <c r="K1066" t="s">
        <v>16</v>
      </c>
      <c r="L1066" t="s">
        <v>2106</v>
      </c>
      <c r="M1066">
        <v>1</v>
      </c>
      <c r="N1066" t="s">
        <v>157</v>
      </c>
      <c r="O1066" t="s">
        <v>2121</v>
      </c>
    </row>
    <row r="1067" spans="1:15">
      <c r="A1067" t="s">
        <v>2923</v>
      </c>
      <c r="B1067" t="s">
        <v>2093</v>
      </c>
      <c r="C1067" t="s">
        <v>2111</v>
      </c>
      <c r="D1067" s="1">
        <v>43733</v>
      </c>
      <c r="E1067" s="1">
        <v>45184</v>
      </c>
      <c r="F1067">
        <v>108</v>
      </c>
      <c r="G1067">
        <v>2</v>
      </c>
      <c r="H1067">
        <v>37.04</v>
      </c>
      <c r="I1067">
        <v>66.61</v>
      </c>
      <c r="J1067" t="s">
        <v>90</v>
      </c>
      <c r="K1067" t="s">
        <v>16</v>
      </c>
      <c r="L1067" t="s">
        <v>2095</v>
      </c>
      <c r="M1067">
        <v>6</v>
      </c>
      <c r="N1067" t="s">
        <v>194</v>
      </c>
      <c r="O1067" t="s">
        <v>2109</v>
      </c>
    </row>
    <row r="1068" spans="1:15">
      <c r="A1068" t="s">
        <v>1957</v>
      </c>
      <c r="B1068" t="s">
        <v>2097</v>
      </c>
      <c r="C1068" t="s">
        <v>2091</v>
      </c>
      <c r="D1068" s="1">
        <v>44171</v>
      </c>
      <c r="E1068" s="1">
        <v>45231</v>
      </c>
      <c r="F1068">
        <v>61</v>
      </c>
      <c r="G1068">
        <v>3</v>
      </c>
      <c r="H1068">
        <v>593.41999999999996</v>
      </c>
      <c r="I1068">
        <v>132.49</v>
      </c>
      <c r="J1068" t="s">
        <v>90</v>
      </c>
      <c r="K1068" t="s">
        <v>16</v>
      </c>
      <c r="L1068" t="s">
        <v>2087</v>
      </c>
      <c r="M1068">
        <v>5</v>
      </c>
      <c r="N1068" t="s">
        <v>204</v>
      </c>
      <c r="O1068" t="s">
        <v>2088</v>
      </c>
    </row>
    <row r="1069" spans="1:15">
      <c r="A1069" t="s">
        <v>1932</v>
      </c>
      <c r="B1069" t="s">
        <v>2085</v>
      </c>
      <c r="C1069" t="s">
        <v>2111</v>
      </c>
      <c r="D1069" s="1">
        <v>43611</v>
      </c>
      <c r="E1069" s="1">
        <v>45277</v>
      </c>
      <c r="F1069">
        <v>15</v>
      </c>
      <c r="G1069">
        <v>31</v>
      </c>
      <c r="H1069">
        <v>1981.99</v>
      </c>
      <c r="I1069">
        <v>126.4</v>
      </c>
      <c r="J1069" t="s">
        <v>41</v>
      </c>
      <c r="K1069" t="s">
        <v>20</v>
      </c>
      <c r="L1069" t="s">
        <v>2095</v>
      </c>
      <c r="M1069">
        <v>6</v>
      </c>
      <c r="N1069" t="s">
        <v>165</v>
      </c>
      <c r="O1069" t="s">
        <v>2096</v>
      </c>
    </row>
    <row r="1070" spans="1:15">
      <c r="A1070" t="s">
        <v>2924</v>
      </c>
      <c r="B1070" t="s">
        <v>2099</v>
      </c>
      <c r="C1070" t="s">
        <v>2086</v>
      </c>
      <c r="D1070" s="1">
        <v>45228</v>
      </c>
      <c r="E1070" s="1">
        <v>45008</v>
      </c>
      <c r="F1070">
        <v>284</v>
      </c>
      <c r="G1070">
        <v>2</v>
      </c>
      <c r="H1070">
        <v>69.16</v>
      </c>
      <c r="I1070">
        <v>68.650000000000006</v>
      </c>
      <c r="J1070" t="s">
        <v>115</v>
      </c>
      <c r="K1070" t="s">
        <v>16</v>
      </c>
      <c r="L1070" t="s">
        <v>2095</v>
      </c>
      <c r="M1070">
        <v>0</v>
      </c>
      <c r="N1070" t="s">
        <v>194</v>
      </c>
      <c r="O1070" t="s">
        <v>2107</v>
      </c>
    </row>
    <row r="1071" spans="1:15">
      <c r="A1071" t="s">
        <v>2925</v>
      </c>
      <c r="B1071" t="s">
        <v>2093</v>
      </c>
      <c r="C1071" t="s">
        <v>2091</v>
      </c>
      <c r="D1071" s="1">
        <v>44258</v>
      </c>
      <c r="E1071" s="1">
        <v>45127</v>
      </c>
      <c r="F1071">
        <v>165</v>
      </c>
      <c r="G1071">
        <v>5</v>
      </c>
      <c r="H1071">
        <v>169.6</v>
      </c>
      <c r="I1071">
        <v>24.01</v>
      </c>
      <c r="J1071" t="s">
        <v>41</v>
      </c>
      <c r="K1071" t="s">
        <v>20</v>
      </c>
      <c r="L1071" t="s">
        <v>2095</v>
      </c>
      <c r="M1071">
        <v>3</v>
      </c>
      <c r="N1071" t="s">
        <v>174</v>
      </c>
      <c r="O1071" t="s">
        <v>2109</v>
      </c>
    </row>
    <row r="1072" spans="1:15">
      <c r="A1072" t="s">
        <v>2926</v>
      </c>
      <c r="B1072" t="s">
        <v>2099</v>
      </c>
      <c r="C1072" t="s">
        <v>2100</v>
      </c>
      <c r="D1072" s="1">
        <v>44607</v>
      </c>
      <c r="E1072" s="1">
        <v>45115</v>
      </c>
      <c r="F1072">
        <v>177</v>
      </c>
      <c r="G1072">
        <v>1</v>
      </c>
      <c r="H1072">
        <v>85.14</v>
      </c>
      <c r="I1072">
        <v>49.35</v>
      </c>
      <c r="J1072" t="s">
        <v>90</v>
      </c>
      <c r="K1072" t="s">
        <v>16</v>
      </c>
      <c r="L1072" t="s">
        <v>2095</v>
      </c>
      <c r="M1072">
        <v>6</v>
      </c>
      <c r="N1072" t="s">
        <v>157</v>
      </c>
      <c r="O1072" t="s">
        <v>2109</v>
      </c>
    </row>
    <row r="1073" spans="1:15">
      <c r="A1073" t="s">
        <v>1093</v>
      </c>
      <c r="B1073" t="s">
        <v>2097</v>
      </c>
      <c r="C1073" t="s">
        <v>2111</v>
      </c>
      <c r="D1073" s="1">
        <v>44207</v>
      </c>
      <c r="E1073" s="1">
        <v>45112</v>
      </c>
      <c r="F1073">
        <v>180</v>
      </c>
      <c r="G1073">
        <v>4</v>
      </c>
      <c r="H1073">
        <v>520.71</v>
      </c>
      <c r="I1073">
        <v>130.41999999999999</v>
      </c>
      <c r="J1073" t="s">
        <v>66</v>
      </c>
      <c r="K1073" t="s">
        <v>20</v>
      </c>
      <c r="L1073" t="s">
        <v>2087</v>
      </c>
      <c r="M1073">
        <v>4</v>
      </c>
      <c r="N1073" t="s">
        <v>194</v>
      </c>
      <c r="O1073" t="s">
        <v>2096</v>
      </c>
    </row>
    <row r="1074" spans="1:15">
      <c r="A1074" t="s">
        <v>2927</v>
      </c>
      <c r="B1074" t="s">
        <v>2099</v>
      </c>
      <c r="C1074" t="s">
        <v>2091</v>
      </c>
      <c r="D1074" s="1">
        <v>44093</v>
      </c>
      <c r="E1074" s="1">
        <v>45236</v>
      </c>
      <c r="F1074">
        <v>56</v>
      </c>
      <c r="G1074">
        <v>2</v>
      </c>
      <c r="H1074">
        <v>70.900000000000006</v>
      </c>
      <c r="I1074">
        <v>35.71</v>
      </c>
      <c r="J1074" t="s">
        <v>41</v>
      </c>
      <c r="K1074" t="s">
        <v>20</v>
      </c>
      <c r="L1074" t="s">
        <v>2087</v>
      </c>
      <c r="M1074">
        <v>5</v>
      </c>
      <c r="N1074" t="s">
        <v>174</v>
      </c>
      <c r="O1074" t="s">
        <v>2121</v>
      </c>
    </row>
    <row r="1075" spans="1:15">
      <c r="A1075" t="s">
        <v>2928</v>
      </c>
      <c r="B1075" t="s">
        <v>2093</v>
      </c>
      <c r="C1075" t="s">
        <v>2100</v>
      </c>
      <c r="D1075" s="1">
        <v>43731</v>
      </c>
      <c r="E1075" s="1">
        <v>45013</v>
      </c>
      <c r="F1075">
        <v>279</v>
      </c>
      <c r="G1075">
        <v>5</v>
      </c>
      <c r="H1075">
        <v>94.08</v>
      </c>
      <c r="I1075">
        <v>47.22</v>
      </c>
      <c r="J1075" t="s">
        <v>41</v>
      </c>
      <c r="K1075" t="s">
        <v>16</v>
      </c>
      <c r="L1075" t="s">
        <v>2095</v>
      </c>
      <c r="M1075">
        <v>1</v>
      </c>
      <c r="N1075" t="s">
        <v>194</v>
      </c>
      <c r="O1075" t="s">
        <v>2107</v>
      </c>
    </row>
    <row r="1076" spans="1:15">
      <c r="A1076" t="s">
        <v>2929</v>
      </c>
      <c r="B1076" t="s">
        <v>2113</v>
      </c>
      <c r="C1076" t="s">
        <v>2108</v>
      </c>
      <c r="D1076" s="1">
        <v>45163</v>
      </c>
      <c r="E1076" s="1">
        <v>45102</v>
      </c>
      <c r="F1076">
        <v>190</v>
      </c>
      <c r="G1076">
        <v>11</v>
      </c>
      <c r="H1076">
        <v>492.92</v>
      </c>
      <c r="I1076">
        <v>63.27</v>
      </c>
      <c r="J1076" t="s">
        <v>115</v>
      </c>
      <c r="K1076" t="s">
        <v>20</v>
      </c>
      <c r="L1076" t="s">
        <v>2087</v>
      </c>
      <c r="M1076">
        <v>4</v>
      </c>
      <c r="N1076" t="s">
        <v>165</v>
      </c>
      <c r="O1076" t="s">
        <v>2107</v>
      </c>
    </row>
    <row r="1077" spans="1:15">
      <c r="A1077" t="s">
        <v>2930</v>
      </c>
      <c r="B1077" t="s">
        <v>2085</v>
      </c>
      <c r="C1077" t="s">
        <v>2108</v>
      </c>
      <c r="D1077" s="1">
        <v>43546</v>
      </c>
      <c r="E1077" s="1">
        <v>45200</v>
      </c>
      <c r="F1077">
        <v>92</v>
      </c>
      <c r="G1077">
        <v>33</v>
      </c>
      <c r="H1077">
        <v>1932.31</v>
      </c>
      <c r="I1077">
        <v>202.65</v>
      </c>
      <c r="J1077" t="s">
        <v>90</v>
      </c>
      <c r="K1077" t="s">
        <v>20</v>
      </c>
      <c r="L1077" t="s">
        <v>2106</v>
      </c>
      <c r="M1077">
        <v>9</v>
      </c>
      <c r="N1077" t="s">
        <v>174</v>
      </c>
      <c r="O1077" t="s">
        <v>2088</v>
      </c>
    </row>
    <row r="1078" spans="1:15">
      <c r="A1078" t="s">
        <v>2931</v>
      </c>
      <c r="B1078" t="s">
        <v>2099</v>
      </c>
      <c r="C1078" t="s">
        <v>2111</v>
      </c>
      <c r="D1078" s="1">
        <v>45146</v>
      </c>
      <c r="E1078" s="1">
        <v>45291</v>
      </c>
      <c r="F1078">
        <v>1</v>
      </c>
      <c r="G1078">
        <v>1</v>
      </c>
      <c r="H1078">
        <v>103.13</v>
      </c>
      <c r="I1078">
        <v>77.95</v>
      </c>
      <c r="J1078" t="s">
        <v>115</v>
      </c>
      <c r="K1078" t="s">
        <v>20</v>
      </c>
      <c r="L1078" t="s">
        <v>2106</v>
      </c>
      <c r="M1078">
        <v>6</v>
      </c>
      <c r="N1078" t="s">
        <v>194</v>
      </c>
      <c r="O1078" t="s">
        <v>2107</v>
      </c>
    </row>
    <row r="1079" spans="1:15">
      <c r="A1079" t="s">
        <v>1266</v>
      </c>
      <c r="B1079" t="s">
        <v>2097</v>
      </c>
      <c r="C1079" t="s">
        <v>2100</v>
      </c>
      <c r="D1079" s="1">
        <v>43740</v>
      </c>
      <c r="E1079" s="1">
        <v>45071</v>
      </c>
      <c r="F1079">
        <v>221</v>
      </c>
      <c r="G1079">
        <v>11</v>
      </c>
      <c r="H1079">
        <v>370.24</v>
      </c>
      <c r="I1079">
        <v>73.94</v>
      </c>
      <c r="J1079" t="s">
        <v>41</v>
      </c>
      <c r="K1079" t="s">
        <v>16</v>
      </c>
      <c r="L1079" t="s">
        <v>2106</v>
      </c>
      <c r="M1079">
        <v>0</v>
      </c>
      <c r="N1079" t="s">
        <v>194</v>
      </c>
      <c r="O1079" t="s">
        <v>2088</v>
      </c>
    </row>
    <row r="1080" spans="1:15">
      <c r="A1080" t="s">
        <v>974</v>
      </c>
      <c r="B1080" t="s">
        <v>2097</v>
      </c>
      <c r="C1080" t="s">
        <v>2108</v>
      </c>
      <c r="D1080" s="1">
        <v>45135</v>
      </c>
      <c r="E1080" s="1">
        <v>44944</v>
      </c>
      <c r="F1080">
        <v>348</v>
      </c>
      <c r="G1080">
        <v>6</v>
      </c>
      <c r="H1080">
        <v>309.58999999999997</v>
      </c>
      <c r="I1080">
        <v>144.91999999999999</v>
      </c>
      <c r="J1080" t="s">
        <v>41</v>
      </c>
      <c r="K1080" t="s">
        <v>16</v>
      </c>
      <c r="L1080" t="s">
        <v>2095</v>
      </c>
      <c r="M1080">
        <v>5</v>
      </c>
      <c r="N1080" t="s">
        <v>179</v>
      </c>
      <c r="O1080" t="s">
        <v>2088</v>
      </c>
    </row>
    <row r="1081" spans="1:15">
      <c r="A1081" t="s">
        <v>2932</v>
      </c>
      <c r="B1081" t="s">
        <v>2099</v>
      </c>
      <c r="C1081" t="s">
        <v>2100</v>
      </c>
      <c r="D1081" s="1">
        <v>44012</v>
      </c>
      <c r="E1081" s="1">
        <v>45116</v>
      </c>
      <c r="F1081">
        <v>176</v>
      </c>
      <c r="G1081">
        <v>2</v>
      </c>
      <c r="H1081">
        <v>23.64</v>
      </c>
      <c r="I1081">
        <v>98.41</v>
      </c>
      <c r="J1081" t="s">
        <v>90</v>
      </c>
      <c r="K1081" t="s">
        <v>20</v>
      </c>
      <c r="L1081" t="s">
        <v>2106</v>
      </c>
      <c r="M1081">
        <v>10</v>
      </c>
      <c r="N1081" t="s">
        <v>194</v>
      </c>
      <c r="O1081" t="s">
        <v>2109</v>
      </c>
    </row>
    <row r="1082" spans="1:15">
      <c r="A1082" t="s">
        <v>2933</v>
      </c>
      <c r="B1082" t="s">
        <v>2113</v>
      </c>
      <c r="C1082" t="s">
        <v>2108</v>
      </c>
      <c r="D1082" s="1">
        <v>44941</v>
      </c>
      <c r="E1082" s="1">
        <v>45064</v>
      </c>
      <c r="F1082">
        <v>228</v>
      </c>
      <c r="G1082">
        <v>19</v>
      </c>
      <c r="H1082">
        <v>300.69</v>
      </c>
      <c r="I1082">
        <v>65.61</v>
      </c>
      <c r="J1082" t="s">
        <v>66</v>
      </c>
      <c r="K1082" t="s">
        <v>16</v>
      </c>
      <c r="L1082" t="s">
        <v>2087</v>
      </c>
      <c r="M1082">
        <v>3</v>
      </c>
      <c r="N1082" t="s">
        <v>204</v>
      </c>
      <c r="O1082" t="s">
        <v>2121</v>
      </c>
    </row>
    <row r="1083" spans="1:15">
      <c r="A1083" t="s">
        <v>2934</v>
      </c>
      <c r="B1083" t="s">
        <v>2090</v>
      </c>
      <c r="C1083" t="s">
        <v>2086</v>
      </c>
      <c r="D1083" s="1">
        <v>44257</v>
      </c>
      <c r="E1083" s="1">
        <v>45231</v>
      </c>
      <c r="F1083">
        <v>61</v>
      </c>
      <c r="G1083">
        <v>5</v>
      </c>
      <c r="H1083">
        <v>397.16</v>
      </c>
      <c r="I1083">
        <v>61.67</v>
      </c>
      <c r="J1083" t="s">
        <v>90</v>
      </c>
      <c r="K1083" t="s">
        <v>16</v>
      </c>
      <c r="L1083" t="s">
        <v>2087</v>
      </c>
      <c r="M1083">
        <v>3</v>
      </c>
      <c r="N1083" t="s">
        <v>194</v>
      </c>
      <c r="O1083" t="s">
        <v>2107</v>
      </c>
    </row>
    <row r="1084" spans="1:15">
      <c r="A1084" t="s">
        <v>1632</v>
      </c>
      <c r="B1084" t="s">
        <v>2085</v>
      </c>
      <c r="C1084" t="s">
        <v>2111</v>
      </c>
      <c r="D1084" s="1">
        <v>44562</v>
      </c>
      <c r="E1084" s="1">
        <v>45284</v>
      </c>
      <c r="F1084">
        <v>8</v>
      </c>
      <c r="G1084">
        <v>17</v>
      </c>
      <c r="H1084">
        <v>1555.17</v>
      </c>
      <c r="I1084">
        <v>173.99</v>
      </c>
      <c r="J1084" t="s">
        <v>115</v>
      </c>
      <c r="K1084" t="s">
        <v>16</v>
      </c>
      <c r="L1084" t="s">
        <v>2106</v>
      </c>
      <c r="M1084">
        <v>4</v>
      </c>
      <c r="N1084" t="s">
        <v>232</v>
      </c>
      <c r="O1084" t="s">
        <v>2096</v>
      </c>
    </row>
    <row r="1085" spans="1:15">
      <c r="A1085" t="s">
        <v>2935</v>
      </c>
      <c r="B1085" t="s">
        <v>2113</v>
      </c>
      <c r="C1085" t="s">
        <v>2086</v>
      </c>
      <c r="D1085" s="1">
        <v>44127</v>
      </c>
      <c r="E1085" s="1">
        <v>45117</v>
      </c>
      <c r="F1085">
        <v>175</v>
      </c>
      <c r="G1085">
        <v>10</v>
      </c>
      <c r="H1085">
        <v>480.21</v>
      </c>
      <c r="I1085">
        <v>59.8</v>
      </c>
      <c r="J1085" t="s">
        <v>90</v>
      </c>
      <c r="K1085" t="s">
        <v>16</v>
      </c>
      <c r="L1085" t="s">
        <v>2087</v>
      </c>
      <c r="M1085">
        <v>7</v>
      </c>
      <c r="N1085" t="s">
        <v>157</v>
      </c>
      <c r="O1085" t="s">
        <v>2096</v>
      </c>
    </row>
    <row r="1086" spans="1:15">
      <c r="A1086" t="s">
        <v>2936</v>
      </c>
      <c r="B1086" t="s">
        <v>2097</v>
      </c>
      <c r="C1086" t="s">
        <v>2094</v>
      </c>
      <c r="D1086" s="1">
        <v>43745</v>
      </c>
      <c r="E1086" s="1">
        <v>45049</v>
      </c>
      <c r="F1086">
        <v>243</v>
      </c>
      <c r="G1086">
        <v>3</v>
      </c>
      <c r="H1086">
        <v>444.58</v>
      </c>
      <c r="I1086">
        <v>148.08000000000001</v>
      </c>
      <c r="J1086" t="s">
        <v>115</v>
      </c>
      <c r="K1086" t="s">
        <v>16</v>
      </c>
      <c r="L1086" t="s">
        <v>2087</v>
      </c>
      <c r="M1086">
        <v>2</v>
      </c>
      <c r="N1086" t="s">
        <v>204</v>
      </c>
      <c r="O1086" t="s">
        <v>2096</v>
      </c>
    </row>
    <row r="1087" spans="1:15">
      <c r="A1087" t="s">
        <v>2937</v>
      </c>
      <c r="B1087" t="s">
        <v>2113</v>
      </c>
      <c r="C1087" t="s">
        <v>2086</v>
      </c>
      <c r="D1087" s="1">
        <v>44798</v>
      </c>
      <c r="E1087" s="1">
        <v>45205</v>
      </c>
      <c r="F1087">
        <v>87</v>
      </c>
      <c r="G1087">
        <v>6</v>
      </c>
      <c r="H1087">
        <v>598.85</v>
      </c>
      <c r="I1087">
        <v>77.680000000000007</v>
      </c>
      <c r="J1087" t="s">
        <v>41</v>
      </c>
      <c r="K1087" t="s">
        <v>16</v>
      </c>
      <c r="L1087" t="s">
        <v>2095</v>
      </c>
      <c r="M1087">
        <v>6</v>
      </c>
      <c r="N1087" t="s">
        <v>179</v>
      </c>
      <c r="O1087" t="s">
        <v>2096</v>
      </c>
    </row>
    <row r="1088" spans="1:15">
      <c r="A1088" t="s">
        <v>375</v>
      </c>
      <c r="B1088" t="s">
        <v>2113</v>
      </c>
      <c r="C1088" t="s">
        <v>2100</v>
      </c>
      <c r="D1088" s="1">
        <v>45124</v>
      </c>
      <c r="E1088" s="1">
        <v>44955</v>
      </c>
      <c r="F1088">
        <v>337</v>
      </c>
      <c r="G1088">
        <v>15</v>
      </c>
      <c r="H1088">
        <v>543.07000000000005</v>
      </c>
      <c r="I1088">
        <v>40.67</v>
      </c>
      <c r="J1088" t="s">
        <v>115</v>
      </c>
      <c r="K1088" t="s">
        <v>16</v>
      </c>
      <c r="L1088" t="s">
        <v>2095</v>
      </c>
      <c r="M1088">
        <v>10</v>
      </c>
      <c r="N1088" t="s">
        <v>179</v>
      </c>
      <c r="O1088" t="s">
        <v>2109</v>
      </c>
    </row>
    <row r="1089" spans="1:15">
      <c r="A1089" t="s">
        <v>581</v>
      </c>
      <c r="B1089" t="s">
        <v>2097</v>
      </c>
      <c r="C1089" t="s">
        <v>2086</v>
      </c>
      <c r="D1089" s="1">
        <v>43503</v>
      </c>
      <c r="E1089" s="1">
        <v>44942</v>
      </c>
      <c r="F1089">
        <v>350</v>
      </c>
      <c r="G1089">
        <v>4</v>
      </c>
      <c r="H1089">
        <v>774.68</v>
      </c>
      <c r="I1089">
        <v>118.07</v>
      </c>
      <c r="J1089" t="s">
        <v>14</v>
      </c>
      <c r="K1089" t="s">
        <v>16</v>
      </c>
      <c r="L1089" t="s">
        <v>2106</v>
      </c>
      <c r="M1089">
        <v>5</v>
      </c>
      <c r="N1089" t="s">
        <v>157</v>
      </c>
      <c r="O1089" t="s">
        <v>2107</v>
      </c>
    </row>
    <row r="1090" spans="1:15">
      <c r="A1090" t="s">
        <v>2938</v>
      </c>
      <c r="B1090" t="s">
        <v>2085</v>
      </c>
      <c r="C1090" t="s">
        <v>2094</v>
      </c>
      <c r="D1090" s="1">
        <v>43655</v>
      </c>
      <c r="E1090" s="1">
        <v>45212</v>
      </c>
      <c r="F1090">
        <v>80</v>
      </c>
      <c r="G1090">
        <v>14</v>
      </c>
      <c r="H1090">
        <v>1610.39</v>
      </c>
      <c r="I1090">
        <v>209.8</v>
      </c>
      <c r="J1090" t="s">
        <v>66</v>
      </c>
      <c r="K1090" t="s">
        <v>16</v>
      </c>
      <c r="L1090" t="s">
        <v>2095</v>
      </c>
      <c r="M1090">
        <v>5</v>
      </c>
      <c r="N1090" t="s">
        <v>179</v>
      </c>
      <c r="O1090" t="s">
        <v>2121</v>
      </c>
    </row>
    <row r="1091" spans="1:15">
      <c r="A1091" t="s">
        <v>2939</v>
      </c>
      <c r="B1091" t="s">
        <v>2093</v>
      </c>
      <c r="C1091" t="s">
        <v>2094</v>
      </c>
      <c r="D1091" s="1">
        <v>45099</v>
      </c>
      <c r="E1091" s="1">
        <v>45162</v>
      </c>
      <c r="F1091">
        <v>130</v>
      </c>
      <c r="G1091">
        <v>2</v>
      </c>
      <c r="H1091">
        <v>103.6</v>
      </c>
      <c r="I1091">
        <v>74.349999999999994</v>
      </c>
      <c r="J1091" t="s">
        <v>66</v>
      </c>
      <c r="K1091" t="s">
        <v>20</v>
      </c>
      <c r="L1091" t="s">
        <v>2106</v>
      </c>
      <c r="M1091">
        <v>10</v>
      </c>
      <c r="N1091" t="s">
        <v>204</v>
      </c>
      <c r="O1091" t="s">
        <v>2096</v>
      </c>
    </row>
    <row r="1092" spans="1:15">
      <c r="A1092" t="s">
        <v>2940</v>
      </c>
      <c r="B1092" t="s">
        <v>2085</v>
      </c>
      <c r="C1092" t="s">
        <v>2108</v>
      </c>
      <c r="D1092" s="1">
        <v>45247</v>
      </c>
      <c r="E1092" s="1">
        <v>45258</v>
      </c>
      <c r="F1092">
        <v>34</v>
      </c>
      <c r="G1092">
        <v>27</v>
      </c>
      <c r="H1092">
        <v>1226.79</v>
      </c>
      <c r="I1092">
        <v>292.97000000000003</v>
      </c>
      <c r="J1092" t="s">
        <v>14</v>
      </c>
      <c r="K1092" t="s">
        <v>20</v>
      </c>
      <c r="L1092" t="s">
        <v>2106</v>
      </c>
      <c r="M1092">
        <v>6</v>
      </c>
      <c r="N1092" t="s">
        <v>179</v>
      </c>
      <c r="O1092" t="s">
        <v>2121</v>
      </c>
    </row>
    <row r="1093" spans="1:15">
      <c r="A1093" t="s">
        <v>2941</v>
      </c>
      <c r="B1093" t="s">
        <v>2093</v>
      </c>
      <c r="C1093" t="s">
        <v>2086</v>
      </c>
      <c r="D1093" s="1">
        <v>44393</v>
      </c>
      <c r="E1093" s="1">
        <v>44994</v>
      </c>
      <c r="F1093">
        <v>298</v>
      </c>
      <c r="G1093">
        <v>2</v>
      </c>
      <c r="H1093">
        <v>67.84</v>
      </c>
      <c r="I1093">
        <v>46.68</v>
      </c>
      <c r="J1093" t="s">
        <v>90</v>
      </c>
      <c r="K1093" t="s">
        <v>16</v>
      </c>
      <c r="L1093" t="s">
        <v>2106</v>
      </c>
      <c r="M1093">
        <v>5</v>
      </c>
      <c r="N1093" t="s">
        <v>204</v>
      </c>
      <c r="O1093" t="s">
        <v>2107</v>
      </c>
    </row>
    <row r="1094" spans="1:15">
      <c r="A1094" t="s">
        <v>2942</v>
      </c>
      <c r="B1094" t="s">
        <v>2097</v>
      </c>
      <c r="C1094" t="s">
        <v>2111</v>
      </c>
      <c r="D1094" s="1">
        <v>43592</v>
      </c>
      <c r="E1094" s="1">
        <v>45257</v>
      </c>
      <c r="F1094">
        <v>35</v>
      </c>
      <c r="G1094">
        <v>10</v>
      </c>
      <c r="H1094">
        <v>152.21</v>
      </c>
      <c r="I1094">
        <v>77.87</v>
      </c>
      <c r="J1094" t="s">
        <v>66</v>
      </c>
      <c r="K1094" t="s">
        <v>16</v>
      </c>
      <c r="L1094" t="s">
        <v>2087</v>
      </c>
      <c r="M1094">
        <v>8</v>
      </c>
      <c r="N1094" t="s">
        <v>174</v>
      </c>
      <c r="O1094" t="s">
        <v>2096</v>
      </c>
    </row>
    <row r="1095" spans="1:15">
      <c r="A1095" t="s">
        <v>1640</v>
      </c>
      <c r="B1095" t="s">
        <v>2113</v>
      </c>
      <c r="C1095" t="s">
        <v>2111</v>
      </c>
      <c r="D1095" s="1">
        <v>43559</v>
      </c>
      <c r="E1095" s="1">
        <v>44945</v>
      </c>
      <c r="F1095">
        <v>347</v>
      </c>
      <c r="G1095">
        <v>15</v>
      </c>
      <c r="H1095">
        <v>424.54</v>
      </c>
      <c r="I1095">
        <v>62.91</v>
      </c>
      <c r="J1095" t="s">
        <v>41</v>
      </c>
      <c r="K1095" t="s">
        <v>16</v>
      </c>
      <c r="L1095" t="s">
        <v>2106</v>
      </c>
      <c r="M1095">
        <v>2</v>
      </c>
      <c r="N1095" t="s">
        <v>165</v>
      </c>
      <c r="O1095" t="s">
        <v>2107</v>
      </c>
    </row>
    <row r="1096" spans="1:15">
      <c r="A1096" t="s">
        <v>2943</v>
      </c>
      <c r="B1096" t="s">
        <v>2085</v>
      </c>
      <c r="C1096" t="s">
        <v>2111</v>
      </c>
      <c r="D1096" s="1">
        <v>45200</v>
      </c>
      <c r="E1096" s="1">
        <v>45026</v>
      </c>
      <c r="F1096">
        <v>266</v>
      </c>
      <c r="G1096">
        <v>21</v>
      </c>
      <c r="H1096">
        <v>1209.8800000000001</v>
      </c>
      <c r="I1096">
        <v>192.62</v>
      </c>
      <c r="J1096" t="s">
        <v>90</v>
      </c>
      <c r="K1096" t="s">
        <v>16</v>
      </c>
      <c r="L1096" t="s">
        <v>2106</v>
      </c>
      <c r="M1096">
        <v>4</v>
      </c>
      <c r="N1096" t="s">
        <v>157</v>
      </c>
      <c r="O1096" t="s">
        <v>2088</v>
      </c>
    </row>
    <row r="1097" spans="1:15">
      <c r="A1097" t="s">
        <v>2037</v>
      </c>
      <c r="B1097" t="s">
        <v>2093</v>
      </c>
      <c r="C1097" t="s">
        <v>2108</v>
      </c>
      <c r="D1097" s="1">
        <v>44281</v>
      </c>
      <c r="E1097" s="1">
        <v>45197</v>
      </c>
      <c r="F1097">
        <v>95</v>
      </c>
      <c r="G1097">
        <v>1</v>
      </c>
      <c r="H1097">
        <v>160.77000000000001</v>
      </c>
      <c r="I1097">
        <v>33.06</v>
      </c>
      <c r="J1097" t="s">
        <v>14</v>
      </c>
      <c r="K1097" t="s">
        <v>16</v>
      </c>
      <c r="L1097" t="s">
        <v>2095</v>
      </c>
      <c r="M1097">
        <v>0</v>
      </c>
      <c r="N1097" t="s">
        <v>157</v>
      </c>
      <c r="O1097" t="s">
        <v>2096</v>
      </c>
    </row>
    <row r="1098" spans="1:15">
      <c r="A1098" t="s">
        <v>2944</v>
      </c>
      <c r="B1098" t="s">
        <v>2097</v>
      </c>
      <c r="C1098" t="s">
        <v>2100</v>
      </c>
      <c r="D1098" s="1">
        <v>43781</v>
      </c>
      <c r="E1098" s="1">
        <v>45192</v>
      </c>
      <c r="F1098">
        <v>100</v>
      </c>
      <c r="G1098">
        <v>9</v>
      </c>
      <c r="H1098">
        <v>554.58000000000004</v>
      </c>
      <c r="I1098">
        <v>85.11</v>
      </c>
      <c r="J1098" t="s">
        <v>41</v>
      </c>
      <c r="K1098" t="s">
        <v>20</v>
      </c>
      <c r="L1098" t="s">
        <v>2095</v>
      </c>
      <c r="M1098">
        <v>9</v>
      </c>
      <c r="N1098" t="s">
        <v>165</v>
      </c>
      <c r="O1098" t="s">
        <v>2107</v>
      </c>
    </row>
    <row r="1099" spans="1:15">
      <c r="A1099" t="s">
        <v>2945</v>
      </c>
      <c r="B1099" t="s">
        <v>2090</v>
      </c>
      <c r="C1099" t="s">
        <v>2091</v>
      </c>
      <c r="D1099" s="1">
        <v>43970</v>
      </c>
      <c r="E1099" s="1">
        <v>45103</v>
      </c>
      <c r="F1099">
        <v>189</v>
      </c>
      <c r="G1099">
        <v>7</v>
      </c>
      <c r="H1099">
        <v>281.97000000000003</v>
      </c>
      <c r="I1099">
        <v>78.77</v>
      </c>
      <c r="J1099" t="s">
        <v>66</v>
      </c>
      <c r="K1099" t="s">
        <v>20</v>
      </c>
      <c r="L1099" t="s">
        <v>2087</v>
      </c>
      <c r="M1099">
        <v>10</v>
      </c>
      <c r="N1099" t="s">
        <v>165</v>
      </c>
      <c r="O1099" t="s">
        <v>2107</v>
      </c>
    </row>
    <row r="1100" spans="1:15">
      <c r="A1100" t="s">
        <v>1084</v>
      </c>
      <c r="B1100" t="s">
        <v>2097</v>
      </c>
      <c r="C1100" t="s">
        <v>2091</v>
      </c>
      <c r="D1100" s="1">
        <v>45044</v>
      </c>
      <c r="E1100" s="1">
        <v>45153</v>
      </c>
      <c r="F1100">
        <v>139</v>
      </c>
      <c r="G1100">
        <v>5</v>
      </c>
      <c r="H1100">
        <v>259.83</v>
      </c>
      <c r="I1100">
        <v>113.99</v>
      </c>
      <c r="J1100" t="s">
        <v>115</v>
      </c>
      <c r="K1100" t="s">
        <v>16</v>
      </c>
      <c r="L1100" t="s">
        <v>2106</v>
      </c>
      <c r="M1100">
        <v>9</v>
      </c>
      <c r="N1100" t="s">
        <v>232</v>
      </c>
      <c r="O1100" t="s">
        <v>2107</v>
      </c>
    </row>
    <row r="1101" spans="1:15">
      <c r="A1101" t="s">
        <v>234</v>
      </c>
      <c r="B1101" t="s">
        <v>2085</v>
      </c>
      <c r="C1101" t="s">
        <v>2094</v>
      </c>
      <c r="D1101" s="1">
        <v>44886</v>
      </c>
      <c r="E1101" s="1">
        <v>45040</v>
      </c>
      <c r="F1101">
        <v>252</v>
      </c>
      <c r="G1101">
        <v>21</v>
      </c>
      <c r="H1101">
        <v>1599.9</v>
      </c>
      <c r="I1101">
        <v>194.74</v>
      </c>
      <c r="J1101" t="s">
        <v>41</v>
      </c>
      <c r="K1101" t="s">
        <v>16</v>
      </c>
      <c r="L1101" t="s">
        <v>2095</v>
      </c>
      <c r="M1101">
        <v>6</v>
      </c>
      <c r="N1101" t="s">
        <v>204</v>
      </c>
      <c r="O1101" t="s">
        <v>2096</v>
      </c>
    </row>
    <row r="1102" spans="1:15">
      <c r="A1102" t="s">
        <v>2946</v>
      </c>
      <c r="B1102" t="s">
        <v>2090</v>
      </c>
      <c r="C1102" t="s">
        <v>2086</v>
      </c>
      <c r="D1102" s="1">
        <v>43653</v>
      </c>
      <c r="E1102" s="1">
        <v>44952</v>
      </c>
      <c r="F1102">
        <v>340</v>
      </c>
      <c r="G1102">
        <v>4</v>
      </c>
      <c r="H1102">
        <v>391.04</v>
      </c>
      <c r="I1102">
        <v>77.56</v>
      </c>
      <c r="J1102" t="s">
        <v>90</v>
      </c>
      <c r="K1102" t="s">
        <v>16</v>
      </c>
      <c r="L1102" t="s">
        <v>2106</v>
      </c>
      <c r="M1102">
        <v>2</v>
      </c>
      <c r="N1102" t="s">
        <v>204</v>
      </c>
      <c r="O1102" t="s">
        <v>2088</v>
      </c>
    </row>
    <row r="1103" spans="1:15">
      <c r="A1103" t="s">
        <v>2947</v>
      </c>
      <c r="B1103" t="s">
        <v>2099</v>
      </c>
      <c r="C1103" t="s">
        <v>2100</v>
      </c>
      <c r="D1103" s="1">
        <v>45165</v>
      </c>
      <c r="E1103" s="1">
        <v>45029</v>
      </c>
      <c r="F1103">
        <v>263</v>
      </c>
      <c r="G1103">
        <v>1</v>
      </c>
      <c r="H1103">
        <v>119.38</v>
      </c>
      <c r="I1103">
        <v>84.55</v>
      </c>
      <c r="J1103" t="s">
        <v>14</v>
      </c>
      <c r="K1103" t="s">
        <v>16</v>
      </c>
      <c r="L1103" t="s">
        <v>2095</v>
      </c>
      <c r="M1103">
        <v>7</v>
      </c>
      <c r="N1103" t="s">
        <v>174</v>
      </c>
      <c r="O1103" t="s">
        <v>2107</v>
      </c>
    </row>
    <row r="1104" spans="1:15">
      <c r="A1104" t="s">
        <v>2948</v>
      </c>
      <c r="B1104" t="s">
        <v>2099</v>
      </c>
      <c r="C1104" t="s">
        <v>2091</v>
      </c>
      <c r="D1104" s="1">
        <v>45152</v>
      </c>
      <c r="E1104" s="1">
        <v>45210</v>
      </c>
      <c r="F1104">
        <v>82</v>
      </c>
      <c r="G1104">
        <v>1</v>
      </c>
      <c r="H1104">
        <v>66.05</v>
      </c>
      <c r="I1104">
        <v>87.63</v>
      </c>
      <c r="J1104" t="s">
        <v>115</v>
      </c>
      <c r="K1104" t="s">
        <v>20</v>
      </c>
      <c r="L1104" t="s">
        <v>2106</v>
      </c>
      <c r="M1104">
        <v>10</v>
      </c>
      <c r="N1104" t="s">
        <v>157</v>
      </c>
      <c r="O1104" t="s">
        <v>2096</v>
      </c>
    </row>
    <row r="1105" spans="1:15">
      <c r="A1105" t="s">
        <v>1001</v>
      </c>
      <c r="B1105" t="s">
        <v>2099</v>
      </c>
      <c r="C1105" t="s">
        <v>2100</v>
      </c>
      <c r="D1105" s="1">
        <v>44559</v>
      </c>
      <c r="E1105" s="1">
        <v>45059</v>
      </c>
      <c r="F1105">
        <v>233</v>
      </c>
      <c r="G1105">
        <v>2</v>
      </c>
      <c r="H1105">
        <v>140</v>
      </c>
      <c r="I1105">
        <v>80.959999999999994</v>
      </c>
      <c r="J1105" t="s">
        <v>90</v>
      </c>
      <c r="K1105" t="s">
        <v>16</v>
      </c>
      <c r="L1105" t="s">
        <v>2087</v>
      </c>
      <c r="M1105">
        <v>7</v>
      </c>
      <c r="N1105" t="s">
        <v>179</v>
      </c>
      <c r="O1105" t="s">
        <v>2121</v>
      </c>
    </row>
    <row r="1106" spans="1:15">
      <c r="A1106" t="s">
        <v>2949</v>
      </c>
      <c r="B1106" t="s">
        <v>2097</v>
      </c>
      <c r="C1106" t="s">
        <v>2091</v>
      </c>
      <c r="D1106" s="1">
        <v>43909</v>
      </c>
      <c r="E1106" s="1">
        <v>45280</v>
      </c>
      <c r="F1106">
        <v>12</v>
      </c>
      <c r="G1106">
        <v>5</v>
      </c>
      <c r="H1106">
        <v>286.38</v>
      </c>
      <c r="I1106">
        <v>146.99</v>
      </c>
      <c r="J1106" t="s">
        <v>41</v>
      </c>
      <c r="K1106" t="s">
        <v>16</v>
      </c>
      <c r="L1106" t="s">
        <v>2106</v>
      </c>
      <c r="M1106">
        <v>8</v>
      </c>
      <c r="N1106" t="s">
        <v>174</v>
      </c>
      <c r="O1106" t="s">
        <v>2096</v>
      </c>
    </row>
    <row r="1107" spans="1:15">
      <c r="A1107" t="s">
        <v>1068</v>
      </c>
      <c r="B1107" t="s">
        <v>2090</v>
      </c>
      <c r="C1107" t="s">
        <v>2108</v>
      </c>
      <c r="D1107" s="1">
        <v>44613</v>
      </c>
      <c r="E1107" s="1">
        <v>45270</v>
      </c>
      <c r="F1107">
        <v>22</v>
      </c>
      <c r="G1107">
        <v>4</v>
      </c>
      <c r="H1107">
        <v>161.19999999999999</v>
      </c>
      <c r="I1107">
        <v>52.32</v>
      </c>
      <c r="J1107" t="s">
        <v>115</v>
      </c>
      <c r="K1107" t="s">
        <v>16</v>
      </c>
      <c r="L1107" t="s">
        <v>2106</v>
      </c>
      <c r="M1107">
        <v>10</v>
      </c>
      <c r="N1107" t="s">
        <v>165</v>
      </c>
      <c r="O1107" t="s">
        <v>2107</v>
      </c>
    </row>
    <row r="1108" spans="1:15">
      <c r="A1108" t="s">
        <v>2950</v>
      </c>
      <c r="B1108" t="s">
        <v>2097</v>
      </c>
      <c r="C1108" t="s">
        <v>2094</v>
      </c>
      <c r="D1108" s="1">
        <v>45147</v>
      </c>
      <c r="E1108" s="1">
        <v>45243</v>
      </c>
      <c r="F1108">
        <v>49</v>
      </c>
      <c r="G1108">
        <v>8</v>
      </c>
      <c r="H1108">
        <v>413.27</v>
      </c>
      <c r="I1108">
        <v>87.7</v>
      </c>
      <c r="J1108" t="s">
        <v>41</v>
      </c>
      <c r="K1108" t="s">
        <v>16</v>
      </c>
      <c r="L1108" t="s">
        <v>2106</v>
      </c>
      <c r="M1108">
        <v>0</v>
      </c>
      <c r="N1108" t="s">
        <v>204</v>
      </c>
      <c r="O1108" t="s">
        <v>2107</v>
      </c>
    </row>
    <row r="1109" spans="1:15">
      <c r="A1109" t="s">
        <v>2951</v>
      </c>
      <c r="B1109" t="s">
        <v>2093</v>
      </c>
      <c r="C1109" t="s">
        <v>2111</v>
      </c>
      <c r="D1109" s="1">
        <v>45217</v>
      </c>
      <c r="E1109" s="1">
        <v>45258</v>
      </c>
      <c r="F1109">
        <v>34</v>
      </c>
      <c r="G1109">
        <v>4</v>
      </c>
      <c r="H1109">
        <v>176.96</v>
      </c>
      <c r="I1109">
        <v>34.68</v>
      </c>
      <c r="J1109" t="s">
        <v>115</v>
      </c>
      <c r="K1109" t="s">
        <v>16</v>
      </c>
      <c r="L1109" t="s">
        <v>2087</v>
      </c>
      <c r="M1109">
        <v>6</v>
      </c>
      <c r="N1109" t="s">
        <v>165</v>
      </c>
      <c r="O1109" t="s">
        <v>2109</v>
      </c>
    </row>
    <row r="1110" spans="1:15">
      <c r="A1110" t="s">
        <v>2952</v>
      </c>
      <c r="B1110" t="s">
        <v>2113</v>
      </c>
      <c r="C1110" t="s">
        <v>2091</v>
      </c>
      <c r="D1110" s="1">
        <v>44836</v>
      </c>
      <c r="E1110" s="1">
        <v>45088</v>
      </c>
      <c r="F1110">
        <v>204</v>
      </c>
      <c r="G1110">
        <v>8</v>
      </c>
      <c r="H1110">
        <v>513.84</v>
      </c>
      <c r="I1110">
        <v>30.32</v>
      </c>
      <c r="J1110" t="s">
        <v>115</v>
      </c>
      <c r="K1110" t="s">
        <v>16</v>
      </c>
      <c r="L1110" t="s">
        <v>2095</v>
      </c>
      <c r="M1110">
        <v>10</v>
      </c>
      <c r="N1110" t="s">
        <v>232</v>
      </c>
      <c r="O1110" t="s">
        <v>2121</v>
      </c>
    </row>
    <row r="1111" spans="1:15">
      <c r="A1111" t="s">
        <v>2953</v>
      </c>
      <c r="B1111" t="s">
        <v>2097</v>
      </c>
      <c r="C1111" t="s">
        <v>2091</v>
      </c>
      <c r="D1111" s="1">
        <v>45052</v>
      </c>
      <c r="E1111" s="1">
        <v>45124</v>
      </c>
      <c r="F1111">
        <v>168</v>
      </c>
      <c r="G1111">
        <v>3</v>
      </c>
      <c r="H1111">
        <v>727.51</v>
      </c>
      <c r="I1111">
        <v>57.17</v>
      </c>
      <c r="J1111" t="s">
        <v>90</v>
      </c>
      <c r="K1111" t="s">
        <v>20</v>
      </c>
      <c r="L1111" t="s">
        <v>2095</v>
      </c>
      <c r="M1111">
        <v>8</v>
      </c>
      <c r="N1111" t="s">
        <v>179</v>
      </c>
      <c r="O1111" t="s">
        <v>2121</v>
      </c>
    </row>
    <row r="1112" spans="1:15">
      <c r="A1112" t="s">
        <v>600</v>
      </c>
      <c r="B1112" t="s">
        <v>2093</v>
      </c>
      <c r="C1112" t="s">
        <v>2094</v>
      </c>
      <c r="D1112" s="1">
        <v>44435</v>
      </c>
      <c r="E1112" s="1">
        <v>45263</v>
      </c>
      <c r="F1112">
        <v>29</v>
      </c>
      <c r="G1112">
        <v>4</v>
      </c>
      <c r="H1112">
        <v>68.97</v>
      </c>
      <c r="I1112">
        <v>69.69</v>
      </c>
      <c r="J1112" t="s">
        <v>90</v>
      </c>
      <c r="K1112" t="s">
        <v>16</v>
      </c>
      <c r="L1112" t="s">
        <v>2087</v>
      </c>
      <c r="M1112">
        <v>4</v>
      </c>
      <c r="N1112" t="s">
        <v>179</v>
      </c>
      <c r="O1112" t="s">
        <v>2109</v>
      </c>
    </row>
    <row r="1113" spans="1:15">
      <c r="A1113" t="s">
        <v>2954</v>
      </c>
      <c r="B1113" t="s">
        <v>2085</v>
      </c>
      <c r="C1113" t="s">
        <v>2108</v>
      </c>
      <c r="D1113" s="1">
        <v>45102</v>
      </c>
      <c r="E1113" s="1">
        <v>45016</v>
      </c>
      <c r="F1113">
        <v>276</v>
      </c>
      <c r="G1113">
        <v>23</v>
      </c>
      <c r="H1113">
        <v>1500.52</v>
      </c>
      <c r="I1113">
        <v>213.74</v>
      </c>
      <c r="J1113" t="s">
        <v>14</v>
      </c>
      <c r="K1113" t="s">
        <v>16</v>
      </c>
      <c r="L1113" t="s">
        <v>2095</v>
      </c>
      <c r="M1113">
        <v>6</v>
      </c>
      <c r="N1113" t="s">
        <v>165</v>
      </c>
      <c r="O1113" t="s">
        <v>2121</v>
      </c>
    </row>
    <row r="1114" spans="1:15">
      <c r="A1114" t="s">
        <v>2955</v>
      </c>
      <c r="B1114" t="s">
        <v>2085</v>
      </c>
      <c r="C1114" t="s">
        <v>2100</v>
      </c>
      <c r="D1114" s="1">
        <v>44166</v>
      </c>
      <c r="E1114" s="1">
        <v>45095</v>
      </c>
      <c r="F1114">
        <v>197</v>
      </c>
      <c r="G1114">
        <v>14</v>
      </c>
      <c r="H1114">
        <v>2045.7</v>
      </c>
      <c r="I1114">
        <v>283.66000000000003</v>
      </c>
      <c r="J1114" t="s">
        <v>66</v>
      </c>
      <c r="K1114" t="s">
        <v>16</v>
      </c>
      <c r="L1114" t="s">
        <v>2106</v>
      </c>
      <c r="M1114">
        <v>10</v>
      </c>
      <c r="N1114" t="s">
        <v>174</v>
      </c>
      <c r="O1114" t="s">
        <v>2088</v>
      </c>
    </row>
    <row r="1115" spans="1:15">
      <c r="A1115" t="s">
        <v>1086</v>
      </c>
      <c r="B1115" t="s">
        <v>2093</v>
      </c>
      <c r="C1115" t="s">
        <v>2086</v>
      </c>
      <c r="D1115" s="1">
        <v>44123</v>
      </c>
      <c r="E1115" s="1">
        <v>45157</v>
      </c>
      <c r="F1115">
        <v>135</v>
      </c>
      <c r="G1115">
        <v>4</v>
      </c>
      <c r="H1115">
        <v>130.71</v>
      </c>
      <c r="I1115">
        <v>32.69</v>
      </c>
      <c r="J1115" t="s">
        <v>90</v>
      </c>
      <c r="K1115" t="s">
        <v>16</v>
      </c>
      <c r="L1115" t="s">
        <v>2095</v>
      </c>
      <c r="M1115">
        <v>0</v>
      </c>
      <c r="N1115" t="s">
        <v>204</v>
      </c>
      <c r="O1115" t="s">
        <v>2096</v>
      </c>
    </row>
    <row r="1116" spans="1:15">
      <c r="A1116" t="s">
        <v>1354</v>
      </c>
      <c r="B1116" t="s">
        <v>2097</v>
      </c>
      <c r="C1116" t="s">
        <v>2111</v>
      </c>
      <c r="D1116" s="1">
        <v>43790</v>
      </c>
      <c r="E1116" s="1">
        <v>45268</v>
      </c>
      <c r="F1116">
        <v>24</v>
      </c>
      <c r="G1116">
        <v>3</v>
      </c>
      <c r="H1116">
        <v>314.85000000000002</v>
      </c>
      <c r="I1116">
        <v>93.46</v>
      </c>
      <c r="J1116" t="s">
        <v>14</v>
      </c>
      <c r="K1116" t="s">
        <v>20</v>
      </c>
      <c r="L1116" t="s">
        <v>2106</v>
      </c>
      <c r="M1116">
        <v>7</v>
      </c>
      <c r="N1116" t="s">
        <v>174</v>
      </c>
      <c r="O1116" t="s">
        <v>2107</v>
      </c>
    </row>
    <row r="1117" spans="1:15">
      <c r="A1117" t="s">
        <v>2956</v>
      </c>
      <c r="B1117" t="s">
        <v>2093</v>
      </c>
      <c r="C1117" t="s">
        <v>2091</v>
      </c>
      <c r="D1117" s="1">
        <v>43879</v>
      </c>
      <c r="E1117" s="1">
        <v>45219</v>
      </c>
      <c r="F1117">
        <v>73</v>
      </c>
      <c r="G1117">
        <v>1</v>
      </c>
      <c r="H1117">
        <v>55.44</v>
      </c>
      <c r="I1117">
        <v>24.4</v>
      </c>
      <c r="J1117" t="s">
        <v>90</v>
      </c>
      <c r="K1117" t="s">
        <v>20</v>
      </c>
      <c r="L1117" t="s">
        <v>2087</v>
      </c>
      <c r="M1117">
        <v>7</v>
      </c>
      <c r="N1117" t="s">
        <v>232</v>
      </c>
      <c r="O1117" t="s">
        <v>2088</v>
      </c>
    </row>
    <row r="1118" spans="1:15">
      <c r="A1118" t="s">
        <v>2957</v>
      </c>
      <c r="B1118" t="s">
        <v>2093</v>
      </c>
      <c r="C1118" t="s">
        <v>2091</v>
      </c>
      <c r="D1118" s="1">
        <v>44537</v>
      </c>
      <c r="E1118" s="1">
        <v>45169</v>
      </c>
      <c r="F1118">
        <v>123</v>
      </c>
      <c r="G1118">
        <v>4</v>
      </c>
      <c r="H1118">
        <v>99.02</v>
      </c>
      <c r="I1118">
        <v>53.98</v>
      </c>
      <c r="J1118" t="s">
        <v>14</v>
      </c>
      <c r="K1118" t="s">
        <v>16</v>
      </c>
      <c r="L1118" t="s">
        <v>2087</v>
      </c>
      <c r="M1118">
        <v>7</v>
      </c>
      <c r="N1118" t="s">
        <v>204</v>
      </c>
      <c r="O1118" t="s">
        <v>2107</v>
      </c>
    </row>
    <row r="1119" spans="1:15">
      <c r="A1119" t="s">
        <v>471</v>
      </c>
      <c r="B1119" t="s">
        <v>2085</v>
      </c>
      <c r="C1119" t="s">
        <v>2108</v>
      </c>
      <c r="D1119" s="1">
        <v>43736</v>
      </c>
      <c r="E1119" s="1">
        <v>45151</v>
      </c>
      <c r="F1119">
        <v>141</v>
      </c>
      <c r="G1119">
        <v>37</v>
      </c>
      <c r="H1119">
        <v>2124.27</v>
      </c>
      <c r="I1119">
        <v>254.1</v>
      </c>
      <c r="J1119" t="s">
        <v>90</v>
      </c>
      <c r="K1119" t="s">
        <v>20</v>
      </c>
      <c r="L1119" t="s">
        <v>2095</v>
      </c>
      <c r="M1119">
        <v>7</v>
      </c>
      <c r="N1119" t="s">
        <v>194</v>
      </c>
      <c r="O1119" t="s">
        <v>2088</v>
      </c>
    </row>
    <row r="1120" spans="1:15">
      <c r="A1120" t="s">
        <v>2958</v>
      </c>
      <c r="B1120" t="s">
        <v>2090</v>
      </c>
      <c r="C1120" t="s">
        <v>2091</v>
      </c>
      <c r="D1120" s="1">
        <v>44326</v>
      </c>
      <c r="E1120" s="1">
        <v>45107</v>
      </c>
      <c r="F1120">
        <v>185</v>
      </c>
      <c r="G1120">
        <v>6</v>
      </c>
      <c r="H1120">
        <v>278.92</v>
      </c>
      <c r="I1120">
        <v>91.9</v>
      </c>
      <c r="J1120" t="s">
        <v>41</v>
      </c>
      <c r="K1120" t="s">
        <v>20</v>
      </c>
      <c r="L1120" t="s">
        <v>2106</v>
      </c>
      <c r="M1120">
        <v>9</v>
      </c>
      <c r="N1120" t="s">
        <v>165</v>
      </c>
      <c r="O1120" t="s">
        <v>2121</v>
      </c>
    </row>
    <row r="1121" spans="1:15">
      <c r="A1121" t="s">
        <v>2959</v>
      </c>
      <c r="B1121" t="s">
        <v>2097</v>
      </c>
      <c r="C1121" t="s">
        <v>2094</v>
      </c>
      <c r="D1121" s="1">
        <v>44248</v>
      </c>
      <c r="E1121" s="1">
        <v>45095</v>
      </c>
      <c r="F1121">
        <v>197</v>
      </c>
      <c r="G1121">
        <v>4</v>
      </c>
      <c r="H1121">
        <v>541.70000000000005</v>
      </c>
      <c r="I1121">
        <v>113</v>
      </c>
      <c r="J1121" t="s">
        <v>41</v>
      </c>
      <c r="K1121" t="s">
        <v>16</v>
      </c>
      <c r="L1121" t="s">
        <v>2106</v>
      </c>
      <c r="M1121">
        <v>10</v>
      </c>
      <c r="N1121" t="s">
        <v>165</v>
      </c>
      <c r="O1121" t="s">
        <v>2088</v>
      </c>
    </row>
    <row r="1122" spans="1:15">
      <c r="A1122" t="s">
        <v>1047</v>
      </c>
      <c r="B1122" t="s">
        <v>2093</v>
      </c>
      <c r="C1122" t="s">
        <v>2111</v>
      </c>
      <c r="D1122" s="1">
        <v>43559</v>
      </c>
      <c r="E1122" s="1">
        <v>45008</v>
      </c>
      <c r="F1122">
        <v>284</v>
      </c>
      <c r="G1122">
        <v>3</v>
      </c>
      <c r="H1122">
        <v>60.89</v>
      </c>
      <c r="I1122">
        <v>27.48</v>
      </c>
      <c r="J1122" t="s">
        <v>115</v>
      </c>
      <c r="K1122" t="s">
        <v>16</v>
      </c>
      <c r="L1122" t="s">
        <v>2087</v>
      </c>
      <c r="M1122">
        <v>0</v>
      </c>
      <c r="N1122" t="s">
        <v>179</v>
      </c>
      <c r="O1122" t="s">
        <v>2121</v>
      </c>
    </row>
    <row r="1123" spans="1:15">
      <c r="A1123" t="s">
        <v>2960</v>
      </c>
      <c r="B1123" t="s">
        <v>2099</v>
      </c>
      <c r="C1123" t="s">
        <v>2094</v>
      </c>
      <c r="D1123" s="1">
        <v>44776</v>
      </c>
      <c r="E1123" s="1">
        <v>45160</v>
      </c>
      <c r="F1123">
        <v>132</v>
      </c>
      <c r="G1123">
        <v>2</v>
      </c>
      <c r="H1123">
        <v>55.4</v>
      </c>
      <c r="I1123">
        <v>42.62</v>
      </c>
      <c r="J1123" t="s">
        <v>90</v>
      </c>
      <c r="K1123" t="s">
        <v>16</v>
      </c>
      <c r="L1123" t="s">
        <v>2106</v>
      </c>
      <c r="M1123">
        <v>0</v>
      </c>
      <c r="N1123" t="s">
        <v>174</v>
      </c>
      <c r="O1123" t="s">
        <v>2107</v>
      </c>
    </row>
    <row r="1124" spans="1:15">
      <c r="A1124" t="s">
        <v>1008</v>
      </c>
      <c r="B1124" t="s">
        <v>2099</v>
      </c>
      <c r="C1124" t="s">
        <v>2100</v>
      </c>
      <c r="D1124" s="1">
        <v>44828</v>
      </c>
      <c r="E1124" s="1">
        <v>45149</v>
      </c>
      <c r="F1124">
        <v>143</v>
      </c>
      <c r="G1124">
        <v>2</v>
      </c>
      <c r="H1124">
        <v>71.430000000000007</v>
      </c>
      <c r="I1124">
        <v>44.73</v>
      </c>
      <c r="J1124" t="s">
        <v>90</v>
      </c>
      <c r="K1124" t="s">
        <v>16</v>
      </c>
      <c r="L1124" t="s">
        <v>2106</v>
      </c>
      <c r="M1124">
        <v>7</v>
      </c>
      <c r="N1124" t="s">
        <v>232</v>
      </c>
      <c r="O1124" t="s">
        <v>2109</v>
      </c>
    </row>
    <row r="1125" spans="1:15">
      <c r="A1125" t="s">
        <v>2961</v>
      </c>
      <c r="B1125" t="s">
        <v>2113</v>
      </c>
      <c r="C1125" t="s">
        <v>2108</v>
      </c>
      <c r="D1125" s="1">
        <v>44177</v>
      </c>
      <c r="E1125" s="1">
        <v>45145</v>
      </c>
      <c r="F1125">
        <v>147</v>
      </c>
      <c r="G1125">
        <v>7</v>
      </c>
      <c r="H1125">
        <v>309.89</v>
      </c>
      <c r="I1125">
        <v>40.07</v>
      </c>
      <c r="J1125" t="s">
        <v>14</v>
      </c>
      <c r="K1125" t="s">
        <v>16</v>
      </c>
      <c r="L1125" t="s">
        <v>2087</v>
      </c>
      <c r="M1125">
        <v>0</v>
      </c>
      <c r="N1125" t="s">
        <v>174</v>
      </c>
      <c r="O1125" t="s">
        <v>2109</v>
      </c>
    </row>
    <row r="1126" spans="1:15">
      <c r="A1126" t="s">
        <v>2962</v>
      </c>
      <c r="B1126" t="s">
        <v>2097</v>
      </c>
      <c r="C1126" t="s">
        <v>2086</v>
      </c>
      <c r="D1126" s="1">
        <v>43873</v>
      </c>
      <c r="E1126" s="1">
        <v>44946</v>
      </c>
      <c r="F1126">
        <v>346</v>
      </c>
      <c r="G1126">
        <v>8</v>
      </c>
      <c r="H1126">
        <v>354.58</v>
      </c>
      <c r="I1126">
        <v>72.06</v>
      </c>
      <c r="J1126" t="s">
        <v>90</v>
      </c>
      <c r="K1126" t="s">
        <v>16</v>
      </c>
      <c r="L1126" t="s">
        <v>2106</v>
      </c>
      <c r="M1126">
        <v>6</v>
      </c>
      <c r="N1126" t="s">
        <v>232</v>
      </c>
      <c r="O1126" t="s">
        <v>2107</v>
      </c>
    </row>
    <row r="1127" spans="1:15">
      <c r="A1127" t="s">
        <v>2963</v>
      </c>
      <c r="B1127" t="s">
        <v>2099</v>
      </c>
      <c r="C1127" t="s">
        <v>2094</v>
      </c>
      <c r="D1127" s="1">
        <v>44624</v>
      </c>
      <c r="E1127" s="1">
        <v>45259</v>
      </c>
      <c r="F1127">
        <v>33</v>
      </c>
      <c r="G1127">
        <v>2</v>
      </c>
      <c r="H1127">
        <v>30.28</v>
      </c>
      <c r="I1127">
        <v>90.62</v>
      </c>
      <c r="J1127" t="s">
        <v>41</v>
      </c>
      <c r="K1127" t="s">
        <v>20</v>
      </c>
      <c r="L1127" t="s">
        <v>2106</v>
      </c>
      <c r="M1127">
        <v>6</v>
      </c>
      <c r="N1127" t="s">
        <v>157</v>
      </c>
      <c r="O1127" t="s">
        <v>2121</v>
      </c>
    </row>
    <row r="1128" spans="1:15">
      <c r="A1128" t="s">
        <v>2964</v>
      </c>
      <c r="B1128" t="s">
        <v>2097</v>
      </c>
      <c r="C1128" t="s">
        <v>2091</v>
      </c>
      <c r="D1128" s="1">
        <v>44938</v>
      </c>
      <c r="E1128" s="1">
        <v>44931</v>
      </c>
      <c r="F1128">
        <v>361</v>
      </c>
      <c r="G1128">
        <v>3</v>
      </c>
      <c r="H1128">
        <v>601.57000000000005</v>
      </c>
      <c r="I1128">
        <v>109.36</v>
      </c>
      <c r="J1128" t="s">
        <v>66</v>
      </c>
      <c r="K1128" t="s">
        <v>16</v>
      </c>
      <c r="L1128" t="s">
        <v>2095</v>
      </c>
      <c r="M1128">
        <v>2</v>
      </c>
      <c r="N1128" t="s">
        <v>232</v>
      </c>
      <c r="O1128" t="s">
        <v>2107</v>
      </c>
    </row>
    <row r="1129" spans="1:15">
      <c r="A1129" t="s">
        <v>660</v>
      </c>
      <c r="B1129" t="s">
        <v>2099</v>
      </c>
      <c r="C1129" t="s">
        <v>2094</v>
      </c>
      <c r="D1129" s="1">
        <v>43946</v>
      </c>
      <c r="E1129" s="1">
        <v>44967</v>
      </c>
      <c r="F1129">
        <v>325</v>
      </c>
      <c r="G1129">
        <v>2</v>
      </c>
      <c r="H1129">
        <v>107.67</v>
      </c>
      <c r="I1129">
        <v>54.13</v>
      </c>
      <c r="J1129" t="s">
        <v>115</v>
      </c>
      <c r="K1129" t="s">
        <v>16</v>
      </c>
      <c r="L1129" t="s">
        <v>2106</v>
      </c>
      <c r="M1129">
        <v>9</v>
      </c>
      <c r="N1129" t="s">
        <v>179</v>
      </c>
      <c r="O1129" t="s">
        <v>2088</v>
      </c>
    </row>
    <row r="1130" spans="1:15">
      <c r="A1130" t="s">
        <v>2965</v>
      </c>
      <c r="B1130" t="s">
        <v>2090</v>
      </c>
      <c r="C1130" t="s">
        <v>2108</v>
      </c>
      <c r="D1130" s="1">
        <v>44042</v>
      </c>
      <c r="E1130" s="1">
        <v>45138</v>
      </c>
      <c r="F1130">
        <v>154</v>
      </c>
      <c r="G1130">
        <v>8</v>
      </c>
      <c r="H1130">
        <v>187.33</v>
      </c>
      <c r="I1130">
        <v>71.48</v>
      </c>
      <c r="J1130" t="s">
        <v>90</v>
      </c>
      <c r="K1130" t="s">
        <v>16</v>
      </c>
      <c r="L1130" t="s">
        <v>2087</v>
      </c>
      <c r="M1130">
        <v>5</v>
      </c>
      <c r="N1130" t="s">
        <v>179</v>
      </c>
      <c r="O1130" t="s">
        <v>2121</v>
      </c>
    </row>
    <row r="1131" spans="1:15">
      <c r="A1131" t="s">
        <v>650</v>
      </c>
      <c r="B1131" t="s">
        <v>2113</v>
      </c>
      <c r="C1131" t="s">
        <v>2086</v>
      </c>
      <c r="D1131" s="1">
        <v>43615</v>
      </c>
      <c r="E1131" s="1">
        <v>45083</v>
      </c>
      <c r="F1131">
        <v>209</v>
      </c>
      <c r="G1131">
        <v>12</v>
      </c>
      <c r="H1131">
        <v>253.7</v>
      </c>
      <c r="I1131">
        <v>42.87</v>
      </c>
      <c r="J1131" t="s">
        <v>14</v>
      </c>
      <c r="K1131" t="s">
        <v>16</v>
      </c>
      <c r="L1131" t="s">
        <v>2106</v>
      </c>
      <c r="M1131">
        <v>9</v>
      </c>
      <c r="N1131" t="s">
        <v>232</v>
      </c>
      <c r="O1131" t="s">
        <v>2107</v>
      </c>
    </row>
    <row r="1132" spans="1:15">
      <c r="A1132" t="s">
        <v>2966</v>
      </c>
      <c r="B1132" t="s">
        <v>2090</v>
      </c>
      <c r="C1132" t="s">
        <v>2086</v>
      </c>
      <c r="D1132" s="1">
        <v>43995</v>
      </c>
      <c r="E1132" s="1">
        <v>45068</v>
      </c>
      <c r="F1132">
        <v>224</v>
      </c>
      <c r="G1132">
        <v>3</v>
      </c>
      <c r="H1132">
        <v>346.81</v>
      </c>
      <c r="I1132">
        <v>115.58</v>
      </c>
      <c r="J1132" t="s">
        <v>90</v>
      </c>
      <c r="K1132" t="s">
        <v>16</v>
      </c>
      <c r="L1132" t="s">
        <v>2095</v>
      </c>
      <c r="M1132">
        <v>9</v>
      </c>
      <c r="N1132" t="s">
        <v>194</v>
      </c>
      <c r="O1132" t="s">
        <v>2109</v>
      </c>
    </row>
    <row r="1133" spans="1:15">
      <c r="A1133" t="s">
        <v>2967</v>
      </c>
      <c r="B1133" t="s">
        <v>2113</v>
      </c>
      <c r="C1133" t="s">
        <v>2086</v>
      </c>
      <c r="D1133" s="1">
        <v>44812</v>
      </c>
      <c r="E1133" s="1">
        <v>45285</v>
      </c>
      <c r="F1133">
        <v>7</v>
      </c>
      <c r="G1133">
        <v>5</v>
      </c>
      <c r="H1133">
        <v>362.91</v>
      </c>
      <c r="I1133">
        <v>63.8</v>
      </c>
      <c r="J1133" t="s">
        <v>41</v>
      </c>
      <c r="K1133" t="s">
        <v>16</v>
      </c>
      <c r="L1133" t="s">
        <v>2095</v>
      </c>
      <c r="M1133">
        <v>0</v>
      </c>
      <c r="N1133" t="s">
        <v>232</v>
      </c>
      <c r="O1133" t="s">
        <v>2121</v>
      </c>
    </row>
    <row r="1134" spans="1:15">
      <c r="A1134" t="s">
        <v>2968</v>
      </c>
      <c r="B1134" t="s">
        <v>2090</v>
      </c>
      <c r="C1134" t="s">
        <v>2086</v>
      </c>
      <c r="D1134" s="1">
        <v>44947</v>
      </c>
      <c r="E1134" s="1">
        <v>45038</v>
      </c>
      <c r="F1134">
        <v>254</v>
      </c>
      <c r="G1134">
        <v>5</v>
      </c>
      <c r="H1134">
        <v>121.06</v>
      </c>
      <c r="I1134">
        <v>97.84</v>
      </c>
      <c r="J1134" t="s">
        <v>115</v>
      </c>
      <c r="K1134" t="s">
        <v>20</v>
      </c>
      <c r="L1134" t="s">
        <v>2106</v>
      </c>
      <c r="M1134">
        <v>9</v>
      </c>
      <c r="N1134" t="s">
        <v>179</v>
      </c>
      <c r="O1134" t="s">
        <v>2121</v>
      </c>
    </row>
    <row r="1135" spans="1:15">
      <c r="A1135" t="s">
        <v>2969</v>
      </c>
      <c r="B1135" t="s">
        <v>2085</v>
      </c>
      <c r="C1135" t="s">
        <v>2100</v>
      </c>
      <c r="D1135" s="1">
        <v>45022</v>
      </c>
      <c r="E1135" s="1">
        <v>45219</v>
      </c>
      <c r="F1135">
        <v>73</v>
      </c>
      <c r="G1135">
        <v>19</v>
      </c>
      <c r="H1135">
        <v>1146.93</v>
      </c>
      <c r="I1135">
        <v>293.47000000000003</v>
      </c>
      <c r="J1135" t="s">
        <v>41</v>
      </c>
      <c r="K1135" t="s">
        <v>16</v>
      </c>
      <c r="L1135" t="s">
        <v>2106</v>
      </c>
      <c r="M1135">
        <v>2</v>
      </c>
      <c r="N1135" t="s">
        <v>174</v>
      </c>
      <c r="O1135" t="s">
        <v>2109</v>
      </c>
    </row>
    <row r="1136" spans="1:15">
      <c r="A1136" t="s">
        <v>2970</v>
      </c>
      <c r="B1136" t="s">
        <v>2085</v>
      </c>
      <c r="C1136" t="s">
        <v>2091</v>
      </c>
      <c r="D1136" s="1">
        <v>44528</v>
      </c>
      <c r="E1136" s="1">
        <v>45105</v>
      </c>
      <c r="F1136">
        <v>187</v>
      </c>
      <c r="G1136">
        <v>27</v>
      </c>
      <c r="H1136">
        <v>1519.01</v>
      </c>
      <c r="I1136">
        <v>279.85000000000002</v>
      </c>
      <c r="J1136" t="s">
        <v>66</v>
      </c>
      <c r="K1136" t="s">
        <v>20</v>
      </c>
      <c r="L1136" t="s">
        <v>2106</v>
      </c>
      <c r="M1136">
        <v>6</v>
      </c>
      <c r="N1136" t="s">
        <v>194</v>
      </c>
      <c r="O1136" t="s">
        <v>2121</v>
      </c>
    </row>
    <row r="1137" spans="1:15">
      <c r="A1137" t="s">
        <v>189</v>
      </c>
      <c r="B1137" t="s">
        <v>2099</v>
      </c>
      <c r="C1137" t="s">
        <v>2111</v>
      </c>
      <c r="D1137" s="1">
        <v>43966</v>
      </c>
      <c r="E1137" s="1">
        <v>44932</v>
      </c>
      <c r="F1137">
        <v>360</v>
      </c>
      <c r="G1137">
        <v>1</v>
      </c>
      <c r="H1137">
        <v>131.69</v>
      </c>
      <c r="I1137">
        <v>30.05</v>
      </c>
      <c r="J1137" t="s">
        <v>66</v>
      </c>
      <c r="K1137" t="s">
        <v>16</v>
      </c>
      <c r="L1137" t="s">
        <v>2106</v>
      </c>
      <c r="M1137">
        <v>6</v>
      </c>
      <c r="N1137" t="s">
        <v>179</v>
      </c>
      <c r="O1137" t="s">
        <v>2121</v>
      </c>
    </row>
    <row r="1138" spans="1:15">
      <c r="A1138" t="s">
        <v>2971</v>
      </c>
      <c r="B1138" t="s">
        <v>2099</v>
      </c>
      <c r="C1138" t="s">
        <v>2111</v>
      </c>
      <c r="D1138" s="1">
        <v>44626</v>
      </c>
      <c r="E1138" s="1">
        <v>44954</v>
      </c>
      <c r="F1138">
        <v>338</v>
      </c>
      <c r="G1138">
        <v>1</v>
      </c>
      <c r="H1138">
        <v>39.29</v>
      </c>
      <c r="I1138">
        <v>68.88</v>
      </c>
      <c r="J1138" t="s">
        <v>41</v>
      </c>
      <c r="K1138" t="s">
        <v>20</v>
      </c>
      <c r="L1138" t="s">
        <v>2087</v>
      </c>
      <c r="M1138">
        <v>1</v>
      </c>
      <c r="N1138" t="s">
        <v>157</v>
      </c>
      <c r="O1138" t="s">
        <v>2096</v>
      </c>
    </row>
    <row r="1139" spans="1:15">
      <c r="A1139" t="s">
        <v>2972</v>
      </c>
      <c r="B1139" t="s">
        <v>2097</v>
      </c>
      <c r="C1139" t="s">
        <v>2108</v>
      </c>
      <c r="D1139" s="1">
        <v>44195</v>
      </c>
      <c r="E1139" s="1">
        <v>45197</v>
      </c>
      <c r="F1139">
        <v>95</v>
      </c>
      <c r="G1139">
        <v>10</v>
      </c>
      <c r="H1139">
        <v>366.66</v>
      </c>
      <c r="I1139">
        <v>89.35</v>
      </c>
      <c r="J1139" t="s">
        <v>115</v>
      </c>
      <c r="K1139" t="s">
        <v>16</v>
      </c>
      <c r="L1139" t="s">
        <v>2095</v>
      </c>
      <c r="M1139">
        <v>5</v>
      </c>
      <c r="N1139" t="s">
        <v>232</v>
      </c>
      <c r="O1139" t="s">
        <v>2121</v>
      </c>
    </row>
    <row r="1140" spans="1:15">
      <c r="A1140" t="s">
        <v>2973</v>
      </c>
      <c r="B1140" t="s">
        <v>2093</v>
      </c>
      <c r="C1140" t="s">
        <v>2086</v>
      </c>
      <c r="D1140" s="1">
        <v>44347</v>
      </c>
      <c r="E1140" s="1">
        <v>44967</v>
      </c>
      <c r="F1140">
        <v>325</v>
      </c>
      <c r="G1140">
        <v>4</v>
      </c>
      <c r="H1140">
        <v>193.85</v>
      </c>
      <c r="I1140">
        <v>53.32</v>
      </c>
      <c r="J1140" t="s">
        <v>115</v>
      </c>
      <c r="K1140" t="s">
        <v>16</v>
      </c>
      <c r="L1140" t="s">
        <v>2095</v>
      </c>
      <c r="M1140">
        <v>4</v>
      </c>
      <c r="N1140" t="s">
        <v>165</v>
      </c>
      <c r="O1140" t="s">
        <v>2121</v>
      </c>
    </row>
    <row r="1141" spans="1:15">
      <c r="A1141" t="s">
        <v>2974</v>
      </c>
      <c r="B1141" t="s">
        <v>2090</v>
      </c>
      <c r="C1141" t="s">
        <v>2091</v>
      </c>
      <c r="D1141" s="1">
        <v>44278</v>
      </c>
      <c r="E1141" s="1">
        <v>45125</v>
      </c>
      <c r="F1141">
        <v>167</v>
      </c>
      <c r="G1141">
        <v>4</v>
      </c>
      <c r="H1141">
        <v>140.53</v>
      </c>
      <c r="I1141">
        <v>95.66</v>
      </c>
      <c r="J1141" t="s">
        <v>14</v>
      </c>
      <c r="K1141" t="s">
        <v>16</v>
      </c>
      <c r="L1141" t="s">
        <v>2095</v>
      </c>
      <c r="M1141">
        <v>8</v>
      </c>
      <c r="N1141" t="s">
        <v>232</v>
      </c>
      <c r="O1141" t="s">
        <v>2121</v>
      </c>
    </row>
    <row r="1142" spans="1:15">
      <c r="A1142" t="s">
        <v>2975</v>
      </c>
      <c r="B1142" t="s">
        <v>2085</v>
      </c>
      <c r="C1142" t="s">
        <v>2091</v>
      </c>
      <c r="D1142" s="1">
        <v>43856</v>
      </c>
      <c r="E1142" s="1">
        <v>45135</v>
      </c>
      <c r="F1142">
        <v>157</v>
      </c>
      <c r="G1142">
        <v>40</v>
      </c>
      <c r="H1142">
        <v>1250.3499999999999</v>
      </c>
      <c r="I1142">
        <v>278.05</v>
      </c>
      <c r="J1142" t="s">
        <v>41</v>
      </c>
      <c r="K1142" t="s">
        <v>16</v>
      </c>
      <c r="L1142" t="s">
        <v>2095</v>
      </c>
      <c r="M1142">
        <v>3</v>
      </c>
      <c r="N1142" t="s">
        <v>194</v>
      </c>
      <c r="O1142" t="s">
        <v>2109</v>
      </c>
    </row>
    <row r="1143" spans="1:15">
      <c r="A1143" t="s">
        <v>2976</v>
      </c>
      <c r="B1143" t="s">
        <v>2113</v>
      </c>
      <c r="C1143" t="s">
        <v>2094</v>
      </c>
      <c r="D1143" s="1">
        <v>43686</v>
      </c>
      <c r="E1143" s="1">
        <v>44936</v>
      </c>
      <c r="F1143">
        <v>356</v>
      </c>
      <c r="G1143">
        <v>10</v>
      </c>
      <c r="H1143">
        <v>232.56</v>
      </c>
      <c r="I1143">
        <v>40.4</v>
      </c>
      <c r="J1143" t="s">
        <v>41</v>
      </c>
      <c r="K1143" t="s">
        <v>20</v>
      </c>
      <c r="L1143" t="s">
        <v>2087</v>
      </c>
      <c r="M1143">
        <v>9</v>
      </c>
      <c r="N1143" t="s">
        <v>204</v>
      </c>
      <c r="O1143" t="s">
        <v>2088</v>
      </c>
    </row>
    <row r="1144" spans="1:15">
      <c r="A1144" t="s">
        <v>2977</v>
      </c>
      <c r="B1144" t="s">
        <v>2093</v>
      </c>
      <c r="C1144" t="s">
        <v>2086</v>
      </c>
      <c r="D1144" s="1">
        <v>43523</v>
      </c>
      <c r="E1144" s="1">
        <v>44943</v>
      </c>
      <c r="F1144">
        <v>349</v>
      </c>
      <c r="G1144">
        <v>4</v>
      </c>
      <c r="H1144">
        <v>162.84</v>
      </c>
      <c r="I1144">
        <v>52.42</v>
      </c>
      <c r="J1144" t="s">
        <v>66</v>
      </c>
      <c r="K1144" t="s">
        <v>20</v>
      </c>
      <c r="L1144" t="s">
        <v>2106</v>
      </c>
      <c r="M1144">
        <v>2</v>
      </c>
      <c r="N1144" t="s">
        <v>232</v>
      </c>
      <c r="O1144" t="s">
        <v>2121</v>
      </c>
    </row>
    <row r="1145" spans="1:15">
      <c r="A1145" t="s">
        <v>2978</v>
      </c>
      <c r="B1145" t="s">
        <v>2099</v>
      </c>
      <c r="C1145" t="s">
        <v>2108</v>
      </c>
      <c r="D1145" s="1">
        <v>43649</v>
      </c>
      <c r="E1145" s="1">
        <v>45258</v>
      </c>
      <c r="F1145">
        <v>34</v>
      </c>
      <c r="G1145">
        <v>1</v>
      </c>
      <c r="H1145">
        <v>39.89</v>
      </c>
      <c r="I1145">
        <v>84.38</v>
      </c>
      <c r="J1145" t="s">
        <v>90</v>
      </c>
      <c r="K1145" t="s">
        <v>16</v>
      </c>
      <c r="L1145" t="s">
        <v>2087</v>
      </c>
      <c r="M1145">
        <v>1</v>
      </c>
      <c r="N1145" t="s">
        <v>204</v>
      </c>
      <c r="O1145" t="s">
        <v>2121</v>
      </c>
    </row>
    <row r="1146" spans="1:15">
      <c r="A1146" t="s">
        <v>2979</v>
      </c>
      <c r="B1146" t="s">
        <v>2097</v>
      </c>
      <c r="C1146" t="s">
        <v>2091</v>
      </c>
      <c r="D1146" s="1">
        <v>43585</v>
      </c>
      <c r="E1146" s="1">
        <v>45006</v>
      </c>
      <c r="F1146">
        <v>286</v>
      </c>
      <c r="G1146">
        <v>3</v>
      </c>
      <c r="H1146">
        <v>346.36</v>
      </c>
      <c r="I1146">
        <v>134.15</v>
      </c>
      <c r="J1146" t="s">
        <v>115</v>
      </c>
      <c r="K1146" t="s">
        <v>16</v>
      </c>
      <c r="L1146" t="s">
        <v>2095</v>
      </c>
      <c r="M1146">
        <v>2</v>
      </c>
      <c r="N1146" t="s">
        <v>157</v>
      </c>
      <c r="O1146" t="s">
        <v>2088</v>
      </c>
    </row>
    <row r="1147" spans="1:15">
      <c r="A1147" t="s">
        <v>919</v>
      </c>
      <c r="B1147" t="s">
        <v>2090</v>
      </c>
      <c r="C1147" t="s">
        <v>2108</v>
      </c>
      <c r="D1147" s="1">
        <v>44384</v>
      </c>
      <c r="E1147" s="1">
        <v>45099</v>
      </c>
      <c r="F1147">
        <v>193</v>
      </c>
      <c r="G1147">
        <v>4</v>
      </c>
      <c r="H1147">
        <v>215.08</v>
      </c>
      <c r="I1147">
        <v>67.069999999999993</v>
      </c>
      <c r="J1147" t="s">
        <v>41</v>
      </c>
      <c r="K1147" t="s">
        <v>16</v>
      </c>
      <c r="L1147" t="s">
        <v>2095</v>
      </c>
      <c r="M1147">
        <v>2</v>
      </c>
      <c r="N1147" t="s">
        <v>232</v>
      </c>
      <c r="O1147" t="s">
        <v>2107</v>
      </c>
    </row>
    <row r="1148" spans="1:15">
      <c r="A1148" t="s">
        <v>2980</v>
      </c>
      <c r="B1148" t="s">
        <v>2090</v>
      </c>
      <c r="C1148" t="s">
        <v>2100</v>
      </c>
      <c r="D1148" s="1">
        <v>43741</v>
      </c>
      <c r="E1148" s="1">
        <v>45096</v>
      </c>
      <c r="F1148">
        <v>196</v>
      </c>
      <c r="G1148">
        <v>8</v>
      </c>
      <c r="H1148">
        <v>154.81</v>
      </c>
      <c r="I1148">
        <v>50.9</v>
      </c>
      <c r="J1148" t="s">
        <v>115</v>
      </c>
      <c r="K1148" t="s">
        <v>16</v>
      </c>
      <c r="L1148" t="s">
        <v>2095</v>
      </c>
      <c r="M1148">
        <v>3</v>
      </c>
      <c r="N1148" t="s">
        <v>174</v>
      </c>
      <c r="O1148" t="s">
        <v>2107</v>
      </c>
    </row>
    <row r="1149" spans="1:15">
      <c r="A1149" t="s">
        <v>1298</v>
      </c>
      <c r="B1149" t="s">
        <v>2085</v>
      </c>
      <c r="C1149" t="s">
        <v>2108</v>
      </c>
      <c r="D1149" s="1">
        <v>44369</v>
      </c>
      <c r="E1149" s="1">
        <v>44961</v>
      </c>
      <c r="F1149">
        <v>331</v>
      </c>
      <c r="G1149">
        <v>19</v>
      </c>
      <c r="H1149">
        <v>1233.99</v>
      </c>
      <c r="I1149">
        <v>181.66</v>
      </c>
      <c r="J1149" t="s">
        <v>14</v>
      </c>
      <c r="K1149" t="s">
        <v>20</v>
      </c>
      <c r="L1149" t="s">
        <v>2087</v>
      </c>
      <c r="M1149">
        <v>7</v>
      </c>
      <c r="N1149" t="s">
        <v>194</v>
      </c>
      <c r="O1149" t="s">
        <v>2096</v>
      </c>
    </row>
    <row r="1150" spans="1:15">
      <c r="A1150" t="s">
        <v>2981</v>
      </c>
      <c r="B1150" t="s">
        <v>2099</v>
      </c>
      <c r="C1150" t="s">
        <v>2094</v>
      </c>
      <c r="D1150" s="1">
        <v>44715</v>
      </c>
      <c r="E1150" s="1">
        <v>45104</v>
      </c>
      <c r="F1150">
        <v>188</v>
      </c>
      <c r="G1150">
        <v>2</v>
      </c>
      <c r="H1150">
        <v>38.46</v>
      </c>
      <c r="I1150">
        <v>58.27</v>
      </c>
      <c r="J1150" t="s">
        <v>41</v>
      </c>
      <c r="K1150" t="s">
        <v>20</v>
      </c>
      <c r="L1150" t="s">
        <v>2095</v>
      </c>
      <c r="M1150">
        <v>2</v>
      </c>
      <c r="N1150" t="s">
        <v>194</v>
      </c>
      <c r="O1150" t="s">
        <v>2121</v>
      </c>
    </row>
    <row r="1151" spans="1:15">
      <c r="A1151" t="s">
        <v>2982</v>
      </c>
      <c r="B1151" t="s">
        <v>2097</v>
      </c>
      <c r="C1151" t="s">
        <v>2086</v>
      </c>
      <c r="D1151" s="1">
        <v>43938</v>
      </c>
      <c r="E1151" s="1">
        <v>45224</v>
      </c>
      <c r="F1151">
        <v>68</v>
      </c>
      <c r="G1151">
        <v>3</v>
      </c>
      <c r="H1151">
        <v>200.86</v>
      </c>
      <c r="I1151">
        <v>140.35</v>
      </c>
      <c r="J1151" t="s">
        <v>66</v>
      </c>
      <c r="K1151" t="s">
        <v>16</v>
      </c>
      <c r="L1151" t="s">
        <v>2095</v>
      </c>
      <c r="M1151">
        <v>3</v>
      </c>
      <c r="N1151" t="s">
        <v>174</v>
      </c>
      <c r="O1151" t="s">
        <v>2107</v>
      </c>
    </row>
    <row r="1152" spans="1:15">
      <c r="A1152" t="s">
        <v>2983</v>
      </c>
      <c r="B1152" t="s">
        <v>2113</v>
      </c>
      <c r="C1152" t="s">
        <v>2086</v>
      </c>
      <c r="D1152" s="1">
        <v>44404</v>
      </c>
      <c r="E1152" s="1">
        <v>44961</v>
      </c>
      <c r="F1152">
        <v>331</v>
      </c>
      <c r="G1152">
        <v>9</v>
      </c>
      <c r="H1152">
        <v>123.33</v>
      </c>
      <c r="I1152">
        <v>57.01</v>
      </c>
      <c r="J1152" t="s">
        <v>14</v>
      </c>
      <c r="K1152" t="s">
        <v>16</v>
      </c>
      <c r="L1152" t="s">
        <v>2087</v>
      </c>
      <c r="M1152">
        <v>2</v>
      </c>
      <c r="N1152" t="s">
        <v>157</v>
      </c>
      <c r="O1152" t="s">
        <v>2107</v>
      </c>
    </row>
    <row r="1153" spans="1:15">
      <c r="A1153" t="s">
        <v>2984</v>
      </c>
      <c r="B1153" t="s">
        <v>2113</v>
      </c>
      <c r="C1153" t="s">
        <v>2094</v>
      </c>
      <c r="D1153" s="1">
        <v>45133</v>
      </c>
      <c r="E1153" s="1">
        <v>45138</v>
      </c>
      <c r="F1153">
        <v>154</v>
      </c>
      <c r="G1153">
        <v>6</v>
      </c>
      <c r="H1153">
        <v>540.54</v>
      </c>
      <c r="I1153">
        <v>32.92</v>
      </c>
      <c r="J1153" t="s">
        <v>115</v>
      </c>
      <c r="K1153" t="s">
        <v>16</v>
      </c>
      <c r="L1153" t="s">
        <v>2106</v>
      </c>
      <c r="M1153">
        <v>1</v>
      </c>
      <c r="N1153" t="s">
        <v>179</v>
      </c>
      <c r="O1153" t="s">
        <v>2109</v>
      </c>
    </row>
    <row r="1154" spans="1:15">
      <c r="A1154" t="s">
        <v>2985</v>
      </c>
      <c r="B1154" t="s">
        <v>2093</v>
      </c>
      <c r="C1154" t="s">
        <v>2086</v>
      </c>
      <c r="D1154" s="1">
        <v>43682</v>
      </c>
      <c r="E1154" s="1">
        <v>45245</v>
      </c>
      <c r="F1154">
        <v>47</v>
      </c>
      <c r="G1154">
        <v>4</v>
      </c>
      <c r="H1154">
        <v>84.59</v>
      </c>
      <c r="I1154">
        <v>35.630000000000003</v>
      </c>
      <c r="J1154" t="s">
        <v>41</v>
      </c>
      <c r="K1154" t="s">
        <v>16</v>
      </c>
      <c r="L1154" t="s">
        <v>2095</v>
      </c>
      <c r="M1154">
        <v>6</v>
      </c>
      <c r="N1154" t="s">
        <v>194</v>
      </c>
      <c r="O1154" t="s">
        <v>2088</v>
      </c>
    </row>
    <row r="1155" spans="1:15">
      <c r="A1155" t="s">
        <v>2986</v>
      </c>
      <c r="B1155" t="s">
        <v>2097</v>
      </c>
      <c r="C1155" t="s">
        <v>2100</v>
      </c>
      <c r="D1155" s="1">
        <v>45081</v>
      </c>
      <c r="E1155" s="1">
        <v>45273</v>
      </c>
      <c r="F1155">
        <v>19</v>
      </c>
      <c r="G1155">
        <v>11</v>
      </c>
      <c r="H1155">
        <v>717.06</v>
      </c>
      <c r="I1155">
        <v>94.07</v>
      </c>
      <c r="J1155" t="s">
        <v>41</v>
      </c>
      <c r="K1155" t="s">
        <v>16</v>
      </c>
      <c r="L1155" t="s">
        <v>2106</v>
      </c>
      <c r="M1155">
        <v>1</v>
      </c>
      <c r="N1155" t="s">
        <v>157</v>
      </c>
      <c r="O1155" t="s">
        <v>2107</v>
      </c>
    </row>
    <row r="1156" spans="1:15">
      <c r="A1156" t="s">
        <v>2987</v>
      </c>
      <c r="B1156" t="s">
        <v>2113</v>
      </c>
      <c r="C1156" t="s">
        <v>2100</v>
      </c>
      <c r="D1156" s="1">
        <v>44875</v>
      </c>
      <c r="E1156" s="1">
        <v>45102</v>
      </c>
      <c r="F1156">
        <v>190</v>
      </c>
      <c r="G1156">
        <v>6</v>
      </c>
      <c r="H1156">
        <v>501.33</v>
      </c>
      <c r="I1156">
        <v>59.25</v>
      </c>
      <c r="J1156" t="s">
        <v>90</v>
      </c>
      <c r="K1156" t="s">
        <v>20</v>
      </c>
      <c r="L1156" t="s">
        <v>2087</v>
      </c>
      <c r="M1156">
        <v>4</v>
      </c>
      <c r="N1156" t="s">
        <v>232</v>
      </c>
      <c r="O1156" t="s">
        <v>2107</v>
      </c>
    </row>
    <row r="1157" spans="1:15">
      <c r="A1157" t="s">
        <v>2988</v>
      </c>
      <c r="B1157" t="s">
        <v>2097</v>
      </c>
      <c r="C1157" t="s">
        <v>2091</v>
      </c>
      <c r="D1157" s="1">
        <v>44640</v>
      </c>
      <c r="E1157" s="1">
        <v>44966</v>
      </c>
      <c r="F1157">
        <v>326</v>
      </c>
      <c r="G1157">
        <v>10</v>
      </c>
      <c r="H1157">
        <v>311.92</v>
      </c>
      <c r="I1157">
        <v>68.760000000000005</v>
      </c>
      <c r="J1157" t="s">
        <v>14</v>
      </c>
      <c r="K1157" t="s">
        <v>16</v>
      </c>
      <c r="L1157" t="s">
        <v>2095</v>
      </c>
      <c r="M1157">
        <v>1</v>
      </c>
      <c r="N1157" t="s">
        <v>174</v>
      </c>
      <c r="O1157" t="s">
        <v>2096</v>
      </c>
    </row>
    <row r="1158" spans="1:15">
      <c r="A1158" t="s">
        <v>2989</v>
      </c>
      <c r="B1158" t="s">
        <v>2090</v>
      </c>
      <c r="C1158" t="s">
        <v>2108</v>
      </c>
      <c r="D1158" s="1">
        <v>44893</v>
      </c>
      <c r="E1158" s="1">
        <v>45104</v>
      </c>
      <c r="F1158">
        <v>188</v>
      </c>
      <c r="G1158">
        <v>5</v>
      </c>
      <c r="H1158">
        <v>389.12</v>
      </c>
      <c r="I1158">
        <v>43.36</v>
      </c>
      <c r="J1158" t="s">
        <v>115</v>
      </c>
      <c r="K1158" t="s">
        <v>16</v>
      </c>
      <c r="L1158" t="s">
        <v>2106</v>
      </c>
      <c r="M1158">
        <v>9</v>
      </c>
      <c r="N1158" t="s">
        <v>174</v>
      </c>
      <c r="O1158" t="s">
        <v>2096</v>
      </c>
    </row>
    <row r="1159" spans="1:15">
      <c r="A1159" t="s">
        <v>2990</v>
      </c>
      <c r="B1159" t="s">
        <v>2099</v>
      </c>
      <c r="C1159" t="s">
        <v>2108</v>
      </c>
      <c r="D1159" s="1">
        <v>44886</v>
      </c>
      <c r="E1159" s="1">
        <v>44945</v>
      </c>
      <c r="F1159">
        <v>347</v>
      </c>
      <c r="G1159">
        <v>1</v>
      </c>
      <c r="H1159">
        <v>132.18</v>
      </c>
      <c r="I1159">
        <v>58.78</v>
      </c>
      <c r="J1159" t="s">
        <v>41</v>
      </c>
      <c r="K1159" t="s">
        <v>20</v>
      </c>
      <c r="L1159" t="s">
        <v>2095</v>
      </c>
      <c r="M1159">
        <v>5</v>
      </c>
      <c r="N1159" t="s">
        <v>174</v>
      </c>
      <c r="O1159" t="s">
        <v>2088</v>
      </c>
    </row>
    <row r="1160" spans="1:15">
      <c r="A1160" t="s">
        <v>1979</v>
      </c>
      <c r="B1160" t="s">
        <v>2090</v>
      </c>
      <c r="C1160" t="s">
        <v>2108</v>
      </c>
      <c r="D1160" s="1">
        <v>44691</v>
      </c>
      <c r="E1160" s="1">
        <v>45089</v>
      </c>
      <c r="F1160">
        <v>203</v>
      </c>
      <c r="G1160">
        <v>6</v>
      </c>
      <c r="H1160">
        <v>160.58000000000001</v>
      </c>
      <c r="I1160">
        <v>68.400000000000006</v>
      </c>
      <c r="J1160" t="s">
        <v>14</v>
      </c>
      <c r="K1160" t="s">
        <v>16</v>
      </c>
      <c r="L1160" t="s">
        <v>2095</v>
      </c>
      <c r="M1160">
        <v>2</v>
      </c>
      <c r="N1160" t="s">
        <v>157</v>
      </c>
      <c r="O1160" t="s">
        <v>2107</v>
      </c>
    </row>
    <row r="1161" spans="1:15">
      <c r="A1161" t="s">
        <v>2991</v>
      </c>
      <c r="B1161" t="s">
        <v>2099</v>
      </c>
      <c r="C1161" t="s">
        <v>2091</v>
      </c>
      <c r="D1161" s="1">
        <v>44607</v>
      </c>
      <c r="E1161" s="1">
        <v>45159</v>
      </c>
      <c r="F1161">
        <v>133</v>
      </c>
      <c r="G1161">
        <v>2</v>
      </c>
      <c r="H1161">
        <v>117.3</v>
      </c>
      <c r="I1161">
        <v>39.979999999999997</v>
      </c>
      <c r="J1161" t="s">
        <v>41</v>
      </c>
      <c r="K1161" t="s">
        <v>16</v>
      </c>
      <c r="L1161" t="s">
        <v>2087</v>
      </c>
      <c r="M1161">
        <v>4</v>
      </c>
      <c r="N1161" t="s">
        <v>157</v>
      </c>
      <c r="O1161" t="s">
        <v>2107</v>
      </c>
    </row>
    <row r="1162" spans="1:15">
      <c r="A1162" t="s">
        <v>412</v>
      </c>
      <c r="B1162" t="s">
        <v>2085</v>
      </c>
      <c r="C1162" t="s">
        <v>2086</v>
      </c>
      <c r="D1162" s="1">
        <v>44869</v>
      </c>
      <c r="E1162" s="1">
        <v>45060</v>
      </c>
      <c r="F1162">
        <v>232</v>
      </c>
      <c r="G1162">
        <v>24</v>
      </c>
      <c r="H1162">
        <v>1187.52</v>
      </c>
      <c r="I1162">
        <v>235.83</v>
      </c>
      <c r="J1162" t="s">
        <v>90</v>
      </c>
      <c r="K1162" t="s">
        <v>16</v>
      </c>
      <c r="L1162" t="s">
        <v>2095</v>
      </c>
      <c r="M1162">
        <v>0</v>
      </c>
      <c r="N1162" t="s">
        <v>165</v>
      </c>
      <c r="O1162" t="s">
        <v>2088</v>
      </c>
    </row>
    <row r="1163" spans="1:15">
      <c r="A1163" t="s">
        <v>2992</v>
      </c>
      <c r="B1163" t="s">
        <v>2097</v>
      </c>
      <c r="C1163" t="s">
        <v>2094</v>
      </c>
      <c r="D1163" s="1">
        <v>44372</v>
      </c>
      <c r="E1163" s="1">
        <v>44936</v>
      </c>
      <c r="F1163">
        <v>356</v>
      </c>
      <c r="G1163">
        <v>6</v>
      </c>
      <c r="H1163">
        <v>784.51</v>
      </c>
      <c r="I1163">
        <v>79.44</v>
      </c>
      <c r="J1163" t="s">
        <v>115</v>
      </c>
      <c r="K1163" t="s">
        <v>20</v>
      </c>
      <c r="L1163" t="s">
        <v>2087</v>
      </c>
      <c r="M1163">
        <v>8</v>
      </c>
      <c r="N1163" t="s">
        <v>232</v>
      </c>
      <c r="O1163" t="s">
        <v>2088</v>
      </c>
    </row>
    <row r="1164" spans="1:15">
      <c r="A1164" t="s">
        <v>2993</v>
      </c>
      <c r="B1164" t="s">
        <v>2113</v>
      </c>
      <c r="C1164" t="s">
        <v>2094</v>
      </c>
      <c r="D1164" s="1">
        <v>43806</v>
      </c>
      <c r="E1164" s="1">
        <v>44932</v>
      </c>
      <c r="F1164">
        <v>360</v>
      </c>
      <c r="G1164">
        <v>5</v>
      </c>
      <c r="H1164">
        <v>235.48</v>
      </c>
      <c r="I1164">
        <v>31.04</v>
      </c>
      <c r="J1164" t="s">
        <v>115</v>
      </c>
      <c r="K1164" t="s">
        <v>20</v>
      </c>
      <c r="L1164" t="s">
        <v>2087</v>
      </c>
      <c r="M1164">
        <v>8</v>
      </c>
      <c r="N1164" t="s">
        <v>165</v>
      </c>
      <c r="O1164" t="s">
        <v>2121</v>
      </c>
    </row>
    <row r="1165" spans="1:15">
      <c r="A1165" t="s">
        <v>1454</v>
      </c>
      <c r="B1165" t="s">
        <v>2085</v>
      </c>
      <c r="C1165" t="s">
        <v>2100</v>
      </c>
      <c r="D1165" s="1">
        <v>45079</v>
      </c>
      <c r="E1165" s="1">
        <v>45276</v>
      </c>
      <c r="F1165">
        <v>16</v>
      </c>
      <c r="G1165">
        <v>31</v>
      </c>
      <c r="H1165">
        <v>2485.4</v>
      </c>
      <c r="I1165">
        <v>162.63999999999999</v>
      </c>
      <c r="J1165" t="s">
        <v>90</v>
      </c>
      <c r="K1165" t="s">
        <v>16</v>
      </c>
      <c r="L1165" t="s">
        <v>2106</v>
      </c>
      <c r="M1165">
        <v>2</v>
      </c>
      <c r="N1165" t="s">
        <v>204</v>
      </c>
      <c r="O1165" t="s">
        <v>2109</v>
      </c>
    </row>
    <row r="1166" spans="1:15">
      <c r="A1166" t="s">
        <v>2994</v>
      </c>
      <c r="B1166" t="s">
        <v>2093</v>
      </c>
      <c r="C1166" t="s">
        <v>2100</v>
      </c>
      <c r="D1166" s="1">
        <v>44983</v>
      </c>
      <c r="E1166" s="1">
        <v>45089</v>
      </c>
      <c r="F1166">
        <v>203</v>
      </c>
      <c r="G1166">
        <v>2</v>
      </c>
      <c r="H1166">
        <v>57.19</v>
      </c>
      <c r="I1166">
        <v>72.66</v>
      </c>
      <c r="J1166" t="s">
        <v>41</v>
      </c>
      <c r="K1166" t="s">
        <v>16</v>
      </c>
      <c r="L1166" t="s">
        <v>2095</v>
      </c>
      <c r="M1166">
        <v>7</v>
      </c>
      <c r="N1166" t="s">
        <v>204</v>
      </c>
      <c r="O1166" t="s">
        <v>2109</v>
      </c>
    </row>
    <row r="1167" spans="1:15">
      <c r="A1167" t="s">
        <v>2995</v>
      </c>
      <c r="B1167" t="s">
        <v>2113</v>
      </c>
      <c r="C1167" t="s">
        <v>2100</v>
      </c>
      <c r="D1167" s="1">
        <v>43780</v>
      </c>
      <c r="E1167" s="1">
        <v>44935</v>
      </c>
      <c r="F1167">
        <v>357</v>
      </c>
      <c r="G1167">
        <v>10</v>
      </c>
      <c r="H1167">
        <v>180.01</v>
      </c>
      <c r="I1167">
        <v>47.93</v>
      </c>
      <c r="J1167" t="s">
        <v>14</v>
      </c>
      <c r="K1167" t="s">
        <v>16</v>
      </c>
      <c r="L1167" t="s">
        <v>2087</v>
      </c>
      <c r="M1167">
        <v>8</v>
      </c>
      <c r="N1167" t="s">
        <v>174</v>
      </c>
      <c r="O1167" t="s">
        <v>2107</v>
      </c>
    </row>
    <row r="1168" spans="1:15">
      <c r="A1168" t="s">
        <v>2996</v>
      </c>
      <c r="B1168" t="s">
        <v>2090</v>
      </c>
      <c r="C1168" t="s">
        <v>2091</v>
      </c>
      <c r="D1168" s="1">
        <v>44951</v>
      </c>
      <c r="E1168" s="1">
        <v>45007</v>
      </c>
      <c r="F1168">
        <v>285</v>
      </c>
      <c r="G1168">
        <v>3</v>
      </c>
      <c r="H1168">
        <v>88.89</v>
      </c>
      <c r="I1168">
        <v>69.510000000000005</v>
      </c>
      <c r="J1168" t="s">
        <v>115</v>
      </c>
      <c r="K1168" t="s">
        <v>16</v>
      </c>
      <c r="L1168" t="s">
        <v>2095</v>
      </c>
      <c r="M1168">
        <v>1</v>
      </c>
      <c r="N1168" t="s">
        <v>194</v>
      </c>
      <c r="O1168" t="s">
        <v>2109</v>
      </c>
    </row>
    <row r="1169" spans="1:15">
      <c r="A1169" t="s">
        <v>2997</v>
      </c>
      <c r="B1169" t="s">
        <v>2097</v>
      </c>
      <c r="C1169" t="s">
        <v>2108</v>
      </c>
      <c r="D1169" s="1">
        <v>45017</v>
      </c>
      <c r="E1169" s="1">
        <v>45267</v>
      </c>
      <c r="F1169">
        <v>25</v>
      </c>
      <c r="G1169">
        <v>3</v>
      </c>
      <c r="H1169">
        <v>248.56</v>
      </c>
      <c r="I1169">
        <v>81.77</v>
      </c>
      <c r="J1169" t="s">
        <v>115</v>
      </c>
      <c r="K1169" t="s">
        <v>16</v>
      </c>
      <c r="L1169" t="s">
        <v>2095</v>
      </c>
      <c r="M1169">
        <v>6</v>
      </c>
      <c r="N1169" t="s">
        <v>157</v>
      </c>
      <c r="O1169" t="s">
        <v>2109</v>
      </c>
    </row>
    <row r="1170" spans="1:15">
      <c r="A1170" t="s">
        <v>2998</v>
      </c>
      <c r="B1170" t="s">
        <v>2093</v>
      </c>
      <c r="C1170" t="s">
        <v>2108</v>
      </c>
      <c r="D1170" s="1">
        <v>44740</v>
      </c>
      <c r="E1170" s="1">
        <v>45078</v>
      </c>
      <c r="F1170">
        <v>214</v>
      </c>
      <c r="G1170">
        <v>2</v>
      </c>
      <c r="H1170">
        <v>139.78</v>
      </c>
      <c r="I1170">
        <v>30.34</v>
      </c>
      <c r="J1170" t="s">
        <v>41</v>
      </c>
      <c r="K1170" t="s">
        <v>16</v>
      </c>
      <c r="L1170" t="s">
        <v>2087</v>
      </c>
      <c r="M1170">
        <v>6</v>
      </c>
      <c r="N1170" t="s">
        <v>174</v>
      </c>
      <c r="O1170" t="s">
        <v>2121</v>
      </c>
    </row>
    <row r="1171" spans="1:15">
      <c r="A1171" t="s">
        <v>2999</v>
      </c>
      <c r="B1171" t="s">
        <v>2093</v>
      </c>
      <c r="C1171" t="s">
        <v>2094</v>
      </c>
      <c r="D1171" s="1">
        <v>44835</v>
      </c>
      <c r="E1171" s="1">
        <v>45209</v>
      </c>
      <c r="F1171">
        <v>83</v>
      </c>
      <c r="G1171">
        <v>3</v>
      </c>
      <c r="H1171">
        <v>136</v>
      </c>
      <c r="I1171">
        <v>21.62</v>
      </c>
      <c r="J1171" t="s">
        <v>14</v>
      </c>
      <c r="K1171" t="s">
        <v>16</v>
      </c>
      <c r="L1171" t="s">
        <v>2095</v>
      </c>
      <c r="M1171">
        <v>1</v>
      </c>
      <c r="N1171" t="s">
        <v>157</v>
      </c>
      <c r="O1171" t="s">
        <v>2088</v>
      </c>
    </row>
    <row r="1172" spans="1:15">
      <c r="A1172" t="s">
        <v>3000</v>
      </c>
      <c r="B1172" t="s">
        <v>2085</v>
      </c>
      <c r="C1172" t="s">
        <v>2108</v>
      </c>
      <c r="D1172" s="1">
        <v>45208</v>
      </c>
      <c r="E1172" s="1">
        <v>45041</v>
      </c>
      <c r="F1172">
        <v>251</v>
      </c>
      <c r="G1172">
        <v>13</v>
      </c>
      <c r="H1172">
        <v>1399.74</v>
      </c>
      <c r="I1172">
        <v>206.89</v>
      </c>
      <c r="J1172" t="s">
        <v>41</v>
      </c>
      <c r="K1172" t="s">
        <v>16</v>
      </c>
      <c r="L1172" t="s">
        <v>2106</v>
      </c>
      <c r="M1172">
        <v>1</v>
      </c>
      <c r="N1172" t="s">
        <v>157</v>
      </c>
      <c r="O1172" t="s">
        <v>2107</v>
      </c>
    </row>
    <row r="1173" spans="1:15">
      <c r="A1173" t="s">
        <v>1134</v>
      </c>
      <c r="B1173" t="s">
        <v>2085</v>
      </c>
      <c r="C1173" t="s">
        <v>2086</v>
      </c>
      <c r="D1173" s="1">
        <v>45000</v>
      </c>
      <c r="E1173" s="1">
        <v>45078</v>
      </c>
      <c r="F1173">
        <v>214</v>
      </c>
      <c r="G1173">
        <v>38</v>
      </c>
      <c r="H1173">
        <v>1180.3699999999999</v>
      </c>
      <c r="I1173">
        <v>115.25</v>
      </c>
      <c r="J1173" t="s">
        <v>14</v>
      </c>
      <c r="K1173" t="s">
        <v>20</v>
      </c>
      <c r="L1173" t="s">
        <v>2087</v>
      </c>
      <c r="M1173">
        <v>8</v>
      </c>
      <c r="N1173" t="s">
        <v>157</v>
      </c>
      <c r="O1173" t="s">
        <v>2109</v>
      </c>
    </row>
    <row r="1174" spans="1:15">
      <c r="A1174" t="s">
        <v>3001</v>
      </c>
      <c r="B1174" t="s">
        <v>2090</v>
      </c>
      <c r="C1174" t="s">
        <v>2111</v>
      </c>
      <c r="D1174" s="1">
        <v>44076</v>
      </c>
      <c r="E1174" s="1">
        <v>44931</v>
      </c>
      <c r="F1174">
        <v>361</v>
      </c>
      <c r="G1174">
        <v>5</v>
      </c>
      <c r="H1174">
        <v>251.45</v>
      </c>
      <c r="I1174">
        <v>119.31</v>
      </c>
      <c r="J1174" t="s">
        <v>115</v>
      </c>
      <c r="K1174" t="s">
        <v>16</v>
      </c>
      <c r="L1174" t="s">
        <v>2106</v>
      </c>
      <c r="M1174">
        <v>5</v>
      </c>
      <c r="N1174" t="s">
        <v>194</v>
      </c>
      <c r="O1174" t="s">
        <v>2088</v>
      </c>
    </row>
    <row r="1175" spans="1:15">
      <c r="A1175" t="s">
        <v>3002</v>
      </c>
      <c r="B1175" t="s">
        <v>2090</v>
      </c>
      <c r="C1175" t="s">
        <v>2108</v>
      </c>
      <c r="D1175" s="1">
        <v>45002</v>
      </c>
      <c r="E1175" s="1">
        <v>44995</v>
      </c>
      <c r="F1175">
        <v>297</v>
      </c>
      <c r="G1175">
        <v>2</v>
      </c>
      <c r="H1175">
        <v>204.63</v>
      </c>
      <c r="I1175">
        <v>119.11</v>
      </c>
      <c r="J1175" t="s">
        <v>14</v>
      </c>
      <c r="K1175" t="s">
        <v>16</v>
      </c>
      <c r="L1175" t="s">
        <v>2087</v>
      </c>
      <c r="M1175">
        <v>2</v>
      </c>
      <c r="N1175" t="s">
        <v>232</v>
      </c>
      <c r="O1175" t="s">
        <v>2088</v>
      </c>
    </row>
    <row r="1176" spans="1:15">
      <c r="A1176" t="s">
        <v>3003</v>
      </c>
      <c r="B1176" t="s">
        <v>2099</v>
      </c>
      <c r="C1176" t="s">
        <v>2086</v>
      </c>
      <c r="D1176" s="1">
        <v>45169</v>
      </c>
      <c r="E1176" s="1">
        <v>45087</v>
      </c>
      <c r="F1176">
        <v>205</v>
      </c>
      <c r="G1176">
        <v>2</v>
      </c>
      <c r="H1176">
        <v>102.98</v>
      </c>
      <c r="I1176">
        <v>58.44</v>
      </c>
      <c r="J1176" t="s">
        <v>66</v>
      </c>
      <c r="K1176" t="s">
        <v>20</v>
      </c>
      <c r="L1176" t="s">
        <v>2087</v>
      </c>
      <c r="M1176">
        <v>10</v>
      </c>
      <c r="N1176" t="s">
        <v>204</v>
      </c>
      <c r="O1176" t="s">
        <v>2121</v>
      </c>
    </row>
    <row r="1177" spans="1:15">
      <c r="A1177" t="s">
        <v>3004</v>
      </c>
      <c r="B1177" t="s">
        <v>2099</v>
      </c>
      <c r="C1177" t="s">
        <v>2091</v>
      </c>
      <c r="D1177" s="1">
        <v>44357</v>
      </c>
      <c r="E1177" s="1">
        <v>44993</v>
      </c>
      <c r="F1177">
        <v>299</v>
      </c>
      <c r="G1177">
        <v>2</v>
      </c>
      <c r="H1177">
        <v>120.76</v>
      </c>
      <c r="I1177">
        <v>29.5</v>
      </c>
      <c r="J1177" t="s">
        <v>66</v>
      </c>
      <c r="K1177" t="s">
        <v>20</v>
      </c>
      <c r="L1177" t="s">
        <v>2095</v>
      </c>
      <c r="M1177">
        <v>1</v>
      </c>
      <c r="N1177" t="s">
        <v>232</v>
      </c>
      <c r="O1177" t="s">
        <v>2107</v>
      </c>
    </row>
    <row r="1178" spans="1:15">
      <c r="A1178" t="s">
        <v>3005</v>
      </c>
      <c r="B1178" t="s">
        <v>2093</v>
      </c>
      <c r="C1178" t="s">
        <v>2111</v>
      </c>
      <c r="D1178" s="1">
        <v>43861</v>
      </c>
      <c r="E1178" s="1">
        <v>45020</v>
      </c>
      <c r="F1178">
        <v>272</v>
      </c>
      <c r="G1178">
        <v>4</v>
      </c>
      <c r="H1178">
        <v>167.47</v>
      </c>
      <c r="I1178">
        <v>30.74</v>
      </c>
      <c r="J1178" t="s">
        <v>66</v>
      </c>
      <c r="K1178" t="s">
        <v>20</v>
      </c>
      <c r="L1178" t="s">
        <v>2095</v>
      </c>
      <c r="M1178">
        <v>0</v>
      </c>
      <c r="N1178" t="s">
        <v>194</v>
      </c>
      <c r="O1178" t="s">
        <v>2107</v>
      </c>
    </row>
    <row r="1179" spans="1:15">
      <c r="A1179" t="s">
        <v>3006</v>
      </c>
      <c r="B1179" t="s">
        <v>2090</v>
      </c>
      <c r="C1179" t="s">
        <v>2108</v>
      </c>
      <c r="D1179" s="1">
        <v>43696</v>
      </c>
      <c r="E1179" s="1">
        <v>45071</v>
      </c>
      <c r="F1179">
        <v>221</v>
      </c>
      <c r="G1179">
        <v>4</v>
      </c>
      <c r="H1179">
        <v>250.21</v>
      </c>
      <c r="I1179">
        <v>103.67</v>
      </c>
      <c r="J1179" t="s">
        <v>90</v>
      </c>
      <c r="K1179" t="s">
        <v>20</v>
      </c>
      <c r="L1179" t="s">
        <v>2106</v>
      </c>
      <c r="M1179">
        <v>1</v>
      </c>
      <c r="N1179" t="s">
        <v>174</v>
      </c>
      <c r="O1179" t="s">
        <v>2109</v>
      </c>
    </row>
    <row r="1180" spans="1:15">
      <c r="A1180" t="s">
        <v>3007</v>
      </c>
      <c r="B1180" t="s">
        <v>2090</v>
      </c>
      <c r="C1180" t="s">
        <v>2086</v>
      </c>
      <c r="D1180" s="1">
        <v>44670</v>
      </c>
      <c r="E1180" s="1">
        <v>45239</v>
      </c>
      <c r="F1180">
        <v>53</v>
      </c>
      <c r="G1180">
        <v>5</v>
      </c>
      <c r="H1180">
        <v>129.1</v>
      </c>
      <c r="I1180">
        <v>100.83</v>
      </c>
      <c r="J1180" t="s">
        <v>115</v>
      </c>
      <c r="K1180" t="s">
        <v>16</v>
      </c>
      <c r="L1180" t="s">
        <v>2106</v>
      </c>
      <c r="M1180">
        <v>8</v>
      </c>
      <c r="N1180" t="s">
        <v>174</v>
      </c>
      <c r="O1180" t="s">
        <v>2107</v>
      </c>
    </row>
    <row r="1181" spans="1:15">
      <c r="A1181" t="s">
        <v>3008</v>
      </c>
      <c r="B1181" t="s">
        <v>2090</v>
      </c>
      <c r="C1181" t="s">
        <v>2091</v>
      </c>
      <c r="D1181" s="1">
        <v>43506</v>
      </c>
      <c r="E1181" s="1">
        <v>44956</v>
      </c>
      <c r="F1181">
        <v>336</v>
      </c>
      <c r="G1181">
        <v>7</v>
      </c>
      <c r="H1181">
        <v>143.72999999999999</v>
      </c>
      <c r="I1181">
        <v>98.83</v>
      </c>
      <c r="J1181" t="s">
        <v>90</v>
      </c>
      <c r="K1181" t="s">
        <v>16</v>
      </c>
      <c r="L1181" t="s">
        <v>2087</v>
      </c>
      <c r="M1181">
        <v>0</v>
      </c>
      <c r="N1181" t="s">
        <v>165</v>
      </c>
      <c r="O1181" t="s">
        <v>2107</v>
      </c>
    </row>
    <row r="1182" spans="1:15">
      <c r="A1182" t="s">
        <v>272</v>
      </c>
      <c r="B1182" t="s">
        <v>2093</v>
      </c>
      <c r="C1182" t="s">
        <v>2086</v>
      </c>
      <c r="D1182" s="1">
        <v>43868</v>
      </c>
      <c r="E1182" s="1">
        <v>45009</v>
      </c>
      <c r="F1182">
        <v>283</v>
      </c>
      <c r="G1182">
        <v>1</v>
      </c>
      <c r="H1182">
        <v>40.61</v>
      </c>
      <c r="I1182">
        <v>40.869999999999997</v>
      </c>
      <c r="J1182" t="s">
        <v>66</v>
      </c>
      <c r="K1182" t="s">
        <v>16</v>
      </c>
      <c r="L1182" t="s">
        <v>2106</v>
      </c>
      <c r="M1182">
        <v>6</v>
      </c>
      <c r="N1182" t="s">
        <v>157</v>
      </c>
      <c r="O1182" t="s">
        <v>2096</v>
      </c>
    </row>
    <row r="1183" spans="1:15">
      <c r="A1183" t="s">
        <v>3009</v>
      </c>
      <c r="B1183" t="s">
        <v>2085</v>
      </c>
      <c r="C1183" t="s">
        <v>2091</v>
      </c>
      <c r="D1183" s="1">
        <v>43833</v>
      </c>
      <c r="E1183" s="1">
        <v>45065</v>
      </c>
      <c r="F1183">
        <v>227</v>
      </c>
      <c r="G1183">
        <v>22</v>
      </c>
      <c r="H1183">
        <v>2189.98</v>
      </c>
      <c r="I1183">
        <v>165.33</v>
      </c>
      <c r="J1183" t="s">
        <v>115</v>
      </c>
      <c r="K1183" t="s">
        <v>16</v>
      </c>
      <c r="L1183" t="s">
        <v>2106</v>
      </c>
      <c r="M1183">
        <v>0</v>
      </c>
      <c r="N1183" t="s">
        <v>194</v>
      </c>
      <c r="O1183" t="s">
        <v>2088</v>
      </c>
    </row>
    <row r="1184" spans="1:15">
      <c r="A1184" t="s">
        <v>567</v>
      </c>
      <c r="B1184" t="s">
        <v>2093</v>
      </c>
      <c r="C1184" t="s">
        <v>2108</v>
      </c>
      <c r="D1184" s="1">
        <v>44727</v>
      </c>
      <c r="E1184" s="1">
        <v>45014</v>
      </c>
      <c r="F1184">
        <v>278</v>
      </c>
      <c r="G1184">
        <v>2</v>
      </c>
      <c r="H1184">
        <v>187.23</v>
      </c>
      <c r="I1184">
        <v>70.55</v>
      </c>
      <c r="J1184" t="s">
        <v>115</v>
      </c>
      <c r="K1184" t="s">
        <v>20</v>
      </c>
      <c r="L1184" t="s">
        <v>2095</v>
      </c>
      <c r="M1184">
        <v>0</v>
      </c>
      <c r="N1184" t="s">
        <v>204</v>
      </c>
      <c r="O1184" t="s">
        <v>2109</v>
      </c>
    </row>
    <row r="1185" spans="1:15">
      <c r="A1185" t="s">
        <v>3010</v>
      </c>
      <c r="B1185" t="s">
        <v>2090</v>
      </c>
      <c r="C1185" t="s">
        <v>2091</v>
      </c>
      <c r="D1185" s="1">
        <v>45014</v>
      </c>
      <c r="E1185" s="1">
        <v>45150</v>
      </c>
      <c r="F1185">
        <v>142</v>
      </c>
      <c r="G1185">
        <v>7</v>
      </c>
      <c r="H1185">
        <v>218.3</v>
      </c>
      <c r="I1185">
        <v>105.81</v>
      </c>
      <c r="J1185" t="s">
        <v>41</v>
      </c>
      <c r="K1185" t="s">
        <v>16</v>
      </c>
      <c r="L1185" t="s">
        <v>2106</v>
      </c>
      <c r="M1185">
        <v>3</v>
      </c>
      <c r="N1185" t="s">
        <v>179</v>
      </c>
      <c r="O1185" t="s">
        <v>2088</v>
      </c>
    </row>
    <row r="1186" spans="1:15">
      <c r="A1186" t="s">
        <v>3011</v>
      </c>
      <c r="B1186" t="s">
        <v>2090</v>
      </c>
      <c r="C1186" t="s">
        <v>2100</v>
      </c>
      <c r="D1186" s="1">
        <v>43883</v>
      </c>
      <c r="E1186" s="1">
        <v>45036</v>
      </c>
      <c r="F1186">
        <v>256</v>
      </c>
      <c r="G1186">
        <v>5</v>
      </c>
      <c r="H1186">
        <v>295.42</v>
      </c>
      <c r="I1186">
        <v>110.62</v>
      </c>
      <c r="J1186" t="s">
        <v>90</v>
      </c>
      <c r="K1186" t="s">
        <v>20</v>
      </c>
      <c r="L1186" t="s">
        <v>2095</v>
      </c>
      <c r="M1186">
        <v>8</v>
      </c>
      <c r="N1186" t="s">
        <v>194</v>
      </c>
      <c r="O1186" t="s">
        <v>2096</v>
      </c>
    </row>
    <row r="1187" spans="1:15">
      <c r="A1187" t="s">
        <v>1789</v>
      </c>
      <c r="B1187" t="s">
        <v>2093</v>
      </c>
      <c r="C1187" t="s">
        <v>2091</v>
      </c>
      <c r="D1187" s="1">
        <v>45038</v>
      </c>
      <c r="E1187" s="1">
        <v>45133</v>
      </c>
      <c r="F1187">
        <v>159</v>
      </c>
      <c r="G1187">
        <v>5</v>
      </c>
      <c r="H1187">
        <v>185.22</v>
      </c>
      <c r="I1187">
        <v>65</v>
      </c>
      <c r="J1187" t="s">
        <v>90</v>
      </c>
      <c r="K1187" t="s">
        <v>16</v>
      </c>
      <c r="L1187" t="s">
        <v>2095</v>
      </c>
      <c r="M1187">
        <v>3</v>
      </c>
      <c r="N1187" t="s">
        <v>204</v>
      </c>
      <c r="O1187" t="s">
        <v>2088</v>
      </c>
    </row>
    <row r="1188" spans="1:15">
      <c r="A1188" t="s">
        <v>1433</v>
      </c>
      <c r="B1188" t="s">
        <v>2113</v>
      </c>
      <c r="C1188" t="s">
        <v>2086</v>
      </c>
      <c r="D1188" s="1">
        <v>43783</v>
      </c>
      <c r="E1188" s="1">
        <v>45266</v>
      </c>
      <c r="F1188">
        <v>26</v>
      </c>
      <c r="G1188">
        <v>8</v>
      </c>
      <c r="H1188">
        <v>100.41</v>
      </c>
      <c r="I1188">
        <v>33.72</v>
      </c>
      <c r="J1188" t="s">
        <v>41</v>
      </c>
      <c r="K1188" t="s">
        <v>16</v>
      </c>
      <c r="L1188" t="s">
        <v>2095</v>
      </c>
      <c r="M1188">
        <v>9</v>
      </c>
      <c r="N1188" t="s">
        <v>157</v>
      </c>
      <c r="O1188" t="s">
        <v>2096</v>
      </c>
    </row>
    <row r="1189" spans="1:15">
      <c r="A1189" t="s">
        <v>3012</v>
      </c>
      <c r="B1189" t="s">
        <v>2093</v>
      </c>
      <c r="C1189" t="s">
        <v>2091</v>
      </c>
      <c r="D1189" s="1">
        <v>43924</v>
      </c>
      <c r="E1189" s="1">
        <v>45105</v>
      </c>
      <c r="F1189">
        <v>187</v>
      </c>
      <c r="G1189">
        <v>5</v>
      </c>
      <c r="H1189">
        <v>174.36</v>
      </c>
      <c r="I1189">
        <v>63.87</v>
      </c>
      <c r="J1189" t="s">
        <v>90</v>
      </c>
      <c r="K1189" t="s">
        <v>20</v>
      </c>
      <c r="L1189" t="s">
        <v>2106</v>
      </c>
      <c r="M1189">
        <v>1</v>
      </c>
      <c r="N1189" t="s">
        <v>232</v>
      </c>
      <c r="O1189" t="s">
        <v>2109</v>
      </c>
    </row>
    <row r="1190" spans="1:15">
      <c r="A1190" t="s">
        <v>3013</v>
      </c>
      <c r="B1190" t="s">
        <v>2113</v>
      </c>
      <c r="C1190" t="s">
        <v>2111</v>
      </c>
      <c r="D1190" s="1">
        <v>44475</v>
      </c>
      <c r="E1190" s="1">
        <v>45124</v>
      </c>
      <c r="F1190">
        <v>168</v>
      </c>
      <c r="G1190">
        <v>5</v>
      </c>
      <c r="H1190">
        <v>303.02999999999997</v>
      </c>
      <c r="I1190">
        <v>74.78</v>
      </c>
      <c r="J1190" t="s">
        <v>14</v>
      </c>
      <c r="K1190" t="s">
        <v>16</v>
      </c>
      <c r="L1190" t="s">
        <v>2106</v>
      </c>
      <c r="M1190">
        <v>5</v>
      </c>
      <c r="N1190" t="s">
        <v>179</v>
      </c>
      <c r="O1190" t="s">
        <v>2088</v>
      </c>
    </row>
    <row r="1191" spans="1:15">
      <c r="A1191" t="s">
        <v>3014</v>
      </c>
      <c r="B1191" t="s">
        <v>2097</v>
      </c>
      <c r="C1191" t="s">
        <v>2108</v>
      </c>
      <c r="D1191" s="1">
        <v>44536</v>
      </c>
      <c r="E1191" s="1">
        <v>44978</v>
      </c>
      <c r="F1191">
        <v>314</v>
      </c>
      <c r="G1191">
        <v>3</v>
      </c>
      <c r="H1191">
        <v>562.62</v>
      </c>
      <c r="I1191">
        <v>143.43</v>
      </c>
      <c r="J1191" t="s">
        <v>66</v>
      </c>
      <c r="K1191" t="s">
        <v>16</v>
      </c>
      <c r="L1191" t="s">
        <v>2095</v>
      </c>
      <c r="M1191">
        <v>9</v>
      </c>
      <c r="N1191" t="s">
        <v>157</v>
      </c>
      <c r="O1191" t="s">
        <v>2109</v>
      </c>
    </row>
    <row r="1192" spans="1:15">
      <c r="A1192" t="s">
        <v>3015</v>
      </c>
      <c r="B1192" t="s">
        <v>2090</v>
      </c>
      <c r="C1192" t="s">
        <v>2111</v>
      </c>
      <c r="D1192" s="1">
        <v>44496</v>
      </c>
      <c r="E1192" s="1">
        <v>45282</v>
      </c>
      <c r="F1192">
        <v>10</v>
      </c>
      <c r="G1192">
        <v>5</v>
      </c>
      <c r="H1192">
        <v>386.09</v>
      </c>
      <c r="I1192">
        <v>49.34</v>
      </c>
      <c r="J1192" t="s">
        <v>66</v>
      </c>
      <c r="K1192" t="s">
        <v>20</v>
      </c>
      <c r="L1192" t="s">
        <v>2087</v>
      </c>
      <c r="M1192">
        <v>9</v>
      </c>
      <c r="N1192" t="s">
        <v>179</v>
      </c>
      <c r="O1192" t="s">
        <v>2088</v>
      </c>
    </row>
    <row r="1193" spans="1:15">
      <c r="A1193" t="s">
        <v>3016</v>
      </c>
      <c r="B1193" t="s">
        <v>2093</v>
      </c>
      <c r="C1193" t="s">
        <v>2091</v>
      </c>
      <c r="D1193" s="1">
        <v>44819</v>
      </c>
      <c r="E1193" s="1">
        <v>45181</v>
      </c>
      <c r="F1193">
        <v>111</v>
      </c>
      <c r="G1193">
        <v>2</v>
      </c>
      <c r="H1193">
        <v>121.97</v>
      </c>
      <c r="I1193">
        <v>37.93</v>
      </c>
      <c r="J1193" t="s">
        <v>14</v>
      </c>
      <c r="K1193" t="s">
        <v>20</v>
      </c>
      <c r="L1193" t="s">
        <v>2106</v>
      </c>
      <c r="M1193">
        <v>2</v>
      </c>
      <c r="N1193" t="s">
        <v>165</v>
      </c>
      <c r="O1193" t="s">
        <v>2109</v>
      </c>
    </row>
    <row r="1194" spans="1:15">
      <c r="A1194" t="s">
        <v>3017</v>
      </c>
      <c r="B1194" t="s">
        <v>2099</v>
      </c>
      <c r="C1194" t="s">
        <v>2091</v>
      </c>
      <c r="D1194" s="1">
        <v>44559</v>
      </c>
      <c r="E1194" s="1">
        <v>45123</v>
      </c>
      <c r="F1194">
        <v>169</v>
      </c>
      <c r="G1194">
        <v>2</v>
      </c>
      <c r="H1194">
        <v>110.47</v>
      </c>
      <c r="I1194">
        <v>85.76</v>
      </c>
      <c r="J1194" t="s">
        <v>115</v>
      </c>
      <c r="K1194" t="s">
        <v>16</v>
      </c>
      <c r="L1194" t="s">
        <v>2106</v>
      </c>
      <c r="M1194">
        <v>1</v>
      </c>
      <c r="N1194" t="s">
        <v>157</v>
      </c>
      <c r="O1194" t="s">
        <v>2121</v>
      </c>
    </row>
    <row r="1195" spans="1:15">
      <c r="A1195" t="s">
        <v>484</v>
      </c>
      <c r="B1195" t="s">
        <v>2099</v>
      </c>
      <c r="C1195" t="s">
        <v>2094</v>
      </c>
      <c r="D1195" s="1">
        <v>44624</v>
      </c>
      <c r="E1195" s="1">
        <v>45010</v>
      </c>
      <c r="F1195">
        <v>282</v>
      </c>
      <c r="G1195">
        <v>1</v>
      </c>
      <c r="H1195">
        <v>60.05</v>
      </c>
      <c r="I1195">
        <v>60.58</v>
      </c>
      <c r="J1195" t="s">
        <v>66</v>
      </c>
      <c r="K1195" t="s">
        <v>16</v>
      </c>
      <c r="L1195" t="s">
        <v>2106</v>
      </c>
      <c r="M1195">
        <v>4</v>
      </c>
      <c r="N1195" t="s">
        <v>165</v>
      </c>
      <c r="O1195" t="s">
        <v>2109</v>
      </c>
    </row>
    <row r="1196" spans="1:15">
      <c r="A1196" t="s">
        <v>3018</v>
      </c>
      <c r="B1196" t="s">
        <v>2093</v>
      </c>
      <c r="C1196" t="s">
        <v>2086</v>
      </c>
      <c r="D1196" s="1">
        <v>43745</v>
      </c>
      <c r="E1196" s="1">
        <v>45223</v>
      </c>
      <c r="F1196">
        <v>69</v>
      </c>
      <c r="G1196">
        <v>1</v>
      </c>
      <c r="H1196">
        <v>159.88</v>
      </c>
      <c r="I1196">
        <v>64.290000000000006</v>
      </c>
      <c r="J1196" t="s">
        <v>14</v>
      </c>
      <c r="K1196" t="s">
        <v>16</v>
      </c>
      <c r="L1196" t="s">
        <v>2087</v>
      </c>
      <c r="M1196">
        <v>10</v>
      </c>
      <c r="N1196" t="s">
        <v>204</v>
      </c>
      <c r="O1196" t="s">
        <v>2107</v>
      </c>
    </row>
    <row r="1197" spans="1:15">
      <c r="A1197" t="s">
        <v>3019</v>
      </c>
      <c r="B1197" t="s">
        <v>2090</v>
      </c>
      <c r="C1197" t="s">
        <v>2100</v>
      </c>
      <c r="D1197" s="1">
        <v>44089</v>
      </c>
      <c r="E1197" s="1">
        <v>44959</v>
      </c>
      <c r="F1197">
        <v>333</v>
      </c>
      <c r="G1197">
        <v>5</v>
      </c>
      <c r="H1197">
        <v>215.38</v>
      </c>
      <c r="I1197">
        <v>119.08</v>
      </c>
      <c r="J1197" t="s">
        <v>115</v>
      </c>
      <c r="K1197" t="s">
        <v>20</v>
      </c>
      <c r="L1197" t="s">
        <v>2087</v>
      </c>
      <c r="M1197">
        <v>7</v>
      </c>
      <c r="N1197" t="s">
        <v>174</v>
      </c>
      <c r="O1197" t="s">
        <v>2088</v>
      </c>
    </row>
    <row r="1198" spans="1:15">
      <c r="A1198" t="s">
        <v>3020</v>
      </c>
      <c r="B1198" t="s">
        <v>2085</v>
      </c>
      <c r="C1198" t="s">
        <v>2100</v>
      </c>
      <c r="D1198" s="1">
        <v>44870</v>
      </c>
      <c r="E1198" s="1">
        <v>45275</v>
      </c>
      <c r="F1198">
        <v>17</v>
      </c>
      <c r="G1198">
        <v>29</v>
      </c>
      <c r="H1198">
        <v>2520.06</v>
      </c>
      <c r="I1198">
        <v>191.46</v>
      </c>
      <c r="J1198" t="s">
        <v>66</v>
      </c>
      <c r="K1198" t="s">
        <v>20</v>
      </c>
      <c r="L1198" t="s">
        <v>2087</v>
      </c>
      <c r="M1198">
        <v>10</v>
      </c>
      <c r="N1198" t="s">
        <v>232</v>
      </c>
      <c r="O1198" t="s">
        <v>2088</v>
      </c>
    </row>
    <row r="1199" spans="1:15">
      <c r="A1199" t="s">
        <v>3021</v>
      </c>
      <c r="B1199" t="s">
        <v>2113</v>
      </c>
      <c r="C1199" t="s">
        <v>2086</v>
      </c>
      <c r="D1199" s="1">
        <v>43862</v>
      </c>
      <c r="E1199" s="1">
        <v>45238</v>
      </c>
      <c r="F1199">
        <v>54</v>
      </c>
      <c r="G1199">
        <v>17</v>
      </c>
      <c r="H1199">
        <v>237.9</v>
      </c>
      <c r="I1199">
        <v>77.680000000000007</v>
      </c>
      <c r="J1199" t="s">
        <v>66</v>
      </c>
      <c r="K1199" t="s">
        <v>16</v>
      </c>
      <c r="L1199" t="s">
        <v>2087</v>
      </c>
      <c r="M1199">
        <v>7</v>
      </c>
      <c r="N1199" t="s">
        <v>157</v>
      </c>
      <c r="O1199" t="s">
        <v>2121</v>
      </c>
    </row>
    <row r="1200" spans="1:15">
      <c r="A1200" t="s">
        <v>806</v>
      </c>
      <c r="B1200" t="s">
        <v>2099</v>
      </c>
      <c r="C1200" t="s">
        <v>2111</v>
      </c>
      <c r="D1200" s="1">
        <v>44564</v>
      </c>
      <c r="E1200" s="1">
        <v>45200</v>
      </c>
      <c r="F1200">
        <v>92</v>
      </c>
      <c r="G1200">
        <v>2</v>
      </c>
      <c r="H1200">
        <v>46.81</v>
      </c>
      <c r="I1200">
        <v>78.650000000000006</v>
      </c>
      <c r="J1200" t="s">
        <v>90</v>
      </c>
      <c r="K1200" t="s">
        <v>16</v>
      </c>
      <c r="L1200" t="s">
        <v>2106</v>
      </c>
      <c r="M1200">
        <v>8</v>
      </c>
      <c r="N1200" t="s">
        <v>174</v>
      </c>
      <c r="O1200" t="s">
        <v>2121</v>
      </c>
    </row>
    <row r="1201" spans="1:15">
      <c r="A1201" t="s">
        <v>3022</v>
      </c>
      <c r="B1201" t="s">
        <v>2113</v>
      </c>
      <c r="C1201" t="s">
        <v>2086</v>
      </c>
      <c r="D1201" s="1">
        <v>44823</v>
      </c>
      <c r="E1201" s="1">
        <v>45254</v>
      </c>
      <c r="F1201">
        <v>38</v>
      </c>
      <c r="G1201">
        <v>15</v>
      </c>
      <c r="H1201">
        <v>104.94</v>
      </c>
      <c r="I1201">
        <v>60.25</v>
      </c>
      <c r="J1201" t="s">
        <v>90</v>
      </c>
      <c r="K1201" t="s">
        <v>16</v>
      </c>
      <c r="L1201" t="s">
        <v>2087</v>
      </c>
      <c r="M1201">
        <v>2</v>
      </c>
      <c r="N1201" t="s">
        <v>174</v>
      </c>
      <c r="O1201" t="s">
        <v>2096</v>
      </c>
    </row>
    <row r="1202" spans="1:15">
      <c r="A1202" t="s">
        <v>3023</v>
      </c>
      <c r="B1202" t="s">
        <v>2097</v>
      </c>
      <c r="C1202" t="s">
        <v>2094</v>
      </c>
      <c r="D1202" s="1">
        <v>44278</v>
      </c>
      <c r="E1202" s="1">
        <v>45131</v>
      </c>
      <c r="F1202">
        <v>161</v>
      </c>
      <c r="G1202">
        <v>9</v>
      </c>
      <c r="H1202">
        <v>240.7</v>
      </c>
      <c r="I1202">
        <v>95.87</v>
      </c>
      <c r="J1202" t="s">
        <v>115</v>
      </c>
      <c r="K1202" t="s">
        <v>20</v>
      </c>
      <c r="L1202" t="s">
        <v>2095</v>
      </c>
      <c r="M1202">
        <v>0</v>
      </c>
      <c r="N1202" t="s">
        <v>179</v>
      </c>
      <c r="O1202" t="s">
        <v>2088</v>
      </c>
    </row>
    <row r="1203" spans="1:15">
      <c r="A1203" t="s">
        <v>323</v>
      </c>
      <c r="B1203" t="s">
        <v>2097</v>
      </c>
      <c r="C1203" t="s">
        <v>2091</v>
      </c>
      <c r="D1203" s="1">
        <v>44531</v>
      </c>
      <c r="E1203" s="1">
        <v>44980</v>
      </c>
      <c r="F1203">
        <v>312</v>
      </c>
      <c r="G1203">
        <v>7</v>
      </c>
      <c r="H1203">
        <v>497.52</v>
      </c>
      <c r="I1203">
        <v>75.27</v>
      </c>
      <c r="J1203" t="s">
        <v>14</v>
      </c>
      <c r="K1203" t="s">
        <v>20</v>
      </c>
      <c r="L1203" t="s">
        <v>2106</v>
      </c>
      <c r="M1203">
        <v>9</v>
      </c>
      <c r="N1203" t="s">
        <v>232</v>
      </c>
      <c r="O1203" t="s">
        <v>2107</v>
      </c>
    </row>
    <row r="1204" spans="1:15">
      <c r="A1204" t="s">
        <v>1156</v>
      </c>
      <c r="B1204" t="s">
        <v>2093</v>
      </c>
      <c r="C1204" t="s">
        <v>2086</v>
      </c>
      <c r="D1204" s="1">
        <v>45134</v>
      </c>
      <c r="E1204" s="1">
        <v>45203</v>
      </c>
      <c r="F1204">
        <v>89</v>
      </c>
      <c r="G1204">
        <v>1</v>
      </c>
      <c r="H1204">
        <v>86.08</v>
      </c>
      <c r="I1204">
        <v>38.31</v>
      </c>
      <c r="J1204" t="s">
        <v>41</v>
      </c>
      <c r="K1204" t="s">
        <v>20</v>
      </c>
      <c r="L1204" t="s">
        <v>2106</v>
      </c>
      <c r="M1204">
        <v>7</v>
      </c>
      <c r="N1204" t="s">
        <v>194</v>
      </c>
      <c r="O1204" t="s">
        <v>2096</v>
      </c>
    </row>
    <row r="1205" spans="1:15">
      <c r="A1205" t="s">
        <v>3024</v>
      </c>
      <c r="B1205" t="s">
        <v>2090</v>
      </c>
      <c r="C1205" t="s">
        <v>2100</v>
      </c>
      <c r="D1205" s="1">
        <v>43495</v>
      </c>
      <c r="E1205" s="1">
        <v>45003</v>
      </c>
      <c r="F1205">
        <v>289</v>
      </c>
      <c r="G1205">
        <v>4</v>
      </c>
      <c r="H1205">
        <v>213.12</v>
      </c>
      <c r="I1205">
        <v>109.24</v>
      </c>
      <c r="J1205" t="s">
        <v>66</v>
      </c>
      <c r="K1205" t="s">
        <v>16</v>
      </c>
      <c r="L1205" t="s">
        <v>2095</v>
      </c>
      <c r="M1205">
        <v>0</v>
      </c>
      <c r="N1205" t="s">
        <v>157</v>
      </c>
      <c r="O1205" t="s">
        <v>2096</v>
      </c>
    </row>
    <row r="1206" spans="1:15">
      <c r="A1206" t="s">
        <v>1145</v>
      </c>
      <c r="B1206" t="s">
        <v>2093</v>
      </c>
      <c r="C1206" t="s">
        <v>2086</v>
      </c>
      <c r="D1206" s="1">
        <v>44291</v>
      </c>
      <c r="E1206" s="1">
        <v>44979</v>
      </c>
      <c r="F1206">
        <v>313</v>
      </c>
      <c r="G1206">
        <v>3</v>
      </c>
      <c r="H1206">
        <v>152.43</v>
      </c>
      <c r="I1206">
        <v>65.59</v>
      </c>
      <c r="J1206" t="s">
        <v>115</v>
      </c>
      <c r="K1206" t="s">
        <v>16</v>
      </c>
      <c r="L1206" t="s">
        <v>2106</v>
      </c>
      <c r="M1206">
        <v>3</v>
      </c>
      <c r="N1206" t="s">
        <v>174</v>
      </c>
      <c r="O1206" t="s">
        <v>2121</v>
      </c>
    </row>
    <row r="1207" spans="1:15">
      <c r="A1207" t="s">
        <v>3025</v>
      </c>
      <c r="B1207" t="s">
        <v>2099</v>
      </c>
      <c r="C1207" t="s">
        <v>2100</v>
      </c>
      <c r="D1207" s="1">
        <v>44623</v>
      </c>
      <c r="E1207" s="1">
        <v>45025</v>
      </c>
      <c r="F1207">
        <v>267</v>
      </c>
      <c r="G1207">
        <v>2</v>
      </c>
      <c r="H1207">
        <v>32.619999999999997</v>
      </c>
      <c r="I1207">
        <v>40.880000000000003</v>
      </c>
      <c r="J1207" t="s">
        <v>115</v>
      </c>
      <c r="K1207" t="s">
        <v>20</v>
      </c>
      <c r="L1207" t="s">
        <v>2087</v>
      </c>
      <c r="M1207">
        <v>6</v>
      </c>
      <c r="N1207" t="s">
        <v>204</v>
      </c>
      <c r="O1207" t="s">
        <v>2088</v>
      </c>
    </row>
    <row r="1208" spans="1:15">
      <c r="A1208" t="s">
        <v>3026</v>
      </c>
      <c r="B1208" t="s">
        <v>2085</v>
      </c>
      <c r="C1208" t="s">
        <v>2111</v>
      </c>
      <c r="D1208" s="1">
        <v>43505</v>
      </c>
      <c r="E1208" s="1">
        <v>45261</v>
      </c>
      <c r="F1208">
        <v>31</v>
      </c>
      <c r="G1208">
        <v>28</v>
      </c>
      <c r="H1208">
        <v>2474.5700000000002</v>
      </c>
      <c r="I1208">
        <v>282.8</v>
      </c>
      <c r="J1208" t="s">
        <v>115</v>
      </c>
      <c r="K1208" t="s">
        <v>16</v>
      </c>
      <c r="L1208" t="s">
        <v>2095</v>
      </c>
      <c r="M1208">
        <v>6</v>
      </c>
      <c r="N1208" t="s">
        <v>165</v>
      </c>
      <c r="O1208" t="s">
        <v>2096</v>
      </c>
    </row>
    <row r="1209" spans="1:15">
      <c r="A1209" t="s">
        <v>957</v>
      </c>
      <c r="B1209" t="s">
        <v>2085</v>
      </c>
      <c r="C1209" t="s">
        <v>2111</v>
      </c>
      <c r="D1209" s="1">
        <v>44228</v>
      </c>
      <c r="E1209" s="1">
        <v>45279</v>
      </c>
      <c r="F1209">
        <v>13</v>
      </c>
      <c r="G1209">
        <v>15</v>
      </c>
      <c r="H1209">
        <v>2188.25</v>
      </c>
      <c r="I1209">
        <v>140.81</v>
      </c>
      <c r="J1209" t="s">
        <v>14</v>
      </c>
      <c r="K1209" t="s">
        <v>16</v>
      </c>
      <c r="L1209" t="s">
        <v>2087</v>
      </c>
      <c r="M1209">
        <v>4</v>
      </c>
      <c r="N1209" t="s">
        <v>194</v>
      </c>
      <c r="O1209" t="s">
        <v>2121</v>
      </c>
    </row>
    <row r="1210" spans="1:15">
      <c r="A1210" t="s">
        <v>3027</v>
      </c>
      <c r="B1210" t="s">
        <v>2097</v>
      </c>
      <c r="C1210" t="s">
        <v>2086</v>
      </c>
      <c r="D1210" s="1">
        <v>44168</v>
      </c>
      <c r="E1210" s="1">
        <v>45143</v>
      </c>
      <c r="F1210">
        <v>149</v>
      </c>
      <c r="G1210">
        <v>3</v>
      </c>
      <c r="H1210">
        <v>405.71</v>
      </c>
      <c r="I1210">
        <v>77.430000000000007</v>
      </c>
      <c r="J1210" t="s">
        <v>90</v>
      </c>
      <c r="K1210" t="s">
        <v>16</v>
      </c>
      <c r="L1210" t="s">
        <v>2095</v>
      </c>
      <c r="M1210">
        <v>4</v>
      </c>
      <c r="N1210" t="s">
        <v>174</v>
      </c>
      <c r="O1210" t="s">
        <v>2109</v>
      </c>
    </row>
    <row r="1211" spans="1:15">
      <c r="A1211" t="s">
        <v>3028</v>
      </c>
      <c r="B1211" t="s">
        <v>2097</v>
      </c>
      <c r="C1211" t="s">
        <v>2100</v>
      </c>
      <c r="D1211" s="1">
        <v>44717</v>
      </c>
      <c r="E1211" s="1">
        <v>45232</v>
      </c>
      <c r="F1211">
        <v>60</v>
      </c>
      <c r="G1211">
        <v>5</v>
      </c>
      <c r="H1211">
        <v>225.94</v>
      </c>
      <c r="I1211">
        <v>141.02000000000001</v>
      </c>
      <c r="J1211" t="s">
        <v>90</v>
      </c>
      <c r="K1211" t="s">
        <v>16</v>
      </c>
      <c r="L1211" t="s">
        <v>2087</v>
      </c>
      <c r="M1211">
        <v>6</v>
      </c>
      <c r="N1211" t="s">
        <v>179</v>
      </c>
      <c r="O1211" t="s">
        <v>2107</v>
      </c>
    </row>
    <row r="1212" spans="1:15">
      <c r="A1212" t="s">
        <v>506</v>
      </c>
      <c r="B1212" t="s">
        <v>2097</v>
      </c>
      <c r="C1212" t="s">
        <v>2108</v>
      </c>
      <c r="D1212" s="1">
        <v>43949</v>
      </c>
      <c r="E1212" s="1">
        <v>45037</v>
      </c>
      <c r="F1212">
        <v>255</v>
      </c>
      <c r="G1212">
        <v>5</v>
      </c>
      <c r="H1212">
        <v>231.17</v>
      </c>
      <c r="I1212">
        <v>50.79</v>
      </c>
      <c r="J1212" t="s">
        <v>66</v>
      </c>
      <c r="K1212" t="s">
        <v>16</v>
      </c>
      <c r="L1212" t="s">
        <v>2095</v>
      </c>
      <c r="M1212">
        <v>4</v>
      </c>
      <c r="N1212" t="s">
        <v>204</v>
      </c>
      <c r="O1212" t="s">
        <v>2121</v>
      </c>
    </row>
    <row r="1213" spans="1:15">
      <c r="A1213" t="s">
        <v>3029</v>
      </c>
      <c r="B1213" t="s">
        <v>2099</v>
      </c>
      <c r="C1213" t="s">
        <v>2094</v>
      </c>
      <c r="D1213" s="1">
        <v>45074</v>
      </c>
      <c r="E1213" s="1">
        <v>45093</v>
      </c>
      <c r="F1213">
        <v>199</v>
      </c>
      <c r="G1213">
        <v>2</v>
      </c>
      <c r="H1213">
        <v>59.46</v>
      </c>
      <c r="I1213">
        <v>43.09</v>
      </c>
      <c r="J1213" t="s">
        <v>115</v>
      </c>
      <c r="K1213" t="s">
        <v>16</v>
      </c>
      <c r="L1213" t="s">
        <v>2106</v>
      </c>
      <c r="M1213">
        <v>6</v>
      </c>
      <c r="N1213" t="s">
        <v>194</v>
      </c>
      <c r="O1213" t="s">
        <v>2107</v>
      </c>
    </row>
    <row r="1214" spans="1:15">
      <c r="A1214" t="s">
        <v>3030</v>
      </c>
      <c r="B1214" t="s">
        <v>2085</v>
      </c>
      <c r="C1214" t="s">
        <v>2111</v>
      </c>
      <c r="D1214" s="1">
        <v>43927</v>
      </c>
      <c r="E1214" s="1">
        <v>45087</v>
      </c>
      <c r="F1214">
        <v>205</v>
      </c>
      <c r="G1214">
        <v>39</v>
      </c>
      <c r="H1214">
        <v>2613</v>
      </c>
      <c r="I1214">
        <v>146.35</v>
      </c>
      <c r="J1214" t="s">
        <v>90</v>
      </c>
      <c r="K1214" t="s">
        <v>16</v>
      </c>
      <c r="L1214" t="s">
        <v>2095</v>
      </c>
      <c r="M1214">
        <v>4</v>
      </c>
      <c r="N1214" t="s">
        <v>194</v>
      </c>
      <c r="O1214" t="s">
        <v>2121</v>
      </c>
    </row>
    <row r="1215" spans="1:15">
      <c r="A1215" t="s">
        <v>254</v>
      </c>
      <c r="B1215" t="s">
        <v>2097</v>
      </c>
      <c r="C1215" t="s">
        <v>2111</v>
      </c>
      <c r="D1215" s="1">
        <v>44686</v>
      </c>
      <c r="E1215" s="1">
        <v>44955</v>
      </c>
      <c r="F1215">
        <v>337</v>
      </c>
      <c r="G1215">
        <v>4</v>
      </c>
      <c r="H1215">
        <v>258.05</v>
      </c>
      <c r="I1215">
        <v>132.88999999999999</v>
      </c>
      <c r="J1215" t="s">
        <v>41</v>
      </c>
      <c r="K1215" t="s">
        <v>16</v>
      </c>
      <c r="L1215" t="s">
        <v>2095</v>
      </c>
      <c r="M1215">
        <v>10</v>
      </c>
      <c r="N1215" t="s">
        <v>157</v>
      </c>
      <c r="O1215" t="s">
        <v>2096</v>
      </c>
    </row>
    <row r="1216" spans="1:15">
      <c r="A1216" t="s">
        <v>1732</v>
      </c>
      <c r="B1216" t="s">
        <v>2085</v>
      </c>
      <c r="C1216" t="s">
        <v>2091</v>
      </c>
      <c r="D1216" s="1">
        <v>45060</v>
      </c>
      <c r="E1216" s="1">
        <v>45254</v>
      </c>
      <c r="F1216">
        <v>38</v>
      </c>
      <c r="G1216">
        <v>34</v>
      </c>
      <c r="H1216">
        <v>2514.09</v>
      </c>
      <c r="I1216">
        <v>147.37</v>
      </c>
      <c r="J1216" t="s">
        <v>90</v>
      </c>
      <c r="K1216" t="s">
        <v>16</v>
      </c>
      <c r="L1216" t="s">
        <v>2095</v>
      </c>
      <c r="M1216">
        <v>6</v>
      </c>
      <c r="N1216" t="s">
        <v>179</v>
      </c>
      <c r="O1216" t="s">
        <v>2121</v>
      </c>
    </row>
    <row r="1217" spans="1:15">
      <c r="A1217" t="s">
        <v>3031</v>
      </c>
      <c r="B1217" t="s">
        <v>2090</v>
      </c>
      <c r="C1217" t="s">
        <v>2094</v>
      </c>
      <c r="D1217" s="1">
        <v>44175</v>
      </c>
      <c r="E1217" s="1">
        <v>45211</v>
      </c>
      <c r="F1217">
        <v>81</v>
      </c>
      <c r="G1217">
        <v>7</v>
      </c>
      <c r="H1217">
        <v>254.58</v>
      </c>
      <c r="I1217">
        <v>59.71</v>
      </c>
      <c r="J1217" t="s">
        <v>66</v>
      </c>
      <c r="K1217" t="s">
        <v>20</v>
      </c>
      <c r="L1217" t="s">
        <v>2087</v>
      </c>
      <c r="M1217">
        <v>2</v>
      </c>
      <c r="N1217" t="s">
        <v>157</v>
      </c>
      <c r="O1217" t="s">
        <v>2088</v>
      </c>
    </row>
    <row r="1218" spans="1:15">
      <c r="A1218" t="s">
        <v>3032</v>
      </c>
      <c r="B1218" t="s">
        <v>2093</v>
      </c>
      <c r="C1218" t="s">
        <v>2094</v>
      </c>
      <c r="D1218" s="1">
        <v>43752</v>
      </c>
      <c r="E1218" s="1">
        <v>45291</v>
      </c>
      <c r="F1218">
        <v>1</v>
      </c>
      <c r="G1218">
        <v>3</v>
      </c>
      <c r="H1218">
        <v>58.95</v>
      </c>
      <c r="I1218">
        <v>70.5</v>
      </c>
      <c r="J1218" t="s">
        <v>14</v>
      </c>
      <c r="K1218" t="s">
        <v>16</v>
      </c>
      <c r="L1218" t="s">
        <v>2095</v>
      </c>
      <c r="M1218">
        <v>8</v>
      </c>
      <c r="N1218" t="s">
        <v>194</v>
      </c>
      <c r="O1218" t="s">
        <v>2109</v>
      </c>
    </row>
    <row r="1219" spans="1:15">
      <c r="A1219" t="s">
        <v>266</v>
      </c>
      <c r="B1219" t="s">
        <v>2113</v>
      </c>
      <c r="C1219" t="s">
        <v>2108</v>
      </c>
      <c r="D1219" s="1">
        <v>43572</v>
      </c>
      <c r="E1219" s="1">
        <v>45197</v>
      </c>
      <c r="F1219">
        <v>95</v>
      </c>
      <c r="G1219">
        <v>7</v>
      </c>
      <c r="H1219">
        <v>324.31</v>
      </c>
      <c r="I1219">
        <v>32.74</v>
      </c>
      <c r="J1219" t="s">
        <v>14</v>
      </c>
      <c r="K1219" t="s">
        <v>16</v>
      </c>
      <c r="L1219" t="s">
        <v>2087</v>
      </c>
      <c r="M1219">
        <v>9</v>
      </c>
      <c r="N1219" t="s">
        <v>174</v>
      </c>
      <c r="O1219" t="s">
        <v>2121</v>
      </c>
    </row>
    <row r="1220" spans="1:15">
      <c r="A1220" t="s">
        <v>3033</v>
      </c>
      <c r="B1220" t="s">
        <v>2099</v>
      </c>
      <c r="C1220" t="s">
        <v>2108</v>
      </c>
      <c r="D1220" s="1">
        <v>45032</v>
      </c>
      <c r="E1220" s="1">
        <v>45114</v>
      </c>
      <c r="F1220">
        <v>178</v>
      </c>
      <c r="G1220">
        <v>2</v>
      </c>
      <c r="H1220">
        <v>59.94</v>
      </c>
      <c r="I1220">
        <v>57.73</v>
      </c>
      <c r="J1220" t="s">
        <v>41</v>
      </c>
      <c r="K1220" t="s">
        <v>16</v>
      </c>
      <c r="L1220" t="s">
        <v>2095</v>
      </c>
      <c r="M1220">
        <v>4</v>
      </c>
      <c r="N1220" t="s">
        <v>204</v>
      </c>
      <c r="O1220" t="s">
        <v>2088</v>
      </c>
    </row>
    <row r="1221" spans="1:15">
      <c r="A1221" t="s">
        <v>3034</v>
      </c>
      <c r="B1221" t="s">
        <v>2093</v>
      </c>
      <c r="C1221" t="s">
        <v>2094</v>
      </c>
      <c r="D1221" s="1">
        <v>44410</v>
      </c>
      <c r="E1221" s="1">
        <v>44987</v>
      </c>
      <c r="F1221">
        <v>305</v>
      </c>
      <c r="G1221">
        <v>3</v>
      </c>
      <c r="H1221">
        <v>49.06</v>
      </c>
      <c r="I1221">
        <v>67.37</v>
      </c>
      <c r="J1221" t="s">
        <v>115</v>
      </c>
      <c r="K1221" t="s">
        <v>16</v>
      </c>
      <c r="L1221" t="s">
        <v>2106</v>
      </c>
      <c r="M1221">
        <v>9</v>
      </c>
      <c r="N1221" t="s">
        <v>204</v>
      </c>
      <c r="O1221" t="s">
        <v>2107</v>
      </c>
    </row>
    <row r="1222" spans="1:15">
      <c r="A1222" t="s">
        <v>3035</v>
      </c>
      <c r="B1222" t="s">
        <v>2113</v>
      </c>
      <c r="C1222" t="s">
        <v>2091</v>
      </c>
      <c r="D1222" s="1">
        <v>43541</v>
      </c>
      <c r="E1222" s="1">
        <v>45097</v>
      </c>
      <c r="F1222">
        <v>195</v>
      </c>
      <c r="G1222">
        <v>14</v>
      </c>
      <c r="H1222">
        <v>523.70000000000005</v>
      </c>
      <c r="I1222">
        <v>60.15</v>
      </c>
      <c r="J1222" t="s">
        <v>90</v>
      </c>
      <c r="K1222" t="s">
        <v>20</v>
      </c>
      <c r="L1222" t="s">
        <v>2106</v>
      </c>
      <c r="M1222">
        <v>0</v>
      </c>
      <c r="N1222" t="s">
        <v>157</v>
      </c>
      <c r="O1222" t="s">
        <v>2107</v>
      </c>
    </row>
    <row r="1223" spans="1:15">
      <c r="A1223" t="s">
        <v>3036</v>
      </c>
      <c r="B1223" t="s">
        <v>2085</v>
      </c>
      <c r="C1223" t="s">
        <v>2108</v>
      </c>
      <c r="D1223" s="1">
        <v>45078</v>
      </c>
      <c r="E1223" s="1">
        <v>44962</v>
      </c>
      <c r="F1223">
        <v>330</v>
      </c>
      <c r="G1223">
        <v>28</v>
      </c>
      <c r="H1223">
        <v>1279.0999999999999</v>
      </c>
      <c r="I1223">
        <v>116.63</v>
      </c>
      <c r="J1223" t="s">
        <v>41</v>
      </c>
      <c r="K1223" t="s">
        <v>16</v>
      </c>
      <c r="L1223" t="s">
        <v>2106</v>
      </c>
      <c r="M1223">
        <v>8</v>
      </c>
      <c r="N1223" t="s">
        <v>232</v>
      </c>
      <c r="O1223" t="s">
        <v>2107</v>
      </c>
    </row>
    <row r="1224" spans="1:15">
      <c r="A1224" t="s">
        <v>3037</v>
      </c>
      <c r="B1224" t="s">
        <v>2099</v>
      </c>
      <c r="C1224" t="s">
        <v>2111</v>
      </c>
      <c r="D1224" s="1">
        <v>43824</v>
      </c>
      <c r="E1224" s="1">
        <v>45212</v>
      </c>
      <c r="F1224">
        <v>80</v>
      </c>
      <c r="G1224">
        <v>1</v>
      </c>
      <c r="H1224">
        <v>86.69</v>
      </c>
      <c r="I1224">
        <v>60.48</v>
      </c>
      <c r="J1224" t="s">
        <v>66</v>
      </c>
      <c r="K1224" t="s">
        <v>16</v>
      </c>
      <c r="L1224" t="s">
        <v>2087</v>
      </c>
      <c r="M1224">
        <v>8</v>
      </c>
      <c r="N1224" t="s">
        <v>204</v>
      </c>
      <c r="O1224" t="s">
        <v>2107</v>
      </c>
    </row>
    <row r="1225" spans="1:15">
      <c r="A1225" t="s">
        <v>3038</v>
      </c>
      <c r="B1225" t="s">
        <v>2085</v>
      </c>
      <c r="C1225" t="s">
        <v>2111</v>
      </c>
      <c r="D1225" s="1">
        <v>44113</v>
      </c>
      <c r="E1225" s="1">
        <v>45277</v>
      </c>
      <c r="F1225">
        <v>15</v>
      </c>
      <c r="G1225">
        <v>21</v>
      </c>
      <c r="H1225">
        <v>2619.86</v>
      </c>
      <c r="I1225">
        <v>186.96</v>
      </c>
      <c r="J1225" t="s">
        <v>66</v>
      </c>
      <c r="K1225" t="s">
        <v>16</v>
      </c>
      <c r="L1225" t="s">
        <v>2095</v>
      </c>
      <c r="M1225">
        <v>7</v>
      </c>
      <c r="N1225" t="s">
        <v>165</v>
      </c>
      <c r="O1225" t="s">
        <v>2121</v>
      </c>
    </row>
    <row r="1226" spans="1:15">
      <c r="A1226" t="s">
        <v>3039</v>
      </c>
      <c r="B1226" t="s">
        <v>2099</v>
      </c>
      <c r="C1226" t="s">
        <v>2100</v>
      </c>
      <c r="D1226" s="1">
        <v>44136</v>
      </c>
      <c r="E1226" s="1">
        <v>45042</v>
      </c>
      <c r="F1226">
        <v>250</v>
      </c>
      <c r="G1226">
        <v>2</v>
      </c>
      <c r="H1226">
        <v>128.13</v>
      </c>
      <c r="I1226">
        <v>37.020000000000003</v>
      </c>
      <c r="J1226" t="s">
        <v>115</v>
      </c>
      <c r="K1226" t="s">
        <v>16</v>
      </c>
      <c r="L1226" t="s">
        <v>2095</v>
      </c>
      <c r="M1226">
        <v>8</v>
      </c>
      <c r="N1226" t="s">
        <v>232</v>
      </c>
      <c r="O1226" t="s">
        <v>2096</v>
      </c>
    </row>
    <row r="1227" spans="1:15">
      <c r="A1227" t="s">
        <v>3040</v>
      </c>
      <c r="B1227" t="s">
        <v>2113</v>
      </c>
      <c r="C1227" t="s">
        <v>2100</v>
      </c>
      <c r="D1227" s="1">
        <v>44037</v>
      </c>
      <c r="E1227" s="1">
        <v>45122</v>
      </c>
      <c r="F1227">
        <v>170</v>
      </c>
      <c r="G1227">
        <v>18</v>
      </c>
      <c r="H1227">
        <v>442.78</v>
      </c>
      <c r="I1227">
        <v>39.4</v>
      </c>
      <c r="J1227" t="s">
        <v>14</v>
      </c>
      <c r="K1227" t="s">
        <v>20</v>
      </c>
      <c r="L1227" t="s">
        <v>2087</v>
      </c>
      <c r="M1227">
        <v>7</v>
      </c>
      <c r="N1227" t="s">
        <v>165</v>
      </c>
      <c r="O1227" t="s">
        <v>2109</v>
      </c>
    </row>
    <row r="1228" spans="1:15">
      <c r="A1228" t="s">
        <v>1878</v>
      </c>
      <c r="B1228" t="s">
        <v>2097</v>
      </c>
      <c r="C1228" t="s">
        <v>2091</v>
      </c>
      <c r="D1228" s="1">
        <v>44101</v>
      </c>
      <c r="E1228" s="1">
        <v>45041</v>
      </c>
      <c r="F1228">
        <v>251</v>
      </c>
      <c r="G1228">
        <v>9</v>
      </c>
      <c r="H1228">
        <v>532.75</v>
      </c>
      <c r="I1228">
        <v>56.53</v>
      </c>
      <c r="J1228" t="s">
        <v>90</v>
      </c>
      <c r="K1228" t="s">
        <v>16</v>
      </c>
      <c r="L1228" t="s">
        <v>2106</v>
      </c>
      <c r="M1228">
        <v>9</v>
      </c>
      <c r="N1228" t="s">
        <v>232</v>
      </c>
      <c r="O1228" t="s">
        <v>2121</v>
      </c>
    </row>
    <row r="1229" spans="1:15">
      <c r="A1229" t="s">
        <v>3041</v>
      </c>
      <c r="B1229" t="s">
        <v>2099</v>
      </c>
      <c r="C1229" t="s">
        <v>2086</v>
      </c>
      <c r="D1229" s="1">
        <v>43573</v>
      </c>
      <c r="E1229" s="1">
        <v>45239</v>
      </c>
      <c r="F1229">
        <v>53</v>
      </c>
      <c r="G1229">
        <v>2</v>
      </c>
      <c r="H1229">
        <v>54.06</v>
      </c>
      <c r="I1229">
        <v>92.48</v>
      </c>
      <c r="J1229" t="s">
        <v>115</v>
      </c>
      <c r="K1229" t="s">
        <v>20</v>
      </c>
      <c r="L1229" t="s">
        <v>2095</v>
      </c>
      <c r="M1229">
        <v>0</v>
      </c>
      <c r="N1229" t="s">
        <v>174</v>
      </c>
      <c r="O1229" t="s">
        <v>2096</v>
      </c>
    </row>
    <row r="1230" spans="1:15">
      <c r="A1230" t="s">
        <v>664</v>
      </c>
      <c r="B1230" t="s">
        <v>2090</v>
      </c>
      <c r="C1230" t="s">
        <v>2086</v>
      </c>
      <c r="D1230" s="1">
        <v>44648</v>
      </c>
      <c r="E1230" s="1">
        <v>44935</v>
      </c>
      <c r="F1230">
        <v>357</v>
      </c>
      <c r="G1230">
        <v>6</v>
      </c>
      <c r="H1230">
        <v>257.31</v>
      </c>
      <c r="I1230">
        <v>78.38</v>
      </c>
      <c r="J1230" t="s">
        <v>41</v>
      </c>
      <c r="K1230" t="s">
        <v>20</v>
      </c>
      <c r="L1230" t="s">
        <v>2106</v>
      </c>
      <c r="M1230">
        <v>5</v>
      </c>
      <c r="N1230" t="s">
        <v>157</v>
      </c>
      <c r="O1230" t="s">
        <v>2096</v>
      </c>
    </row>
    <row r="1231" spans="1:15">
      <c r="A1231" t="s">
        <v>3042</v>
      </c>
      <c r="B1231" t="s">
        <v>2093</v>
      </c>
      <c r="C1231" t="s">
        <v>2094</v>
      </c>
      <c r="D1231" s="1">
        <v>44535</v>
      </c>
      <c r="E1231" s="1">
        <v>45075</v>
      </c>
      <c r="F1231">
        <v>217</v>
      </c>
      <c r="G1231">
        <v>1</v>
      </c>
      <c r="H1231">
        <v>121.85</v>
      </c>
      <c r="I1231">
        <v>44.58</v>
      </c>
      <c r="J1231" t="s">
        <v>41</v>
      </c>
      <c r="K1231" t="s">
        <v>20</v>
      </c>
      <c r="L1231" t="s">
        <v>2087</v>
      </c>
      <c r="M1231">
        <v>6</v>
      </c>
      <c r="N1231" t="s">
        <v>194</v>
      </c>
      <c r="O1231" t="s">
        <v>2088</v>
      </c>
    </row>
    <row r="1232" spans="1:15">
      <c r="A1232" t="s">
        <v>1426</v>
      </c>
      <c r="B1232" t="s">
        <v>2090</v>
      </c>
      <c r="C1232" t="s">
        <v>2086</v>
      </c>
      <c r="D1232" s="1">
        <v>45185</v>
      </c>
      <c r="E1232" s="1">
        <v>45270</v>
      </c>
      <c r="F1232">
        <v>22</v>
      </c>
      <c r="G1232">
        <v>4</v>
      </c>
      <c r="H1232">
        <v>278.16000000000003</v>
      </c>
      <c r="I1232">
        <v>115.13</v>
      </c>
      <c r="J1232" t="s">
        <v>90</v>
      </c>
      <c r="K1232" t="s">
        <v>20</v>
      </c>
      <c r="L1232" t="s">
        <v>2087</v>
      </c>
      <c r="M1232">
        <v>7</v>
      </c>
      <c r="N1232" t="s">
        <v>157</v>
      </c>
      <c r="O1232" t="s">
        <v>2088</v>
      </c>
    </row>
    <row r="1233" spans="1:15">
      <c r="A1233" t="s">
        <v>3043</v>
      </c>
      <c r="B1233" t="s">
        <v>2113</v>
      </c>
      <c r="C1233" t="s">
        <v>2091</v>
      </c>
      <c r="D1233" s="1">
        <v>44179</v>
      </c>
      <c r="E1233" s="1">
        <v>45193</v>
      </c>
      <c r="F1233">
        <v>99</v>
      </c>
      <c r="G1233">
        <v>20</v>
      </c>
      <c r="H1233">
        <v>264.3</v>
      </c>
      <c r="I1233">
        <v>65.5</v>
      </c>
      <c r="J1233" t="s">
        <v>115</v>
      </c>
      <c r="K1233" t="s">
        <v>20</v>
      </c>
      <c r="L1233" t="s">
        <v>2095</v>
      </c>
      <c r="M1233">
        <v>9</v>
      </c>
      <c r="N1233" t="s">
        <v>174</v>
      </c>
      <c r="O1233" t="s">
        <v>2107</v>
      </c>
    </row>
    <row r="1234" spans="1:15">
      <c r="A1234" t="s">
        <v>3044</v>
      </c>
      <c r="B1234" t="s">
        <v>2097</v>
      </c>
      <c r="C1234" t="s">
        <v>2086</v>
      </c>
      <c r="D1234" s="1">
        <v>44963</v>
      </c>
      <c r="E1234" s="1">
        <v>45202</v>
      </c>
      <c r="F1234">
        <v>90</v>
      </c>
      <c r="G1234">
        <v>4</v>
      </c>
      <c r="H1234">
        <v>436.72</v>
      </c>
      <c r="I1234">
        <v>108.38</v>
      </c>
      <c r="J1234" t="s">
        <v>14</v>
      </c>
      <c r="K1234" t="s">
        <v>16</v>
      </c>
      <c r="L1234" t="s">
        <v>2087</v>
      </c>
      <c r="M1234">
        <v>8</v>
      </c>
      <c r="N1234" t="s">
        <v>232</v>
      </c>
      <c r="O1234" t="s">
        <v>2107</v>
      </c>
    </row>
    <row r="1235" spans="1:15">
      <c r="A1235" t="s">
        <v>3045</v>
      </c>
      <c r="B1235" t="s">
        <v>2093</v>
      </c>
      <c r="C1235" t="s">
        <v>2111</v>
      </c>
      <c r="D1235" s="1">
        <v>43633</v>
      </c>
      <c r="E1235" s="1">
        <v>45163</v>
      </c>
      <c r="F1235">
        <v>129</v>
      </c>
      <c r="G1235">
        <v>5</v>
      </c>
      <c r="H1235">
        <v>184.24</v>
      </c>
      <c r="I1235">
        <v>47.11</v>
      </c>
      <c r="J1235" t="s">
        <v>66</v>
      </c>
      <c r="K1235" t="s">
        <v>20</v>
      </c>
      <c r="L1235" t="s">
        <v>2106</v>
      </c>
      <c r="M1235">
        <v>4</v>
      </c>
      <c r="N1235" t="s">
        <v>194</v>
      </c>
      <c r="O1235" t="s">
        <v>2121</v>
      </c>
    </row>
    <row r="1236" spans="1:15">
      <c r="A1236" t="s">
        <v>3046</v>
      </c>
      <c r="B1236" t="s">
        <v>2085</v>
      </c>
      <c r="C1236" t="s">
        <v>2091</v>
      </c>
      <c r="D1236" s="1">
        <v>44337</v>
      </c>
      <c r="E1236" s="1">
        <v>45181</v>
      </c>
      <c r="F1236">
        <v>111</v>
      </c>
      <c r="G1236">
        <v>37</v>
      </c>
      <c r="H1236">
        <v>1384.93</v>
      </c>
      <c r="I1236">
        <v>285.19</v>
      </c>
      <c r="J1236" t="s">
        <v>115</v>
      </c>
      <c r="K1236" t="s">
        <v>16</v>
      </c>
      <c r="L1236" t="s">
        <v>2106</v>
      </c>
      <c r="M1236">
        <v>1</v>
      </c>
      <c r="N1236" t="s">
        <v>174</v>
      </c>
      <c r="O1236" t="s">
        <v>2107</v>
      </c>
    </row>
    <row r="1237" spans="1:15">
      <c r="A1237" t="s">
        <v>3047</v>
      </c>
      <c r="B1237" t="s">
        <v>2093</v>
      </c>
      <c r="C1237" t="s">
        <v>2100</v>
      </c>
      <c r="D1237" s="1">
        <v>44495</v>
      </c>
      <c r="E1237" s="1">
        <v>45101</v>
      </c>
      <c r="F1237">
        <v>191</v>
      </c>
      <c r="G1237">
        <v>2</v>
      </c>
      <c r="H1237">
        <v>138.49</v>
      </c>
      <c r="I1237">
        <v>32.6</v>
      </c>
      <c r="J1237" t="s">
        <v>115</v>
      </c>
      <c r="K1237" t="s">
        <v>16</v>
      </c>
      <c r="L1237" t="s">
        <v>2095</v>
      </c>
      <c r="M1237">
        <v>9</v>
      </c>
      <c r="N1237" t="s">
        <v>157</v>
      </c>
      <c r="O1237" t="s">
        <v>2088</v>
      </c>
    </row>
    <row r="1238" spans="1:15">
      <c r="A1238" t="s">
        <v>3048</v>
      </c>
      <c r="B1238" t="s">
        <v>2099</v>
      </c>
      <c r="C1238" t="s">
        <v>2111</v>
      </c>
      <c r="D1238" s="1">
        <v>44646</v>
      </c>
      <c r="E1238" s="1">
        <v>44932</v>
      </c>
      <c r="F1238">
        <v>360</v>
      </c>
      <c r="G1238">
        <v>1</v>
      </c>
      <c r="H1238">
        <v>55.76</v>
      </c>
      <c r="I1238">
        <v>93.31</v>
      </c>
      <c r="J1238" t="s">
        <v>115</v>
      </c>
      <c r="K1238" t="s">
        <v>20</v>
      </c>
      <c r="L1238" t="s">
        <v>2106</v>
      </c>
      <c r="M1238">
        <v>9</v>
      </c>
      <c r="N1238" t="s">
        <v>165</v>
      </c>
      <c r="O1238" t="s">
        <v>2107</v>
      </c>
    </row>
    <row r="1239" spans="1:15">
      <c r="A1239" t="s">
        <v>3049</v>
      </c>
      <c r="B1239" t="s">
        <v>2085</v>
      </c>
      <c r="C1239" t="s">
        <v>2086</v>
      </c>
      <c r="D1239" s="1">
        <v>44112</v>
      </c>
      <c r="E1239" s="1">
        <v>45002</v>
      </c>
      <c r="F1239">
        <v>290</v>
      </c>
      <c r="G1239">
        <v>26</v>
      </c>
      <c r="H1239">
        <v>1829.62</v>
      </c>
      <c r="I1239">
        <v>109.4</v>
      </c>
      <c r="J1239" t="s">
        <v>90</v>
      </c>
      <c r="K1239" t="s">
        <v>16</v>
      </c>
      <c r="L1239" t="s">
        <v>2106</v>
      </c>
      <c r="M1239">
        <v>3</v>
      </c>
      <c r="N1239" t="s">
        <v>157</v>
      </c>
      <c r="O1239" t="s">
        <v>2121</v>
      </c>
    </row>
    <row r="1240" spans="1:15">
      <c r="A1240" t="s">
        <v>3050</v>
      </c>
      <c r="B1240" t="s">
        <v>2085</v>
      </c>
      <c r="C1240" t="s">
        <v>2111</v>
      </c>
      <c r="D1240" s="1">
        <v>44499</v>
      </c>
      <c r="E1240" s="1">
        <v>45202</v>
      </c>
      <c r="F1240">
        <v>90</v>
      </c>
      <c r="G1240">
        <v>32</v>
      </c>
      <c r="H1240">
        <v>2623.93</v>
      </c>
      <c r="I1240">
        <v>162.62</v>
      </c>
      <c r="J1240" t="s">
        <v>90</v>
      </c>
      <c r="K1240" t="s">
        <v>20</v>
      </c>
      <c r="L1240" t="s">
        <v>2095</v>
      </c>
      <c r="M1240">
        <v>10</v>
      </c>
      <c r="N1240" t="s">
        <v>194</v>
      </c>
      <c r="O1240" t="s">
        <v>2107</v>
      </c>
    </row>
    <row r="1241" spans="1:15">
      <c r="A1241" t="s">
        <v>3051</v>
      </c>
      <c r="B1241" t="s">
        <v>2097</v>
      </c>
      <c r="C1241" t="s">
        <v>2091</v>
      </c>
      <c r="D1241" s="1">
        <v>43715</v>
      </c>
      <c r="E1241" s="1">
        <v>45221</v>
      </c>
      <c r="F1241">
        <v>71</v>
      </c>
      <c r="G1241">
        <v>9</v>
      </c>
      <c r="H1241">
        <v>162.97999999999999</v>
      </c>
      <c r="I1241">
        <v>124.44</v>
      </c>
      <c r="J1241" t="s">
        <v>115</v>
      </c>
      <c r="K1241" t="s">
        <v>16</v>
      </c>
      <c r="L1241" t="s">
        <v>2095</v>
      </c>
      <c r="M1241">
        <v>3</v>
      </c>
      <c r="N1241" t="s">
        <v>179</v>
      </c>
      <c r="O1241" t="s">
        <v>2088</v>
      </c>
    </row>
    <row r="1242" spans="1:15">
      <c r="A1242" t="s">
        <v>1666</v>
      </c>
      <c r="B1242" t="s">
        <v>2097</v>
      </c>
      <c r="C1242" t="s">
        <v>2111</v>
      </c>
      <c r="D1242" s="1">
        <v>44111</v>
      </c>
      <c r="E1242" s="1">
        <v>45105</v>
      </c>
      <c r="F1242">
        <v>187</v>
      </c>
      <c r="G1242">
        <v>10</v>
      </c>
      <c r="H1242">
        <v>349.79</v>
      </c>
      <c r="I1242">
        <v>114.63</v>
      </c>
      <c r="J1242" t="s">
        <v>41</v>
      </c>
      <c r="K1242" t="s">
        <v>20</v>
      </c>
      <c r="L1242" t="s">
        <v>2087</v>
      </c>
      <c r="M1242">
        <v>0</v>
      </c>
      <c r="N1242" t="s">
        <v>232</v>
      </c>
      <c r="O1242" t="s">
        <v>2096</v>
      </c>
    </row>
    <row r="1243" spans="1:15">
      <c r="A1243" t="s">
        <v>3052</v>
      </c>
      <c r="B1243" t="s">
        <v>2093</v>
      </c>
      <c r="C1243" t="s">
        <v>2108</v>
      </c>
      <c r="D1243" s="1">
        <v>43672</v>
      </c>
      <c r="E1243" s="1">
        <v>45184</v>
      </c>
      <c r="F1243">
        <v>108</v>
      </c>
      <c r="G1243">
        <v>5</v>
      </c>
      <c r="H1243">
        <v>85.78</v>
      </c>
      <c r="I1243">
        <v>52.1</v>
      </c>
      <c r="J1243" t="s">
        <v>14</v>
      </c>
      <c r="K1243" t="s">
        <v>16</v>
      </c>
      <c r="L1243" t="s">
        <v>2087</v>
      </c>
      <c r="M1243">
        <v>5</v>
      </c>
      <c r="N1243" t="s">
        <v>174</v>
      </c>
      <c r="O1243" t="s">
        <v>2107</v>
      </c>
    </row>
    <row r="1244" spans="1:15">
      <c r="A1244" t="s">
        <v>3053</v>
      </c>
      <c r="B1244" t="s">
        <v>2113</v>
      </c>
      <c r="C1244" t="s">
        <v>2108</v>
      </c>
      <c r="D1244" s="1">
        <v>43608</v>
      </c>
      <c r="E1244" s="1">
        <v>45102</v>
      </c>
      <c r="F1244">
        <v>190</v>
      </c>
      <c r="G1244">
        <v>11</v>
      </c>
      <c r="H1244">
        <v>457.32</v>
      </c>
      <c r="I1244">
        <v>40.33</v>
      </c>
      <c r="J1244" t="s">
        <v>115</v>
      </c>
      <c r="K1244" t="s">
        <v>16</v>
      </c>
      <c r="L1244" t="s">
        <v>2095</v>
      </c>
      <c r="M1244">
        <v>6</v>
      </c>
      <c r="N1244" t="s">
        <v>179</v>
      </c>
      <c r="O1244" t="s">
        <v>2109</v>
      </c>
    </row>
    <row r="1245" spans="1:15">
      <c r="A1245" t="s">
        <v>3054</v>
      </c>
      <c r="B1245" t="s">
        <v>2097</v>
      </c>
      <c r="C1245" t="s">
        <v>2100</v>
      </c>
      <c r="D1245" s="1">
        <v>44509</v>
      </c>
      <c r="E1245" s="1">
        <v>45233</v>
      </c>
      <c r="F1245">
        <v>59</v>
      </c>
      <c r="G1245">
        <v>10</v>
      </c>
      <c r="H1245">
        <v>201.26</v>
      </c>
      <c r="I1245">
        <v>119.02</v>
      </c>
      <c r="J1245" t="s">
        <v>115</v>
      </c>
      <c r="K1245" t="s">
        <v>16</v>
      </c>
      <c r="L1245" t="s">
        <v>2095</v>
      </c>
      <c r="M1245">
        <v>5</v>
      </c>
      <c r="N1245" t="s">
        <v>157</v>
      </c>
      <c r="O1245" t="s">
        <v>2088</v>
      </c>
    </row>
    <row r="1246" spans="1:15">
      <c r="A1246" t="s">
        <v>3055</v>
      </c>
      <c r="B1246" t="s">
        <v>2085</v>
      </c>
      <c r="C1246" t="s">
        <v>2111</v>
      </c>
      <c r="D1246" s="1">
        <v>44124</v>
      </c>
      <c r="E1246" s="1">
        <v>45147</v>
      </c>
      <c r="F1246">
        <v>145</v>
      </c>
      <c r="G1246">
        <v>34</v>
      </c>
      <c r="H1246">
        <v>815.65</v>
      </c>
      <c r="I1246">
        <v>166.77</v>
      </c>
      <c r="J1246" t="s">
        <v>66</v>
      </c>
      <c r="K1246" t="s">
        <v>20</v>
      </c>
      <c r="L1246" t="s">
        <v>2087</v>
      </c>
      <c r="M1246">
        <v>7</v>
      </c>
      <c r="N1246" t="s">
        <v>165</v>
      </c>
      <c r="O1246" t="s">
        <v>2107</v>
      </c>
    </row>
    <row r="1247" spans="1:15">
      <c r="A1247" t="s">
        <v>3056</v>
      </c>
      <c r="B1247" t="s">
        <v>2085</v>
      </c>
      <c r="C1247" t="s">
        <v>2086</v>
      </c>
      <c r="D1247" s="1">
        <v>44235</v>
      </c>
      <c r="E1247" s="1">
        <v>45049</v>
      </c>
      <c r="F1247">
        <v>243</v>
      </c>
      <c r="G1247">
        <v>32</v>
      </c>
      <c r="H1247">
        <v>1535.49</v>
      </c>
      <c r="I1247">
        <v>177.17</v>
      </c>
      <c r="J1247" t="s">
        <v>90</v>
      </c>
      <c r="K1247" t="s">
        <v>20</v>
      </c>
      <c r="L1247" t="s">
        <v>2095</v>
      </c>
      <c r="M1247">
        <v>5</v>
      </c>
      <c r="N1247" t="s">
        <v>194</v>
      </c>
      <c r="O1247" t="s">
        <v>2096</v>
      </c>
    </row>
    <row r="1248" spans="1:15">
      <c r="A1248" t="s">
        <v>3057</v>
      </c>
      <c r="B1248" t="s">
        <v>2085</v>
      </c>
      <c r="C1248" t="s">
        <v>2111</v>
      </c>
      <c r="D1248" s="1">
        <v>44856</v>
      </c>
      <c r="E1248" s="1">
        <v>45241</v>
      </c>
      <c r="F1248">
        <v>51</v>
      </c>
      <c r="G1248">
        <v>24</v>
      </c>
      <c r="H1248">
        <v>1438.39</v>
      </c>
      <c r="I1248">
        <v>178.58</v>
      </c>
      <c r="J1248" t="s">
        <v>41</v>
      </c>
      <c r="K1248" t="s">
        <v>20</v>
      </c>
      <c r="L1248" t="s">
        <v>2095</v>
      </c>
      <c r="M1248">
        <v>7</v>
      </c>
      <c r="N1248" t="s">
        <v>204</v>
      </c>
      <c r="O1248" t="s">
        <v>2107</v>
      </c>
    </row>
    <row r="1249" spans="1:15">
      <c r="A1249" t="s">
        <v>1814</v>
      </c>
      <c r="B1249" t="s">
        <v>2099</v>
      </c>
      <c r="C1249" t="s">
        <v>2100</v>
      </c>
      <c r="D1249" s="1">
        <v>44329</v>
      </c>
      <c r="E1249" s="1">
        <v>45259</v>
      </c>
      <c r="F1249">
        <v>33</v>
      </c>
      <c r="G1249">
        <v>1</v>
      </c>
      <c r="H1249">
        <v>131.18</v>
      </c>
      <c r="I1249">
        <v>63.58</v>
      </c>
      <c r="J1249" t="s">
        <v>90</v>
      </c>
      <c r="K1249" t="s">
        <v>16</v>
      </c>
      <c r="L1249" t="s">
        <v>2087</v>
      </c>
      <c r="M1249">
        <v>3</v>
      </c>
      <c r="N1249" t="s">
        <v>194</v>
      </c>
      <c r="O1249" t="s">
        <v>2107</v>
      </c>
    </row>
    <row r="1250" spans="1:15">
      <c r="A1250" t="s">
        <v>3058</v>
      </c>
      <c r="B1250" t="s">
        <v>2090</v>
      </c>
      <c r="C1250" t="s">
        <v>2108</v>
      </c>
      <c r="D1250" s="1">
        <v>43606</v>
      </c>
      <c r="E1250" s="1">
        <v>45287</v>
      </c>
      <c r="F1250">
        <v>5</v>
      </c>
      <c r="G1250">
        <v>2</v>
      </c>
      <c r="H1250">
        <v>200.87</v>
      </c>
      <c r="I1250">
        <v>60.39</v>
      </c>
      <c r="J1250" t="s">
        <v>90</v>
      </c>
      <c r="K1250" t="s">
        <v>16</v>
      </c>
      <c r="L1250" t="s">
        <v>2095</v>
      </c>
      <c r="M1250">
        <v>1</v>
      </c>
      <c r="N1250" t="s">
        <v>232</v>
      </c>
      <c r="O1250" t="s">
        <v>2109</v>
      </c>
    </row>
    <row r="1251" spans="1:15">
      <c r="A1251" t="s">
        <v>3059</v>
      </c>
      <c r="B1251" t="s">
        <v>2113</v>
      </c>
      <c r="C1251" t="s">
        <v>2100</v>
      </c>
      <c r="D1251" s="1">
        <v>44766</v>
      </c>
      <c r="E1251" s="1">
        <v>45080</v>
      </c>
      <c r="F1251">
        <v>212</v>
      </c>
      <c r="G1251">
        <v>11</v>
      </c>
      <c r="H1251">
        <v>267.38</v>
      </c>
      <c r="I1251">
        <v>73.61</v>
      </c>
      <c r="J1251" t="s">
        <v>66</v>
      </c>
      <c r="K1251" t="s">
        <v>16</v>
      </c>
      <c r="L1251" t="s">
        <v>2087</v>
      </c>
      <c r="M1251">
        <v>1</v>
      </c>
      <c r="N1251" t="s">
        <v>174</v>
      </c>
      <c r="O1251" t="s">
        <v>2107</v>
      </c>
    </row>
    <row r="1252" spans="1:15">
      <c r="A1252" t="s">
        <v>3060</v>
      </c>
      <c r="B1252" t="s">
        <v>2093</v>
      </c>
      <c r="C1252" t="s">
        <v>2094</v>
      </c>
      <c r="D1252" s="1">
        <v>43904</v>
      </c>
      <c r="E1252" s="1">
        <v>44931</v>
      </c>
      <c r="F1252">
        <v>361</v>
      </c>
      <c r="G1252">
        <v>5</v>
      </c>
      <c r="H1252">
        <v>122.97</v>
      </c>
      <c r="I1252">
        <v>28.12</v>
      </c>
      <c r="J1252" t="s">
        <v>41</v>
      </c>
      <c r="K1252" t="s">
        <v>16</v>
      </c>
      <c r="L1252" t="s">
        <v>2087</v>
      </c>
      <c r="M1252">
        <v>3</v>
      </c>
      <c r="N1252" t="s">
        <v>204</v>
      </c>
      <c r="O1252" t="s">
        <v>2107</v>
      </c>
    </row>
    <row r="1253" spans="1:15">
      <c r="A1253" t="s">
        <v>1928</v>
      </c>
      <c r="B1253" t="s">
        <v>2090</v>
      </c>
      <c r="C1253" t="s">
        <v>2100</v>
      </c>
      <c r="D1253" s="1">
        <v>44851</v>
      </c>
      <c r="E1253" s="1">
        <v>45065</v>
      </c>
      <c r="F1253">
        <v>227</v>
      </c>
      <c r="G1253">
        <v>8</v>
      </c>
      <c r="H1253">
        <v>112.78</v>
      </c>
      <c r="I1253">
        <v>90.7</v>
      </c>
      <c r="J1253" t="s">
        <v>14</v>
      </c>
      <c r="K1253" t="s">
        <v>20</v>
      </c>
      <c r="L1253" t="s">
        <v>2106</v>
      </c>
      <c r="M1253">
        <v>3</v>
      </c>
      <c r="N1253" t="s">
        <v>232</v>
      </c>
      <c r="O1253" t="s">
        <v>2121</v>
      </c>
    </row>
    <row r="1254" spans="1:15">
      <c r="A1254" t="s">
        <v>3061</v>
      </c>
      <c r="B1254" t="s">
        <v>2097</v>
      </c>
      <c r="C1254" t="s">
        <v>2100</v>
      </c>
      <c r="D1254" s="1">
        <v>43557</v>
      </c>
      <c r="E1254" s="1">
        <v>45141</v>
      </c>
      <c r="F1254">
        <v>151</v>
      </c>
      <c r="G1254">
        <v>3</v>
      </c>
      <c r="H1254">
        <v>523.97</v>
      </c>
      <c r="I1254">
        <v>107.51</v>
      </c>
      <c r="J1254" t="s">
        <v>90</v>
      </c>
      <c r="K1254" t="s">
        <v>16</v>
      </c>
      <c r="L1254" t="s">
        <v>2106</v>
      </c>
      <c r="M1254">
        <v>10</v>
      </c>
      <c r="N1254" t="s">
        <v>179</v>
      </c>
      <c r="O1254" t="s">
        <v>2088</v>
      </c>
    </row>
    <row r="1255" spans="1:15">
      <c r="A1255" t="s">
        <v>3062</v>
      </c>
      <c r="B1255" t="s">
        <v>2093</v>
      </c>
      <c r="C1255" t="s">
        <v>2086</v>
      </c>
      <c r="D1255" s="1">
        <v>44564</v>
      </c>
      <c r="E1255" s="1">
        <v>45069</v>
      </c>
      <c r="F1255">
        <v>223</v>
      </c>
      <c r="G1255">
        <v>1</v>
      </c>
      <c r="H1255">
        <v>126.84</v>
      </c>
      <c r="I1255">
        <v>30.39</v>
      </c>
      <c r="J1255" t="s">
        <v>115</v>
      </c>
      <c r="K1255" t="s">
        <v>16</v>
      </c>
      <c r="L1255" t="s">
        <v>2087</v>
      </c>
      <c r="M1255">
        <v>5</v>
      </c>
      <c r="N1255" t="s">
        <v>179</v>
      </c>
      <c r="O1255" t="s">
        <v>2121</v>
      </c>
    </row>
    <row r="1256" spans="1:15">
      <c r="A1256" t="s">
        <v>3063</v>
      </c>
      <c r="B1256" t="s">
        <v>2085</v>
      </c>
      <c r="C1256" t="s">
        <v>2086</v>
      </c>
      <c r="D1256" s="1">
        <v>45036</v>
      </c>
      <c r="E1256" s="1">
        <v>45095</v>
      </c>
      <c r="F1256">
        <v>197</v>
      </c>
      <c r="G1256">
        <v>39</v>
      </c>
      <c r="H1256">
        <v>2355.21</v>
      </c>
      <c r="I1256">
        <v>266.23</v>
      </c>
      <c r="J1256" t="s">
        <v>90</v>
      </c>
      <c r="K1256" t="s">
        <v>16</v>
      </c>
      <c r="L1256" t="s">
        <v>2087</v>
      </c>
      <c r="M1256">
        <v>1</v>
      </c>
      <c r="N1256" t="s">
        <v>204</v>
      </c>
      <c r="O1256" t="s">
        <v>2121</v>
      </c>
    </row>
    <row r="1257" spans="1:15">
      <c r="A1257" t="s">
        <v>3064</v>
      </c>
      <c r="B1257" t="s">
        <v>2097</v>
      </c>
      <c r="C1257" t="s">
        <v>2111</v>
      </c>
      <c r="D1257" s="1">
        <v>44598</v>
      </c>
      <c r="E1257" s="1">
        <v>45213</v>
      </c>
      <c r="F1257">
        <v>79</v>
      </c>
      <c r="G1257">
        <v>3</v>
      </c>
      <c r="H1257">
        <v>567.16999999999996</v>
      </c>
      <c r="I1257">
        <v>92.48</v>
      </c>
      <c r="J1257" t="s">
        <v>14</v>
      </c>
      <c r="K1257" t="s">
        <v>16</v>
      </c>
      <c r="L1257" t="s">
        <v>2087</v>
      </c>
      <c r="M1257">
        <v>0</v>
      </c>
      <c r="N1257" t="s">
        <v>157</v>
      </c>
      <c r="O1257" t="s">
        <v>2121</v>
      </c>
    </row>
    <row r="1258" spans="1:15">
      <c r="A1258" t="s">
        <v>3065</v>
      </c>
      <c r="B1258" t="s">
        <v>2097</v>
      </c>
      <c r="C1258" t="s">
        <v>2091</v>
      </c>
      <c r="D1258" s="1">
        <v>44504</v>
      </c>
      <c r="E1258" s="1">
        <v>45179</v>
      </c>
      <c r="F1258">
        <v>113</v>
      </c>
      <c r="G1258">
        <v>11</v>
      </c>
      <c r="H1258">
        <v>644</v>
      </c>
      <c r="I1258">
        <v>140.11000000000001</v>
      </c>
      <c r="J1258" t="s">
        <v>115</v>
      </c>
      <c r="K1258" t="s">
        <v>16</v>
      </c>
      <c r="L1258" t="s">
        <v>2087</v>
      </c>
      <c r="M1258">
        <v>10</v>
      </c>
      <c r="N1258" t="s">
        <v>165</v>
      </c>
      <c r="O1258" t="s">
        <v>2121</v>
      </c>
    </row>
    <row r="1259" spans="1:15">
      <c r="A1259" t="s">
        <v>3066</v>
      </c>
      <c r="B1259" t="s">
        <v>2090</v>
      </c>
      <c r="C1259" t="s">
        <v>2100</v>
      </c>
      <c r="D1259" s="1">
        <v>44047</v>
      </c>
      <c r="E1259" s="1">
        <v>45170</v>
      </c>
      <c r="F1259">
        <v>122</v>
      </c>
      <c r="G1259">
        <v>3</v>
      </c>
      <c r="H1259">
        <v>314.33999999999997</v>
      </c>
      <c r="I1259">
        <v>57.16</v>
      </c>
      <c r="J1259" t="s">
        <v>14</v>
      </c>
      <c r="K1259" t="s">
        <v>16</v>
      </c>
      <c r="L1259" t="s">
        <v>2095</v>
      </c>
      <c r="M1259">
        <v>3</v>
      </c>
      <c r="N1259" t="s">
        <v>165</v>
      </c>
      <c r="O1259" t="s">
        <v>2096</v>
      </c>
    </row>
    <row r="1260" spans="1:15">
      <c r="A1260" t="s">
        <v>3067</v>
      </c>
      <c r="B1260" t="s">
        <v>2090</v>
      </c>
      <c r="C1260" t="s">
        <v>2086</v>
      </c>
      <c r="D1260" s="1">
        <v>44180</v>
      </c>
      <c r="E1260" s="1">
        <v>45025</v>
      </c>
      <c r="F1260">
        <v>267</v>
      </c>
      <c r="G1260">
        <v>2</v>
      </c>
      <c r="H1260">
        <v>279.26</v>
      </c>
      <c r="I1260">
        <v>49.02</v>
      </c>
      <c r="J1260" t="s">
        <v>90</v>
      </c>
      <c r="K1260" t="s">
        <v>16</v>
      </c>
      <c r="L1260" t="s">
        <v>2095</v>
      </c>
      <c r="M1260">
        <v>8</v>
      </c>
      <c r="N1260" t="s">
        <v>157</v>
      </c>
      <c r="O1260" t="s">
        <v>2109</v>
      </c>
    </row>
    <row r="1261" spans="1:15">
      <c r="A1261" t="s">
        <v>1816</v>
      </c>
      <c r="B1261" t="s">
        <v>2097</v>
      </c>
      <c r="C1261" t="s">
        <v>2111</v>
      </c>
      <c r="D1261" s="1">
        <v>43546</v>
      </c>
      <c r="E1261" s="1">
        <v>45061</v>
      </c>
      <c r="F1261">
        <v>231</v>
      </c>
      <c r="G1261">
        <v>8</v>
      </c>
      <c r="H1261">
        <v>321.93</v>
      </c>
      <c r="I1261">
        <v>66.69</v>
      </c>
      <c r="J1261" t="s">
        <v>41</v>
      </c>
      <c r="K1261" t="s">
        <v>16</v>
      </c>
      <c r="L1261" t="s">
        <v>2095</v>
      </c>
      <c r="M1261">
        <v>9</v>
      </c>
      <c r="N1261" t="s">
        <v>174</v>
      </c>
      <c r="O1261" t="s">
        <v>2121</v>
      </c>
    </row>
    <row r="1262" spans="1:15">
      <c r="A1262" t="s">
        <v>3068</v>
      </c>
      <c r="B1262" t="s">
        <v>2099</v>
      </c>
      <c r="C1262" t="s">
        <v>2111</v>
      </c>
      <c r="D1262" s="1">
        <v>44038</v>
      </c>
      <c r="E1262" s="1">
        <v>44960</v>
      </c>
      <c r="F1262">
        <v>332</v>
      </c>
      <c r="G1262">
        <v>2</v>
      </c>
      <c r="H1262">
        <v>37.409999999999997</v>
      </c>
      <c r="I1262">
        <v>41.48</v>
      </c>
      <c r="J1262" t="s">
        <v>14</v>
      </c>
      <c r="K1262" t="s">
        <v>20</v>
      </c>
      <c r="L1262" t="s">
        <v>2106</v>
      </c>
      <c r="M1262">
        <v>7</v>
      </c>
      <c r="N1262" t="s">
        <v>165</v>
      </c>
      <c r="O1262" t="s">
        <v>2088</v>
      </c>
    </row>
    <row r="1263" spans="1:15">
      <c r="A1263" t="s">
        <v>3069</v>
      </c>
      <c r="B1263" t="s">
        <v>2093</v>
      </c>
      <c r="C1263" t="s">
        <v>2091</v>
      </c>
      <c r="D1263" s="1">
        <v>44020</v>
      </c>
      <c r="E1263" s="1">
        <v>45117</v>
      </c>
      <c r="F1263">
        <v>175</v>
      </c>
      <c r="G1263">
        <v>3</v>
      </c>
      <c r="H1263">
        <v>46.95</v>
      </c>
      <c r="I1263">
        <v>32.909999999999997</v>
      </c>
      <c r="J1263" t="s">
        <v>115</v>
      </c>
      <c r="K1263" t="s">
        <v>20</v>
      </c>
      <c r="L1263" t="s">
        <v>2095</v>
      </c>
      <c r="M1263">
        <v>0</v>
      </c>
      <c r="N1263" t="s">
        <v>232</v>
      </c>
      <c r="O1263" t="s">
        <v>2109</v>
      </c>
    </row>
    <row r="1264" spans="1:15">
      <c r="A1264" t="s">
        <v>3070</v>
      </c>
      <c r="B1264" t="s">
        <v>2093</v>
      </c>
      <c r="C1264" t="s">
        <v>2094</v>
      </c>
      <c r="D1264" s="1">
        <v>43761</v>
      </c>
      <c r="E1264" s="1">
        <v>45000</v>
      </c>
      <c r="F1264">
        <v>292</v>
      </c>
      <c r="G1264">
        <v>5</v>
      </c>
      <c r="H1264">
        <v>82.63</v>
      </c>
      <c r="I1264">
        <v>77.290000000000006</v>
      </c>
      <c r="J1264" t="s">
        <v>115</v>
      </c>
      <c r="K1264" t="s">
        <v>16</v>
      </c>
      <c r="L1264" t="s">
        <v>2095</v>
      </c>
      <c r="M1264">
        <v>9</v>
      </c>
      <c r="N1264" t="s">
        <v>165</v>
      </c>
      <c r="O1264" t="s">
        <v>2088</v>
      </c>
    </row>
    <row r="1265" spans="1:15">
      <c r="A1265" t="s">
        <v>3071</v>
      </c>
      <c r="B1265" t="s">
        <v>2099</v>
      </c>
      <c r="C1265" t="s">
        <v>2100</v>
      </c>
      <c r="D1265" s="1">
        <v>45238</v>
      </c>
      <c r="E1265" s="1">
        <v>45221</v>
      </c>
      <c r="F1265">
        <v>71</v>
      </c>
      <c r="G1265">
        <v>1</v>
      </c>
      <c r="H1265">
        <v>116.77</v>
      </c>
      <c r="I1265">
        <v>98.64</v>
      </c>
      <c r="J1265" t="s">
        <v>41</v>
      </c>
      <c r="K1265" t="s">
        <v>16</v>
      </c>
      <c r="L1265" t="s">
        <v>2095</v>
      </c>
      <c r="M1265">
        <v>5</v>
      </c>
      <c r="N1265" t="s">
        <v>174</v>
      </c>
      <c r="O1265" t="s">
        <v>2109</v>
      </c>
    </row>
    <row r="1266" spans="1:15">
      <c r="A1266" t="s">
        <v>3072</v>
      </c>
      <c r="B1266" t="s">
        <v>2113</v>
      </c>
      <c r="C1266" t="s">
        <v>2108</v>
      </c>
      <c r="D1266" s="1">
        <v>45170</v>
      </c>
      <c r="E1266" s="1">
        <v>45282</v>
      </c>
      <c r="F1266">
        <v>10</v>
      </c>
      <c r="G1266">
        <v>9</v>
      </c>
      <c r="H1266">
        <v>192.76</v>
      </c>
      <c r="I1266">
        <v>30.7</v>
      </c>
      <c r="J1266" t="s">
        <v>41</v>
      </c>
      <c r="K1266" t="s">
        <v>16</v>
      </c>
      <c r="L1266" t="s">
        <v>2087</v>
      </c>
      <c r="M1266">
        <v>1</v>
      </c>
      <c r="N1266" t="s">
        <v>174</v>
      </c>
      <c r="O1266" t="s">
        <v>2088</v>
      </c>
    </row>
    <row r="1267" spans="1:15">
      <c r="A1267" t="s">
        <v>3073</v>
      </c>
      <c r="B1267" t="s">
        <v>2090</v>
      </c>
      <c r="C1267" t="s">
        <v>2111</v>
      </c>
      <c r="D1267" s="1">
        <v>44542</v>
      </c>
      <c r="E1267" s="1">
        <v>45147</v>
      </c>
      <c r="F1267">
        <v>145</v>
      </c>
      <c r="G1267">
        <v>2</v>
      </c>
      <c r="H1267">
        <v>91.34</v>
      </c>
      <c r="I1267">
        <v>64.44</v>
      </c>
      <c r="J1267" t="s">
        <v>90</v>
      </c>
      <c r="K1267" t="s">
        <v>16</v>
      </c>
      <c r="L1267" t="s">
        <v>2095</v>
      </c>
      <c r="M1267">
        <v>7</v>
      </c>
      <c r="N1267" t="s">
        <v>174</v>
      </c>
      <c r="O1267" t="s">
        <v>2107</v>
      </c>
    </row>
    <row r="1268" spans="1:15">
      <c r="A1268" t="s">
        <v>3074</v>
      </c>
      <c r="B1268" t="s">
        <v>2090</v>
      </c>
      <c r="C1268" t="s">
        <v>2111</v>
      </c>
      <c r="D1268" s="1">
        <v>43580</v>
      </c>
      <c r="E1268" s="1">
        <v>45004</v>
      </c>
      <c r="F1268">
        <v>288</v>
      </c>
      <c r="G1268">
        <v>5</v>
      </c>
      <c r="H1268">
        <v>223.57</v>
      </c>
      <c r="I1268">
        <v>92.22</v>
      </c>
      <c r="J1268" t="s">
        <v>14</v>
      </c>
      <c r="K1268" t="s">
        <v>20</v>
      </c>
      <c r="L1268" t="s">
        <v>2087</v>
      </c>
      <c r="M1268">
        <v>3</v>
      </c>
      <c r="N1268" t="s">
        <v>204</v>
      </c>
      <c r="O1268" t="s">
        <v>2109</v>
      </c>
    </row>
    <row r="1269" spans="1:15">
      <c r="A1269" t="s">
        <v>1334</v>
      </c>
      <c r="B1269" t="s">
        <v>2093</v>
      </c>
      <c r="C1269" t="s">
        <v>2086</v>
      </c>
      <c r="D1269" s="1">
        <v>44304</v>
      </c>
      <c r="E1269" s="1">
        <v>45205</v>
      </c>
      <c r="F1269">
        <v>87</v>
      </c>
      <c r="G1269">
        <v>2</v>
      </c>
      <c r="H1269">
        <v>41.91</v>
      </c>
      <c r="I1269">
        <v>41.62</v>
      </c>
      <c r="J1269" t="s">
        <v>14</v>
      </c>
      <c r="K1269" t="s">
        <v>16</v>
      </c>
      <c r="L1269" t="s">
        <v>2087</v>
      </c>
      <c r="M1269">
        <v>7</v>
      </c>
      <c r="N1269" t="s">
        <v>204</v>
      </c>
      <c r="O1269" t="s">
        <v>2088</v>
      </c>
    </row>
    <row r="1270" spans="1:15">
      <c r="A1270" t="s">
        <v>3075</v>
      </c>
      <c r="B1270" t="s">
        <v>2113</v>
      </c>
      <c r="C1270" t="s">
        <v>2086</v>
      </c>
      <c r="D1270" s="1">
        <v>43745</v>
      </c>
      <c r="E1270" s="1">
        <v>45097</v>
      </c>
      <c r="F1270">
        <v>195</v>
      </c>
      <c r="G1270">
        <v>5</v>
      </c>
      <c r="H1270">
        <v>129.97</v>
      </c>
      <c r="I1270">
        <v>54.75</v>
      </c>
      <c r="J1270" t="s">
        <v>14</v>
      </c>
      <c r="K1270" t="s">
        <v>16</v>
      </c>
      <c r="L1270" t="s">
        <v>2087</v>
      </c>
      <c r="M1270">
        <v>3</v>
      </c>
      <c r="N1270" t="s">
        <v>232</v>
      </c>
      <c r="O1270" t="s">
        <v>2109</v>
      </c>
    </row>
    <row r="1271" spans="1:15">
      <c r="A1271" t="s">
        <v>854</v>
      </c>
      <c r="B1271" t="s">
        <v>2085</v>
      </c>
      <c r="C1271" t="s">
        <v>2091</v>
      </c>
      <c r="D1271" s="1">
        <v>44390</v>
      </c>
      <c r="E1271" s="1">
        <v>45014</v>
      </c>
      <c r="F1271">
        <v>278</v>
      </c>
      <c r="G1271">
        <v>18</v>
      </c>
      <c r="H1271">
        <v>2455.8000000000002</v>
      </c>
      <c r="I1271">
        <v>106.92</v>
      </c>
      <c r="J1271" t="s">
        <v>14</v>
      </c>
      <c r="K1271" t="s">
        <v>16</v>
      </c>
      <c r="L1271" t="s">
        <v>2095</v>
      </c>
      <c r="M1271">
        <v>8</v>
      </c>
      <c r="N1271" t="s">
        <v>179</v>
      </c>
      <c r="O1271" t="s">
        <v>2109</v>
      </c>
    </row>
    <row r="1272" spans="1:15">
      <c r="A1272" t="s">
        <v>3076</v>
      </c>
      <c r="B1272" t="s">
        <v>2090</v>
      </c>
      <c r="C1272" t="s">
        <v>2100</v>
      </c>
      <c r="D1272" s="1">
        <v>43620</v>
      </c>
      <c r="E1272" s="1">
        <v>45262</v>
      </c>
      <c r="F1272">
        <v>30</v>
      </c>
      <c r="G1272">
        <v>2</v>
      </c>
      <c r="H1272">
        <v>317.83999999999997</v>
      </c>
      <c r="I1272">
        <v>77.81</v>
      </c>
      <c r="J1272" t="s">
        <v>90</v>
      </c>
      <c r="K1272" t="s">
        <v>16</v>
      </c>
      <c r="L1272" t="s">
        <v>2095</v>
      </c>
      <c r="M1272">
        <v>1</v>
      </c>
      <c r="N1272" t="s">
        <v>174</v>
      </c>
      <c r="O1272" t="s">
        <v>2121</v>
      </c>
    </row>
    <row r="1273" spans="1:15">
      <c r="A1273" t="s">
        <v>3077</v>
      </c>
      <c r="B1273" t="s">
        <v>2113</v>
      </c>
      <c r="C1273" t="s">
        <v>2086</v>
      </c>
      <c r="D1273" s="1">
        <v>44481</v>
      </c>
      <c r="E1273" s="1">
        <v>44983</v>
      </c>
      <c r="F1273">
        <v>309</v>
      </c>
      <c r="G1273">
        <v>13</v>
      </c>
      <c r="H1273">
        <v>471.74</v>
      </c>
      <c r="I1273">
        <v>69.62</v>
      </c>
      <c r="J1273" t="s">
        <v>41</v>
      </c>
      <c r="K1273" t="s">
        <v>20</v>
      </c>
      <c r="L1273" t="s">
        <v>2095</v>
      </c>
      <c r="M1273">
        <v>7</v>
      </c>
      <c r="N1273" t="s">
        <v>179</v>
      </c>
      <c r="O1273" t="s">
        <v>2096</v>
      </c>
    </row>
    <row r="1274" spans="1:15">
      <c r="A1274" t="s">
        <v>3078</v>
      </c>
      <c r="B1274" t="s">
        <v>2099</v>
      </c>
      <c r="C1274" t="s">
        <v>2094</v>
      </c>
      <c r="D1274" s="1">
        <v>43762</v>
      </c>
      <c r="E1274" s="1">
        <v>45042</v>
      </c>
      <c r="F1274">
        <v>250</v>
      </c>
      <c r="G1274">
        <v>2</v>
      </c>
      <c r="H1274">
        <v>59.83</v>
      </c>
      <c r="I1274">
        <v>52.56</v>
      </c>
      <c r="J1274" t="s">
        <v>66</v>
      </c>
      <c r="K1274" t="s">
        <v>16</v>
      </c>
      <c r="L1274" t="s">
        <v>2095</v>
      </c>
      <c r="M1274">
        <v>5</v>
      </c>
      <c r="N1274" t="s">
        <v>157</v>
      </c>
      <c r="O1274" t="s">
        <v>2096</v>
      </c>
    </row>
    <row r="1275" spans="1:15">
      <c r="A1275" t="s">
        <v>3079</v>
      </c>
      <c r="B1275" t="s">
        <v>2093</v>
      </c>
      <c r="C1275" t="s">
        <v>2094</v>
      </c>
      <c r="D1275" s="1">
        <v>43905</v>
      </c>
      <c r="E1275" s="1">
        <v>45227</v>
      </c>
      <c r="F1275">
        <v>65</v>
      </c>
      <c r="G1275">
        <v>4</v>
      </c>
      <c r="H1275">
        <v>32.619999999999997</v>
      </c>
      <c r="I1275">
        <v>40.54</v>
      </c>
      <c r="J1275" t="s">
        <v>14</v>
      </c>
      <c r="K1275" t="s">
        <v>16</v>
      </c>
      <c r="L1275" t="s">
        <v>2106</v>
      </c>
      <c r="M1275">
        <v>10</v>
      </c>
      <c r="N1275" t="s">
        <v>165</v>
      </c>
      <c r="O1275" t="s">
        <v>2096</v>
      </c>
    </row>
    <row r="1276" spans="1:15">
      <c r="A1276" t="s">
        <v>3080</v>
      </c>
      <c r="B1276" t="s">
        <v>2090</v>
      </c>
      <c r="C1276" t="s">
        <v>2091</v>
      </c>
      <c r="D1276" s="1">
        <v>45099</v>
      </c>
      <c r="E1276" s="1">
        <v>45169</v>
      </c>
      <c r="F1276">
        <v>123</v>
      </c>
      <c r="G1276">
        <v>4</v>
      </c>
      <c r="H1276">
        <v>177.63</v>
      </c>
      <c r="I1276">
        <v>105.86</v>
      </c>
      <c r="J1276" t="s">
        <v>90</v>
      </c>
      <c r="K1276" t="s">
        <v>20</v>
      </c>
      <c r="L1276" t="s">
        <v>2095</v>
      </c>
      <c r="M1276">
        <v>3</v>
      </c>
      <c r="N1276" t="s">
        <v>165</v>
      </c>
      <c r="O1276" t="s">
        <v>2107</v>
      </c>
    </row>
    <row r="1277" spans="1:15">
      <c r="A1277" t="s">
        <v>3081</v>
      </c>
      <c r="B1277" t="s">
        <v>2099</v>
      </c>
      <c r="C1277" t="s">
        <v>2100</v>
      </c>
      <c r="D1277" s="1">
        <v>43733</v>
      </c>
      <c r="E1277" s="1">
        <v>45167</v>
      </c>
      <c r="F1277">
        <v>125</v>
      </c>
      <c r="G1277">
        <v>2</v>
      </c>
      <c r="H1277">
        <v>61.05</v>
      </c>
      <c r="I1277">
        <v>37.97</v>
      </c>
      <c r="J1277" t="s">
        <v>14</v>
      </c>
      <c r="K1277" t="s">
        <v>20</v>
      </c>
      <c r="L1277" t="s">
        <v>2087</v>
      </c>
      <c r="M1277">
        <v>9</v>
      </c>
      <c r="N1277" t="s">
        <v>179</v>
      </c>
      <c r="O1277" t="s">
        <v>2121</v>
      </c>
    </row>
    <row r="1278" spans="1:15">
      <c r="A1278" t="s">
        <v>3082</v>
      </c>
      <c r="B1278" t="s">
        <v>2093</v>
      </c>
      <c r="C1278" t="s">
        <v>2094</v>
      </c>
      <c r="D1278" s="1">
        <v>43740</v>
      </c>
      <c r="E1278" s="1">
        <v>45065</v>
      </c>
      <c r="F1278">
        <v>227</v>
      </c>
      <c r="G1278">
        <v>5</v>
      </c>
      <c r="H1278">
        <v>34.1</v>
      </c>
      <c r="I1278">
        <v>78.239999999999995</v>
      </c>
      <c r="J1278" t="s">
        <v>66</v>
      </c>
      <c r="K1278" t="s">
        <v>20</v>
      </c>
      <c r="L1278" t="s">
        <v>2106</v>
      </c>
      <c r="M1278">
        <v>5</v>
      </c>
      <c r="N1278" t="s">
        <v>174</v>
      </c>
      <c r="O1278" t="s">
        <v>2109</v>
      </c>
    </row>
    <row r="1279" spans="1:15">
      <c r="A1279" t="s">
        <v>3083</v>
      </c>
      <c r="B1279" t="s">
        <v>2085</v>
      </c>
      <c r="C1279" t="s">
        <v>2086</v>
      </c>
      <c r="D1279" s="1">
        <v>43692</v>
      </c>
      <c r="E1279" s="1">
        <v>45090</v>
      </c>
      <c r="F1279">
        <v>202</v>
      </c>
      <c r="G1279">
        <v>16</v>
      </c>
      <c r="H1279">
        <v>1032.69</v>
      </c>
      <c r="I1279">
        <v>214.99</v>
      </c>
      <c r="J1279" t="s">
        <v>115</v>
      </c>
      <c r="K1279" t="s">
        <v>16</v>
      </c>
      <c r="L1279" t="s">
        <v>2095</v>
      </c>
      <c r="M1279">
        <v>6</v>
      </c>
      <c r="N1279" t="s">
        <v>232</v>
      </c>
      <c r="O1279" t="s">
        <v>2109</v>
      </c>
    </row>
    <row r="1280" spans="1:15">
      <c r="A1280" t="s">
        <v>3084</v>
      </c>
      <c r="B1280" t="s">
        <v>2093</v>
      </c>
      <c r="C1280" t="s">
        <v>2100</v>
      </c>
      <c r="D1280" s="1">
        <v>44313</v>
      </c>
      <c r="E1280" s="1">
        <v>45057</v>
      </c>
      <c r="F1280">
        <v>235</v>
      </c>
      <c r="G1280">
        <v>3</v>
      </c>
      <c r="H1280">
        <v>154.53</v>
      </c>
      <c r="I1280">
        <v>68.14</v>
      </c>
      <c r="J1280" t="s">
        <v>115</v>
      </c>
      <c r="K1280" t="s">
        <v>16</v>
      </c>
      <c r="L1280" t="s">
        <v>2106</v>
      </c>
      <c r="M1280">
        <v>10</v>
      </c>
      <c r="N1280" t="s">
        <v>204</v>
      </c>
      <c r="O1280" t="s">
        <v>2107</v>
      </c>
    </row>
    <row r="1281" spans="1:15">
      <c r="A1281" t="s">
        <v>1573</v>
      </c>
      <c r="B1281" t="s">
        <v>2097</v>
      </c>
      <c r="C1281" t="s">
        <v>2086</v>
      </c>
      <c r="D1281" s="1">
        <v>43485</v>
      </c>
      <c r="E1281" s="1">
        <v>45183</v>
      </c>
      <c r="F1281">
        <v>109</v>
      </c>
      <c r="G1281">
        <v>10</v>
      </c>
      <c r="H1281">
        <v>396.59</v>
      </c>
      <c r="I1281">
        <v>55.88</v>
      </c>
      <c r="J1281" t="s">
        <v>66</v>
      </c>
      <c r="K1281" t="s">
        <v>16</v>
      </c>
      <c r="L1281" t="s">
        <v>2087</v>
      </c>
      <c r="M1281">
        <v>4</v>
      </c>
      <c r="N1281" t="s">
        <v>174</v>
      </c>
      <c r="O1281" t="s">
        <v>2088</v>
      </c>
    </row>
    <row r="1282" spans="1:15">
      <c r="A1282" t="s">
        <v>3085</v>
      </c>
      <c r="B1282" t="s">
        <v>2093</v>
      </c>
      <c r="C1282" t="s">
        <v>2111</v>
      </c>
      <c r="D1282" s="1">
        <v>43647</v>
      </c>
      <c r="E1282" s="1">
        <v>45216</v>
      </c>
      <c r="F1282">
        <v>76</v>
      </c>
      <c r="G1282">
        <v>2</v>
      </c>
      <c r="H1282">
        <v>104.51</v>
      </c>
      <c r="I1282">
        <v>59.44</v>
      </c>
      <c r="J1282" t="s">
        <v>115</v>
      </c>
      <c r="K1282" t="s">
        <v>16</v>
      </c>
      <c r="L1282" t="s">
        <v>2087</v>
      </c>
      <c r="M1282">
        <v>4</v>
      </c>
      <c r="N1282" t="s">
        <v>232</v>
      </c>
      <c r="O1282" t="s">
        <v>2088</v>
      </c>
    </row>
    <row r="1283" spans="1:15">
      <c r="A1283" t="s">
        <v>680</v>
      </c>
      <c r="B1283" t="s">
        <v>2097</v>
      </c>
      <c r="C1283" t="s">
        <v>2108</v>
      </c>
      <c r="D1283" s="1">
        <v>44292</v>
      </c>
      <c r="E1283" s="1">
        <v>45219</v>
      </c>
      <c r="F1283">
        <v>73</v>
      </c>
      <c r="G1283">
        <v>4</v>
      </c>
      <c r="H1283">
        <v>434.17</v>
      </c>
      <c r="I1283">
        <v>54.36</v>
      </c>
      <c r="J1283" t="s">
        <v>115</v>
      </c>
      <c r="K1283" t="s">
        <v>16</v>
      </c>
      <c r="L1283" t="s">
        <v>2087</v>
      </c>
      <c r="M1283">
        <v>9</v>
      </c>
      <c r="N1283" t="s">
        <v>165</v>
      </c>
      <c r="O1283" t="s">
        <v>2107</v>
      </c>
    </row>
    <row r="1284" spans="1:15">
      <c r="A1284" t="s">
        <v>3086</v>
      </c>
      <c r="B1284" t="s">
        <v>2097</v>
      </c>
      <c r="C1284" t="s">
        <v>2100</v>
      </c>
      <c r="D1284" s="1">
        <v>44016</v>
      </c>
      <c r="E1284" s="1">
        <v>45188</v>
      </c>
      <c r="F1284">
        <v>104</v>
      </c>
      <c r="G1284">
        <v>8</v>
      </c>
      <c r="H1284">
        <v>786.77</v>
      </c>
      <c r="I1284">
        <v>77.86</v>
      </c>
      <c r="J1284" t="s">
        <v>66</v>
      </c>
      <c r="K1284" t="s">
        <v>16</v>
      </c>
      <c r="L1284" t="s">
        <v>2095</v>
      </c>
      <c r="M1284">
        <v>8</v>
      </c>
      <c r="N1284" t="s">
        <v>157</v>
      </c>
      <c r="O1284" t="s">
        <v>2096</v>
      </c>
    </row>
    <row r="1285" spans="1:15">
      <c r="A1285" t="s">
        <v>3087</v>
      </c>
      <c r="B1285" t="s">
        <v>2097</v>
      </c>
      <c r="C1285" t="s">
        <v>2108</v>
      </c>
      <c r="D1285" s="1">
        <v>43849</v>
      </c>
      <c r="E1285" s="1">
        <v>45002</v>
      </c>
      <c r="F1285">
        <v>290</v>
      </c>
      <c r="G1285">
        <v>11</v>
      </c>
      <c r="H1285">
        <v>416.64</v>
      </c>
      <c r="I1285">
        <v>77.430000000000007</v>
      </c>
      <c r="J1285" t="s">
        <v>14</v>
      </c>
      <c r="K1285" t="s">
        <v>16</v>
      </c>
      <c r="L1285" t="s">
        <v>2095</v>
      </c>
      <c r="M1285">
        <v>2</v>
      </c>
      <c r="N1285" t="s">
        <v>157</v>
      </c>
      <c r="O1285" t="s">
        <v>2109</v>
      </c>
    </row>
    <row r="1286" spans="1:15">
      <c r="A1286" t="s">
        <v>3088</v>
      </c>
      <c r="B1286" t="s">
        <v>2093</v>
      </c>
      <c r="C1286" t="s">
        <v>2091</v>
      </c>
      <c r="D1286" s="1">
        <v>44139</v>
      </c>
      <c r="E1286" s="1">
        <v>44927</v>
      </c>
      <c r="F1286">
        <v>365</v>
      </c>
      <c r="G1286">
        <v>2</v>
      </c>
      <c r="H1286">
        <v>177.26</v>
      </c>
      <c r="I1286">
        <v>41.56</v>
      </c>
      <c r="J1286" t="s">
        <v>41</v>
      </c>
      <c r="K1286" t="s">
        <v>16</v>
      </c>
      <c r="L1286" t="s">
        <v>2095</v>
      </c>
      <c r="M1286">
        <v>0</v>
      </c>
      <c r="N1286" t="s">
        <v>174</v>
      </c>
      <c r="O1286" t="s">
        <v>2088</v>
      </c>
    </row>
    <row r="1287" spans="1:15">
      <c r="A1287" t="s">
        <v>3089</v>
      </c>
      <c r="B1287" t="s">
        <v>2090</v>
      </c>
      <c r="C1287" t="s">
        <v>2100</v>
      </c>
      <c r="D1287" s="1">
        <v>44928</v>
      </c>
      <c r="E1287" s="1">
        <v>45133</v>
      </c>
      <c r="F1287">
        <v>159</v>
      </c>
      <c r="G1287">
        <v>5</v>
      </c>
      <c r="H1287">
        <v>159.57</v>
      </c>
      <c r="I1287">
        <v>63.34</v>
      </c>
      <c r="J1287" t="s">
        <v>41</v>
      </c>
      <c r="K1287" t="s">
        <v>20</v>
      </c>
      <c r="L1287" t="s">
        <v>2095</v>
      </c>
      <c r="M1287">
        <v>9</v>
      </c>
      <c r="N1287" t="s">
        <v>174</v>
      </c>
      <c r="O1287" t="s">
        <v>2096</v>
      </c>
    </row>
    <row r="1288" spans="1:15">
      <c r="A1288" t="s">
        <v>3090</v>
      </c>
      <c r="B1288" t="s">
        <v>2090</v>
      </c>
      <c r="C1288" t="s">
        <v>2094</v>
      </c>
      <c r="D1288" s="1">
        <v>43650</v>
      </c>
      <c r="E1288" s="1">
        <v>44989</v>
      </c>
      <c r="F1288">
        <v>303</v>
      </c>
      <c r="G1288">
        <v>6</v>
      </c>
      <c r="H1288">
        <v>262.95999999999998</v>
      </c>
      <c r="I1288">
        <v>102.25</v>
      </c>
      <c r="J1288" t="s">
        <v>14</v>
      </c>
      <c r="K1288" t="s">
        <v>16</v>
      </c>
      <c r="L1288" t="s">
        <v>2095</v>
      </c>
      <c r="M1288">
        <v>0</v>
      </c>
      <c r="N1288" t="s">
        <v>232</v>
      </c>
      <c r="O1288" t="s">
        <v>2096</v>
      </c>
    </row>
    <row r="1289" spans="1:15">
      <c r="A1289" t="s">
        <v>3091</v>
      </c>
      <c r="B1289" t="s">
        <v>2099</v>
      </c>
      <c r="C1289" t="s">
        <v>2100</v>
      </c>
      <c r="D1289" s="1">
        <v>44478</v>
      </c>
      <c r="E1289" s="1">
        <v>45030</v>
      </c>
      <c r="F1289">
        <v>262</v>
      </c>
      <c r="G1289">
        <v>1</v>
      </c>
      <c r="H1289">
        <v>126.65</v>
      </c>
      <c r="I1289">
        <v>31.11</v>
      </c>
      <c r="J1289" t="s">
        <v>115</v>
      </c>
      <c r="K1289" t="s">
        <v>20</v>
      </c>
      <c r="L1289" t="s">
        <v>2106</v>
      </c>
      <c r="M1289">
        <v>9</v>
      </c>
      <c r="N1289" t="s">
        <v>165</v>
      </c>
      <c r="O1289" t="s">
        <v>2109</v>
      </c>
    </row>
    <row r="1290" spans="1:15">
      <c r="A1290" t="s">
        <v>3092</v>
      </c>
      <c r="B1290" t="s">
        <v>2093</v>
      </c>
      <c r="C1290" t="s">
        <v>2094</v>
      </c>
      <c r="D1290" s="1">
        <v>45094</v>
      </c>
      <c r="E1290" s="1">
        <v>45099</v>
      </c>
      <c r="F1290">
        <v>193</v>
      </c>
      <c r="G1290">
        <v>5</v>
      </c>
      <c r="H1290">
        <v>37.6</v>
      </c>
      <c r="I1290">
        <v>20.53</v>
      </c>
      <c r="J1290" t="s">
        <v>115</v>
      </c>
      <c r="K1290" t="s">
        <v>16</v>
      </c>
      <c r="L1290" t="s">
        <v>2106</v>
      </c>
      <c r="M1290">
        <v>6</v>
      </c>
      <c r="N1290" t="s">
        <v>204</v>
      </c>
      <c r="O1290" t="s">
        <v>2121</v>
      </c>
    </row>
    <row r="1291" spans="1:15">
      <c r="A1291" t="s">
        <v>3093</v>
      </c>
      <c r="B1291" t="s">
        <v>2099</v>
      </c>
      <c r="C1291" t="s">
        <v>2086</v>
      </c>
      <c r="D1291" s="1">
        <v>44688</v>
      </c>
      <c r="E1291" s="1">
        <v>45228</v>
      </c>
      <c r="F1291">
        <v>64</v>
      </c>
      <c r="G1291">
        <v>1</v>
      </c>
      <c r="H1291">
        <v>25.28</v>
      </c>
      <c r="I1291">
        <v>21.84</v>
      </c>
      <c r="J1291" t="s">
        <v>66</v>
      </c>
      <c r="K1291" t="s">
        <v>20</v>
      </c>
      <c r="L1291" t="s">
        <v>2095</v>
      </c>
      <c r="M1291">
        <v>3</v>
      </c>
      <c r="N1291" t="s">
        <v>204</v>
      </c>
      <c r="O1291" t="s">
        <v>2096</v>
      </c>
    </row>
    <row r="1292" spans="1:15">
      <c r="A1292" t="s">
        <v>3094</v>
      </c>
      <c r="B1292" t="s">
        <v>2085</v>
      </c>
      <c r="C1292" t="s">
        <v>2086</v>
      </c>
      <c r="D1292" s="1">
        <v>43634</v>
      </c>
      <c r="E1292" s="1">
        <v>44976</v>
      </c>
      <c r="F1292">
        <v>316</v>
      </c>
      <c r="G1292">
        <v>35</v>
      </c>
      <c r="H1292">
        <v>2637.07</v>
      </c>
      <c r="I1292">
        <v>290.62</v>
      </c>
      <c r="J1292" t="s">
        <v>14</v>
      </c>
      <c r="K1292" t="s">
        <v>16</v>
      </c>
      <c r="L1292" t="s">
        <v>2095</v>
      </c>
      <c r="M1292">
        <v>10</v>
      </c>
      <c r="N1292" t="s">
        <v>232</v>
      </c>
      <c r="O1292" t="s">
        <v>2088</v>
      </c>
    </row>
    <row r="1293" spans="1:15">
      <c r="A1293" t="s">
        <v>3095</v>
      </c>
      <c r="B1293" t="s">
        <v>2093</v>
      </c>
      <c r="C1293" t="s">
        <v>2094</v>
      </c>
      <c r="D1293" s="1">
        <v>43755</v>
      </c>
      <c r="E1293" s="1">
        <v>45220</v>
      </c>
      <c r="F1293">
        <v>72</v>
      </c>
      <c r="G1293">
        <v>3</v>
      </c>
      <c r="H1293">
        <v>148.03</v>
      </c>
      <c r="I1293">
        <v>39.78</v>
      </c>
      <c r="J1293" t="s">
        <v>41</v>
      </c>
      <c r="K1293" t="s">
        <v>16</v>
      </c>
      <c r="L1293" t="s">
        <v>2095</v>
      </c>
      <c r="M1293">
        <v>10</v>
      </c>
      <c r="N1293" t="s">
        <v>194</v>
      </c>
      <c r="O1293" t="s">
        <v>2096</v>
      </c>
    </row>
    <row r="1294" spans="1:15">
      <c r="A1294" t="s">
        <v>3096</v>
      </c>
      <c r="B1294" t="s">
        <v>2085</v>
      </c>
      <c r="C1294" t="s">
        <v>2100</v>
      </c>
      <c r="D1294" s="1">
        <v>44034</v>
      </c>
      <c r="E1294" s="1">
        <v>45138</v>
      </c>
      <c r="F1294">
        <v>154</v>
      </c>
      <c r="G1294">
        <v>23</v>
      </c>
      <c r="H1294">
        <v>1247.5999999999999</v>
      </c>
      <c r="I1294">
        <v>252.53</v>
      </c>
      <c r="J1294" t="s">
        <v>14</v>
      </c>
      <c r="K1294" t="s">
        <v>16</v>
      </c>
      <c r="L1294" t="s">
        <v>2087</v>
      </c>
      <c r="M1294">
        <v>6</v>
      </c>
      <c r="N1294" t="s">
        <v>232</v>
      </c>
      <c r="O1294" t="s">
        <v>2088</v>
      </c>
    </row>
    <row r="1295" spans="1:15">
      <c r="A1295" t="s">
        <v>3097</v>
      </c>
      <c r="B1295" t="s">
        <v>2090</v>
      </c>
      <c r="C1295" t="s">
        <v>2100</v>
      </c>
      <c r="D1295" s="1">
        <v>44025</v>
      </c>
      <c r="E1295" s="1">
        <v>45134</v>
      </c>
      <c r="F1295">
        <v>158</v>
      </c>
      <c r="G1295">
        <v>4</v>
      </c>
      <c r="H1295">
        <v>170.68</v>
      </c>
      <c r="I1295">
        <v>111.25</v>
      </c>
      <c r="J1295" t="s">
        <v>90</v>
      </c>
      <c r="K1295" t="s">
        <v>16</v>
      </c>
      <c r="L1295" t="s">
        <v>2106</v>
      </c>
      <c r="M1295">
        <v>0</v>
      </c>
      <c r="N1295" t="s">
        <v>174</v>
      </c>
      <c r="O1295" t="s">
        <v>2096</v>
      </c>
    </row>
    <row r="1296" spans="1:15">
      <c r="A1296" t="s">
        <v>3098</v>
      </c>
      <c r="B1296" t="s">
        <v>2090</v>
      </c>
      <c r="C1296" t="s">
        <v>2108</v>
      </c>
      <c r="D1296" s="1">
        <v>43498</v>
      </c>
      <c r="E1296" s="1">
        <v>44998</v>
      </c>
      <c r="F1296">
        <v>294</v>
      </c>
      <c r="G1296">
        <v>3</v>
      </c>
      <c r="H1296">
        <v>165.44</v>
      </c>
      <c r="I1296">
        <v>91.52</v>
      </c>
      <c r="J1296" t="s">
        <v>115</v>
      </c>
      <c r="K1296" t="s">
        <v>16</v>
      </c>
      <c r="L1296" t="s">
        <v>2106</v>
      </c>
      <c r="M1296">
        <v>8</v>
      </c>
      <c r="N1296" t="s">
        <v>157</v>
      </c>
      <c r="O1296" t="s">
        <v>2107</v>
      </c>
    </row>
    <row r="1297" spans="1:15">
      <c r="A1297" t="s">
        <v>3099</v>
      </c>
      <c r="B1297" t="s">
        <v>2093</v>
      </c>
      <c r="C1297" t="s">
        <v>2111</v>
      </c>
      <c r="D1297" s="1">
        <v>45036</v>
      </c>
      <c r="E1297" s="1">
        <v>45074</v>
      </c>
      <c r="F1297">
        <v>218</v>
      </c>
      <c r="G1297">
        <v>2</v>
      </c>
      <c r="H1297">
        <v>117.27</v>
      </c>
      <c r="I1297">
        <v>55.79</v>
      </c>
      <c r="J1297" t="s">
        <v>41</v>
      </c>
      <c r="K1297" t="s">
        <v>16</v>
      </c>
      <c r="L1297" t="s">
        <v>2095</v>
      </c>
      <c r="M1297">
        <v>0</v>
      </c>
      <c r="N1297" t="s">
        <v>232</v>
      </c>
      <c r="O1297" t="s">
        <v>2121</v>
      </c>
    </row>
    <row r="1298" spans="1:15">
      <c r="A1298" t="s">
        <v>1912</v>
      </c>
      <c r="B1298" t="s">
        <v>2090</v>
      </c>
      <c r="C1298" t="s">
        <v>2091</v>
      </c>
      <c r="D1298" s="1">
        <v>43744</v>
      </c>
      <c r="E1298" s="1">
        <v>45166</v>
      </c>
      <c r="F1298">
        <v>126</v>
      </c>
      <c r="G1298">
        <v>2</v>
      </c>
      <c r="H1298">
        <v>239</v>
      </c>
      <c r="I1298">
        <v>95.11</v>
      </c>
      <c r="J1298" t="s">
        <v>66</v>
      </c>
      <c r="K1298" t="s">
        <v>20</v>
      </c>
      <c r="L1298" t="s">
        <v>2095</v>
      </c>
      <c r="M1298">
        <v>6</v>
      </c>
      <c r="N1298" t="s">
        <v>194</v>
      </c>
      <c r="O1298" t="s">
        <v>2107</v>
      </c>
    </row>
    <row r="1299" spans="1:15">
      <c r="A1299" t="s">
        <v>724</v>
      </c>
      <c r="B1299" t="s">
        <v>2097</v>
      </c>
      <c r="C1299" t="s">
        <v>2091</v>
      </c>
      <c r="D1299" s="1">
        <v>44069</v>
      </c>
      <c r="E1299" s="1">
        <v>44971</v>
      </c>
      <c r="F1299">
        <v>321</v>
      </c>
      <c r="G1299">
        <v>8</v>
      </c>
      <c r="H1299">
        <v>797.23</v>
      </c>
      <c r="I1299">
        <v>51.74</v>
      </c>
      <c r="J1299" t="s">
        <v>115</v>
      </c>
      <c r="K1299" t="s">
        <v>16</v>
      </c>
      <c r="L1299" t="s">
        <v>2106</v>
      </c>
      <c r="M1299">
        <v>2</v>
      </c>
      <c r="N1299" t="s">
        <v>232</v>
      </c>
      <c r="O1299" t="s">
        <v>2121</v>
      </c>
    </row>
    <row r="1300" spans="1:15">
      <c r="A1300" t="s">
        <v>3100</v>
      </c>
      <c r="B1300" t="s">
        <v>2085</v>
      </c>
      <c r="C1300" t="s">
        <v>2091</v>
      </c>
      <c r="D1300" s="1">
        <v>43608</v>
      </c>
      <c r="E1300" s="1">
        <v>45248</v>
      </c>
      <c r="F1300">
        <v>44</v>
      </c>
      <c r="G1300">
        <v>29</v>
      </c>
      <c r="H1300">
        <v>1055.6300000000001</v>
      </c>
      <c r="I1300">
        <v>183.73</v>
      </c>
      <c r="J1300" t="s">
        <v>66</v>
      </c>
      <c r="K1300" t="s">
        <v>16</v>
      </c>
      <c r="L1300" t="s">
        <v>2106</v>
      </c>
      <c r="M1300">
        <v>0</v>
      </c>
      <c r="N1300" t="s">
        <v>194</v>
      </c>
      <c r="O1300" t="s">
        <v>2109</v>
      </c>
    </row>
    <row r="1301" spans="1:15">
      <c r="A1301" t="s">
        <v>3101</v>
      </c>
      <c r="B1301" t="s">
        <v>2085</v>
      </c>
      <c r="C1301" t="s">
        <v>2111</v>
      </c>
      <c r="D1301" s="1">
        <v>43820</v>
      </c>
      <c r="E1301" s="1">
        <v>45039</v>
      </c>
      <c r="F1301">
        <v>253</v>
      </c>
      <c r="G1301">
        <v>40</v>
      </c>
      <c r="H1301">
        <v>869.76</v>
      </c>
      <c r="I1301">
        <v>192.93</v>
      </c>
      <c r="J1301" t="s">
        <v>66</v>
      </c>
      <c r="K1301" t="s">
        <v>16</v>
      </c>
      <c r="L1301" t="s">
        <v>2087</v>
      </c>
      <c r="M1301">
        <v>0</v>
      </c>
      <c r="N1301" t="s">
        <v>174</v>
      </c>
      <c r="O1301" t="s">
        <v>2096</v>
      </c>
    </row>
    <row r="1302" spans="1:15">
      <c r="A1302" t="s">
        <v>3102</v>
      </c>
      <c r="B1302" t="s">
        <v>2097</v>
      </c>
      <c r="C1302" t="s">
        <v>2111</v>
      </c>
      <c r="D1302" s="1">
        <v>43643</v>
      </c>
      <c r="E1302" s="1">
        <v>44942</v>
      </c>
      <c r="F1302">
        <v>350</v>
      </c>
      <c r="G1302">
        <v>11</v>
      </c>
      <c r="H1302">
        <v>307.5</v>
      </c>
      <c r="I1302">
        <v>64.33</v>
      </c>
      <c r="J1302" t="s">
        <v>41</v>
      </c>
      <c r="K1302" t="s">
        <v>16</v>
      </c>
      <c r="L1302" t="s">
        <v>2095</v>
      </c>
      <c r="M1302">
        <v>9</v>
      </c>
      <c r="N1302" t="s">
        <v>165</v>
      </c>
      <c r="O1302" t="s">
        <v>2109</v>
      </c>
    </row>
    <row r="1303" spans="1:15">
      <c r="A1303" t="s">
        <v>1152</v>
      </c>
      <c r="B1303" t="s">
        <v>2085</v>
      </c>
      <c r="C1303" t="s">
        <v>2108</v>
      </c>
      <c r="D1303" s="1">
        <v>44007</v>
      </c>
      <c r="E1303" s="1">
        <v>45199</v>
      </c>
      <c r="F1303">
        <v>93</v>
      </c>
      <c r="G1303">
        <v>23</v>
      </c>
      <c r="H1303">
        <v>997.06</v>
      </c>
      <c r="I1303">
        <v>105.87</v>
      </c>
      <c r="J1303" t="s">
        <v>66</v>
      </c>
      <c r="K1303" t="s">
        <v>16</v>
      </c>
      <c r="L1303" t="s">
        <v>2087</v>
      </c>
      <c r="M1303">
        <v>6</v>
      </c>
      <c r="N1303" t="s">
        <v>204</v>
      </c>
      <c r="O1303" t="s">
        <v>2121</v>
      </c>
    </row>
    <row r="1304" spans="1:15">
      <c r="A1304" t="s">
        <v>3103</v>
      </c>
      <c r="B1304" t="s">
        <v>2097</v>
      </c>
      <c r="C1304" t="s">
        <v>2108</v>
      </c>
      <c r="D1304" s="1">
        <v>45258</v>
      </c>
      <c r="E1304" s="1">
        <v>45083</v>
      </c>
      <c r="F1304">
        <v>209</v>
      </c>
      <c r="G1304">
        <v>7</v>
      </c>
      <c r="H1304">
        <v>352.84</v>
      </c>
      <c r="I1304">
        <v>122.54</v>
      </c>
      <c r="J1304" t="s">
        <v>41</v>
      </c>
      <c r="K1304" t="s">
        <v>16</v>
      </c>
      <c r="L1304" t="s">
        <v>2087</v>
      </c>
      <c r="M1304">
        <v>6</v>
      </c>
      <c r="N1304" t="s">
        <v>157</v>
      </c>
      <c r="O1304" t="s">
        <v>2121</v>
      </c>
    </row>
    <row r="1305" spans="1:15">
      <c r="A1305" t="s">
        <v>3104</v>
      </c>
      <c r="B1305" t="s">
        <v>2099</v>
      </c>
      <c r="C1305" t="s">
        <v>2094</v>
      </c>
      <c r="D1305" s="1">
        <v>43950</v>
      </c>
      <c r="E1305" s="1">
        <v>44930</v>
      </c>
      <c r="F1305">
        <v>362</v>
      </c>
      <c r="G1305">
        <v>1</v>
      </c>
      <c r="H1305">
        <v>33.92</v>
      </c>
      <c r="I1305">
        <v>27.05</v>
      </c>
      <c r="J1305" t="s">
        <v>90</v>
      </c>
      <c r="K1305" t="s">
        <v>20</v>
      </c>
      <c r="L1305" t="s">
        <v>2106</v>
      </c>
      <c r="M1305">
        <v>10</v>
      </c>
      <c r="N1305" t="s">
        <v>157</v>
      </c>
      <c r="O1305" t="s">
        <v>2121</v>
      </c>
    </row>
    <row r="1306" spans="1:15">
      <c r="A1306" t="s">
        <v>3105</v>
      </c>
      <c r="B1306" t="s">
        <v>2099</v>
      </c>
      <c r="C1306" t="s">
        <v>2100</v>
      </c>
      <c r="D1306" s="1">
        <v>44329</v>
      </c>
      <c r="E1306" s="1">
        <v>44969</v>
      </c>
      <c r="F1306">
        <v>323</v>
      </c>
      <c r="G1306">
        <v>1</v>
      </c>
      <c r="H1306">
        <v>53.73</v>
      </c>
      <c r="I1306">
        <v>47.98</v>
      </c>
      <c r="J1306" t="s">
        <v>90</v>
      </c>
      <c r="K1306" t="s">
        <v>20</v>
      </c>
      <c r="L1306" t="s">
        <v>2095</v>
      </c>
      <c r="M1306">
        <v>2</v>
      </c>
      <c r="N1306" t="s">
        <v>194</v>
      </c>
      <c r="O1306" t="s">
        <v>2096</v>
      </c>
    </row>
    <row r="1307" spans="1:15">
      <c r="A1307" t="s">
        <v>3106</v>
      </c>
      <c r="B1307" t="s">
        <v>2093</v>
      </c>
      <c r="C1307" t="s">
        <v>2100</v>
      </c>
      <c r="D1307" s="1">
        <v>43841</v>
      </c>
      <c r="E1307" s="1">
        <v>45128</v>
      </c>
      <c r="F1307">
        <v>164</v>
      </c>
      <c r="G1307">
        <v>2</v>
      </c>
      <c r="H1307">
        <v>170.43</v>
      </c>
      <c r="I1307">
        <v>60.09</v>
      </c>
      <c r="J1307" t="s">
        <v>14</v>
      </c>
      <c r="K1307" t="s">
        <v>20</v>
      </c>
      <c r="L1307" t="s">
        <v>2087</v>
      </c>
      <c r="M1307">
        <v>6</v>
      </c>
      <c r="N1307" t="s">
        <v>165</v>
      </c>
      <c r="O1307" t="s">
        <v>2109</v>
      </c>
    </row>
    <row r="1308" spans="1:15">
      <c r="A1308" t="s">
        <v>3107</v>
      </c>
      <c r="B1308" t="s">
        <v>2113</v>
      </c>
      <c r="C1308" t="s">
        <v>2086</v>
      </c>
      <c r="D1308" s="1">
        <v>44031</v>
      </c>
      <c r="E1308" s="1">
        <v>44966</v>
      </c>
      <c r="F1308">
        <v>326</v>
      </c>
      <c r="G1308">
        <v>17</v>
      </c>
      <c r="H1308">
        <v>576.35</v>
      </c>
      <c r="I1308">
        <v>72.8</v>
      </c>
      <c r="J1308" t="s">
        <v>90</v>
      </c>
      <c r="K1308" t="s">
        <v>16</v>
      </c>
      <c r="L1308" t="s">
        <v>2106</v>
      </c>
      <c r="M1308">
        <v>7</v>
      </c>
      <c r="N1308" t="s">
        <v>232</v>
      </c>
      <c r="O1308" t="s">
        <v>2121</v>
      </c>
    </row>
    <row r="1309" spans="1:15">
      <c r="A1309" t="s">
        <v>3108</v>
      </c>
      <c r="B1309" t="s">
        <v>2090</v>
      </c>
      <c r="C1309" t="s">
        <v>2086</v>
      </c>
      <c r="D1309" s="1">
        <v>44822</v>
      </c>
      <c r="E1309" s="1">
        <v>45008</v>
      </c>
      <c r="F1309">
        <v>284</v>
      </c>
      <c r="G1309">
        <v>4</v>
      </c>
      <c r="H1309">
        <v>231.46</v>
      </c>
      <c r="I1309">
        <v>106.39</v>
      </c>
      <c r="J1309" t="s">
        <v>14</v>
      </c>
      <c r="K1309" t="s">
        <v>20</v>
      </c>
      <c r="L1309" t="s">
        <v>2095</v>
      </c>
      <c r="M1309">
        <v>5</v>
      </c>
      <c r="N1309" t="s">
        <v>174</v>
      </c>
      <c r="O1309" t="s">
        <v>2096</v>
      </c>
    </row>
    <row r="1310" spans="1:15">
      <c r="A1310" t="s">
        <v>950</v>
      </c>
      <c r="B1310" t="s">
        <v>2099</v>
      </c>
      <c r="C1310" t="s">
        <v>2094</v>
      </c>
      <c r="D1310" s="1">
        <v>44624</v>
      </c>
      <c r="E1310" s="1">
        <v>45174</v>
      </c>
      <c r="F1310">
        <v>118</v>
      </c>
      <c r="G1310">
        <v>1</v>
      </c>
      <c r="H1310">
        <v>124.82</v>
      </c>
      <c r="I1310">
        <v>44.26</v>
      </c>
      <c r="J1310" t="s">
        <v>41</v>
      </c>
      <c r="K1310" t="s">
        <v>16</v>
      </c>
      <c r="L1310" t="s">
        <v>2095</v>
      </c>
      <c r="M1310">
        <v>5</v>
      </c>
      <c r="N1310" t="s">
        <v>179</v>
      </c>
      <c r="O1310" t="s">
        <v>2121</v>
      </c>
    </row>
    <row r="1311" spans="1:15">
      <c r="A1311" t="s">
        <v>3109</v>
      </c>
      <c r="B1311" t="s">
        <v>2097</v>
      </c>
      <c r="C1311" t="s">
        <v>2086</v>
      </c>
      <c r="D1311" s="1">
        <v>45265</v>
      </c>
      <c r="E1311" s="1">
        <v>45120</v>
      </c>
      <c r="F1311">
        <v>172</v>
      </c>
      <c r="G1311">
        <v>7</v>
      </c>
      <c r="H1311">
        <v>184.87</v>
      </c>
      <c r="I1311">
        <v>122.61</v>
      </c>
      <c r="J1311" t="s">
        <v>41</v>
      </c>
      <c r="K1311" t="s">
        <v>16</v>
      </c>
      <c r="L1311" t="s">
        <v>2095</v>
      </c>
      <c r="M1311">
        <v>1</v>
      </c>
      <c r="N1311" t="s">
        <v>194</v>
      </c>
      <c r="O1311" t="s">
        <v>2109</v>
      </c>
    </row>
    <row r="1312" spans="1:15">
      <c r="A1312" t="s">
        <v>3110</v>
      </c>
      <c r="B1312" t="s">
        <v>2113</v>
      </c>
      <c r="C1312" t="s">
        <v>2111</v>
      </c>
      <c r="D1312" s="1">
        <v>45075</v>
      </c>
      <c r="E1312" s="1">
        <v>45015</v>
      </c>
      <c r="F1312">
        <v>277</v>
      </c>
      <c r="G1312">
        <v>16</v>
      </c>
      <c r="H1312">
        <v>181.81</v>
      </c>
      <c r="I1312">
        <v>42.84</v>
      </c>
      <c r="J1312" t="s">
        <v>90</v>
      </c>
      <c r="K1312" t="s">
        <v>20</v>
      </c>
      <c r="L1312" t="s">
        <v>2106</v>
      </c>
      <c r="M1312">
        <v>4</v>
      </c>
      <c r="N1312" t="s">
        <v>179</v>
      </c>
      <c r="O1312" t="s">
        <v>2121</v>
      </c>
    </row>
    <row r="1313" spans="1:15">
      <c r="A1313" t="s">
        <v>3111</v>
      </c>
      <c r="B1313" t="s">
        <v>2093</v>
      </c>
      <c r="C1313" t="s">
        <v>2100</v>
      </c>
      <c r="D1313" s="1">
        <v>44920</v>
      </c>
      <c r="E1313" s="1">
        <v>45240</v>
      </c>
      <c r="F1313">
        <v>52</v>
      </c>
      <c r="G1313">
        <v>1</v>
      </c>
      <c r="H1313">
        <v>160.29</v>
      </c>
      <c r="I1313">
        <v>26.06</v>
      </c>
      <c r="J1313" t="s">
        <v>41</v>
      </c>
      <c r="K1313" t="s">
        <v>20</v>
      </c>
      <c r="L1313" t="s">
        <v>2106</v>
      </c>
      <c r="M1313">
        <v>1</v>
      </c>
      <c r="N1313" t="s">
        <v>232</v>
      </c>
      <c r="O1313" t="s">
        <v>2107</v>
      </c>
    </row>
    <row r="1314" spans="1:15">
      <c r="A1314" t="s">
        <v>3112</v>
      </c>
      <c r="B1314" t="s">
        <v>2099</v>
      </c>
      <c r="C1314" t="s">
        <v>2091</v>
      </c>
      <c r="D1314" s="1">
        <v>43944</v>
      </c>
      <c r="E1314" s="1">
        <v>45084</v>
      </c>
      <c r="F1314">
        <v>208</v>
      </c>
      <c r="G1314">
        <v>1</v>
      </c>
      <c r="H1314">
        <v>20.329999999999998</v>
      </c>
      <c r="I1314">
        <v>73.5</v>
      </c>
      <c r="J1314" t="s">
        <v>66</v>
      </c>
      <c r="K1314" t="s">
        <v>20</v>
      </c>
      <c r="L1314" t="s">
        <v>2106</v>
      </c>
      <c r="M1314">
        <v>4</v>
      </c>
      <c r="N1314" t="s">
        <v>232</v>
      </c>
      <c r="O1314" t="s">
        <v>2088</v>
      </c>
    </row>
    <row r="1315" spans="1:15">
      <c r="A1315" t="s">
        <v>3113</v>
      </c>
      <c r="B1315" t="s">
        <v>2097</v>
      </c>
      <c r="C1315" t="s">
        <v>2086</v>
      </c>
      <c r="D1315" s="1">
        <v>45107</v>
      </c>
      <c r="E1315" s="1">
        <v>45141</v>
      </c>
      <c r="F1315">
        <v>151</v>
      </c>
      <c r="G1315">
        <v>4</v>
      </c>
      <c r="H1315">
        <v>493.35</v>
      </c>
      <c r="I1315">
        <v>77.72</v>
      </c>
      <c r="J1315" t="s">
        <v>14</v>
      </c>
      <c r="K1315" t="s">
        <v>16</v>
      </c>
      <c r="L1315" t="s">
        <v>2087</v>
      </c>
      <c r="M1315">
        <v>4</v>
      </c>
      <c r="N1315" t="s">
        <v>179</v>
      </c>
      <c r="O1315" t="s">
        <v>2096</v>
      </c>
    </row>
    <row r="1316" spans="1:15">
      <c r="A1316" t="s">
        <v>1562</v>
      </c>
      <c r="B1316" t="s">
        <v>2113</v>
      </c>
      <c r="C1316" t="s">
        <v>2091</v>
      </c>
      <c r="D1316" s="1">
        <v>43838</v>
      </c>
      <c r="E1316" s="1">
        <v>44973</v>
      </c>
      <c r="F1316">
        <v>319</v>
      </c>
      <c r="G1316">
        <v>8</v>
      </c>
      <c r="H1316">
        <v>508.28</v>
      </c>
      <c r="I1316">
        <v>79.650000000000006</v>
      </c>
      <c r="J1316" t="s">
        <v>66</v>
      </c>
      <c r="K1316" t="s">
        <v>16</v>
      </c>
      <c r="L1316" t="s">
        <v>2095</v>
      </c>
      <c r="M1316">
        <v>10</v>
      </c>
      <c r="N1316" t="s">
        <v>165</v>
      </c>
      <c r="O1316" t="s">
        <v>2121</v>
      </c>
    </row>
    <row r="1317" spans="1:15">
      <c r="A1317" t="s">
        <v>3114</v>
      </c>
      <c r="B1317" t="s">
        <v>2085</v>
      </c>
      <c r="C1317" t="s">
        <v>2108</v>
      </c>
      <c r="D1317" s="1">
        <v>43526</v>
      </c>
      <c r="E1317" s="1">
        <v>44987</v>
      </c>
      <c r="F1317">
        <v>305</v>
      </c>
      <c r="G1317">
        <v>37</v>
      </c>
      <c r="H1317">
        <v>2397.66</v>
      </c>
      <c r="I1317">
        <v>149.43</v>
      </c>
      <c r="J1317" t="s">
        <v>90</v>
      </c>
      <c r="K1317" t="s">
        <v>16</v>
      </c>
      <c r="L1317" t="s">
        <v>2087</v>
      </c>
      <c r="M1317">
        <v>9</v>
      </c>
      <c r="N1317" t="s">
        <v>165</v>
      </c>
      <c r="O1317" t="s">
        <v>2088</v>
      </c>
    </row>
    <row r="1318" spans="1:15">
      <c r="A1318" t="s">
        <v>3115</v>
      </c>
      <c r="B1318" t="s">
        <v>2099</v>
      </c>
      <c r="C1318" t="s">
        <v>2108</v>
      </c>
      <c r="D1318" s="1">
        <v>43757</v>
      </c>
      <c r="E1318" s="1">
        <v>44978</v>
      </c>
      <c r="F1318">
        <v>314</v>
      </c>
      <c r="G1318">
        <v>1</v>
      </c>
      <c r="H1318">
        <v>127.09</v>
      </c>
      <c r="I1318">
        <v>39.18</v>
      </c>
      <c r="J1318" t="s">
        <v>115</v>
      </c>
      <c r="K1318" t="s">
        <v>16</v>
      </c>
      <c r="L1318" t="s">
        <v>2095</v>
      </c>
      <c r="M1318">
        <v>0</v>
      </c>
      <c r="N1318" t="s">
        <v>157</v>
      </c>
      <c r="O1318" t="s">
        <v>2107</v>
      </c>
    </row>
    <row r="1319" spans="1:15">
      <c r="A1319" t="s">
        <v>3116</v>
      </c>
      <c r="B1319" t="s">
        <v>2085</v>
      </c>
      <c r="C1319" t="s">
        <v>2086</v>
      </c>
      <c r="D1319" s="1">
        <v>44593</v>
      </c>
      <c r="E1319" s="1">
        <v>45230</v>
      </c>
      <c r="F1319">
        <v>62</v>
      </c>
      <c r="G1319">
        <v>34</v>
      </c>
      <c r="H1319">
        <v>1243.6199999999999</v>
      </c>
      <c r="I1319">
        <v>218.93</v>
      </c>
      <c r="J1319" t="s">
        <v>115</v>
      </c>
      <c r="K1319" t="s">
        <v>16</v>
      </c>
      <c r="L1319" t="s">
        <v>2095</v>
      </c>
      <c r="M1319">
        <v>1</v>
      </c>
      <c r="N1319" t="s">
        <v>179</v>
      </c>
      <c r="O1319" t="s">
        <v>2121</v>
      </c>
    </row>
    <row r="1320" spans="1:15">
      <c r="A1320" t="s">
        <v>3117</v>
      </c>
      <c r="B1320" t="s">
        <v>2085</v>
      </c>
      <c r="C1320" t="s">
        <v>2091</v>
      </c>
      <c r="D1320" s="1">
        <v>44438</v>
      </c>
      <c r="E1320" s="1">
        <v>44986</v>
      </c>
      <c r="F1320">
        <v>306</v>
      </c>
      <c r="G1320">
        <v>12</v>
      </c>
      <c r="H1320">
        <v>1261.68</v>
      </c>
      <c r="I1320">
        <v>283.8</v>
      </c>
      <c r="J1320" t="s">
        <v>14</v>
      </c>
      <c r="K1320" t="s">
        <v>20</v>
      </c>
      <c r="L1320" t="s">
        <v>2087</v>
      </c>
      <c r="M1320">
        <v>1</v>
      </c>
      <c r="N1320" t="s">
        <v>232</v>
      </c>
      <c r="O1320" t="s">
        <v>2109</v>
      </c>
    </row>
    <row r="1321" spans="1:15">
      <c r="A1321" t="s">
        <v>3118</v>
      </c>
      <c r="B1321" t="s">
        <v>2093</v>
      </c>
      <c r="C1321" t="s">
        <v>2100</v>
      </c>
      <c r="D1321" s="1">
        <v>43680</v>
      </c>
      <c r="E1321" s="1">
        <v>45249</v>
      </c>
      <c r="F1321">
        <v>43</v>
      </c>
      <c r="G1321">
        <v>5</v>
      </c>
      <c r="H1321">
        <v>100.54</v>
      </c>
      <c r="I1321">
        <v>66.84</v>
      </c>
      <c r="J1321" t="s">
        <v>41</v>
      </c>
      <c r="K1321" t="s">
        <v>16</v>
      </c>
      <c r="L1321" t="s">
        <v>2106</v>
      </c>
      <c r="M1321">
        <v>9</v>
      </c>
      <c r="N1321" t="s">
        <v>179</v>
      </c>
      <c r="O1321" t="s">
        <v>2096</v>
      </c>
    </row>
    <row r="1322" spans="1:15">
      <c r="A1322" t="s">
        <v>3119</v>
      </c>
      <c r="B1322" t="s">
        <v>2093</v>
      </c>
      <c r="C1322" t="s">
        <v>2100</v>
      </c>
      <c r="D1322" s="1">
        <v>44049</v>
      </c>
      <c r="E1322" s="1">
        <v>45252</v>
      </c>
      <c r="F1322">
        <v>40</v>
      </c>
      <c r="G1322">
        <v>5</v>
      </c>
      <c r="H1322">
        <v>73.92</v>
      </c>
      <c r="I1322">
        <v>54.91</v>
      </c>
      <c r="J1322" t="s">
        <v>115</v>
      </c>
      <c r="K1322" t="s">
        <v>16</v>
      </c>
      <c r="L1322" t="s">
        <v>2087</v>
      </c>
      <c r="M1322">
        <v>0</v>
      </c>
      <c r="N1322" t="s">
        <v>165</v>
      </c>
      <c r="O1322" t="s">
        <v>2096</v>
      </c>
    </row>
    <row r="1323" spans="1:15">
      <c r="A1323" t="s">
        <v>538</v>
      </c>
      <c r="B1323" t="s">
        <v>2085</v>
      </c>
      <c r="C1323" t="s">
        <v>2091</v>
      </c>
      <c r="D1323" s="1">
        <v>44157</v>
      </c>
      <c r="E1323" s="1">
        <v>45198</v>
      </c>
      <c r="F1323">
        <v>94</v>
      </c>
      <c r="G1323">
        <v>18</v>
      </c>
      <c r="H1323">
        <v>2908.05</v>
      </c>
      <c r="I1323">
        <v>168.15</v>
      </c>
      <c r="J1323" t="s">
        <v>14</v>
      </c>
      <c r="K1323" t="s">
        <v>16</v>
      </c>
      <c r="L1323" t="s">
        <v>2087</v>
      </c>
      <c r="M1323">
        <v>2</v>
      </c>
      <c r="N1323" t="s">
        <v>232</v>
      </c>
      <c r="O1323" t="s">
        <v>2088</v>
      </c>
    </row>
    <row r="1324" spans="1:15">
      <c r="A1324" t="s">
        <v>3120</v>
      </c>
      <c r="B1324" t="s">
        <v>2093</v>
      </c>
      <c r="C1324" t="s">
        <v>2086</v>
      </c>
      <c r="D1324" s="1">
        <v>43747</v>
      </c>
      <c r="E1324" s="1">
        <v>45166</v>
      </c>
      <c r="F1324">
        <v>126</v>
      </c>
      <c r="G1324">
        <v>4</v>
      </c>
      <c r="H1324">
        <v>118.84</v>
      </c>
      <c r="I1324">
        <v>20.21</v>
      </c>
      <c r="J1324" t="s">
        <v>14</v>
      </c>
      <c r="K1324" t="s">
        <v>20</v>
      </c>
      <c r="L1324" t="s">
        <v>2095</v>
      </c>
      <c r="M1324">
        <v>7</v>
      </c>
      <c r="N1324" t="s">
        <v>174</v>
      </c>
      <c r="O1324" t="s">
        <v>2109</v>
      </c>
    </row>
    <row r="1325" spans="1:15">
      <c r="A1325" t="s">
        <v>3121</v>
      </c>
      <c r="B1325" t="s">
        <v>2085</v>
      </c>
      <c r="C1325" t="s">
        <v>2100</v>
      </c>
      <c r="D1325" s="1">
        <v>43693</v>
      </c>
      <c r="E1325" s="1">
        <v>45242</v>
      </c>
      <c r="F1325">
        <v>50</v>
      </c>
      <c r="G1325">
        <v>25</v>
      </c>
      <c r="H1325">
        <v>860.48</v>
      </c>
      <c r="I1325">
        <v>238.05</v>
      </c>
      <c r="J1325" t="s">
        <v>41</v>
      </c>
      <c r="K1325" t="s">
        <v>16</v>
      </c>
      <c r="L1325" t="s">
        <v>2095</v>
      </c>
      <c r="M1325">
        <v>10</v>
      </c>
      <c r="N1325" t="s">
        <v>232</v>
      </c>
      <c r="O1325" t="s">
        <v>2088</v>
      </c>
    </row>
    <row r="1326" spans="1:15">
      <c r="A1326" t="s">
        <v>3122</v>
      </c>
      <c r="B1326" t="s">
        <v>2093</v>
      </c>
      <c r="C1326" t="s">
        <v>2091</v>
      </c>
      <c r="D1326" s="1">
        <v>43713</v>
      </c>
      <c r="E1326" s="1">
        <v>45201</v>
      </c>
      <c r="F1326">
        <v>91</v>
      </c>
      <c r="G1326">
        <v>4</v>
      </c>
      <c r="H1326">
        <v>72.72</v>
      </c>
      <c r="I1326">
        <v>49.42</v>
      </c>
      <c r="J1326" t="s">
        <v>90</v>
      </c>
      <c r="K1326" t="s">
        <v>16</v>
      </c>
      <c r="L1326" t="s">
        <v>2095</v>
      </c>
      <c r="M1326">
        <v>0</v>
      </c>
      <c r="N1326" t="s">
        <v>204</v>
      </c>
      <c r="O1326" t="s">
        <v>2109</v>
      </c>
    </row>
    <row r="1327" spans="1:15">
      <c r="A1327" t="s">
        <v>3123</v>
      </c>
      <c r="B1327" t="s">
        <v>2090</v>
      </c>
      <c r="C1327" t="s">
        <v>2086</v>
      </c>
      <c r="D1327" s="1">
        <v>43838</v>
      </c>
      <c r="E1327" s="1">
        <v>45073</v>
      </c>
      <c r="F1327">
        <v>219</v>
      </c>
      <c r="G1327">
        <v>8</v>
      </c>
      <c r="H1327">
        <v>113.93</v>
      </c>
      <c r="I1327">
        <v>112.24</v>
      </c>
      <c r="J1327" t="s">
        <v>14</v>
      </c>
      <c r="K1327" t="s">
        <v>20</v>
      </c>
      <c r="L1327" t="s">
        <v>2106</v>
      </c>
      <c r="M1327">
        <v>8</v>
      </c>
      <c r="N1327" t="s">
        <v>194</v>
      </c>
      <c r="O1327" t="s">
        <v>2121</v>
      </c>
    </row>
    <row r="1328" spans="1:15">
      <c r="A1328" t="s">
        <v>3124</v>
      </c>
      <c r="B1328" t="s">
        <v>2099</v>
      </c>
      <c r="C1328" t="s">
        <v>2091</v>
      </c>
      <c r="D1328" s="1">
        <v>44836</v>
      </c>
      <c r="E1328" s="1">
        <v>45077</v>
      </c>
      <c r="F1328">
        <v>215</v>
      </c>
      <c r="G1328">
        <v>1</v>
      </c>
      <c r="H1328">
        <v>21.91</v>
      </c>
      <c r="I1328">
        <v>72.11</v>
      </c>
      <c r="J1328" t="s">
        <v>41</v>
      </c>
      <c r="K1328" t="s">
        <v>16</v>
      </c>
      <c r="L1328" t="s">
        <v>2087</v>
      </c>
      <c r="M1328">
        <v>2</v>
      </c>
      <c r="N1328" t="s">
        <v>157</v>
      </c>
      <c r="O1328" t="s">
        <v>2096</v>
      </c>
    </row>
    <row r="1329" spans="1:15">
      <c r="A1329" t="s">
        <v>3125</v>
      </c>
      <c r="B1329" t="s">
        <v>2099</v>
      </c>
      <c r="C1329" t="s">
        <v>2086</v>
      </c>
      <c r="D1329" s="1">
        <v>44835</v>
      </c>
      <c r="E1329" s="1">
        <v>45122</v>
      </c>
      <c r="F1329">
        <v>170</v>
      </c>
      <c r="G1329">
        <v>1</v>
      </c>
      <c r="H1329">
        <v>122.61</v>
      </c>
      <c r="I1329">
        <v>50.76</v>
      </c>
      <c r="J1329" t="s">
        <v>66</v>
      </c>
      <c r="K1329" t="s">
        <v>16</v>
      </c>
      <c r="L1329" t="s">
        <v>2087</v>
      </c>
      <c r="M1329">
        <v>6</v>
      </c>
      <c r="N1329" t="s">
        <v>165</v>
      </c>
      <c r="O1329" t="s">
        <v>2109</v>
      </c>
    </row>
    <row r="1330" spans="1:15">
      <c r="A1330" t="s">
        <v>3126</v>
      </c>
      <c r="B1330" t="s">
        <v>2085</v>
      </c>
      <c r="C1330" t="s">
        <v>2100</v>
      </c>
      <c r="D1330" s="1">
        <v>44196</v>
      </c>
      <c r="E1330" s="1">
        <v>44960</v>
      </c>
      <c r="F1330">
        <v>332</v>
      </c>
      <c r="G1330">
        <v>24</v>
      </c>
      <c r="H1330">
        <v>2561.86</v>
      </c>
      <c r="I1330">
        <v>236.45</v>
      </c>
      <c r="J1330" t="s">
        <v>115</v>
      </c>
      <c r="K1330" t="s">
        <v>20</v>
      </c>
      <c r="L1330" t="s">
        <v>2095</v>
      </c>
      <c r="M1330">
        <v>3</v>
      </c>
      <c r="N1330" t="s">
        <v>232</v>
      </c>
      <c r="O1330" t="s">
        <v>2121</v>
      </c>
    </row>
    <row r="1331" spans="1:15">
      <c r="A1331" t="s">
        <v>3127</v>
      </c>
      <c r="B1331" t="s">
        <v>2093</v>
      </c>
      <c r="C1331" t="s">
        <v>2094</v>
      </c>
      <c r="D1331" s="1">
        <v>43702</v>
      </c>
      <c r="E1331" s="1">
        <v>45135</v>
      </c>
      <c r="F1331">
        <v>157</v>
      </c>
      <c r="G1331">
        <v>2</v>
      </c>
      <c r="H1331">
        <v>45.21</v>
      </c>
      <c r="I1331">
        <v>23.3</v>
      </c>
      <c r="J1331" t="s">
        <v>41</v>
      </c>
      <c r="K1331" t="s">
        <v>16</v>
      </c>
      <c r="L1331" t="s">
        <v>2095</v>
      </c>
      <c r="M1331">
        <v>0</v>
      </c>
      <c r="N1331" t="s">
        <v>204</v>
      </c>
      <c r="O1331" t="s">
        <v>2096</v>
      </c>
    </row>
    <row r="1332" spans="1:15">
      <c r="A1332" t="s">
        <v>3128</v>
      </c>
      <c r="B1332" t="s">
        <v>2097</v>
      </c>
      <c r="C1332" t="s">
        <v>2086</v>
      </c>
      <c r="D1332" s="1">
        <v>45131</v>
      </c>
      <c r="E1332" s="1">
        <v>45259</v>
      </c>
      <c r="F1332">
        <v>33</v>
      </c>
      <c r="G1332">
        <v>6</v>
      </c>
      <c r="H1332">
        <v>386.59</v>
      </c>
      <c r="I1332">
        <v>147.91999999999999</v>
      </c>
      <c r="J1332" t="s">
        <v>66</v>
      </c>
      <c r="K1332" t="s">
        <v>16</v>
      </c>
      <c r="L1332" t="s">
        <v>2087</v>
      </c>
      <c r="M1332">
        <v>3</v>
      </c>
      <c r="N1332" t="s">
        <v>165</v>
      </c>
      <c r="O1332" t="s">
        <v>2096</v>
      </c>
    </row>
    <row r="1333" spans="1:15">
      <c r="A1333" t="s">
        <v>3129</v>
      </c>
      <c r="B1333" t="s">
        <v>2090</v>
      </c>
      <c r="C1333" t="s">
        <v>2094</v>
      </c>
      <c r="D1333" s="1">
        <v>44056</v>
      </c>
      <c r="E1333" s="1">
        <v>45204</v>
      </c>
      <c r="F1333">
        <v>88</v>
      </c>
      <c r="G1333">
        <v>6</v>
      </c>
      <c r="H1333">
        <v>357.02</v>
      </c>
      <c r="I1333">
        <v>86.23</v>
      </c>
      <c r="J1333" t="s">
        <v>115</v>
      </c>
      <c r="K1333" t="s">
        <v>16</v>
      </c>
      <c r="L1333" t="s">
        <v>2095</v>
      </c>
      <c r="M1333">
        <v>0</v>
      </c>
      <c r="N1333" t="s">
        <v>174</v>
      </c>
      <c r="O1333" t="s">
        <v>2121</v>
      </c>
    </row>
    <row r="1334" spans="1:15">
      <c r="A1334" t="s">
        <v>3130</v>
      </c>
      <c r="B1334" t="s">
        <v>2085</v>
      </c>
      <c r="C1334" t="s">
        <v>2094</v>
      </c>
      <c r="D1334" s="1">
        <v>43618</v>
      </c>
      <c r="E1334" s="1">
        <v>44934</v>
      </c>
      <c r="F1334">
        <v>358</v>
      </c>
      <c r="G1334">
        <v>35</v>
      </c>
      <c r="H1334">
        <v>1735.19</v>
      </c>
      <c r="I1334">
        <v>261.87</v>
      </c>
      <c r="J1334" t="s">
        <v>41</v>
      </c>
      <c r="K1334" t="s">
        <v>16</v>
      </c>
      <c r="L1334" t="s">
        <v>2095</v>
      </c>
      <c r="M1334">
        <v>1</v>
      </c>
      <c r="N1334" t="s">
        <v>194</v>
      </c>
      <c r="O1334" t="s">
        <v>2096</v>
      </c>
    </row>
    <row r="1335" spans="1:15">
      <c r="A1335" t="s">
        <v>3131</v>
      </c>
      <c r="B1335" t="s">
        <v>2099</v>
      </c>
      <c r="C1335" t="s">
        <v>2100</v>
      </c>
      <c r="D1335" s="1">
        <v>44928</v>
      </c>
      <c r="E1335" s="1">
        <v>45208</v>
      </c>
      <c r="F1335">
        <v>84</v>
      </c>
      <c r="G1335">
        <v>2</v>
      </c>
      <c r="H1335">
        <v>113.56</v>
      </c>
      <c r="I1335">
        <v>81.09</v>
      </c>
      <c r="J1335" t="s">
        <v>66</v>
      </c>
      <c r="K1335" t="s">
        <v>16</v>
      </c>
      <c r="L1335" t="s">
        <v>2106</v>
      </c>
      <c r="M1335">
        <v>3</v>
      </c>
      <c r="N1335" t="s">
        <v>157</v>
      </c>
      <c r="O1335" t="s">
        <v>2088</v>
      </c>
    </row>
    <row r="1336" spans="1:15">
      <c r="A1336" t="s">
        <v>3132</v>
      </c>
      <c r="B1336" t="s">
        <v>2113</v>
      </c>
      <c r="C1336" t="s">
        <v>2111</v>
      </c>
      <c r="D1336" s="1">
        <v>43472</v>
      </c>
      <c r="E1336" s="1">
        <v>45093</v>
      </c>
      <c r="F1336">
        <v>199</v>
      </c>
      <c r="G1336">
        <v>12</v>
      </c>
      <c r="H1336">
        <v>254.93</v>
      </c>
      <c r="I1336">
        <v>34.54</v>
      </c>
      <c r="J1336" t="s">
        <v>14</v>
      </c>
      <c r="K1336" t="s">
        <v>16</v>
      </c>
      <c r="L1336" t="s">
        <v>2087</v>
      </c>
      <c r="M1336">
        <v>6</v>
      </c>
      <c r="N1336" t="s">
        <v>194</v>
      </c>
      <c r="O1336" t="s">
        <v>2107</v>
      </c>
    </row>
    <row r="1337" spans="1:15">
      <c r="A1337" t="s">
        <v>3133</v>
      </c>
      <c r="B1337" t="s">
        <v>2099</v>
      </c>
      <c r="C1337" t="s">
        <v>2086</v>
      </c>
      <c r="D1337" s="1">
        <v>44433</v>
      </c>
      <c r="E1337" s="1">
        <v>45053</v>
      </c>
      <c r="F1337">
        <v>239</v>
      </c>
      <c r="G1337">
        <v>2</v>
      </c>
      <c r="H1337">
        <v>131.22</v>
      </c>
      <c r="I1337">
        <v>29.78</v>
      </c>
      <c r="J1337" t="s">
        <v>66</v>
      </c>
      <c r="K1337" t="s">
        <v>16</v>
      </c>
      <c r="L1337" t="s">
        <v>2106</v>
      </c>
      <c r="M1337">
        <v>1</v>
      </c>
      <c r="N1337" t="s">
        <v>157</v>
      </c>
      <c r="O1337" t="s">
        <v>2088</v>
      </c>
    </row>
    <row r="1338" spans="1:15">
      <c r="A1338" t="s">
        <v>1771</v>
      </c>
      <c r="B1338" t="s">
        <v>2085</v>
      </c>
      <c r="C1338" t="s">
        <v>2091</v>
      </c>
      <c r="D1338" s="1">
        <v>45119</v>
      </c>
      <c r="E1338" s="1">
        <v>44977</v>
      </c>
      <c r="F1338">
        <v>315</v>
      </c>
      <c r="G1338">
        <v>40</v>
      </c>
      <c r="H1338">
        <v>1787.89</v>
      </c>
      <c r="I1338">
        <v>198.54</v>
      </c>
      <c r="J1338" t="s">
        <v>41</v>
      </c>
      <c r="K1338" t="s">
        <v>20</v>
      </c>
      <c r="L1338" t="s">
        <v>2087</v>
      </c>
      <c r="M1338">
        <v>9</v>
      </c>
      <c r="N1338" t="s">
        <v>204</v>
      </c>
      <c r="O1338" t="s">
        <v>2088</v>
      </c>
    </row>
    <row r="1339" spans="1:15">
      <c r="A1339" t="s">
        <v>3134</v>
      </c>
      <c r="B1339" t="s">
        <v>2085</v>
      </c>
      <c r="C1339" t="s">
        <v>2111</v>
      </c>
      <c r="D1339" s="1">
        <v>45215</v>
      </c>
      <c r="E1339" s="1">
        <v>45254</v>
      </c>
      <c r="F1339">
        <v>38</v>
      </c>
      <c r="G1339">
        <v>22</v>
      </c>
      <c r="H1339">
        <v>1597.02</v>
      </c>
      <c r="I1339">
        <v>130.94999999999999</v>
      </c>
      <c r="J1339" t="s">
        <v>115</v>
      </c>
      <c r="K1339" t="s">
        <v>16</v>
      </c>
      <c r="L1339" t="s">
        <v>2095</v>
      </c>
      <c r="M1339">
        <v>3</v>
      </c>
      <c r="N1339" t="s">
        <v>165</v>
      </c>
      <c r="O1339" t="s">
        <v>2109</v>
      </c>
    </row>
    <row r="1340" spans="1:15">
      <c r="A1340" t="s">
        <v>3135</v>
      </c>
      <c r="B1340" t="s">
        <v>2085</v>
      </c>
      <c r="C1340" t="s">
        <v>2094</v>
      </c>
      <c r="D1340" s="1">
        <v>45019</v>
      </c>
      <c r="E1340" s="1">
        <v>45116</v>
      </c>
      <c r="F1340">
        <v>176</v>
      </c>
      <c r="G1340">
        <v>16</v>
      </c>
      <c r="H1340">
        <v>1450.4</v>
      </c>
      <c r="I1340">
        <v>158.54</v>
      </c>
      <c r="J1340" t="s">
        <v>90</v>
      </c>
      <c r="K1340" t="s">
        <v>16</v>
      </c>
      <c r="L1340" t="s">
        <v>2087</v>
      </c>
      <c r="M1340">
        <v>2</v>
      </c>
      <c r="N1340" t="s">
        <v>174</v>
      </c>
      <c r="O1340" t="s">
        <v>2121</v>
      </c>
    </row>
    <row r="1341" spans="1:15">
      <c r="A1341" t="s">
        <v>3136</v>
      </c>
      <c r="B1341" t="s">
        <v>2085</v>
      </c>
      <c r="C1341" t="s">
        <v>2100</v>
      </c>
      <c r="D1341" s="1">
        <v>43591</v>
      </c>
      <c r="E1341" s="1">
        <v>45183</v>
      </c>
      <c r="F1341">
        <v>109</v>
      </c>
      <c r="G1341">
        <v>26</v>
      </c>
      <c r="H1341">
        <v>1023.84</v>
      </c>
      <c r="I1341">
        <v>192.14</v>
      </c>
      <c r="J1341" t="s">
        <v>14</v>
      </c>
      <c r="K1341" t="s">
        <v>16</v>
      </c>
      <c r="L1341" t="s">
        <v>2087</v>
      </c>
      <c r="M1341">
        <v>4</v>
      </c>
      <c r="N1341" t="s">
        <v>179</v>
      </c>
      <c r="O1341" t="s">
        <v>2109</v>
      </c>
    </row>
    <row r="1342" spans="1:15">
      <c r="A1342" t="s">
        <v>3137</v>
      </c>
      <c r="B1342" t="s">
        <v>2090</v>
      </c>
      <c r="C1342" t="s">
        <v>2091</v>
      </c>
      <c r="D1342" s="1">
        <v>44946</v>
      </c>
      <c r="E1342" s="1">
        <v>44958</v>
      </c>
      <c r="F1342">
        <v>334</v>
      </c>
      <c r="G1342">
        <v>7</v>
      </c>
      <c r="H1342">
        <v>320.83999999999997</v>
      </c>
      <c r="I1342">
        <v>78.489999999999995</v>
      </c>
      <c r="J1342" t="s">
        <v>14</v>
      </c>
      <c r="K1342" t="s">
        <v>16</v>
      </c>
      <c r="L1342" t="s">
        <v>2087</v>
      </c>
      <c r="M1342">
        <v>4</v>
      </c>
      <c r="N1342" t="s">
        <v>157</v>
      </c>
      <c r="O1342" t="s">
        <v>2088</v>
      </c>
    </row>
    <row r="1343" spans="1:15">
      <c r="A1343" t="s">
        <v>3138</v>
      </c>
      <c r="B1343" t="s">
        <v>2085</v>
      </c>
      <c r="C1343" t="s">
        <v>2094</v>
      </c>
      <c r="D1343" s="1">
        <v>45148</v>
      </c>
      <c r="E1343" s="1">
        <v>44964</v>
      </c>
      <c r="F1343">
        <v>328</v>
      </c>
      <c r="G1343">
        <v>36</v>
      </c>
      <c r="H1343">
        <v>1208.57</v>
      </c>
      <c r="I1343">
        <v>188.46</v>
      </c>
      <c r="J1343" t="s">
        <v>115</v>
      </c>
      <c r="K1343" t="s">
        <v>16</v>
      </c>
      <c r="L1343" t="s">
        <v>2106</v>
      </c>
      <c r="M1343">
        <v>7</v>
      </c>
      <c r="N1343" t="s">
        <v>165</v>
      </c>
      <c r="O1343" t="s">
        <v>2107</v>
      </c>
    </row>
    <row r="1344" spans="1:15">
      <c r="A1344" t="s">
        <v>3139</v>
      </c>
      <c r="B1344" t="s">
        <v>2099</v>
      </c>
      <c r="C1344" t="s">
        <v>2108</v>
      </c>
      <c r="D1344" s="1">
        <v>43997</v>
      </c>
      <c r="E1344" s="1">
        <v>45128</v>
      </c>
      <c r="F1344">
        <v>164</v>
      </c>
      <c r="G1344">
        <v>1</v>
      </c>
      <c r="H1344">
        <v>41.06</v>
      </c>
      <c r="I1344">
        <v>33.82</v>
      </c>
      <c r="J1344" t="s">
        <v>115</v>
      </c>
      <c r="K1344" t="s">
        <v>16</v>
      </c>
      <c r="L1344" t="s">
        <v>2095</v>
      </c>
      <c r="M1344">
        <v>7</v>
      </c>
      <c r="N1344" t="s">
        <v>157</v>
      </c>
      <c r="O1344" t="s">
        <v>2088</v>
      </c>
    </row>
    <row r="1345" spans="1:15">
      <c r="A1345" t="s">
        <v>3140</v>
      </c>
      <c r="B1345" t="s">
        <v>2090</v>
      </c>
      <c r="C1345" t="s">
        <v>2094</v>
      </c>
      <c r="D1345" s="1">
        <v>44319</v>
      </c>
      <c r="E1345" s="1">
        <v>45146</v>
      </c>
      <c r="F1345">
        <v>146</v>
      </c>
      <c r="G1345">
        <v>8</v>
      </c>
      <c r="H1345">
        <v>176.08</v>
      </c>
      <c r="I1345">
        <v>43.66</v>
      </c>
      <c r="J1345" t="s">
        <v>41</v>
      </c>
      <c r="K1345" t="s">
        <v>16</v>
      </c>
      <c r="L1345" t="s">
        <v>2087</v>
      </c>
      <c r="M1345">
        <v>10</v>
      </c>
      <c r="N1345" t="s">
        <v>204</v>
      </c>
      <c r="O1345" t="s">
        <v>2107</v>
      </c>
    </row>
    <row r="1346" spans="1:15">
      <c r="A1346" t="s">
        <v>3141</v>
      </c>
      <c r="B1346" t="s">
        <v>2097</v>
      </c>
      <c r="C1346" t="s">
        <v>2094</v>
      </c>
      <c r="D1346" s="1">
        <v>44912</v>
      </c>
      <c r="E1346" s="1">
        <v>45032</v>
      </c>
      <c r="F1346">
        <v>260</v>
      </c>
      <c r="G1346">
        <v>10</v>
      </c>
      <c r="H1346">
        <v>764.64</v>
      </c>
      <c r="I1346">
        <v>135.97</v>
      </c>
      <c r="J1346" t="s">
        <v>41</v>
      </c>
      <c r="K1346" t="s">
        <v>20</v>
      </c>
      <c r="L1346" t="s">
        <v>2106</v>
      </c>
      <c r="M1346">
        <v>6</v>
      </c>
      <c r="N1346" t="s">
        <v>204</v>
      </c>
      <c r="O1346" t="s">
        <v>2109</v>
      </c>
    </row>
    <row r="1347" spans="1:15">
      <c r="A1347" t="s">
        <v>3142</v>
      </c>
      <c r="B1347" t="s">
        <v>2093</v>
      </c>
      <c r="C1347" t="s">
        <v>2108</v>
      </c>
      <c r="D1347" s="1">
        <v>44549</v>
      </c>
      <c r="E1347" s="1">
        <v>45147</v>
      </c>
      <c r="F1347">
        <v>145</v>
      </c>
      <c r="G1347">
        <v>2</v>
      </c>
      <c r="H1347">
        <v>90.88</v>
      </c>
      <c r="I1347">
        <v>27.52</v>
      </c>
      <c r="J1347" t="s">
        <v>115</v>
      </c>
      <c r="K1347" t="s">
        <v>16</v>
      </c>
      <c r="L1347" t="s">
        <v>2106</v>
      </c>
      <c r="M1347">
        <v>0</v>
      </c>
      <c r="N1347" t="s">
        <v>204</v>
      </c>
      <c r="O1347" t="s">
        <v>2096</v>
      </c>
    </row>
    <row r="1348" spans="1:15">
      <c r="A1348" t="s">
        <v>3143</v>
      </c>
      <c r="B1348" t="s">
        <v>2113</v>
      </c>
      <c r="C1348" t="s">
        <v>2094</v>
      </c>
      <c r="D1348" s="1">
        <v>43583</v>
      </c>
      <c r="E1348" s="1">
        <v>45282</v>
      </c>
      <c r="F1348">
        <v>10</v>
      </c>
      <c r="G1348">
        <v>17</v>
      </c>
      <c r="H1348">
        <v>395.66</v>
      </c>
      <c r="I1348">
        <v>41.69</v>
      </c>
      <c r="J1348" t="s">
        <v>66</v>
      </c>
      <c r="K1348" t="s">
        <v>16</v>
      </c>
      <c r="L1348" t="s">
        <v>2087</v>
      </c>
      <c r="M1348">
        <v>0</v>
      </c>
      <c r="N1348" t="s">
        <v>194</v>
      </c>
      <c r="O1348" t="s">
        <v>2096</v>
      </c>
    </row>
    <row r="1349" spans="1:15">
      <c r="A1349" t="s">
        <v>3144</v>
      </c>
      <c r="B1349" t="s">
        <v>2093</v>
      </c>
      <c r="C1349" t="s">
        <v>2091</v>
      </c>
      <c r="D1349" s="1">
        <v>43762</v>
      </c>
      <c r="E1349" s="1">
        <v>45169</v>
      </c>
      <c r="F1349">
        <v>123</v>
      </c>
      <c r="G1349">
        <v>5</v>
      </c>
      <c r="H1349">
        <v>190.41</v>
      </c>
      <c r="I1349">
        <v>56.24</v>
      </c>
      <c r="J1349" t="s">
        <v>115</v>
      </c>
      <c r="K1349" t="s">
        <v>16</v>
      </c>
      <c r="L1349" t="s">
        <v>2106</v>
      </c>
      <c r="M1349">
        <v>1</v>
      </c>
      <c r="N1349" t="s">
        <v>194</v>
      </c>
      <c r="O1349" t="s">
        <v>2088</v>
      </c>
    </row>
    <row r="1350" spans="1:15">
      <c r="A1350" t="s">
        <v>1469</v>
      </c>
      <c r="B1350" t="s">
        <v>2099</v>
      </c>
      <c r="C1350" t="s">
        <v>2108</v>
      </c>
      <c r="D1350" s="1">
        <v>44109</v>
      </c>
      <c r="E1350" s="1">
        <v>45025</v>
      </c>
      <c r="F1350">
        <v>267</v>
      </c>
      <c r="G1350">
        <v>2</v>
      </c>
      <c r="H1350">
        <v>143.69999999999999</v>
      </c>
      <c r="I1350">
        <v>82.12</v>
      </c>
      <c r="J1350" t="s">
        <v>66</v>
      </c>
      <c r="K1350" t="s">
        <v>16</v>
      </c>
      <c r="L1350" t="s">
        <v>2087</v>
      </c>
      <c r="M1350">
        <v>0</v>
      </c>
      <c r="N1350" t="s">
        <v>165</v>
      </c>
      <c r="O1350" t="s">
        <v>2109</v>
      </c>
    </row>
    <row r="1351" spans="1:15">
      <c r="A1351" t="s">
        <v>3145</v>
      </c>
      <c r="B1351" t="s">
        <v>2090</v>
      </c>
      <c r="C1351" t="s">
        <v>2094</v>
      </c>
      <c r="D1351" s="1">
        <v>44160</v>
      </c>
      <c r="E1351" s="1">
        <v>45103</v>
      </c>
      <c r="F1351">
        <v>189</v>
      </c>
      <c r="G1351">
        <v>6</v>
      </c>
      <c r="H1351">
        <v>362.19</v>
      </c>
      <c r="I1351">
        <v>79.98</v>
      </c>
      <c r="J1351" t="s">
        <v>41</v>
      </c>
      <c r="K1351" t="s">
        <v>16</v>
      </c>
      <c r="L1351" t="s">
        <v>2095</v>
      </c>
      <c r="M1351">
        <v>9</v>
      </c>
      <c r="N1351" t="s">
        <v>165</v>
      </c>
      <c r="O1351" t="s">
        <v>2096</v>
      </c>
    </row>
    <row r="1352" spans="1:15">
      <c r="A1352" t="s">
        <v>3146</v>
      </c>
      <c r="B1352" t="s">
        <v>2097</v>
      </c>
      <c r="C1352" t="s">
        <v>2100</v>
      </c>
      <c r="D1352" s="1">
        <v>44442</v>
      </c>
      <c r="E1352" s="1">
        <v>45034</v>
      </c>
      <c r="F1352">
        <v>258</v>
      </c>
      <c r="G1352">
        <v>11</v>
      </c>
      <c r="H1352">
        <v>318.79000000000002</v>
      </c>
      <c r="I1352">
        <v>134.51</v>
      </c>
      <c r="J1352" t="s">
        <v>41</v>
      </c>
      <c r="K1352" t="s">
        <v>16</v>
      </c>
      <c r="L1352" t="s">
        <v>2106</v>
      </c>
      <c r="M1352">
        <v>3</v>
      </c>
      <c r="N1352" t="s">
        <v>157</v>
      </c>
      <c r="O1352" t="s">
        <v>2096</v>
      </c>
    </row>
    <row r="1353" spans="1:15">
      <c r="A1353" t="s">
        <v>3147</v>
      </c>
      <c r="B1353" t="s">
        <v>2093</v>
      </c>
      <c r="C1353" t="s">
        <v>2111</v>
      </c>
      <c r="D1353" s="1">
        <v>44453</v>
      </c>
      <c r="E1353" s="1">
        <v>44979</v>
      </c>
      <c r="F1353">
        <v>313</v>
      </c>
      <c r="G1353">
        <v>2</v>
      </c>
      <c r="H1353">
        <v>59.83</v>
      </c>
      <c r="I1353">
        <v>58.61</v>
      </c>
      <c r="J1353" t="s">
        <v>14</v>
      </c>
      <c r="K1353" t="s">
        <v>16</v>
      </c>
      <c r="L1353" t="s">
        <v>2087</v>
      </c>
      <c r="M1353">
        <v>10</v>
      </c>
      <c r="N1353" t="s">
        <v>204</v>
      </c>
      <c r="O1353" t="s">
        <v>2109</v>
      </c>
    </row>
    <row r="1354" spans="1:15">
      <c r="A1354" t="s">
        <v>3148</v>
      </c>
      <c r="B1354" t="s">
        <v>2090</v>
      </c>
      <c r="C1354" t="s">
        <v>2094</v>
      </c>
      <c r="D1354" s="1">
        <v>43802</v>
      </c>
      <c r="E1354" s="1">
        <v>44956</v>
      </c>
      <c r="F1354">
        <v>336</v>
      </c>
      <c r="G1354">
        <v>2</v>
      </c>
      <c r="H1354">
        <v>389.99</v>
      </c>
      <c r="I1354">
        <v>48.53</v>
      </c>
      <c r="J1354" t="s">
        <v>41</v>
      </c>
      <c r="K1354" t="s">
        <v>20</v>
      </c>
      <c r="L1354" t="s">
        <v>2106</v>
      </c>
      <c r="M1354">
        <v>5</v>
      </c>
      <c r="N1354" t="s">
        <v>174</v>
      </c>
      <c r="O1354" t="s">
        <v>2121</v>
      </c>
    </row>
    <row r="1355" spans="1:15">
      <c r="A1355" t="s">
        <v>3149</v>
      </c>
      <c r="B1355" t="s">
        <v>2113</v>
      </c>
      <c r="C1355" t="s">
        <v>2111</v>
      </c>
      <c r="D1355" s="1">
        <v>44233</v>
      </c>
      <c r="E1355" s="1">
        <v>45016</v>
      </c>
      <c r="F1355">
        <v>276</v>
      </c>
      <c r="G1355">
        <v>17</v>
      </c>
      <c r="H1355">
        <v>388.56</v>
      </c>
      <c r="I1355">
        <v>41.63</v>
      </c>
      <c r="J1355" t="s">
        <v>90</v>
      </c>
      <c r="K1355" t="s">
        <v>20</v>
      </c>
      <c r="L1355" t="s">
        <v>2095</v>
      </c>
      <c r="M1355">
        <v>3</v>
      </c>
      <c r="N1355" t="s">
        <v>232</v>
      </c>
      <c r="O1355" t="s">
        <v>2107</v>
      </c>
    </row>
    <row r="1356" spans="1:15">
      <c r="A1356" t="s">
        <v>248</v>
      </c>
      <c r="B1356" t="s">
        <v>2097</v>
      </c>
      <c r="C1356" t="s">
        <v>2111</v>
      </c>
      <c r="D1356" s="1">
        <v>44630</v>
      </c>
      <c r="E1356" s="1">
        <v>45208</v>
      </c>
      <c r="F1356">
        <v>84</v>
      </c>
      <c r="G1356">
        <v>3</v>
      </c>
      <c r="H1356">
        <v>734.02</v>
      </c>
      <c r="I1356">
        <v>124.69</v>
      </c>
      <c r="J1356" t="s">
        <v>14</v>
      </c>
      <c r="K1356" t="s">
        <v>16</v>
      </c>
      <c r="L1356" t="s">
        <v>2095</v>
      </c>
      <c r="M1356">
        <v>10</v>
      </c>
      <c r="N1356" t="s">
        <v>204</v>
      </c>
      <c r="O1356" t="s">
        <v>2121</v>
      </c>
    </row>
    <row r="1357" spans="1:15">
      <c r="A1357" t="s">
        <v>769</v>
      </c>
      <c r="B1357" t="s">
        <v>2099</v>
      </c>
      <c r="C1357" t="s">
        <v>2100</v>
      </c>
      <c r="D1357" s="1">
        <v>45244</v>
      </c>
      <c r="E1357" s="1">
        <v>44963</v>
      </c>
      <c r="F1357">
        <v>329</v>
      </c>
      <c r="G1357">
        <v>1</v>
      </c>
      <c r="H1357">
        <v>27.87</v>
      </c>
      <c r="I1357">
        <v>63.71</v>
      </c>
      <c r="J1357" t="s">
        <v>90</v>
      </c>
      <c r="K1357" t="s">
        <v>16</v>
      </c>
      <c r="L1357" t="s">
        <v>2095</v>
      </c>
      <c r="M1357">
        <v>1</v>
      </c>
      <c r="N1357" t="s">
        <v>204</v>
      </c>
      <c r="O1357" t="s">
        <v>2107</v>
      </c>
    </row>
    <row r="1358" spans="1:15">
      <c r="A1358" t="s">
        <v>3150</v>
      </c>
      <c r="B1358" t="s">
        <v>2099</v>
      </c>
      <c r="C1358" t="s">
        <v>2086</v>
      </c>
      <c r="D1358" s="1">
        <v>43533</v>
      </c>
      <c r="E1358" s="1">
        <v>45076</v>
      </c>
      <c r="F1358">
        <v>216</v>
      </c>
      <c r="G1358">
        <v>1</v>
      </c>
      <c r="H1358">
        <v>135.46</v>
      </c>
      <c r="I1358">
        <v>74.819999999999993</v>
      </c>
      <c r="J1358" t="s">
        <v>41</v>
      </c>
      <c r="K1358" t="s">
        <v>16</v>
      </c>
      <c r="L1358" t="s">
        <v>2095</v>
      </c>
      <c r="M1358">
        <v>6</v>
      </c>
      <c r="N1358" t="s">
        <v>179</v>
      </c>
      <c r="O1358" t="s">
        <v>2109</v>
      </c>
    </row>
    <row r="1359" spans="1:15">
      <c r="A1359" t="s">
        <v>3151</v>
      </c>
      <c r="B1359" t="s">
        <v>2097</v>
      </c>
      <c r="C1359" t="s">
        <v>2100</v>
      </c>
      <c r="D1359" s="1">
        <v>43924</v>
      </c>
      <c r="E1359" s="1">
        <v>44984</v>
      </c>
      <c r="F1359">
        <v>308</v>
      </c>
      <c r="G1359">
        <v>7</v>
      </c>
      <c r="H1359">
        <v>745.93</v>
      </c>
      <c r="I1359">
        <v>87.67</v>
      </c>
      <c r="J1359" t="s">
        <v>41</v>
      </c>
      <c r="K1359" t="s">
        <v>20</v>
      </c>
      <c r="L1359" t="s">
        <v>2087</v>
      </c>
      <c r="M1359">
        <v>7</v>
      </c>
      <c r="N1359" t="s">
        <v>204</v>
      </c>
      <c r="O1359" t="s">
        <v>2107</v>
      </c>
    </row>
    <row r="1360" spans="1:15">
      <c r="A1360" t="s">
        <v>3152</v>
      </c>
      <c r="B1360" t="s">
        <v>2090</v>
      </c>
      <c r="C1360" t="s">
        <v>2094</v>
      </c>
      <c r="D1360" s="1">
        <v>43532</v>
      </c>
      <c r="E1360" s="1">
        <v>45130</v>
      </c>
      <c r="F1360">
        <v>162</v>
      </c>
      <c r="G1360">
        <v>2</v>
      </c>
      <c r="H1360">
        <v>252.78</v>
      </c>
      <c r="I1360">
        <v>116.63</v>
      </c>
      <c r="J1360" t="s">
        <v>66</v>
      </c>
      <c r="K1360" t="s">
        <v>16</v>
      </c>
      <c r="L1360" t="s">
        <v>2095</v>
      </c>
      <c r="M1360">
        <v>5</v>
      </c>
      <c r="N1360" t="s">
        <v>232</v>
      </c>
      <c r="O1360" t="s">
        <v>2088</v>
      </c>
    </row>
    <row r="1361" spans="1:15">
      <c r="A1361" t="s">
        <v>3153</v>
      </c>
      <c r="B1361" t="s">
        <v>2090</v>
      </c>
      <c r="C1361" t="s">
        <v>2091</v>
      </c>
      <c r="D1361" s="1">
        <v>44977</v>
      </c>
      <c r="E1361" s="1">
        <v>45236</v>
      </c>
      <c r="F1361">
        <v>56</v>
      </c>
      <c r="G1361">
        <v>4</v>
      </c>
      <c r="H1361">
        <v>114.79</v>
      </c>
      <c r="I1361">
        <v>88.29</v>
      </c>
      <c r="J1361" t="s">
        <v>41</v>
      </c>
      <c r="K1361" t="s">
        <v>16</v>
      </c>
      <c r="L1361" t="s">
        <v>2106</v>
      </c>
      <c r="M1361">
        <v>2</v>
      </c>
      <c r="N1361" t="s">
        <v>179</v>
      </c>
      <c r="O1361" t="s">
        <v>2109</v>
      </c>
    </row>
    <row r="1362" spans="1:15">
      <c r="A1362" t="s">
        <v>3154</v>
      </c>
      <c r="B1362" t="s">
        <v>2097</v>
      </c>
      <c r="C1362" t="s">
        <v>2100</v>
      </c>
      <c r="D1362" s="1">
        <v>44638</v>
      </c>
      <c r="E1362" s="1">
        <v>44987</v>
      </c>
      <c r="F1362">
        <v>305</v>
      </c>
      <c r="G1362">
        <v>11</v>
      </c>
      <c r="H1362">
        <v>709.77</v>
      </c>
      <c r="I1362">
        <v>66.010000000000005</v>
      </c>
      <c r="J1362" t="s">
        <v>41</v>
      </c>
      <c r="K1362" t="s">
        <v>16</v>
      </c>
      <c r="L1362" t="s">
        <v>2106</v>
      </c>
      <c r="M1362">
        <v>0</v>
      </c>
      <c r="N1362" t="s">
        <v>194</v>
      </c>
      <c r="O1362" t="s">
        <v>2088</v>
      </c>
    </row>
    <row r="1363" spans="1:15">
      <c r="A1363" t="s">
        <v>3155</v>
      </c>
      <c r="B1363" t="s">
        <v>2099</v>
      </c>
      <c r="C1363" t="s">
        <v>2100</v>
      </c>
      <c r="D1363" s="1">
        <v>44325</v>
      </c>
      <c r="E1363" s="1">
        <v>45158</v>
      </c>
      <c r="F1363">
        <v>134</v>
      </c>
      <c r="G1363">
        <v>1</v>
      </c>
      <c r="H1363">
        <v>36.31</v>
      </c>
      <c r="I1363">
        <v>54.44</v>
      </c>
      <c r="J1363" t="s">
        <v>66</v>
      </c>
      <c r="K1363" t="s">
        <v>16</v>
      </c>
      <c r="L1363" t="s">
        <v>2087</v>
      </c>
      <c r="M1363">
        <v>2</v>
      </c>
      <c r="N1363" t="s">
        <v>232</v>
      </c>
      <c r="O1363" t="s">
        <v>2121</v>
      </c>
    </row>
    <row r="1364" spans="1:15">
      <c r="A1364" t="s">
        <v>1654</v>
      </c>
      <c r="B1364" t="s">
        <v>2113</v>
      </c>
      <c r="C1364" t="s">
        <v>2086</v>
      </c>
      <c r="D1364" s="1">
        <v>44999</v>
      </c>
      <c r="E1364" s="1">
        <v>45247</v>
      </c>
      <c r="F1364">
        <v>45</v>
      </c>
      <c r="G1364">
        <v>11</v>
      </c>
      <c r="H1364">
        <v>394.06</v>
      </c>
      <c r="I1364">
        <v>43.24</v>
      </c>
      <c r="J1364" t="s">
        <v>66</v>
      </c>
      <c r="K1364" t="s">
        <v>16</v>
      </c>
      <c r="L1364" t="s">
        <v>2087</v>
      </c>
      <c r="M1364">
        <v>0</v>
      </c>
      <c r="N1364" t="s">
        <v>232</v>
      </c>
      <c r="O1364" t="s">
        <v>2088</v>
      </c>
    </row>
    <row r="1365" spans="1:15">
      <c r="A1365" t="s">
        <v>3156</v>
      </c>
      <c r="B1365" t="s">
        <v>2099</v>
      </c>
      <c r="C1365" t="s">
        <v>2100</v>
      </c>
      <c r="D1365" s="1">
        <v>44480</v>
      </c>
      <c r="E1365" s="1">
        <v>45113</v>
      </c>
      <c r="F1365">
        <v>179</v>
      </c>
      <c r="G1365">
        <v>2</v>
      </c>
      <c r="H1365">
        <v>126.09</v>
      </c>
      <c r="I1365">
        <v>53.5</v>
      </c>
      <c r="J1365" t="s">
        <v>14</v>
      </c>
      <c r="K1365" t="s">
        <v>16</v>
      </c>
      <c r="L1365" t="s">
        <v>2095</v>
      </c>
      <c r="M1365">
        <v>8</v>
      </c>
      <c r="N1365" t="s">
        <v>174</v>
      </c>
      <c r="O1365" t="s">
        <v>2096</v>
      </c>
    </row>
    <row r="1366" spans="1:15">
      <c r="A1366" t="s">
        <v>3157</v>
      </c>
      <c r="B1366" t="s">
        <v>2090</v>
      </c>
      <c r="C1366" t="s">
        <v>2111</v>
      </c>
      <c r="D1366" s="1">
        <v>43805</v>
      </c>
      <c r="E1366" s="1">
        <v>45022</v>
      </c>
      <c r="F1366">
        <v>270</v>
      </c>
      <c r="G1366">
        <v>8</v>
      </c>
      <c r="H1366">
        <v>350.22</v>
      </c>
      <c r="I1366">
        <v>87.6</v>
      </c>
      <c r="J1366" t="s">
        <v>66</v>
      </c>
      <c r="K1366" t="s">
        <v>16</v>
      </c>
      <c r="L1366" t="s">
        <v>2095</v>
      </c>
      <c r="M1366">
        <v>9</v>
      </c>
      <c r="N1366" t="s">
        <v>174</v>
      </c>
      <c r="O1366" t="s">
        <v>2121</v>
      </c>
    </row>
    <row r="1367" spans="1:15">
      <c r="A1367" t="s">
        <v>3158</v>
      </c>
      <c r="B1367" t="s">
        <v>2113</v>
      </c>
      <c r="C1367" t="s">
        <v>2091</v>
      </c>
      <c r="D1367" s="1">
        <v>43787</v>
      </c>
      <c r="E1367" s="1">
        <v>45105</v>
      </c>
      <c r="F1367">
        <v>187</v>
      </c>
      <c r="G1367">
        <v>6</v>
      </c>
      <c r="H1367">
        <v>392.39</v>
      </c>
      <c r="I1367">
        <v>38.67</v>
      </c>
      <c r="J1367" t="s">
        <v>41</v>
      </c>
      <c r="K1367" t="s">
        <v>16</v>
      </c>
      <c r="L1367" t="s">
        <v>2095</v>
      </c>
      <c r="M1367">
        <v>0</v>
      </c>
      <c r="N1367" t="s">
        <v>157</v>
      </c>
      <c r="O1367" t="s">
        <v>2107</v>
      </c>
    </row>
    <row r="1368" spans="1:15">
      <c r="A1368" t="s">
        <v>3159</v>
      </c>
      <c r="B1368" t="s">
        <v>2113</v>
      </c>
      <c r="C1368" t="s">
        <v>2094</v>
      </c>
      <c r="D1368" s="1">
        <v>44801</v>
      </c>
      <c r="E1368" s="1">
        <v>45096</v>
      </c>
      <c r="F1368">
        <v>196</v>
      </c>
      <c r="G1368">
        <v>7</v>
      </c>
      <c r="H1368">
        <v>120.37</v>
      </c>
      <c r="I1368">
        <v>70.48</v>
      </c>
      <c r="J1368" t="s">
        <v>14</v>
      </c>
      <c r="K1368" t="s">
        <v>16</v>
      </c>
      <c r="L1368" t="s">
        <v>2106</v>
      </c>
      <c r="M1368">
        <v>3</v>
      </c>
      <c r="N1368" t="s">
        <v>194</v>
      </c>
      <c r="O1368" t="s">
        <v>2121</v>
      </c>
    </row>
    <row r="1369" spans="1:15">
      <c r="A1369" t="s">
        <v>3160</v>
      </c>
      <c r="B1369" t="s">
        <v>2113</v>
      </c>
      <c r="C1369" t="s">
        <v>2086</v>
      </c>
      <c r="D1369" s="1">
        <v>44498</v>
      </c>
      <c r="E1369" s="1">
        <v>45210</v>
      </c>
      <c r="F1369">
        <v>82</v>
      </c>
      <c r="G1369">
        <v>6</v>
      </c>
      <c r="H1369">
        <v>213.02</v>
      </c>
      <c r="I1369">
        <v>50.24</v>
      </c>
      <c r="J1369" t="s">
        <v>66</v>
      </c>
      <c r="K1369" t="s">
        <v>20</v>
      </c>
      <c r="L1369" t="s">
        <v>2095</v>
      </c>
      <c r="M1369">
        <v>9</v>
      </c>
      <c r="N1369" t="s">
        <v>157</v>
      </c>
      <c r="O1369" t="s">
        <v>2107</v>
      </c>
    </row>
    <row r="1370" spans="1:15">
      <c r="A1370" t="s">
        <v>3161</v>
      </c>
      <c r="B1370" t="s">
        <v>2097</v>
      </c>
      <c r="C1370" t="s">
        <v>2100</v>
      </c>
      <c r="D1370" s="1">
        <v>43800</v>
      </c>
      <c r="E1370" s="1">
        <v>45230</v>
      </c>
      <c r="F1370">
        <v>62</v>
      </c>
      <c r="G1370">
        <v>5</v>
      </c>
      <c r="H1370">
        <v>341.45</v>
      </c>
      <c r="I1370">
        <v>74.63</v>
      </c>
      <c r="J1370" t="s">
        <v>41</v>
      </c>
      <c r="K1370" t="s">
        <v>16</v>
      </c>
      <c r="L1370" t="s">
        <v>2106</v>
      </c>
      <c r="M1370">
        <v>0</v>
      </c>
      <c r="N1370" t="s">
        <v>194</v>
      </c>
      <c r="O1370" t="s">
        <v>2088</v>
      </c>
    </row>
    <row r="1371" spans="1:15">
      <c r="A1371" t="s">
        <v>3162</v>
      </c>
      <c r="B1371" t="s">
        <v>2093</v>
      </c>
      <c r="C1371" t="s">
        <v>2094</v>
      </c>
      <c r="D1371" s="1">
        <v>43724</v>
      </c>
      <c r="E1371" s="1">
        <v>45064</v>
      </c>
      <c r="F1371">
        <v>228</v>
      </c>
      <c r="G1371">
        <v>5</v>
      </c>
      <c r="H1371">
        <v>199.97</v>
      </c>
      <c r="I1371">
        <v>33.83</v>
      </c>
      <c r="J1371" t="s">
        <v>14</v>
      </c>
      <c r="K1371" t="s">
        <v>16</v>
      </c>
      <c r="L1371" t="s">
        <v>2106</v>
      </c>
      <c r="M1371">
        <v>0</v>
      </c>
      <c r="N1371" t="s">
        <v>204</v>
      </c>
      <c r="O1371" t="s">
        <v>2121</v>
      </c>
    </row>
    <row r="1372" spans="1:15">
      <c r="A1372" t="s">
        <v>3163</v>
      </c>
      <c r="B1372" t="s">
        <v>2090</v>
      </c>
      <c r="C1372" t="s">
        <v>2091</v>
      </c>
      <c r="D1372" s="1">
        <v>44697</v>
      </c>
      <c r="E1372" s="1">
        <v>45241</v>
      </c>
      <c r="F1372">
        <v>51</v>
      </c>
      <c r="G1372">
        <v>5</v>
      </c>
      <c r="H1372">
        <v>180.18</v>
      </c>
      <c r="I1372">
        <v>109.97</v>
      </c>
      <c r="J1372" t="s">
        <v>14</v>
      </c>
      <c r="K1372" t="s">
        <v>16</v>
      </c>
      <c r="L1372" t="s">
        <v>2095</v>
      </c>
      <c r="M1372">
        <v>3</v>
      </c>
      <c r="N1372" t="s">
        <v>204</v>
      </c>
      <c r="O1372" t="s">
        <v>2109</v>
      </c>
    </row>
    <row r="1373" spans="1:15">
      <c r="A1373" t="s">
        <v>3164</v>
      </c>
      <c r="B1373" t="s">
        <v>2097</v>
      </c>
      <c r="C1373" t="s">
        <v>2091</v>
      </c>
      <c r="D1373" s="1">
        <v>44227</v>
      </c>
      <c r="E1373" s="1">
        <v>45069</v>
      </c>
      <c r="F1373">
        <v>223</v>
      </c>
      <c r="G1373">
        <v>4</v>
      </c>
      <c r="H1373">
        <v>462.73</v>
      </c>
      <c r="I1373">
        <v>80.900000000000006</v>
      </c>
      <c r="J1373" t="s">
        <v>14</v>
      </c>
      <c r="K1373" t="s">
        <v>16</v>
      </c>
      <c r="L1373" t="s">
        <v>2087</v>
      </c>
      <c r="M1373">
        <v>2</v>
      </c>
      <c r="N1373" t="s">
        <v>232</v>
      </c>
      <c r="O1373" t="s">
        <v>2121</v>
      </c>
    </row>
    <row r="1374" spans="1:15">
      <c r="A1374" t="s">
        <v>3165</v>
      </c>
      <c r="B1374" t="s">
        <v>2093</v>
      </c>
      <c r="C1374" t="s">
        <v>2111</v>
      </c>
      <c r="D1374" s="1">
        <v>44166</v>
      </c>
      <c r="E1374" s="1">
        <v>45245</v>
      </c>
      <c r="F1374">
        <v>47</v>
      </c>
      <c r="G1374">
        <v>1</v>
      </c>
      <c r="H1374">
        <v>126.28</v>
      </c>
      <c r="I1374">
        <v>74.099999999999994</v>
      </c>
      <c r="J1374" t="s">
        <v>115</v>
      </c>
      <c r="K1374" t="s">
        <v>16</v>
      </c>
      <c r="L1374" t="s">
        <v>2095</v>
      </c>
      <c r="M1374">
        <v>6</v>
      </c>
      <c r="N1374" t="s">
        <v>204</v>
      </c>
      <c r="O1374" t="s">
        <v>2096</v>
      </c>
    </row>
    <row r="1375" spans="1:15">
      <c r="A1375" t="s">
        <v>3166</v>
      </c>
      <c r="B1375" t="s">
        <v>2093</v>
      </c>
      <c r="C1375" t="s">
        <v>2091</v>
      </c>
      <c r="D1375" s="1">
        <v>44945</v>
      </c>
      <c r="E1375" s="1">
        <v>45132</v>
      </c>
      <c r="F1375">
        <v>160</v>
      </c>
      <c r="G1375">
        <v>2</v>
      </c>
      <c r="H1375">
        <v>46.98</v>
      </c>
      <c r="I1375">
        <v>42.34</v>
      </c>
      <c r="J1375" t="s">
        <v>90</v>
      </c>
      <c r="K1375" t="s">
        <v>16</v>
      </c>
      <c r="L1375" t="s">
        <v>2087</v>
      </c>
      <c r="M1375">
        <v>5</v>
      </c>
      <c r="N1375" t="s">
        <v>157</v>
      </c>
      <c r="O1375" t="s">
        <v>2088</v>
      </c>
    </row>
    <row r="1376" spans="1:15">
      <c r="A1376" t="s">
        <v>3167</v>
      </c>
      <c r="B1376" t="s">
        <v>2093</v>
      </c>
      <c r="C1376" t="s">
        <v>2111</v>
      </c>
      <c r="D1376" s="1">
        <v>43756</v>
      </c>
      <c r="E1376" s="1">
        <v>45286</v>
      </c>
      <c r="F1376">
        <v>6</v>
      </c>
      <c r="G1376">
        <v>4</v>
      </c>
      <c r="H1376">
        <v>72.819999999999993</v>
      </c>
      <c r="I1376">
        <v>26.17</v>
      </c>
      <c r="J1376" t="s">
        <v>115</v>
      </c>
      <c r="K1376" t="s">
        <v>16</v>
      </c>
      <c r="L1376" t="s">
        <v>2095</v>
      </c>
      <c r="M1376">
        <v>7</v>
      </c>
      <c r="N1376" t="s">
        <v>179</v>
      </c>
      <c r="O1376" t="s">
        <v>2107</v>
      </c>
    </row>
    <row r="1377" spans="1:15">
      <c r="A1377" t="s">
        <v>3168</v>
      </c>
      <c r="B1377" t="s">
        <v>2085</v>
      </c>
      <c r="C1377" t="s">
        <v>2094</v>
      </c>
      <c r="D1377" s="1">
        <v>44985</v>
      </c>
      <c r="E1377" s="1">
        <v>45199</v>
      </c>
      <c r="F1377">
        <v>93</v>
      </c>
      <c r="G1377">
        <v>12</v>
      </c>
      <c r="H1377">
        <v>2056.38</v>
      </c>
      <c r="I1377">
        <v>131.66999999999999</v>
      </c>
      <c r="J1377" t="s">
        <v>66</v>
      </c>
      <c r="K1377" t="s">
        <v>16</v>
      </c>
      <c r="L1377" t="s">
        <v>2087</v>
      </c>
      <c r="M1377">
        <v>0</v>
      </c>
      <c r="N1377" t="s">
        <v>157</v>
      </c>
      <c r="O1377" t="s">
        <v>2107</v>
      </c>
    </row>
    <row r="1378" spans="1:15">
      <c r="A1378" t="s">
        <v>206</v>
      </c>
      <c r="B1378" t="s">
        <v>2093</v>
      </c>
      <c r="C1378" t="s">
        <v>2094</v>
      </c>
      <c r="D1378" s="1">
        <v>45227</v>
      </c>
      <c r="E1378" s="1">
        <v>45096</v>
      </c>
      <c r="F1378">
        <v>196</v>
      </c>
      <c r="G1378">
        <v>1</v>
      </c>
      <c r="H1378">
        <v>40.68</v>
      </c>
      <c r="I1378">
        <v>61.46</v>
      </c>
      <c r="J1378" t="s">
        <v>14</v>
      </c>
      <c r="K1378" t="s">
        <v>16</v>
      </c>
      <c r="L1378" t="s">
        <v>2095</v>
      </c>
      <c r="M1378">
        <v>4</v>
      </c>
      <c r="N1378" t="s">
        <v>157</v>
      </c>
      <c r="O1378" t="s">
        <v>2107</v>
      </c>
    </row>
    <row r="1379" spans="1:15">
      <c r="A1379" t="s">
        <v>3169</v>
      </c>
      <c r="B1379" t="s">
        <v>2085</v>
      </c>
      <c r="C1379" t="s">
        <v>2086</v>
      </c>
      <c r="D1379" s="1">
        <v>44830</v>
      </c>
      <c r="E1379" s="1">
        <v>44952</v>
      </c>
      <c r="F1379">
        <v>340</v>
      </c>
      <c r="G1379">
        <v>30</v>
      </c>
      <c r="H1379">
        <v>2207.66</v>
      </c>
      <c r="I1379">
        <v>159.9</v>
      </c>
      <c r="J1379" t="s">
        <v>90</v>
      </c>
      <c r="K1379" t="s">
        <v>16</v>
      </c>
      <c r="L1379" t="s">
        <v>2106</v>
      </c>
      <c r="M1379">
        <v>7</v>
      </c>
      <c r="N1379" t="s">
        <v>165</v>
      </c>
      <c r="O1379" t="s">
        <v>2107</v>
      </c>
    </row>
    <row r="1380" spans="1:15">
      <c r="A1380" t="s">
        <v>3170</v>
      </c>
      <c r="B1380" t="s">
        <v>2113</v>
      </c>
      <c r="C1380" t="s">
        <v>2091</v>
      </c>
      <c r="D1380" s="1">
        <v>44884</v>
      </c>
      <c r="E1380" s="1">
        <v>45055</v>
      </c>
      <c r="F1380">
        <v>237</v>
      </c>
      <c r="G1380">
        <v>19</v>
      </c>
      <c r="H1380">
        <v>402.73</v>
      </c>
      <c r="I1380">
        <v>36.340000000000003</v>
      </c>
      <c r="J1380" t="s">
        <v>41</v>
      </c>
      <c r="K1380" t="s">
        <v>16</v>
      </c>
      <c r="L1380" t="s">
        <v>2106</v>
      </c>
      <c r="M1380">
        <v>8</v>
      </c>
      <c r="N1380" t="s">
        <v>157</v>
      </c>
      <c r="O1380" t="s">
        <v>2121</v>
      </c>
    </row>
    <row r="1381" spans="1:15">
      <c r="A1381" t="s">
        <v>3171</v>
      </c>
      <c r="B1381" t="s">
        <v>2093</v>
      </c>
      <c r="C1381" t="s">
        <v>2091</v>
      </c>
      <c r="D1381" s="1">
        <v>43690</v>
      </c>
      <c r="E1381" s="1">
        <v>45229</v>
      </c>
      <c r="F1381">
        <v>63</v>
      </c>
      <c r="G1381">
        <v>3</v>
      </c>
      <c r="H1381">
        <v>149.07</v>
      </c>
      <c r="I1381">
        <v>52.38</v>
      </c>
      <c r="J1381" t="s">
        <v>14</v>
      </c>
      <c r="K1381" t="s">
        <v>16</v>
      </c>
      <c r="L1381" t="s">
        <v>2106</v>
      </c>
      <c r="M1381">
        <v>7</v>
      </c>
      <c r="N1381" t="s">
        <v>204</v>
      </c>
      <c r="O1381" t="s">
        <v>2096</v>
      </c>
    </row>
    <row r="1382" spans="1:15">
      <c r="A1382" t="s">
        <v>3172</v>
      </c>
      <c r="B1382" t="s">
        <v>2099</v>
      </c>
      <c r="C1382" t="s">
        <v>2091</v>
      </c>
      <c r="D1382" s="1">
        <v>43872</v>
      </c>
      <c r="E1382" s="1">
        <v>45033</v>
      </c>
      <c r="F1382">
        <v>259</v>
      </c>
      <c r="G1382">
        <v>2</v>
      </c>
      <c r="H1382">
        <v>102.43</v>
      </c>
      <c r="I1382">
        <v>86.36</v>
      </c>
      <c r="J1382" t="s">
        <v>41</v>
      </c>
      <c r="K1382" t="s">
        <v>20</v>
      </c>
      <c r="L1382" t="s">
        <v>2106</v>
      </c>
      <c r="M1382">
        <v>8</v>
      </c>
      <c r="N1382" t="s">
        <v>204</v>
      </c>
      <c r="O1382" t="s">
        <v>2121</v>
      </c>
    </row>
    <row r="1383" spans="1:15">
      <c r="A1383" t="s">
        <v>3173</v>
      </c>
      <c r="B1383" t="s">
        <v>2085</v>
      </c>
      <c r="C1383" t="s">
        <v>2100</v>
      </c>
      <c r="D1383" s="1">
        <v>43805</v>
      </c>
      <c r="E1383" s="1">
        <v>45101</v>
      </c>
      <c r="F1383">
        <v>191</v>
      </c>
      <c r="G1383">
        <v>23</v>
      </c>
      <c r="H1383">
        <v>2719.74</v>
      </c>
      <c r="I1383">
        <v>288.55</v>
      </c>
      <c r="J1383" t="s">
        <v>115</v>
      </c>
      <c r="K1383" t="s">
        <v>20</v>
      </c>
      <c r="L1383" t="s">
        <v>2087</v>
      </c>
      <c r="M1383">
        <v>6</v>
      </c>
      <c r="N1383" t="s">
        <v>194</v>
      </c>
      <c r="O1383" t="s">
        <v>2096</v>
      </c>
    </row>
    <row r="1384" spans="1:15">
      <c r="A1384" t="s">
        <v>3174</v>
      </c>
      <c r="B1384" t="s">
        <v>2090</v>
      </c>
      <c r="C1384" t="s">
        <v>2086</v>
      </c>
      <c r="D1384" s="1">
        <v>44201</v>
      </c>
      <c r="E1384" s="1">
        <v>45196</v>
      </c>
      <c r="F1384">
        <v>96</v>
      </c>
      <c r="G1384">
        <v>4</v>
      </c>
      <c r="H1384">
        <v>283.69</v>
      </c>
      <c r="I1384">
        <v>102.85</v>
      </c>
      <c r="J1384" t="s">
        <v>41</v>
      </c>
      <c r="K1384" t="s">
        <v>20</v>
      </c>
      <c r="L1384" t="s">
        <v>2106</v>
      </c>
      <c r="M1384">
        <v>2</v>
      </c>
      <c r="N1384" t="s">
        <v>179</v>
      </c>
      <c r="O1384" t="s">
        <v>2121</v>
      </c>
    </row>
    <row r="1385" spans="1:15">
      <c r="A1385" t="s">
        <v>3175</v>
      </c>
      <c r="B1385" t="s">
        <v>2093</v>
      </c>
      <c r="C1385" t="s">
        <v>2111</v>
      </c>
      <c r="D1385" s="1">
        <v>44294</v>
      </c>
      <c r="E1385" s="1">
        <v>45015</v>
      </c>
      <c r="F1385">
        <v>277</v>
      </c>
      <c r="G1385">
        <v>4</v>
      </c>
      <c r="H1385">
        <v>150.80000000000001</v>
      </c>
      <c r="I1385">
        <v>48.67</v>
      </c>
      <c r="J1385" t="s">
        <v>115</v>
      </c>
      <c r="K1385" t="s">
        <v>16</v>
      </c>
      <c r="L1385" t="s">
        <v>2087</v>
      </c>
      <c r="M1385">
        <v>7</v>
      </c>
      <c r="N1385" t="s">
        <v>157</v>
      </c>
      <c r="O1385" t="s">
        <v>2088</v>
      </c>
    </row>
    <row r="1386" spans="1:15">
      <c r="A1386" t="s">
        <v>3176</v>
      </c>
      <c r="B1386" t="s">
        <v>2097</v>
      </c>
      <c r="C1386" t="s">
        <v>2094</v>
      </c>
      <c r="D1386" s="1">
        <v>45063</v>
      </c>
      <c r="E1386" s="1">
        <v>45253</v>
      </c>
      <c r="F1386">
        <v>39</v>
      </c>
      <c r="G1386">
        <v>8</v>
      </c>
      <c r="H1386">
        <v>348.34</v>
      </c>
      <c r="I1386">
        <v>71.67</v>
      </c>
      <c r="J1386" t="s">
        <v>66</v>
      </c>
      <c r="K1386" t="s">
        <v>16</v>
      </c>
      <c r="L1386" t="s">
        <v>2106</v>
      </c>
      <c r="M1386">
        <v>6</v>
      </c>
      <c r="N1386" t="s">
        <v>157</v>
      </c>
      <c r="O1386" t="s">
        <v>2088</v>
      </c>
    </row>
    <row r="1387" spans="1:15">
      <c r="A1387" t="s">
        <v>3177</v>
      </c>
      <c r="B1387" t="s">
        <v>2097</v>
      </c>
      <c r="C1387" t="s">
        <v>2086</v>
      </c>
      <c r="D1387" s="1">
        <v>45012</v>
      </c>
      <c r="E1387" s="1">
        <v>44981</v>
      </c>
      <c r="F1387">
        <v>311</v>
      </c>
      <c r="G1387">
        <v>5</v>
      </c>
      <c r="H1387">
        <v>269.32</v>
      </c>
      <c r="I1387">
        <v>85.04</v>
      </c>
      <c r="J1387" t="s">
        <v>41</v>
      </c>
      <c r="K1387" t="s">
        <v>16</v>
      </c>
      <c r="L1387" t="s">
        <v>2106</v>
      </c>
      <c r="M1387">
        <v>10</v>
      </c>
      <c r="N1387" t="s">
        <v>165</v>
      </c>
      <c r="O1387" t="s">
        <v>2109</v>
      </c>
    </row>
    <row r="1388" spans="1:15">
      <c r="A1388" t="s">
        <v>492</v>
      </c>
      <c r="B1388" t="s">
        <v>2097</v>
      </c>
      <c r="C1388" t="s">
        <v>2094</v>
      </c>
      <c r="D1388" s="1">
        <v>43852</v>
      </c>
      <c r="E1388" s="1">
        <v>45228</v>
      </c>
      <c r="F1388">
        <v>64</v>
      </c>
      <c r="G1388">
        <v>7</v>
      </c>
      <c r="H1388">
        <v>440.69</v>
      </c>
      <c r="I1388">
        <v>105.25</v>
      </c>
      <c r="J1388" t="s">
        <v>41</v>
      </c>
      <c r="K1388" t="s">
        <v>20</v>
      </c>
      <c r="L1388" t="s">
        <v>2095</v>
      </c>
      <c r="M1388">
        <v>1</v>
      </c>
      <c r="N1388" t="s">
        <v>179</v>
      </c>
      <c r="O1388" t="s">
        <v>2107</v>
      </c>
    </row>
    <row r="1389" spans="1:15">
      <c r="A1389" t="s">
        <v>3178</v>
      </c>
      <c r="B1389" t="s">
        <v>2097</v>
      </c>
      <c r="C1389" t="s">
        <v>2091</v>
      </c>
      <c r="D1389" s="1">
        <v>44632</v>
      </c>
      <c r="E1389" s="1">
        <v>45220</v>
      </c>
      <c r="F1389">
        <v>72</v>
      </c>
      <c r="G1389">
        <v>6</v>
      </c>
      <c r="H1389">
        <v>749.34</v>
      </c>
      <c r="I1389">
        <v>58.72</v>
      </c>
      <c r="J1389" t="s">
        <v>115</v>
      </c>
      <c r="K1389" t="s">
        <v>16</v>
      </c>
      <c r="L1389" t="s">
        <v>2095</v>
      </c>
      <c r="M1389">
        <v>9</v>
      </c>
      <c r="N1389" t="s">
        <v>165</v>
      </c>
      <c r="O1389" t="s">
        <v>2109</v>
      </c>
    </row>
    <row r="1390" spans="1:15">
      <c r="A1390" t="s">
        <v>3179</v>
      </c>
      <c r="B1390" t="s">
        <v>2099</v>
      </c>
      <c r="C1390" t="s">
        <v>2100</v>
      </c>
      <c r="D1390" s="1">
        <v>43741</v>
      </c>
      <c r="E1390" s="1">
        <v>45136</v>
      </c>
      <c r="F1390">
        <v>156</v>
      </c>
      <c r="G1390">
        <v>1</v>
      </c>
      <c r="H1390">
        <v>128.09</v>
      </c>
      <c r="I1390">
        <v>55.47</v>
      </c>
      <c r="J1390" t="s">
        <v>14</v>
      </c>
      <c r="K1390" t="s">
        <v>16</v>
      </c>
      <c r="L1390" t="s">
        <v>2087</v>
      </c>
      <c r="M1390">
        <v>0</v>
      </c>
      <c r="N1390" t="s">
        <v>232</v>
      </c>
      <c r="O1390" t="s">
        <v>2121</v>
      </c>
    </row>
    <row r="1391" spans="1:15">
      <c r="A1391" t="s">
        <v>1546</v>
      </c>
      <c r="B1391" t="s">
        <v>2099</v>
      </c>
      <c r="C1391" t="s">
        <v>2111</v>
      </c>
      <c r="D1391" s="1">
        <v>44049</v>
      </c>
      <c r="E1391" s="1">
        <v>45258</v>
      </c>
      <c r="F1391">
        <v>34</v>
      </c>
      <c r="G1391">
        <v>1</v>
      </c>
      <c r="H1391">
        <v>44.06</v>
      </c>
      <c r="I1391">
        <v>58.18</v>
      </c>
      <c r="J1391" t="s">
        <v>14</v>
      </c>
      <c r="K1391" t="s">
        <v>20</v>
      </c>
      <c r="L1391" t="s">
        <v>2095</v>
      </c>
      <c r="M1391">
        <v>9</v>
      </c>
      <c r="N1391" t="s">
        <v>174</v>
      </c>
      <c r="O1391" t="s">
        <v>2096</v>
      </c>
    </row>
    <row r="1392" spans="1:15">
      <c r="A1392" t="s">
        <v>3180</v>
      </c>
      <c r="B1392" t="s">
        <v>2093</v>
      </c>
      <c r="C1392" t="s">
        <v>2086</v>
      </c>
      <c r="D1392" s="1">
        <v>45028</v>
      </c>
      <c r="E1392" s="1">
        <v>45029</v>
      </c>
      <c r="F1392">
        <v>263</v>
      </c>
      <c r="G1392">
        <v>1</v>
      </c>
      <c r="H1392">
        <v>127.74</v>
      </c>
      <c r="I1392">
        <v>34.74</v>
      </c>
      <c r="J1392" t="s">
        <v>115</v>
      </c>
      <c r="K1392" t="s">
        <v>16</v>
      </c>
      <c r="L1392" t="s">
        <v>2095</v>
      </c>
      <c r="M1392">
        <v>2</v>
      </c>
      <c r="N1392" t="s">
        <v>194</v>
      </c>
      <c r="O1392" t="s">
        <v>2109</v>
      </c>
    </row>
    <row r="1393" spans="1:15">
      <c r="A1393" t="s">
        <v>3181</v>
      </c>
      <c r="B1393" t="s">
        <v>2085</v>
      </c>
      <c r="C1393" t="s">
        <v>2108</v>
      </c>
      <c r="D1393" s="1">
        <v>45211</v>
      </c>
      <c r="E1393" s="1">
        <v>44929</v>
      </c>
      <c r="F1393">
        <v>363</v>
      </c>
      <c r="G1393">
        <v>14</v>
      </c>
      <c r="H1393">
        <v>2889.2</v>
      </c>
      <c r="I1393">
        <v>144.44</v>
      </c>
      <c r="J1393" t="s">
        <v>14</v>
      </c>
      <c r="K1393" t="s">
        <v>16</v>
      </c>
      <c r="L1393" t="s">
        <v>2095</v>
      </c>
      <c r="M1393">
        <v>8</v>
      </c>
      <c r="N1393" t="s">
        <v>157</v>
      </c>
      <c r="O1393" t="s">
        <v>2109</v>
      </c>
    </row>
    <row r="1394" spans="1:15">
      <c r="A1394" t="s">
        <v>303</v>
      </c>
      <c r="B1394" t="s">
        <v>2099</v>
      </c>
      <c r="C1394" t="s">
        <v>2108</v>
      </c>
      <c r="D1394" s="1">
        <v>43693</v>
      </c>
      <c r="E1394" s="1">
        <v>45277</v>
      </c>
      <c r="F1394">
        <v>15</v>
      </c>
      <c r="G1394">
        <v>1</v>
      </c>
      <c r="H1394">
        <v>61.65</v>
      </c>
      <c r="I1394">
        <v>42.48</v>
      </c>
      <c r="J1394" t="s">
        <v>90</v>
      </c>
      <c r="K1394" t="s">
        <v>16</v>
      </c>
      <c r="L1394" t="s">
        <v>2087</v>
      </c>
      <c r="M1394">
        <v>6</v>
      </c>
      <c r="N1394" t="s">
        <v>179</v>
      </c>
      <c r="O1394" t="s">
        <v>2107</v>
      </c>
    </row>
    <row r="1395" spans="1:15">
      <c r="A1395" t="s">
        <v>3182</v>
      </c>
      <c r="B1395" t="s">
        <v>2099</v>
      </c>
      <c r="C1395" t="s">
        <v>2111</v>
      </c>
      <c r="D1395" s="1">
        <v>44190</v>
      </c>
      <c r="E1395" s="1">
        <v>44932</v>
      </c>
      <c r="F1395">
        <v>360</v>
      </c>
      <c r="G1395">
        <v>2</v>
      </c>
      <c r="H1395">
        <v>48.39</v>
      </c>
      <c r="I1395">
        <v>62.06</v>
      </c>
      <c r="J1395" t="s">
        <v>115</v>
      </c>
      <c r="K1395" t="s">
        <v>16</v>
      </c>
      <c r="L1395" t="s">
        <v>2095</v>
      </c>
      <c r="M1395">
        <v>7</v>
      </c>
      <c r="N1395" t="s">
        <v>157</v>
      </c>
      <c r="O1395" t="s">
        <v>2107</v>
      </c>
    </row>
    <row r="1396" spans="1:15">
      <c r="A1396" t="s">
        <v>3183</v>
      </c>
      <c r="B1396" t="s">
        <v>2113</v>
      </c>
      <c r="C1396" t="s">
        <v>2091</v>
      </c>
      <c r="D1396" s="1">
        <v>44815</v>
      </c>
      <c r="E1396" s="1">
        <v>45002</v>
      </c>
      <c r="F1396">
        <v>290</v>
      </c>
      <c r="G1396">
        <v>18</v>
      </c>
      <c r="H1396">
        <v>145.07</v>
      </c>
      <c r="I1396">
        <v>71.31</v>
      </c>
      <c r="J1396" t="s">
        <v>14</v>
      </c>
      <c r="K1396" t="s">
        <v>16</v>
      </c>
      <c r="L1396" t="s">
        <v>2095</v>
      </c>
      <c r="M1396">
        <v>6</v>
      </c>
      <c r="N1396" t="s">
        <v>174</v>
      </c>
      <c r="O1396" t="s">
        <v>2096</v>
      </c>
    </row>
    <row r="1397" spans="1:15">
      <c r="A1397" t="s">
        <v>936</v>
      </c>
      <c r="B1397" t="s">
        <v>2093</v>
      </c>
      <c r="C1397" t="s">
        <v>2091</v>
      </c>
      <c r="D1397" s="1">
        <v>44357</v>
      </c>
      <c r="E1397" s="1">
        <v>45080</v>
      </c>
      <c r="F1397">
        <v>212</v>
      </c>
      <c r="G1397">
        <v>5</v>
      </c>
      <c r="H1397">
        <v>74.03</v>
      </c>
      <c r="I1397">
        <v>62.75</v>
      </c>
      <c r="J1397" t="s">
        <v>41</v>
      </c>
      <c r="K1397" t="s">
        <v>20</v>
      </c>
      <c r="L1397" t="s">
        <v>2095</v>
      </c>
      <c r="M1397">
        <v>6</v>
      </c>
      <c r="N1397" t="s">
        <v>194</v>
      </c>
      <c r="O1397" t="s">
        <v>2121</v>
      </c>
    </row>
    <row r="1398" spans="1:15">
      <c r="A1398" t="s">
        <v>3184</v>
      </c>
      <c r="B1398" t="s">
        <v>2113</v>
      </c>
      <c r="C1398" t="s">
        <v>2100</v>
      </c>
      <c r="D1398" s="1">
        <v>43831</v>
      </c>
      <c r="E1398" s="1">
        <v>45164</v>
      </c>
      <c r="F1398">
        <v>128</v>
      </c>
      <c r="G1398">
        <v>8</v>
      </c>
      <c r="H1398">
        <v>557.70000000000005</v>
      </c>
      <c r="I1398">
        <v>39.83</v>
      </c>
      <c r="J1398" t="s">
        <v>90</v>
      </c>
      <c r="K1398" t="s">
        <v>20</v>
      </c>
      <c r="L1398" t="s">
        <v>2087</v>
      </c>
      <c r="M1398">
        <v>7</v>
      </c>
      <c r="N1398" t="s">
        <v>204</v>
      </c>
      <c r="O1398" t="s">
        <v>2096</v>
      </c>
    </row>
    <row r="1399" spans="1:15">
      <c r="A1399" t="s">
        <v>3185</v>
      </c>
      <c r="B1399" t="s">
        <v>2099</v>
      </c>
      <c r="C1399" t="s">
        <v>2111</v>
      </c>
      <c r="D1399" s="1">
        <v>43834</v>
      </c>
      <c r="E1399" s="1">
        <v>45246</v>
      </c>
      <c r="F1399">
        <v>46</v>
      </c>
      <c r="G1399">
        <v>1</v>
      </c>
      <c r="H1399">
        <v>122.71</v>
      </c>
      <c r="I1399">
        <v>68.349999999999994</v>
      </c>
      <c r="J1399" t="s">
        <v>66</v>
      </c>
      <c r="K1399" t="s">
        <v>16</v>
      </c>
      <c r="L1399" t="s">
        <v>2095</v>
      </c>
      <c r="M1399">
        <v>7</v>
      </c>
      <c r="N1399" t="s">
        <v>194</v>
      </c>
      <c r="O1399" t="s">
        <v>2121</v>
      </c>
    </row>
    <row r="1400" spans="1:15">
      <c r="A1400" t="s">
        <v>3186</v>
      </c>
      <c r="B1400" t="s">
        <v>2085</v>
      </c>
      <c r="C1400" t="s">
        <v>2086</v>
      </c>
      <c r="D1400" s="1">
        <v>43643</v>
      </c>
      <c r="E1400" s="1">
        <v>45180</v>
      </c>
      <c r="F1400">
        <v>112</v>
      </c>
      <c r="G1400">
        <v>28</v>
      </c>
      <c r="H1400">
        <v>2011.05</v>
      </c>
      <c r="I1400">
        <v>103.95</v>
      </c>
      <c r="J1400" t="s">
        <v>115</v>
      </c>
      <c r="K1400" t="s">
        <v>20</v>
      </c>
      <c r="L1400" t="s">
        <v>2095</v>
      </c>
      <c r="M1400">
        <v>2</v>
      </c>
      <c r="N1400" t="s">
        <v>194</v>
      </c>
      <c r="O1400" t="s">
        <v>2107</v>
      </c>
    </row>
    <row r="1401" spans="1:15">
      <c r="A1401" t="s">
        <v>3187</v>
      </c>
      <c r="B1401" t="s">
        <v>2085</v>
      </c>
      <c r="C1401" t="s">
        <v>2094</v>
      </c>
      <c r="D1401" s="1">
        <v>44377</v>
      </c>
      <c r="E1401" s="1">
        <v>45084</v>
      </c>
      <c r="F1401">
        <v>208</v>
      </c>
      <c r="G1401">
        <v>40</v>
      </c>
      <c r="H1401">
        <v>1171.1400000000001</v>
      </c>
      <c r="I1401">
        <v>212.07</v>
      </c>
      <c r="J1401" t="s">
        <v>66</v>
      </c>
      <c r="K1401" t="s">
        <v>16</v>
      </c>
      <c r="L1401" t="s">
        <v>2087</v>
      </c>
      <c r="M1401">
        <v>2</v>
      </c>
      <c r="N1401" t="s">
        <v>157</v>
      </c>
      <c r="O1401" t="s">
        <v>2121</v>
      </c>
    </row>
    <row r="1402" spans="1:15">
      <c r="A1402" t="s">
        <v>3188</v>
      </c>
      <c r="B1402" t="s">
        <v>2113</v>
      </c>
      <c r="C1402" t="s">
        <v>2086</v>
      </c>
      <c r="D1402" s="1">
        <v>44492</v>
      </c>
      <c r="E1402" s="1">
        <v>45126</v>
      </c>
      <c r="F1402">
        <v>166</v>
      </c>
      <c r="G1402">
        <v>18</v>
      </c>
      <c r="H1402">
        <v>490.45</v>
      </c>
      <c r="I1402">
        <v>69.81</v>
      </c>
      <c r="J1402" t="s">
        <v>66</v>
      </c>
      <c r="K1402" t="s">
        <v>16</v>
      </c>
      <c r="L1402" t="s">
        <v>2106</v>
      </c>
      <c r="M1402">
        <v>0</v>
      </c>
      <c r="N1402" t="s">
        <v>157</v>
      </c>
      <c r="O1402" t="s">
        <v>2121</v>
      </c>
    </row>
    <row r="1403" spans="1:15">
      <c r="A1403" t="s">
        <v>3189</v>
      </c>
      <c r="B1403" t="s">
        <v>2113</v>
      </c>
      <c r="C1403" t="s">
        <v>2100</v>
      </c>
      <c r="D1403" s="1">
        <v>45024</v>
      </c>
      <c r="E1403" s="1">
        <v>44997</v>
      </c>
      <c r="F1403">
        <v>295</v>
      </c>
      <c r="G1403">
        <v>16</v>
      </c>
      <c r="H1403">
        <v>472.68</v>
      </c>
      <c r="I1403">
        <v>48.93</v>
      </c>
      <c r="J1403" t="s">
        <v>115</v>
      </c>
      <c r="K1403" t="s">
        <v>20</v>
      </c>
      <c r="L1403" t="s">
        <v>2095</v>
      </c>
      <c r="M1403">
        <v>4</v>
      </c>
      <c r="N1403" t="s">
        <v>165</v>
      </c>
      <c r="O1403" t="s">
        <v>2109</v>
      </c>
    </row>
    <row r="1404" spans="1:15">
      <c r="A1404" t="s">
        <v>3190</v>
      </c>
      <c r="B1404" t="s">
        <v>2097</v>
      </c>
      <c r="C1404" t="s">
        <v>2108</v>
      </c>
      <c r="D1404" s="1">
        <v>44011</v>
      </c>
      <c r="E1404" s="1">
        <v>44959</v>
      </c>
      <c r="F1404">
        <v>333</v>
      </c>
      <c r="G1404">
        <v>6</v>
      </c>
      <c r="H1404">
        <v>485.22</v>
      </c>
      <c r="I1404">
        <v>123.39</v>
      </c>
      <c r="J1404" t="s">
        <v>14</v>
      </c>
      <c r="K1404" t="s">
        <v>16</v>
      </c>
      <c r="L1404" t="s">
        <v>2106</v>
      </c>
      <c r="M1404">
        <v>5</v>
      </c>
      <c r="N1404" t="s">
        <v>157</v>
      </c>
      <c r="O1404" t="s">
        <v>2088</v>
      </c>
    </row>
    <row r="1405" spans="1:15">
      <c r="A1405" t="s">
        <v>3191</v>
      </c>
      <c r="B1405" t="s">
        <v>2113</v>
      </c>
      <c r="C1405" t="s">
        <v>2100</v>
      </c>
      <c r="D1405" s="1">
        <v>43823</v>
      </c>
      <c r="E1405" s="1">
        <v>44973</v>
      </c>
      <c r="F1405">
        <v>319</v>
      </c>
      <c r="G1405">
        <v>15</v>
      </c>
      <c r="H1405">
        <v>340.85</v>
      </c>
      <c r="I1405">
        <v>77.180000000000007</v>
      </c>
      <c r="J1405" t="s">
        <v>66</v>
      </c>
      <c r="K1405" t="s">
        <v>16</v>
      </c>
      <c r="L1405" t="s">
        <v>2087</v>
      </c>
      <c r="M1405">
        <v>9</v>
      </c>
      <c r="N1405" t="s">
        <v>232</v>
      </c>
      <c r="O1405" t="s">
        <v>2096</v>
      </c>
    </row>
    <row r="1406" spans="1:15">
      <c r="A1406" t="s">
        <v>3192</v>
      </c>
      <c r="B1406" t="s">
        <v>2085</v>
      </c>
      <c r="C1406" t="s">
        <v>2108</v>
      </c>
      <c r="D1406" s="1">
        <v>43625</v>
      </c>
      <c r="E1406" s="1">
        <v>45061</v>
      </c>
      <c r="F1406">
        <v>231</v>
      </c>
      <c r="G1406">
        <v>30</v>
      </c>
      <c r="H1406">
        <v>2518.23</v>
      </c>
      <c r="I1406">
        <v>195.39</v>
      </c>
      <c r="J1406" t="s">
        <v>90</v>
      </c>
      <c r="K1406" t="s">
        <v>16</v>
      </c>
      <c r="L1406" t="s">
        <v>2087</v>
      </c>
      <c r="M1406">
        <v>7</v>
      </c>
      <c r="N1406" t="s">
        <v>179</v>
      </c>
      <c r="O1406" t="s">
        <v>2109</v>
      </c>
    </row>
    <row r="1407" spans="1:15">
      <c r="A1407" t="s">
        <v>763</v>
      </c>
      <c r="B1407" t="s">
        <v>2093</v>
      </c>
      <c r="C1407" t="s">
        <v>2094</v>
      </c>
      <c r="D1407" s="1">
        <v>44536</v>
      </c>
      <c r="E1407" s="1">
        <v>45061</v>
      </c>
      <c r="F1407">
        <v>231</v>
      </c>
      <c r="G1407">
        <v>1</v>
      </c>
      <c r="H1407">
        <v>79.91</v>
      </c>
      <c r="I1407">
        <v>47.34</v>
      </c>
      <c r="J1407" t="s">
        <v>41</v>
      </c>
      <c r="K1407" t="s">
        <v>16</v>
      </c>
      <c r="L1407" t="s">
        <v>2095</v>
      </c>
      <c r="M1407">
        <v>6</v>
      </c>
      <c r="N1407" t="s">
        <v>165</v>
      </c>
      <c r="O1407" t="s">
        <v>2109</v>
      </c>
    </row>
    <row r="1408" spans="1:15">
      <c r="A1408" t="s">
        <v>3193</v>
      </c>
      <c r="B1408" t="s">
        <v>2085</v>
      </c>
      <c r="C1408" t="s">
        <v>2100</v>
      </c>
      <c r="D1408" s="1">
        <v>45219</v>
      </c>
      <c r="E1408" s="1">
        <v>45106</v>
      </c>
      <c r="F1408">
        <v>186</v>
      </c>
      <c r="G1408">
        <v>29</v>
      </c>
      <c r="H1408">
        <v>2455.37</v>
      </c>
      <c r="I1408">
        <v>268.64999999999998</v>
      </c>
      <c r="J1408" t="s">
        <v>66</v>
      </c>
      <c r="K1408" t="s">
        <v>16</v>
      </c>
      <c r="L1408" t="s">
        <v>2087</v>
      </c>
      <c r="M1408">
        <v>2</v>
      </c>
      <c r="N1408" t="s">
        <v>165</v>
      </c>
      <c r="O1408" t="s">
        <v>2109</v>
      </c>
    </row>
    <row r="1409" spans="1:15">
      <c r="A1409" t="s">
        <v>3194</v>
      </c>
      <c r="B1409" t="s">
        <v>2097</v>
      </c>
      <c r="C1409" t="s">
        <v>2094</v>
      </c>
      <c r="D1409" s="1">
        <v>45067</v>
      </c>
      <c r="E1409" s="1">
        <v>44961</v>
      </c>
      <c r="F1409">
        <v>331</v>
      </c>
      <c r="G1409">
        <v>9</v>
      </c>
      <c r="H1409">
        <v>509.74</v>
      </c>
      <c r="I1409">
        <v>130.91</v>
      </c>
      <c r="J1409" t="s">
        <v>66</v>
      </c>
      <c r="K1409" t="s">
        <v>20</v>
      </c>
      <c r="L1409" t="s">
        <v>2095</v>
      </c>
      <c r="M1409">
        <v>8</v>
      </c>
      <c r="N1409" t="s">
        <v>194</v>
      </c>
      <c r="O1409" t="s">
        <v>2088</v>
      </c>
    </row>
    <row r="1410" spans="1:15">
      <c r="A1410" t="s">
        <v>1763</v>
      </c>
      <c r="B1410" t="s">
        <v>2093</v>
      </c>
      <c r="C1410" t="s">
        <v>2100</v>
      </c>
      <c r="D1410" s="1">
        <v>43771</v>
      </c>
      <c r="E1410" s="1">
        <v>45158</v>
      </c>
      <c r="F1410">
        <v>134</v>
      </c>
      <c r="G1410">
        <v>5</v>
      </c>
      <c r="H1410">
        <v>127.11</v>
      </c>
      <c r="I1410">
        <v>76.3</v>
      </c>
      <c r="J1410" t="s">
        <v>41</v>
      </c>
      <c r="K1410" t="s">
        <v>20</v>
      </c>
      <c r="L1410" t="s">
        <v>2095</v>
      </c>
      <c r="M1410">
        <v>0</v>
      </c>
      <c r="N1410" t="s">
        <v>179</v>
      </c>
      <c r="O1410" t="s">
        <v>2088</v>
      </c>
    </row>
    <row r="1411" spans="1:15">
      <c r="A1411" t="s">
        <v>3195</v>
      </c>
      <c r="B1411" t="s">
        <v>2113</v>
      </c>
      <c r="C1411" t="s">
        <v>2100</v>
      </c>
      <c r="D1411" s="1">
        <v>45188</v>
      </c>
      <c r="E1411" s="1">
        <v>45214</v>
      </c>
      <c r="F1411">
        <v>78</v>
      </c>
      <c r="G1411">
        <v>15</v>
      </c>
      <c r="H1411">
        <v>120.5</v>
      </c>
      <c r="I1411">
        <v>52.72</v>
      </c>
      <c r="J1411" t="s">
        <v>14</v>
      </c>
      <c r="K1411" t="s">
        <v>16</v>
      </c>
      <c r="L1411" t="s">
        <v>2095</v>
      </c>
      <c r="M1411">
        <v>5</v>
      </c>
      <c r="N1411" t="s">
        <v>204</v>
      </c>
      <c r="O1411" t="s">
        <v>2109</v>
      </c>
    </row>
    <row r="1412" spans="1:15">
      <c r="A1412" t="s">
        <v>3196</v>
      </c>
      <c r="B1412" t="s">
        <v>2085</v>
      </c>
      <c r="C1412" t="s">
        <v>2094</v>
      </c>
      <c r="D1412" s="1">
        <v>43973</v>
      </c>
      <c r="E1412" s="1">
        <v>45154</v>
      </c>
      <c r="F1412">
        <v>138</v>
      </c>
      <c r="G1412">
        <v>22</v>
      </c>
      <c r="H1412">
        <v>2778.74</v>
      </c>
      <c r="I1412">
        <v>145.58000000000001</v>
      </c>
      <c r="J1412" t="s">
        <v>90</v>
      </c>
      <c r="K1412" t="s">
        <v>20</v>
      </c>
      <c r="L1412" t="s">
        <v>2106</v>
      </c>
      <c r="M1412">
        <v>3</v>
      </c>
      <c r="N1412" t="s">
        <v>157</v>
      </c>
      <c r="O1412" t="s">
        <v>2096</v>
      </c>
    </row>
    <row r="1413" spans="1:15">
      <c r="A1413" t="s">
        <v>1442</v>
      </c>
      <c r="B1413" t="s">
        <v>2099</v>
      </c>
      <c r="C1413" t="s">
        <v>2100</v>
      </c>
      <c r="D1413" s="1">
        <v>43511</v>
      </c>
      <c r="E1413" s="1">
        <v>45134</v>
      </c>
      <c r="F1413">
        <v>158</v>
      </c>
      <c r="G1413">
        <v>2</v>
      </c>
      <c r="H1413">
        <v>103.8</v>
      </c>
      <c r="I1413">
        <v>73.27</v>
      </c>
      <c r="J1413" t="s">
        <v>14</v>
      </c>
      <c r="K1413" t="s">
        <v>20</v>
      </c>
      <c r="L1413" t="s">
        <v>2095</v>
      </c>
      <c r="M1413">
        <v>2</v>
      </c>
      <c r="N1413" t="s">
        <v>165</v>
      </c>
      <c r="O1413" t="s">
        <v>2107</v>
      </c>
    </row>
    <row r="1414" spans="1:15">
      <c r="A1414" t="s">
        <v>1779</v>
      </c>
      <c r="B1414" t="s">
        <v>2099</v>
      </c>
      <c r="C1414" t="s">
        <v>2094</v>
      </c>
      <c r="D1414" s="1">
        <v>44642</v>
      </c>
      <c r="E1414" s="1">
        <v>45255</v>
      </c>
      <c r="F1414">
        <v>37</v>
      </c>
      <c r="G1414">
        <v>2</v>
      </c>
      <c r="H1414">
        <v>135.41999999999999</v>
      </c>
      <c r="I1414">
        <v>58.03</v>
      </c>
      <c r="J1414" t="s">
        <v>14</v>
      </c>
      <c r="K1414" t="s">
        <v>20</v>
      </c>
      <c r="L1414" t="s">
        <v>2095</v>
      </c>
      <c r="M1414">
        <v>8</v>
      </c>
      <c r="N1414" t="s">
        <v>204</v>
      </c>
      <c r="O1414" t="s">
        <v>2088</v>
      </c>
    </row>
    <row r="1415" spans="1:15">
      <c r="A1415" t="s">
        <v>3197</v>
      </c>
      <c r="B1415" t="s">
        <v>2093</v>
      </c>
      <c r="C1415" t="s">
        <v>2108</v>
      </c>
      <c r="D1415" s="1">
        <v>45022</v>
      </c>
      <c r="E1415" s="1">
        <v>45095</v>
      </c>
      <c r="F1415">
        <v>197</v>
      </c>
      <c r="G1415">
        <v>5</v>
      </c>
      <c r="H1415">
        <v>103.25</v>
      </c>
      <c r="I1415">
        <v>33.08</v>
      </c>
      <c r="J1415" t="s">
        <v>115</v>
      </c>
      <c r="K1415" t="s">
        <v>16</v>
      </c>
      <c r="L1415" t="s">
        <v>2087</v>
      </c>
      <c r="M1415">
        <v>7</v>
      </c>
      <c r="N1415" t="s">
        <v>179</v>
      </c>
      <c r="O1415" t="s">
        <v>2107</v>
      </c>
    </row>
    <row r="1416" spans="1:15">
      <c r="A1416" t="s">
        <v>3198</v>
      </c>
      <c r="B1416" t="s">
        <v>2090</v>
      </c>
      <c r="C1416" t="s">
        <v>2086</v>
      </c>
      <c r="D1416" s="1">
        <v>43812</v>
      </c>
      <c r="E1416" s="1">
        <v>45283</v>
      </c>
      <c r="F1416">
        <v>9</v>
      </c>
      <c r="G1416">
        <v>5</v>
      </c>
      <c r="H1416">
        <v>145.38999999999999</v>
      </c>
      <c r="I1416">
        <v>94.38</v>
      </c>
      <c r="J1416" t="s">
        <v>115</v>
      </c>
      <c r="K1416" t="s">
        <v>20</v>
      </c>
      <c r="L1416" t="s">
        <v>2087</v>
      </c>
      <c r="M1416">
        <v>6</v>
      </c>
      <c r="N1416" t="s">
        <v>174</v>
      </c>
      <c r="O1416" t="s">
        <v>2121</v>
      </c>
    </row>
    <row r="1417" spans="1:15">
      <c r="A1417" t="s">
        <v>3199</v>
      </c>
      <c r="B1417" t="s">
        <v>2093</v>
      </c>
      <c r="C1417" t="s">
        <v>2086</v>
      </c>
      <c r="D1417" s="1">
        <v>44770</v>
      </c>
      <c r="E1417" s="1">
        <v>45081</v>
      </c>
      <c r="F1417">
        <v>211</v>
      </c>
      <c r="G1417">
        <v>3</v>
      </c>
      <c r="H1417">
        <v>174.19</v>
      </c>
      <c r="I1417">
        <v>70.63</v>
      </c>
      <c r="J1417" t="s">
        <v>41</v>
      </c>
      <c r="K1417" t="s">
        <v>16</v>
      </c>
      <c r="L1417" t="s">
        <v>2095</v>
      </c>
      <c r="M1417">
        <v>7</v>
      </c>
      <c r="N1417" t="s">
        <v>174</v>
      </c>
      <c r="O1417" t="s">
        <v>2121</v>
      </c>
    </row>
    <row r="1418" spans="1:15">
      <c r="A1418" t="s">
        <v>3200</v>
      </c>
      <c r="B1418" t="s">
        <v>2093</v>
      </c>
      <c r="C1418" t="s">
        <v>2100</v>
      </c>
      <c r="D1418" s="1">
        <v>43625</v>
      </c>
      <c r="E1418" s="1">
        <v>45206</v>
      </c>
      <c r="F1418">
        <v>86</v>
      </c>
      <c r="G1418">
        <v>5</v>
      </c>
      <c r="H1418">
        <v>101.84</v>
      </c>
      <c r="I1418">
        <v>62.01</v>
      </c>
      <c r="J1418" t="s">
        <v>90</v>
      </c>
      <c r="K1418" t="s">
        <v>16</v>
      </c>
      <c r="L1418" t="s">
        <v>2087</v>
      </c>
      <c r="M1418">
        <v>6</v>
      </c>
      <c r="N1418" t="s">
        <v>157</v>
      </c>
      <c r="O1418" t="s">
        <v>2107</v>
      </c>
    </row>
    <row r="1419" spans="1:15">
      <c r="A1419" t="s">
        <v>1158</v>
      </c>
      <c r="B1419" t="s">
        <v>2085</v>
      </c>
      <c r="C1419" t="s">
        <v>2111</v>
      </c>
      <c r="D1419" s="1">
        <v>44649</v>
      </c>
      <c r="E1419" s="1">
        <v>45273</v>
      </c>
      <c r="F1419">
        <v>19</v>
      </c>
      <c r="G1419">
        <v>36</v>
      </c>
      <c r="H1419">
        <v>953.4</v>
      </c>
      <c r="I1419">
        <v>252.6</v>
      </c>
      <c r="J1419" t="s">
        <v>90</v>
      </c>
      <c r="K1419" t="s">
        <v>16</v>
      </c>
      <c r="L1419" t="s">
        <v>2106</v>
      </c>
      <c r="M1419">
        <v>9</v>
      </c>
      <c r="N1419" t="s">
        <v>157</v>
      </c>
      <c r="O1419" t="s">
        <v>2088</v>
      </c>
    </row>
    <row r="1420" spans="1:15">
      <c r="A1420" t="s">
        <v>598</v>
      </c>
      <c r="B1420" t="s">
        <v>2090</v>
      </c>
      <c r="C1420" t="s">
        <v>2100</v>
      </c>
      <c r="D1420" s="1">
        <v>44564</v>
      </c>
      <c r="E1420" s="1">
        <v>45008</v>
      </c>
      <c r="F1420">
        <v>284</v>
      </c>
      <c r="G1420">
        <v>2</v>
      </c>
      <c r="H1420">
        <v>295.33</v>
      </c>
      <c r="I1420">
        <v>85.33</v>
      </c>
      <c r="J1420" t="s">
        <v>14</v>
      </c>
      <c r="K1420" t="s">
        <v>20</v>
      </c>
      <c r="L1420" t="s">
        <v>2095</v>
      </c>
      <c r="M1420">
        <v>6</v>
      </c>
      <c r="N1420" t="s">
        <v>165</v>
      </c>
      <c r="O1420" t="s">
        <v>2121</v>
      </c>
    </row>
    <row r="1421" spans="1:15">
      <c r="A1421" t="s">
        <v>3201</v>
      </c>
      <c r="B1421" t="s">
        <v>2097</v>
      </c>
      <c r="C1421" t="s">
        <v>2100</v>
      </c>
      <c r="D1421" s="1">
        <v>43478</v>
      </c>
      <c r="E1421" s="1">
        <v>45200</v>
      </c>
      <c r="F1421">
        <v>92</v>
      </c>
      <c r="G1421">
        <v>6</v>
      </c>
      <c r="H1421">
        <v>451.37</v>
      </c>
      <c r="I1421">
        <v>95.75</v>
      </c>
      <c r="J1421" t="s">
        <v>66</v>
      </c>
      <c r="K1421" t="s">
        <v>20</v>
      </c>
      <c r="L1421" t="s">
        <v>2087</v>
      </c>
      <c r="M1421">
        <v>2</v>
      </c>
      <c r="N1421" t="s">
        <v>204</v>
      </c>
      <c r="O1421" t="s">
        <v>2088</v>
      </c>
    </row>
    <row r="1422" spans="1:15">
      <c r="A1422" t="s">
        <v>3202</v>
      </c>
      <c r="B1422" t="s">
        <v>2113</v>
      </c>
      <c r="C1422" t="s">
        <v>2108</v>
      </c>
      <c r="D1422" s="1">
        <v>44677</v>
      </c>
      <c r="E1422" s="1">
        <v>45201</v>
      </c>
      <c r="F1422">
        <v>91</v>
      </c>
      <c r="G1422">
        <v>10</v>
      </c>
      <c r="H1422">
        <v>115.1</v>
      </c>
      <c r="I1422">
        <v>65.900000000000006</v>
      </c>
      <c r="J1422" t="s">
        <v>41</v>
      </c>
      <c r="K1422" t="s">
        <v>16</v>
      </c>
      <c r="L1422" t="s">
        <v>2106</v>
      </c>
      <c r="M1422">
        <v>3</v>
      </c>
      <c r="N1422" t="s">
        <v>194</v>
      </c>
      <c r="O1422" t="s">
        <v>2121</v>
      </c>
    </row>
    <row r="1423" spans="1:15">
      <c r="A1423" t="s">
        <v>3203</v>
      </c>
      <c r="B1423" t="s">
        <v>2093</v>
      </c>
      <c r="C1423" t="s">
        <v>2086</v>
      </c>
      <c r="D1423" s="1">
        <v>44200</v>
      </c>
      <c r="E1423" s="1">
        <v>45216</v>
      </c>
      <c r="F1423">
        <v>76</v>
      </c>
      <c r="G1423">
        <v>5</v>
      </c>
      <c r="H1423">
        <v>147.69999999999999</v>
      </c>
      <c r="I1423">
        <v>26.78</v>
      </c>
      <c r="J1423" t="s">
        <v>90</v>
      </c>
      <c r="K1423" t="s">
        <v>16</v>
      </c>
      <c r="L1423" t="s">
        <v>2095</v>
      </c>
      <c r="M1423">
        <v>6</v>
      </c>
      <c r="N1423" t="s">
        <v>232</v>
      </c>
      <c r="O1423" t="s">
        <v>2107</v>
      </c>
    </row>
    <row r="1424" spans="1:15">
      <c r="A1424" t="s">
        <v>3204</v>
      </c>
      <c r="B1424" t="s">
        <v>2085</v>
      </c>
      <c r="C1424" t="s">
        <v>2094</v>
      </c>
      <c r="D1424" s="1">
        <v>43854</v>
      </c>
      <c r="E1424" s="1">
        <v>44928</v>
      </c>
      <c r="F1424">
        <v>364</v>
      </c>
      <c r="G1424">
        <v>31</v>
      </c>
      <c r="H1424">
        <v>1547.95</v>
      </c>
      <c r="I1424">
        <v>207.72</v>
      </c>
      <c r="J1424" t="s">
        <v>66</v>
      </c>
      <c r="K1424" t="s">
        <v>20</v>
      </c>
      <c r="L1424" t="s">
        <v>2106</v>
      </c>
      <c r="M1424">
        <v>2</v>
      </c>
      <c r="N1424" t="s">
        <v>194</v>
      </c>
      <c r="O1424" t="s">
        <v>2107</v>
      </c>
    </row>
    <row r="1425" spans="1:15">
      <c r="A1425" t="s">
        <v>3205</v>
      </c>
      <c r="B1425" t="s">
        <v>2090</v>
      </c>
      <c r="C1425" t="s">
        <v>2111</v>
      </c>
      <c r="D1425" s="1">
        <v>45076</v>
      </c>
      <c r="E1425" s="1">
        <v>45052</v>
      </c>
      <c r="F1425">
        <v>240</v>
      </c>
      <c r="G1425">
        <v>6</v>
      </c>
      <c r="H1425">
        <v>317.60000000000002</v>
      </c>
      <c r="I1425">
        <v>62.23</v>
      </c>
      <c r="J1425" t="s">
        <v>41</v>
      </c>
      <c r="K1425" t="s">
        <v>20</v>
      </c>
      <c r="L1425" t="s">
        <v>2106</v>
      </c>
      <c r="M1425">
        <v>1</v>
      </c>
      <c r="N1425" t="s">
        <v>204</v>
      </c>
      <c r="O1425" t="s">
        <v>2088</v>
      </c>
    </row>
    <row r="1426" spans="1:15">
      <c r="A1426" t="s">
        <v>3206</v>
      </c>
      <c r="B1426" t="s">
        <v>2085</v>
      </c>
      <c r="C1426" t="s">
        <v>2108</v>
      </c>
      <c r="D1426" s="1">
        <v>43477</v>
      </c>
      <c r="E1426" s="1">
        <v>45124</v>
      </c>
      <c r="F1426">
        <v>168</v>
      </c>
      <c r="G1426">
        <v>25</v>
      </c>
      <c r="H1426">
        <v>1837.25</v>
      </c>
      <c r="I1426">
        <v>272.01</v>
      </c>
      <c r="J1426" t="s">
        <v>90</v>
      </c>
      <c r="K1426" t="s">
        <v>20</v>
      </c>
      <c r="L1426" t="s">
        <v>2087</v>
      </c>
      <c r="M1426">
        <v>10</v>
      </c>
      <c r="N1426" t="s">
        <v>157</v>
      </c>
      <c r="O1426" t="s">
        <v>2096</v>
      </c>
    </row>
    <row r="1427" spans="1:15">
      <c r="A1427" t="s">
        <v>286</v>
      </c>
      <c r="B1427" t="s">
        <v>2113</v>
      </c>
      <c r="C1427" t="s">
        <v>2108</v>
      </c>
      <c r="D1427" s="1">
        <v>43983</v>
      </c>
      <c r="E1427" s="1">
        <v>45224</v>
      </c>
      <c r="F1427">
        <v>68</v>
      </c>
      <c r="G1427">
        <v>6</v>
      </c>
      <c r="H1427">
        <v>151.47999999999999</v>
      </c>
      <c r="I1427">
        <v>62.52</v>
      </c>
      <c r="J1427" t="s">
        <v>41</v>
      </c>
      <c r="K1427" t="s">
        <v>20</v>
      </c>
      <c r="L1427" t="s">
        <v>2106</v>
      </c>
      <c r="M1427">
        <v>1</v>
      </c>
      <c r="N1427" t="s">
        <v>194</v>
      </c>
      <c r="O1427" t="s">
        <v>2096</v>
      </c>
    </row>
    <row r="1428" spans="1:15">
      <c r="A1428" t="s">
        <v>1812</v>
      </c>
      <c r="B1428" t="s">
        <v>2097</v>
      </c>
      <c r="C1428" t="s">
        <v>2091</v>
      </c>
      <c r="D1428" s="1">
        <v>43577</v>
      </c>
      <c r="E1428" s="1">
        <v>45233</v>
      </c>
      <c r="F1428">
        <v>59</v>
      </c>
      <c r="G1428">
        <v>10</v>
      </c>
      <c r="H1428">
        <v>653.55999999999995</v>
      </c>
      <c r="I1428">
        <v>61.44</v>
      </c>
      <c r="J1428" t="s">
        <v>90</v>
      </c>
      <c r="K1428" t="s">
        <v>20</v>
      </c>
      <c r="L1428" t="s">
        <v>2087</v>
      </c>
      <c r="M1428">
        <v>0</v>
      </c>
      <c r="N1428" t="s">
        <v>204</v>
      </c>
      <c r="O1428" t="s">
        <v>2096</v>
      </c>
    </row>
    <row r="1429" spans="1:15">
      <c r="A1429" t="s">
        <v>3207</v>
      </c>
      <c r="B1429" t="s">
        <v>2097</v>
      </c>
      <c r="C1429" t="s">
        <v>2111</v>
      </c>
      <c r="D1429" s="1">
        <v>44526</v>
      </c>
      <c r="E1429" s="1">
        <v>45254</v>
      </c>
      <c r="F1429">
        <v>38</v>
      </c>
      <c r="G1429">
        <v>3</v>
      </c>
      <c r="H1429">
        <v>483.57</v>
      </c>
      <c r="I1429">
        <v>103.94</v>
      </c>
      <c r="J1429" t="s">
        <v>90</v>
      </c>
      <c r="K1429" t="s">
        <v>16</v>
      </c>
      <c r="L1429" t="s">
        <v>2087</v>
      </c>
      <c r="M1429">
        <v>2</v>
      </c>
      <c r="N1429" t="s">
        <v>232</v>
      </c>
      <c r="O1429" t="s">
        <v>2107</v>
      </c>
    </row>
    <row r="1430" spans="1:15">
      <c r="A1430" t="s">
        <v>3208</v>
      </c>
      <c r="B1430" t="s">
        <v>2090</v>
      </c>
      <c r="C1430" t="s">
        <v>2094</v>
      </c>
      <c r="D1430" s="1">
        <v>45043</v>
      </c>
      <c r="E1430" s="1">
        <v>45078</v>
      </c>
      <c r="F1430">
        <v>214</v>
      </c>
      <c r="G1430">
        <v>5</v>
      </c>
      <c r="H1430">
        <v>256.08999999999997</v>
      </c>
      <c r="I1430">
        <v>92.1</v>
      </c>
      <c r="J1430" t="s">
        <v>115</v>
      </c>
      <c r="K1430" t="s">
        <v>16</v>
      </c>
      <c r="L1430" t="s">
        <v>2095</v>
      </c>
      <c r="M1430">
        <v>10</v>
      </c>
      <c r="N1430" t="s">
        <v>179</v>
      </c>
      <c r="O1430" t="s">
        <v>2096</v>
      </c>
    </row>
    <row r="1431" spans="1:15">
      <c r="A1431" t="s">
        <v>3209</v>
      </c>
      <c r="B1431" t="s">
        <v>2099</v>
      </c>
      <c r="C1431" t="s">
        <v>2091</v>
      </c>
      <c r="D1431" s="1">
        <v>44160</v>
      </c>
      <c r="E1431" s="1">
        <v>45216</v>
      </c>
      <c r="F1431">
        <v>76</v>
      </c>
      <c r="G1431">
        <v>1</v>
      </c>
      <c r="H1431">
        <v>87.12</v>
      </c>
      <c r="I1431">
        <v>72.78</v>
      </c>
      <c r="J1431" t="s">
        <v>90</v>
      </c>
      <c r="K1431" t="s">
        <v>20</v>
      </c>
      <c r="L1431" t="s">
        <v>2087</v>
      </c>
      <c r="M1431">
        <v>1</v>
      </c>
      <c r="N1431" t="s">
        <v>174</v>
      </c>
      <c r="O1431" t="s">
        <v>2109</v>
      </c>
    </row>
    <row r="1432" spans="1:15">
      <c r="A1432" t="s">
        <v>3210</v>
      </c>
      <c r="B1432" t="s">
        <v>2090</v>
      </c>
      <c r="C1432" t="s">
        <v>2100</v>
      </c>
      <c r="D1432" s="1">
        <v>43696</v>
      </c>
      <c r="E1432" s="1">
        <v>45234</v>
      </c>
      <c r="F1432">
        <v>58</v>
      </c>
      <c r="G1432">
        <v>2</v>
      </c>
      <c r="H1432">
        <v>215.35</v>
      </c>
      <c r="I1432">
        <v>87.39</v>
      </c>
      <c r="J1432" t="s">
        <v>14</v>
      </c>
      <c r="K1432" t="s">
        <v>16</v>
      </c>
      <c r="L1432" t="s">
        <v>2087</v>
      </c>
      <c r="M1432">
        <v>6</v>
      </c>
      <c r="N1432" t="s">
        <v>204</v>
      </c>
      <c r="O1432" t="s">
        <v>2107</v>
      </c>
    </row>
    <row r="1433" spans="1:15">
      <c r="A1433" t="s">
        <v>3211</v>
      </c>
      <c r="B1433" t="s">
        <v>2085</v>
      </c>
      <c r="C1433" t="s">
        <v>2086</v>
      </c>
      <c r="D1433" s="1">
        <v>43500</v>
      </c>
      <c r="E1433" s="1">
        <v>45049</v>
      </c>
      <c r="F1433">
        <v>243</v>
      </c>
      <c r="G1433">
        <v>29</v>
      </c>
      <c r="H1433">
        <v>872.81</v>
      </c>
      <c r="I1433">
        <v>126.69</v>
      </c>
      <c r="J1433" t="s">
        <v>14</v>
      </c>
      <c r="K1433" t="s">
        <v>16</v>
      </c>
      <c r="L1433" t="s">
        <v>2095</v>
      </c>
      <c r="M1433">
        <v>10</v>
      </c>
      <c r="N1433" t="s">
        <v>179</v>
      </c>
      <c r="O1433" t="s">
        <v>2107</v>
      </c>
    </row>
    <row r="1434" spans="1:15">
      <c r="A1434" t="s">
        <v>1012</v>
      </c>
      <c r="B1434" t="s">
        <v>2099</v>
      </c>
      <c r="C1434" t="s">
        <v>2091</v>
      </c>
      <c r="D1434" s="1">
        <v>44040</v>
      </c>
      <c r="E1434" s="1">
        <v>45064</v>
      </c>
      <c r="F1434">
        <v>228</v>
      </c>
      <c r="G1434">
        <v>1</v>
      </c>
      <c r="H1434">
        <v>107.43</v>
      </c>
      <c r="I1434">
        <v>90.59</v>
      </c>
      <c r="J1434" t="s">
        <v>66</v>
      </c>
      <c r="K1434" t="s">
        <v>20</v>
      </c>
      <c r="L1434" t="s">
        <v>2087</v>
      </c>
      <c r="M1434">
        <v>10</v>
      </c>
      <c r="N1434" t="s">
        <v>165</v>
      </c>
      <c r="O1434" t="s">
        <v>2107</v>
      </c>
    </row>
    <row r="1435" spans="1:15">
      <c r="A1435" t="s">
        <v>3212</v>
      </c>
      <c r="B1435" t="s">
        <v>2093</v>
      </c>
      <c r="C1435" t="s">
        <v>2111</v>
      </c>
      <c r="D1435" s="1">
        <v>45148</v>
      </c>
      <c r="E1435" s="1">
        <v>45175</v>
      </c>
      <c r="F1435">
        <v>117</v>
      </c>
      <c r="G1435">
        <v>3</v>
      </c>
      <c r="H1435">
        <v>86.78</v>
      </c>
      <c r="I1435">
        <v>51.32</v>
      </c>
      <c r="J1435" t="s">
        <v>14</v>
      </c>
      <c r="K1435" t="s">
        <v>16</v>
      </c>
      <c r="L1435" t="s">
        <v>2095</v>
      </c>
      <c r="M1435">
        <v>4</v>
      </c>
      <c r="N1435" t="s">
        <v>179</v>
      </c>
      <c r="O1435" t="s">
        <v>2107</v>
      </c>
    </row>
    <row r="1436" spans="1:15">
      <c r="A1436" t="s">
        <v>3213</v>
      </c>
      <c r="B1436" t="s">
        <v>2113</v>
      </c>
      <c r="C1436" t="s">
        <v>2111</v>
      </c>
      <c r="D1436" s="1">
        <v>44301</v>
      </c>
      <c r="E1436" s="1">
        <v>45232</v>
      </c>
      <c r="F1436">
        <v>60</v>
      </c>
      <c r="G1436">
        <v>10</v>
      </c>
      <c r="H1436">
        <v>428.81</v>
      </c>
      <c r="I1436">
        <v>48.7</v>
      </c>
      <c r="J1436" t="s">
        <v>115</v>
      </c>
      <c r="K1436" t="s">
        <v>16</v>
      </c>
      <c r="L1436" t="s">
        <v>2095</v>
      </c>
      <c r="M1436">
        <v>3</v>
      </c>
      <c r="N1436" t="s">
        <v>204</v>
      </c>
      <c r="O1436" t="s">
        <v>2121</v>
      </c>
    </row>
    <row r="1437" spans="1:15">
      <c r="A1437" t="s">
        <v>1250</v>
      </c>
      <c r="B1437" t="s">
        <v>2097</v>
      </c>
      <c r="C1437" t="s">
        <v>2100</v>
      </c>
      <c r="D1437" s="1">
        <v>44633</v>
      </c>
      <c r="E1437" s="1">
        <v>45158</v>
      </c>
      <c r="F1437">
        <v>134</v>
      </c>
      <c r="G1437">
        <v>3</v>
      </c>
      <c r="H1437">
        <v>268.72000000000003</v>
      </c>
      <c r="I1437">
        <v>140.94999999999999</v>
      </c>
      <c r="J1437" t="s">
        <v>14</v>
      </c>
      <c r="K1437" t="s">
        <v>16</v>
      </c>
      <c r="L1437" t="s">
        <v>2106</v>
      </c>
      <c r="M1437">
        <v>6</v>
      </c>
      <c r="N1437" t="s">
        <v>165</v>
      </c>
      <c r="O1437" t="s">
        <v>2109</v>
      </c>
    </row>
    <row r="1438" spans="1:15">
      <c r="A1438" t="s">
        <v>3214</v>
      </c>
      <c r="B1438" t="s">
        <v>2085</v>
      </c>
      <c r="C1438" t="s">
        <v>2091</v>
      </c>
      <c r="D1438" s="1">
        <v>44234</v>
      </c>
      <c r="E1438" s="1">
        <v>45089</v>
      </c>
      <c r="F1438">
        <v>203</v>
      </c>
      <c r="G1438">
        <v>16</v>
      </c>
      <c r="H1438">
        <v>2820.24</v>
      </c>
      <c r="I1438">
        <v>158.72999999999999</v>
      </c>
      <c r="J1438" t="s">
        <v>66</v>
      </c>
      <c r="K1438" t="s">
        <v>16</v>
      </c>
      <c r="L1438" t="s">
        <v>2087</v>
      </c>
      <c r="M1438">
        <v>5</v>
      </c>
      <c r="N1438" t="s">
        <v>157</v>
      </c>
      <c r="O1438" t="s">
        <v>2109</v>
      </c>
    </row>
    <row r="1439" spans="1:15">
      <c r="A1439" t="s">
        <v>3215</v>
      </c>
      <c r="B1439" t="s">
        <v>2113</v>
      </c>
      <c r="C1439" t="s">
        <v>2094</v>
      </c>
      <c r="D1439" s="1">
        <v>45083</v>
      </c>
      <c r="E1439" s="1">
        <v>45115</v>
      </c>
      <c r="F1439">
        <v>177</v>
      </c>
      <c r="G1439">
        <v>7</v>
      </c>
      <c r="H1439">
        <v>449.96</v>
      </c>
      <c r="I1439">
        <v>70.760000000000005</v>
      </c>
      <c r="J1439" t="s">
        <v>14</v>
      </c>
      <c r="K1439" t="s">
        <v>16</v>
      </c>
      <c r="L1439" t="s">
        <v>2087</v>
      </c>
      <c r="M1439">
        <v>4</v>
      </c>
      <c r="N1439" t="s">
        <v>179</v>
      </c>
      <c r="O1439" t="s">
        <v>2088</v>
      </c>
    </row>
    <row r="1440" spans="1:15">
      <c r="A1440" t="s">
        <v>3216</v>
      </c>
      <c r="B1440" t="s">
        <v>2090</v>
      </c>
      <c r="C1440" t="s">
        <v>2100</v>
      </c>
      <c r="D1440" s="1">
        <v>44633</v>
      </c>
      <c r="E1440" s="1">
        <v>45158</v>
      </c>
      <c r="F1440">
        <v>134</v>
      </c>
      <c r="G1440">
        <v>3</v>
      </c>
      <c r="H1440">
        <v>118.03</v>
      </c>
      <c r="I1440">
        <v>109.94</v>
      </c>
      <c r="J1440" t="s">
        <v>41</v>
      </c>
      <c r="K1440" t="s">
        <v>20</v>
      </c>
      <c r="L1440" t="s">
        <v>2087</v>
      </c>
      <c r="M1440">
        <v>4</v>
      </c>
      <c r="N1440" t="s">
        <v>165</v>
      </c>
      <c r="O1440" t="s">
        <v>2109</v>
      </c>
    </row>
    <row r="1441" spans="1:15">
      <c r="A1441" t="s">
        <v>1645</v>
      </c>
      <c r="B1441" t="s">
        <v>2099</v>
      </c>
      <c r="C1441" t="s">
        <v>2111</v>
      </c>
      <c r="D1441" s="1">
        <v>43938</v>
      </c>
      <c r="E1441" s="1">
        <v>45146</v>
      </c>
      <c r="F1441">
        <v>146</v>
      </c>
      <c r="G1441">
        <v>1</v>
      </c>
      <c r="H1441">
        <v>149.88</v>
      </c>
      <c r="I1441">
        <v>96.86</v>
      </c>
      <c r="J1441" t="s">
        <v>90</v>
      </c>
      <c r="K1441" t="s">
        <v>16</v>
      </c>
      <c r="L1441" t="s">
        <v>2087</v>
      </c>
      <c r="M1441">
        <v>9</v>
      </c>
      <c r="N1441" t="s">
        <v>179</v>
      </c>
      <c r="O1441" t="s">
        <v>2088</v>
      </c>
    </row>
    <row r="1442" spans="1:15">
      <c r="A1442" t="s">
        <v>3217</v>
      </c>
      <c r="B1442" t="s">
        <v>2090</v>
      </c>
      <c r="C1442" t="s">
        <v>2094</v>
      </c>
      <c r="D1442" s="1">
        <v>44229</v>
      </c>
      <c r="E1442" s="1">
        <v>45224</v>
      </c>
      <c r="F1442">
        <v>68</v>
      </c>
      <c r="G1442">
        <v>5</v>
      </c>
      <c r="H1442">
        <v>170.79</v>
      </c>
      <c r="I1442">
        <v>45.9</v>
      </c>
      <c r="J1442" t="s">
        <v>115</v>
      </c>
      <c r="K1442" t="s">
        <v>16</v>
      </c>
      <c r="L1442" t="s">
        <v>2106</v>
      </c>
      <c r="M1442">
        <v>2</v>
      </c>
      <c r="N1442" t="s">
        <v>157</v>
      </c>
      <c r="O1442" t="s">
        <v>2096</v>
      </c>
    </row>
    <row r="1443" spans="1:15">
      <c r="A1443" t="s">
        <v>1925</v>
      </c>
      <c r="B1443" t="s">
        <v>2113</v>
      </c>
      <c r="C1443" t="s">
        <v>2086</v>
      </c>
      <c r="D1443" s="1">
        <v>43805</v>
      </c>
      <c r="E1443" s="1">
        <v>45137</v>
      </c>
      <c r="F1443">
        <v>155</v>
      </c>
      <c r="G1443">
        <v>10</v>
      </c>
      <c r="H1443">
        <v>402.42</v>
      </c>
      <c r="I1443">
        <v>49.35</v>
      </c>
      <c r="J1443" t="s">
        <v>115</v>
      </c>
      <c r="K1443" t="s">
        <v>16</v>
      </c>
      <c r="L1443" t="s">
        <v>2095</v>
      </c>
      <c r="M1443">
        <v>6</v>
      </c>
      <c r="N1443" t="s">
        <v>204</v>
      </c>
      <c r="O1443" t="s">
        <v>2109</v>
      </c>
    </row>
    <row r="1444" spans="1:15">
      <c r="A1444" t="s">
        <v>3218</v>
      </c>
      <c r="B1444" t="s">
        <v>2085</v>
      </c>
      <c r="C1444" t="s">
        <v>2091</v>
      </c>
      <c r="D1444" s="1">
        <v>44301</v>
      </c>
      <c r="E1444" s="1">
        <v>45017</v>
      </c>
      <c r="F1444">
        <v>275</v>
      </c>
      <c r="G1444">
        <v>26</v>
      </c>
      <c r="H1444">
        <v>2886.98</v>
      </c>
      <c r="I1444">
        <v>213.84</v>
      </c>
      <c r="J1444" t="s">
        <v>66</v>
      </c>
      <c r="K1444" t="s">
        <v>16</v>
      </c>
      <c r="L1444" t="s">
        <v>2106</v>
      </c>
      <c r="M1444">
        <v>9</v>
      </c>
      <c r="N1444" t="s">
        <v>232</v>
      </c>
      <c r="O1444" t="s">
        <v>2107</v>
      </c>
    </row>
    <row r="1445" spans="1:15">
      <c r="A1445" t="s">
        <v>3219</v>
      </c>
      <c r="B1445" t="s">
        <v>2090</v>
      </c>
      <c r="C1445" t="s">
        <v>2091</v>
      </c>
      <c r="D1445" s="1">
        <v>44588</v>
      </c>
      <c r="E1445" s="1">
        <v>45053</v>
      </c>
      <c r="F1445">
        <v>239</v>
      </c>
      <c r="G1445">
        <v>7</v>
      </c>
      <c r="H1445">
        <v>273.02</v>
      </c>
      <c r="I1445">
        <v>116.11</v>
      </c>
      <c r="J1445" t="s">
        <v>66</v>
      </c>
      <c r="K1445" t="s">
        <v>20</v>
      </c>
      <c r="L1445" t="s">
        <v>2106</v>
      </c>
      <c r="M1445">
        <v>7</v>
      </c>
      <c r="N1445" t="s">
        <v>179</v>
      </c>
      <c r="O1445" t="s">
        <v>2109</v>
      </c>
    </row>
    <row r="1446" spans="1:15">
      <c r="A1446" t="s">
        <v>3220</v>
      </c>
      <c r="B1446" t="s">
        <v>2090</v>
      </c>
      <c r="C1446" t="s">
        <v>2094</v>
      </c>
      <c r="D1446" s="1">
        <v>44717</v>
      </c>
      <c r="E1446" s="1">
        <v>45022</v>
      </c>
      <c r="F1446">
        <v>270</v>
      </c>
      <c r="G1446">
        <v>6</v>
      </c>
      <c r="H1446">
        <v>228.48</v>
      </c>
      <c r="I1446">
        <v>79.63</v>
      </c>
      <c r="J1446" t="s">
        <v>90</v>
      </c>
      <c r="K1446" t="s">
        <v>16</v>
      </c>
      <c r="L1446" t="s">
        <v>2087</v>
      </c>
      <c r="M1446">
        <v>1</v>
      </c>
      <c r="N1446" t="s">
        <v>157</v>
      </c>
      <c r="O1446" t="s">
        <v>2121</v>
      </c>
    </row>
    <row r="1447" spans="1:15">
      <c r="A1447" t="s">
        <v>561</v>
      </c>
      <c r="B1447" t="s">
        <v>2090</v>
      </c>
      <c r="C1447" t="s">
        <v>2086</v>
      </c>
      <c r="D1447" s="1">
        <v>45119</v>
      </c>
      <c r="E1447" s="1">
        <v>45055</v>
      </c>
      <c r="F1447">
        <v>237</v>
      </c>
      <c r="G1447">
        <v>3</v>
      </c>
      <c r="H1447">
        <v>95.63</v>
      </c>
      <c r="I1447">
        <v>115.8</v>
      </c>
      <c r="J1447" t="s">
        <v>41</v>
      </c>
      <c r="K1447" t="s">
        <v>16</v>
      </c>
      <c r="L1447" t="s">
        <v>2087</v>
      </c>
      <c r="M1447">
        <v>3</v>
      </c>
      <c r="N1447" t="s">
        <v>232</v>
      </c>
      <c r="O1447" t="s">
        <v>2088</v>
      </c>
    </row>
    <row r="1448" spans="1:15">
      <c r="A1448" t="s">
        <v>3221</v>
      </c>
      <c r="B1448" t="s">
        <v>2093</v>
      </c>
      <c r="C1448" t="s">
        <v>2100</v>
      </c>
      <c r="D1448" s="1">
        <v>43782</v>
      </c>
      <c r="E1448" s="1">
        <v>44991</v>
      </c>
      <c r="F1448">
        <v>301</v>
      </c>
      <c r="G1448">
        <v>2</v>
      </c>
      <c r="H1448">
        <v>195.93</v>
      </c>
      <c r="I1448">
        <v>55.97</v>
      </c>
      <c r="J1448" t="s">
        <v>14</v>
      </c>
      <c r="K1448" t="s">
        <v>16</v>
      </c>
      <c r="L1448" t="s">
        <v>2095</v>
      </c>
      <c r="M1448">
        <v>1</v>
      </c>
      <c r="N1448" t="s">
        <v>194</v>
      </c>
      <c r="O1448" t="s">
        <v>2121</v>
      </c>
    </row>
    <row r="1449" spans="1:15">
      <c r="A1449" t="s">
        <v>3222</v>
      </c>
      <c r="B1449" t="s">
        <v>2085</v>
      </c>
      <c r="C1449" t="s">
        <v>2086</v>
      </c>
      <c r="D1449" s="1">
        <v>44282</v>
      </c>
      <c r="E1449" s="1">
        <v>45002</v>
      </c>
      <c r="F1449">
        <v>290</v>
      </c>
      <c r="G1449">
        <v>32</v>
      </c>
      <c r="H1449">
        <v>2953.56</v>
      </c>
      <c r="I1449">
        <v>239.68</v>
      </c>
      <c r="J1449" t="s">
        <v>14</v>
      </c>
      <c r="K1449" t="s">
        <v>16</v>
      </c>
      <c r="L1449" t="s">
        <v>2106</v>
      </c>
      <c r="M1449">
        <v>10</v>
      </c>
      <c r="N1449" t="s">
        <v>165</v>
      </c>
      <c r="O1449" t="s">
        <v>2107</v>
      </c>
    </row>
    <row r="1450" spans="1:15">
      <c r="A1450" t="s">
        <v>3223</v>
      </c>
      <c r="B1450" t="s">
        <v>2085</v>
      </c>
      <c r="C1450" t="s">
        <v>2094</v>
      </c>
      <c r="D1450" s="1">
        <v>43610</v>
      </c>
      <c r="E1450" s="1">
        <v>45038</v>
      </c>
      <c r="F1450">
        <v>254</v>
      </c>
      <c r="G1450">
        <v>39</v>
      </c>
      <c r="H1450">
        <v>1425.34</v>
      </c>
      <c r="I1450">
        <v>287.16000000000003</v>
      </c>
      <c r="J1450" t="s">
        <v>14</v>
      </c>
      <c r="K1450" t="s">
        <v>16</v>
      </c>
      <c r="L1450" t="s">
        <v>2095</v>
      </c>
      <c r="M1450">
        <v>8</v>
      </c>
      <c r="N1450" t="s">
        <v>179</v>
      </c>
      <c r="O1450" t="s">
        <v>2088</v>
      </c>
    </row>
    <row r="1451" spans="1:15">
      <c r="A1451" t="s">
        <v>3224</v>
      </c>
      <c r="B1451" t="s">
        <v>2099</v>
      </c>
      <c r="C1451" t="s">
        <v>2091</v>
      </c>
      <c r="D1451" s="1">
        <v>44579</v>
      </c>
      <c r="E1451" s="1">
        <v>45167</v>
      </c>
      <c r="F1451">
        <v>125</v>
      </c>
      <c r="G1451">
        <v>2</v>
      </c>
      <c r="H1451">
        <v>39.799999999999997</v>
      </c>
      <c r="I1451">
        <v>70.849999999999994</v>
      </c>
      <c r="J1451" t="s">
        <v>14</v>
      </c>
      <c r="K1451" t="s">
        <v>20</v>
      </c>
      <c r="L1451" t="s">
        <v>2106</v>
      </c>
      <c r="M1451">
        <v>8</v>
      </c>
      <c r="N1451" t="s">
        <v>204</v>
      </c>
      <c r="O1451" t="s">
        <v>2121</v>
      </c>
    </row>
    <row r="1452" spans="1:15">
      <c r="A1452" t="s">
        <v>3225</v>
      </c>
      <c r="B1452" t="s">
        <v>2093</v>
      </c>
      <c r="C1452" t="s">
        <v>2091</v>
      </c>
      <c r="D1452" s="1">
        <v>44832</v>
      </c>
      <c r="E1452" s="1">
        <v>45284</v>
      </c>
      <c r="F1452">
        <v>8</v>
      </c>
      <c r="G1452">
        <v>4</v>
      </c>
      <c r="H1452">
        <v>80.510000000000005</v>
      </c>
      <c r="I1452">
        <v>64.540000000000006</v>
      </c>
      <c r="J1452" t="s">
        <v>66</v>
      </c>
      <c r="K1452" t="s">
        <v>16</v>
      </c>
      <c r="L1452" t="s">
        <v>2087</v>
      </c>
      <c r="M1452">
        <v>9</v>
      </c>
      <c r="N1452" t="s">
        <v>165</v>
      </c>
      <c r="O1452" t="s">
        <v>2107</v>
      </c>
    </row>
    <row r="1453" spans="1:15">
      <c r="A1453" t="s">
        <v>3226</v>
      </c>
      <c r="B1453" t="s">
        <v>2085</v>
      </c>
      <c r="C1453" t="s">
        <v>2086</v>
      </c>
      <c r="D1453" s="1">
        <v>43941</v>
      </c>
      <c r="E1453" s="1">
        <v>44942</v>
      </c>
      <c r="F1453">
        <v>350</v>
      </c>
      <c r="G1453">
        <v>28</v>
      </c>
      <c r="H1453">
        <v>1201.83</v>
      </c>
      <c r="I1453">
        <v>167.37</v>
      </c>
      <c r="J1453" t="s">
        <v>90</v>
      </c>
      <c r="K1453" t="s">
        <v>16</v>
      </c>
      <c r="L1453" t="s">
        <v>2087</v>
      </c>
      <c r="M1453">
        <v>9</v>
      </c>
      <c r="N1453" t="s">
        <v>179</v>
      </c>
      <c r="O1453" t="s">
        <v>2096</v>
      </c>
    </row>
    <row r="1454" spans="1:15">
      <c r="A1454" t="s">
        <v>3227</v>
      </c>
      <c r="B1454" t="s">
        <v>2090</v>
      </c>
      <c r="C1454" t="s">
        <v>2086</v>
      </c>
      <c r="D1454" s="1">
        <v>43722</v>
      </c>
      <c r="E1454" s="1">
        <v>45218</v>
      </c>
      <c r="F1454">
        <v>74</v>
      </c>
      <c r="G1454">
        <v>4</v>
      </c>
      <c r="H1454">
        <v>258.77999999999997</v>
      </c>
      <c r="I1454">
        <v>89.64</v>
      </c>
      <c r="J1454" t="s">
        <v>14</v>
      </c>
      <c r="K1454" t="s">
        <v>20</v>
      </c>
      <c r="L1454" t="s">
        <v>2087</v>
      </c>
      <c r="M1454">
        <v>6</v>
      </c>
      <c r="N1454" t="s">
        <v>232</v>
      </c>
      <c r="O1454" t="s">
        <v>2107</v>
      </c>
    </row>
    <row r="1455" spans="1:15">
      <c r="A1455" t="s">
        <v>238</v>
      </c>
      <c r="B1455" t="s">
        <v>2085</v>
      </c>
      <c r="C1455" t="s">
        <v>2100</v>
      </c>
      <c r="D1455" s="1">
        <v>44752</v>
      </c>
      <c r="E1455" s="1">
        <v>44928</v>
      </c>
      <c r="F1455">
        <v>364</v>
      </c>
      <c r="G1455">
        <v>14</v>
      </c>
      <c r="H1455">
        <v>1842.49</v>
      </c>
      <c r="I1455">
        <v>172.9</v>
      </c>
      <c r="J1455" t="s">
        <v>115</v>
      </c>
      <c r="K1455" t="s">
        <v>16</v>
      </c>
      <c r="L1455" t="s">
        <v>2087</v>
      </c>
      <c r="M1455">
        <v>1</v>
      </c>
      <c r="N1455" t="s">
        <v>232</v>
      </c>
      <c r="O1455" t="s">
        <v>2109</v>
      </c>
    </row>
    <row r="1456" spans="1:15">
      <c r="A1456" t="s">
        <v>1319</v>
      </c>
      <c r="B1456" t="s">
        <v>2090</v>
      </c>
      <c r="C1456" t="s">
        <v>2108</v>
      </c>
      <c r="D1456" s="1">
        <v>45031</v>
      </c>
      <c r="E1456" s="1">
        <v>45260</v>
      </c>
      <c r="F1456">
        <v>32</v>
      </c>
      <c r="G1456">
        <v>4</v>
      </c>
      <c r="H1456">
        <v>393.01</v>
      </c>
      <c r="I1456">
        <v>52.23</v>
      </c>
      <c r="J1456" t="s">
        <v>66</v>
      </c>
      <c r="K1456" t="s">
        <v>16</v>
      </c>
      <c r="L1456" t="s">
        <v>2087</v>
      </c>
      <c r="M1456">
        <v>3</v>
      </c>
      <c r="N1456" t="s">
        <v>179</v>
      </c>
      <c r="O1456" t="s">
        <v>2121</v>
      </c>
    </row>
    <row r="1457" spans="1:15">
      <c r="A1457" t="s">
        <v>3228</v>
      </c>
      <c r="B1457" t="s">
        <v>2099</v>
      </c>
      <c r="C1457" t="s">
        <v>2108</v>
      </c>
      <c r="D1457" s="1">
        <v>43927</v>
      </c>
      <c r="E1457" s="1">
        <v>44964</v>
      </c>
      <c r="F1457">
        <v>328</v>
      </c>
      <c r="G1457">
        <v>2</v>
      </c>
      <c r="H1457">
        <v>35.67</v>
      </c>
      <c r="I1457">
        <v>33.07</v>
      </c>
      <c r="J1457" t="s">
        <v>41</v>
      </c>
      <c r="K1457" t="s">
        <v>16</v>
      </c>
      <c r="L1457" t="s">
        <v>2106</v>
      </c>
      <c r="M1457">
        <v>9</v>
      </c>
      <c r="N1457" t="s">
        <v>194</v>
      </c>
      <c r="O1457" t="s">
        <v>2109</v>
      </c>
    </row>
    <row r="1458" spans="1:15">
      <c r="A1458" t="s">
        <v>3229</v>
      </c>
      <c r="B1458" t="s">
        <v>2085</v>
      </c>
      <c r="C1458" t="s">
        <v>2091</v>
      </c>
      <c r="D1458" s="1">
        <v>43868</v>
      </c>
      <c r="E1458" s="1">
        <v>45255</v>
      </c>
      <c r="F1458">
        <v>37</v>
      </c>
      <c r="G1458">
        <v>12</v>
      </c>
      <c r="H1458">
        <v>914.03</v>
      </c>
      <c r="I1458">
        <v>198.04</v>
      </c>
      <c r="J1458" t="s">
        <v>14</v>
      </c>
      <c r="K1458" t="s">
        <v>16</v>
      </c>
      <c r="L1458" t="s">
        <v>2087</v>
      </c>
      <c r="M1458">
        <v>0</v>
      </c>
      <c r="N1458" t="s">
        <v>157</v>
      </c>
      <c r="O1458" t="s">
        <v>2109</v>
      </c>
    </row>
    <row r="1459" spans="1:15">
      <c r="A1459" t="s">
        <v>3230</v>
      </c>
      <c r="B1459" t="s">
        <v>2085</v>
      </c>
      <c r="C1459" t="s">
        <v>2108</v>
      </c>
      <c r="D1459" s="1">
        <v>43558</v>
      </c>
      <c r="E1459" s="1">
        <v>45002</v>
      </c>
      <c r="F1459">
        <v>290</v>
      </c>
      <c r="G1459">
        <v>36</v>
      </c>
      <c r="H1459">
        <v>2066.3200000000002</v>
      </c>
      <c r="I1459">
        <v>232.65</v>
      </c>
      <c r="J1459" t="s">
        <v>66</v>
      </c>
      <c r="K1459" t="s">
        <v>20</v>
      </c>
      <c r="L1459" t="s">
        <v>2106</v>
      </c>
      <c r="M1459">
        <v>9</v>
      </c>
      <c r="N1459" t="s">
        <v>232</v>
      </c>
      <c r="O1459" t="s">
        <v>2096</v>
      </c>
    </row>
    <row r="1460" spans="1:15">
      <c r="A1460" t="s">
        <v>3231</v>
      </c>
      <c r="B1460" t="s">
        <v>2090</v>
      </c>
      <c r="C1460" t="s">
        <v>2091</v>
      </c>
      <c r="D1460" s="1">
        <v>44407</v>
      </c>
      <c r="E1460" s="1">
        <v>44947</v>
      </c>
      <c r="F1460">
        <v>345</v>
      </c>
      <c r="G1460">
        <v>3</v>
      </c>
      <c r="H1460">
        <v>245</v>
      </c>
      <c r="I1460">
        <v>55.47</v>
      </c>
      <c r="J1460" t="s">
        <v>66</v>
      </c>
      <c r="K1460" t="s">
        <v>20</v>
      </c>
      <c r="L1460" t="s">
        <v>2095</v>
      </c>
      <c r="M1460">
        <v>4</v>
      </c>
      <c r="N1460" t="s">
        <v>179</v>
      </c>
      <c r="O1460" t="s">
        <v>2121</v>
      </c>
    </row>
    <row r="1461" spans="1:15">
      <c r="A1461" t="s">
        <v>3232</v>
      </c>
      <c r="B1461" t="s">
        <v>2113</v>
      </c>
      <c r="C1461" t="s">
        <v>2100</v>
      </c>
      <c r="D1461" s="1">
        <v>45062</v>
      </c>
      <c r="E1461" s="1">
        <v>45065</v>
      </c>
      <c r="F1461">
        <v>227</v>
      </c>
      <c r="G1461">
        <v>19</v>
      </c>
      <c r="H1461">
        <v>243.31</v>
      </c>
      <c r="I1461">
        <v>60.45</v>
      </c>
      <c r="J1461" t="s">
        <v>90</v>
      </c>
      <c r="K1461" t="s">
        <v>16</v>
      </c>
      <c r="L1461" t="s">
        <v>2087</v>
      </c>
      <c r="M1461">
        <v>8</v>
      </c>
      <c r="N1461" t="s">
        <v>204</v>
      </c>
      <c r="O1461" t="s">
        <v>2107</v>
      </c>
    </row>
    <row r="1462" spans="1:15">
      <c r="A1462" t="s">
        <v>1968</v>
      </c>
      <c r="B1462" t="s">
        <v>2097</v>
      </c>
      <c r="C1462" t="s">
        <v>2100</v>
      </c>
      <c r="D1462" s="1">
        <v>43476</v>
      </c>
      <c r="E1462" s="1">
        <v>45281</v>
      </c>
      <c r="F1462">
        <v>11</v>
      </c>
      <c r="G1462">
        <v>8</v>
      </c>
      <c r="H1462">
        <v>791.19</v>
      </c>
      <c r="I1462">
        <v>142.30000000000001</v>
      </c>
      <c r="J1462" t="s">
        <v>90</v>
      </c>
      <c r="K1462" t="s">
        <v>16</v>
      </c>
      <c r="L1462" t="s">
        <v>2095</v>
      </c>
      <c r="M1462">
        <v>9</v>
      </c>
      <c r="N1462" t="s">
        <v>174</v>
      </c>
      <c r="O1462" t="s">
        <v>2109</v>
      </c>
    </row>
    <row r="1463" spans="1:15">
      <c r="A1463" t="s">
        <v>3233</v>
      </c>
      <c r="B1463" t="s">
        <v>2093</v>
      </c>
      <c r="C1463" t="s">
        <v>2111</v>
      </c>
      <c r="D1463" s="1">
        <v>45213</v>
      </c>
      <c r="E1463" s="1">
        <v>45109</v>
      </c>
      <c r="F1463">
        <v>183</v>
      </c>
      <c r="G1463">
        <v>1</v>
      </c>
      <c r="H1463">
        <v>196.17</v>
      </c>
      <c r="I1463">
        <v>61.28</v>
      </c>
      <c r="J1463" t="s">
        <v>90</v>
      </c>
      <c r="K1463" t="s">
        <v>20</v>
      </c>
      <c r="L1463" t="s">
        <v>2095</v>
      </c>
      <c r="M1463">
        <v>10</v>
      </c>
      <c r="N1463" t="s">
        <v>157</v>
      </c>
      <c r="O1463" t="s">
        <v>2088</v>
      </c>
    </row>
    <row r="1464" spans="1:15">
      <c r="A1464" t="s">
        <v>3234</v>
      </c>
      <c r="B1464" t="s">
        <v>2090</v>
      </c>
      <c r="C1464" t="s">
        <v>2111</v>
      </c>
      <c r="D1464" s="1">
        <v>43860</v>
      </c>
      <c r="E1464" s="1">
        <v>45057</v>
      </c>
      <c r="F1464">
        <v>235</v>
      </c>
      <c r="G1464">
        <v>4</v>
      </c>
      <c r="H1464">
        <v>105.11</v>
      </c>
      <c r="I1464">
        <v>68.13</v>
      </c>
      <c r="J1464" t="s">
        <v>115</v>
      </c>
      <c r="K1464" t="s">
        <v>16</v>
      </c>
      <c r="L1464" t="s">
        <v>2106</v>
      </c>
      <c r="M1464">
        <v>5</v>
      </c>
      <c r="N1464" t="s">
        <v>232</v>
      </c>
      <c r="O1464" t="s">
        <v>2096</v>
      </c>
    </row>
    <row r="1465" spans="1:15">
      <c r="A1465" t="s">
        <v>3235</v>
      </c>
      <c r="B1465" t="s">
        <v>2113</v>
      </c>
      <c r="C1465" t="s">
        <v>2094</v>
      </c>
      <c r="D1465" s="1">
        <v>44974</v>
      </c>
      <c r="E1465" s="1">
        <v>44975</v>
      </c>
      <c r="F1465">
        <v>317</v>
      </c>
      <c r="G1465">
        <v>16</v>
      </c>
      <c r="H1465">
        <v>372.3</v>
      </c>
      <c r="I1465">
        <v>33.950000000000003</v>
      </c>
      <c r="J1465" t="s">
        <v>90</v>
      </c>
      <c r="K1465" t="s">
        <v>16</v>
      </c>
      <c r="L1465" t="s">
        <v>2087</v>
      </c>
      <c r="M1465">
        <v>9</v>
      </c>
      <c r="N1465" t="s">
        <v>204</v>
      </c>
      <c r="O1465" t="s">
        <v>2121</v>
      </c>
    </row>
    <row r="1466" spans="1:15">
      <c r="A1466" t="s">
        <v>3236</v>
      </c>
      <c r="B1466" t="s">
        <v>2097</v>
      </c>
      <c r="C1466" t="s">
        <v>2111</v>
      </c>
      <c r="D1466" s="1">
        <v>44473</v>
      </c>
      <c r="E1466" s="1">
        <v>45169</v>
      </c>
      <c r="F1466">
        <v>123</v>
      </c>
      <c r="G1466">
        <v>4</v>
      </c>
      <c r="H1466">
        <v>749.19</v>
      </c>
      <c r="I1466">
        <v>54.69</v>
      </c>
      <c r="J1466" t="s">
        <v>14</v>
      </c>
      <c r="K1466" t="s">
        <v>16</v>
      </c>
      <c r="L1466" t="s">
        <v>2095</v>
      </c>
      <c r="M1466">
        <v>9</v>
      </c>
      <c r="N1466" t="s">
        <v>157</v>
      </c>
      <c r="O1466" t="s">
        <v>2096</v>
      </c>
    </row>
    <row r="1467" spans="1:15">
      <c r="A1467" t="s">
        <v>3237</v>
      </c>
      <c r="B1467" t="s">
        <v>2093</v>
      </c>
      <c r="C1467" t="s">
        <v>2111</v>
      </c>
      <c r="D1467" s="1">
        <v>44571</v>
      </c>
      <c r="E1467" s="1">
        <v>45068</v>
      </c>
      <c r="F1467">
        <v>224</v>
      </c>
      <c r="G1467">
        <v>3</v>
      </c>
      <c r="H1467">
        <v>84.22</v>
      </c>
      <c r="I1467">
        <v>38.71</v>
      </c>
      <c r="J1467" t="s">
        <v>41</v>
      </c>
      <c r="K1467" t="s">
        <v>20</v>
      </c>
      <c r="L1467" t="s">
        <v>2106</v>
      </c>
      <c r="M1467">
        <v>8</v>
      </c>
      <c r="N1467" t="s">
        <v>157</v>
      </c>
      <c r="O1467" t="s">
        <v>2107</v>
      </c>
    </row>
    <row r="1468" spans="1:15">
      <c r="A1468" t="s">
        <v>3238</v>
      </c>
      <c r="B1468" t="s">
        <v>2085</v>
      </c>
      <c r="C1468" t="s">
        <v>2100</v>
      </c>
      <c r="D1468" s="1">
        <v>44671</v>
      </c>
      <c r="E1468" s="1">
        <v>45122</v>
      </c>
      <c r="F1468">
        <v>170</v>
      </c>
      <c r="G1468">
        <v>37</v>
      </c>
      <c r="H1468">
        <v>1987.18</v>
      </c>
      <c r="I1468">
        <v>236.19</v>
      </c>
      <c r="J1468" t="s">
        <v>41</v>
      </c>
      <c r="K1468" t="s">
        <v>20</v>
      </c>
      <c r="L1468" t="s">
        <v>2106</v>
      </c>
      <c r="M1468">
        <v>0</v>
      </c>
      <c r="N1468" t="s">
        <v>157</v>
      </c>
      <c r="O1468" t="s">
        <v>2088</v>
      </c>
    </row>
    <row r="1469" spans="1:15">
      <c r="A1469" t="s">
        <v>3239</v>
      </c>
      <c r="B1469" t="s">
        <v>2113</v>
      </c>
      <c r="C1469" t="s">
        <v>2108</v>
      </c>
      <c r="D1469" s="1">
        <v>44886</v>
      </c>
      <c r="E1469" s="1">
        <v>44937</v>
      </c>
      <c r="F1469">
        <v>355</v>
      </c>
      <c r="G1469">
        <v>17</v>
      </c>
      <c r="H1469">
        <v>442.25</v>
      </c>
      <c r="I1469">
        <v>43.94</v>
      </c>
      <c r="J1469" t="s">
        <v>90</v>
      </c>
      <c r="K1469" t="s">
        <v>20</v>
      </c>
      <c r="L1469" t="s">
        <v>2106</v>
      </c>
      <c r="M1469">
        <v>0</v>
      </c>
      <c r="N1469" t="s">
        <v>157</v>
      </c>
      <c r="O1469" t="s">
        <v>2109</v>
      </c>
    </row>
    <row r="1470" spans="1:15">
      <c r="A1470" t="s">
        <v>3240</v>
      </c>
      <c r="B1470" t="s">
        <v>2113</v>
      </c>
      <c r="C1470" t="s">
        <v>2108</v>
      </c>
      <c r="D1470" s="1">
        <v>44248</v>
      </c>
      <c r="E1470" s="1">
        <v>45071</v>
      </c>
      <c r="F1470">
        <v>221</v>
      </c>
      <c r="G1470">
        <v>10</v>
      </c>
      <c r="H1470">
        <v>404.04</v>
      </c>
      <c r="I1470">
        <v>46.9</v>
      </c>
      <c r="J1470" t="s">
        <v>90</v>
      </c>
      <c r="K1470" t="s">
        <v>20</v>
      </c>
      <c r="L1470" t="s">
        <v>2106</v>
      </c>
      <c r="M1470">
        <v>3</v>
      </c>
      <c r="N1470" t="s">
        <v>179</v>
      </c>
      <c r="O1470" t="s">
        <v>2107</v>
      </c>
    </row>
    <row r="1471" spans="1:15">
      <c r="A1471" t="s">
        <v>365</v>
      </c>
      <c r="B1471" t="s">
        <v>2093</v>
      </c>
      <c r="C1471" t="s">
        <v>2091</v>
      </c>
      <c r="D1471" s="1">
        <v>43875</v>
      </c>
      <c r="E1471" s="1">
        <v>44955</v>
      </c>
      <c r="F1471">
        <v>337</v>
      </c>
      <c r="G1471">
        <v>2</v>
      </c>
      <c r="H1471">
        <v>88.23</v>
      </c>
      <c r="I1471">
        <v>45.05</v>
      </c>
      <c r="J1471" t="s">
        <v>115</v>
      </c>
      <c r="K1471" t="s">
        <v>16</v>
      </c>
      <c r="L1471" t="s">
        <v>2087</v>
      </c>
      <c r="M1471">
        <v>4</v>
      </c>
      <c r="N1471" t="s">
        <v>179</v>
      </c>
      <c r="O1471" t="s">
        <v>2096</v>
      </c>
    </row>
    <row r="1472" spans="1:15">
      <c r="A1472" t="s">
        <v>3241</v>
      </c>
      <c r="B1472" t="s">
        <v>2090</v>
      </c>
      <c r="C1472" t="s">
        <v>2100</v>
      </c>
      <c r="D1472" s="1">
        <v>45187</v>
      </c>
      <c r="E1472" s="1">
        <v>45148</v>
      </c>
      <c r="F1472">
        <v>144</v>
      </c>
      <c r="G1472">
        <v>6</v>
      </c>
      <c r="H1472">
        <v>368</v>
      </c>
      <c r="I1472">
        <v>100.97</v>
      </c>
      <c r="J1472" t="s">
        <v>14</v>
      </c>
      <c r="K1472" t="s">
        <v>20</v>
      </c>
      <c r="L1472" t="s">
        <v>2106</v>
      </c>
      <c r="M1472">
        <v>9</v>
      </c>
      <c r="N1472" t="s">
        <v>232</v>
      </c>
      <c r="O1472" t="s">
        <v>2109</v>
      </c>
    </row>
    <row r="1473" spans="1:15">
      <c r="A1473" t="s">
        <v>3242</v>
      </c>
      <c r="B1473" t="s">
        <v>2085</v>
      </c>
      <c r="C1473" t="s">
        <v>2086</v>
      </c>
      <c r="D1473" s="1">
        <v>44931</v>
      </c>
      <c r="E1473" s="1">
        <v>44987</v>
      </c>
      <c r="F1473">
        <v>305</v>
      </c>
      <c r="G1473">
        <v>31</v>
      </c>
      <c r="H1473">
        <v>1170.01</v>
      </c>
      <c r="I1473">
        <v>295.81</v>
      </c>
      <c r="J1473" t="s">
        <v>115</v>
      </c>
      <c r="K1473" t="s">
        <v>16</v>
      </c>
      <c r="L1473" t="s">
        <v>2106</v>
      </c>
      <c r="M1473">
        <v>10</v>
      </c>
      <c r="N1473" t="s">
        <v>194</v>
      </c>
      <c r="O1473" t="s">
        <v>2107</v>
      </c>
    </row>
    <row r="1474" spans="1:15">
      <c r="A1474" t="s">
        <v>3243</v>
      </c>
      <c r="B1474" t="s">
        <v>2085</v>
      </c>
      <c r="C1474" t="s">
        <v>2100</v>
      </c>
      <c r="D1474" s="1">
        <v>43763</v>
      </c>
      <c r="E1474" s="1">
        <v>45126</v>
      </c>
      <c r="F1474">
        <v>166</v>
      </c>
      <c r="G1474">
        <v>14</v>
      </c>
      <c r="H1474">
        <v>1239.32</v>
      </c>
      <c r="I1474">
        <v>271.23</v>
      </c>
      <c r="J1474" t="s">
        <v>14</v>
      </c>
      <c r="K1474" t="s">
        <v>16</v>
      </c>
      <c r="L1474" t="s">
        <v>2087</v>
      </c>
      <c r="M1474">
        <v>8</v>
      </c>
      <c r="N1474" t="s">
        <v>194</v>
      </c>
      <c r="O1474" t="s">
        <v>2088</v>
      </c>
    </row>
    <row r="1475" spans="1:15">
      <c r="A1475" t="s">
        <v>678</v>
      </c>
      <c r="B1475" t="s">
        <v>2113</v>
      </c>
      <c r="C1475" t="s">
        <v>2108</v>
      </c>
      <c r="D1475" s="1">
        <v>43959</v>
      </c>
      <c r="E1475" s="1">
        <v>45022</v>
      </c>
      <c r="F1475">
        <v>270</v>
      </c>
      <c r="G1475">
        <v>6</v>
      </c>
      <c r="H1475">
        <v>271.45999999999998</v>
      </c>
      <c r="I1475">
        <v>70.02</v>
      </c>
      <c r="J1475" t="s">
        <v>14</v>
      </c>
      <c r="K1475" t="s">
        <v>16</v>
      </c>
      <c r="L1475" t="s">
        <v>2106</v>
      </c>
      <c r="M1475">
        <v>10</v>
      </c>
      <c r="N1475" t="s">
        <v>204</v>
      </c>
      <c r="O1475" t="s">
        <v>2096</v>
      </c>
    </row>
    <row r="1476" spans="1:15">
      <c r="A1476" t="s">
        <v>3244</v>
      </c>
      <c r="B1476" t="s">
        <v>2113</v>
      </c>
      <c r="C1476" t="s">
        <v>2111</v>
      </c>
      <c r="D1476" s="1">
        <v>43791</v>
      </c>
      <c r="E1476" s="1">
        <v>45002</v>
      </c>
      <c r="F1476">
        <v>290</v>
      </c>
      <c r="G1476">
        <v>19</v>
      </c>
      <c r="H1476">
        <v>499.36</v>
      </c>
      <c r="I1476">
        <v>63.61</v>
      </c>
      <c r="J1476" t="s">
        <v>66</v>
      </c>
      <c r="K1476" t="s">
        <v>16</v>
      </c>
      <c r="L1476" t="s">
        <v>2106</v>
      </c>
      <c r="M1476">
        <v>7</v>
      </c>
      <c r="N1476" t="s">
        <v>165</v>
      </c>
      <c r="O1476" t="s">
        <v>2096</v>
      </c>
    </row>
    <row r="1477" spans="1:15">
      <c r="A1477" t="s">
        <v>1519</v>
      </c>
      <c r="B1477" t="s">
        <v>2099</v>
      </c>
      <c r="C1477" t="s">
        <v>2100</v>
      </c>
      <c r="D1477" s="1">
        <v>44036</v>
      </c>
      <c r="E1477" s="1">
        <v>45078</v>
      </c>
      <c r="F1477">
        <v>214</v>
      </c>
      <c r="G1477">
        <v>2</v>
      </c>
      <c r="H1477">
        <v>143.76</v>
      </c>
      <c r="I1477">
        <v>49.07</v>
      </c>
      <c r="J1477" t="s">
        <v>14</v>
      </c>
      <c r="K1477" t="s">
        <v>20</v>
      </c>
      <c r="L1477" t="s">
        <v>2106</v>
      </c>
      <c r="M1477">
        <v>10</v>
      </c>
      <c r="N1477" t="s">
        <v>179</v>
      </c>
      <c r="O1477" t="s">
        <v>2107</v>
      </c>
    </row>
    <row r="1478" spans="1:15">
      <c r="A1478" t="s">
        <v>3245</v>
      </c>
      <c r="B1478" t="s">
        <v>2093</v>
      </c>
      <c r="C1478" t="s">
        <v>2108</v>
      </c>
      <c r="D1478" s="1">
        <v>44058</v>
      </c>
      <c r="E1478" s="1">
        <v>45126</v>
      </c>
      <c r="F1478">
        <v>166</v>
      </c>
      <c r="G1478">
        <v>2</v>
      </c>
      <c r="H1478">
        <v>43.59</v>
      </c>
      <c r="I1478">
        <v>65.040000000000006</v>
      </c>
      <c r="J1478" t="s">
        <v>14</v>
      </c>
      <c r="K1478" t="s">
        <v>20</v>
      </c>
      <c r="L1478" t="s">
        <v>2106</v>
      </c>
      <c r="M1478">
        <v>5</v>
      </c>
      <c r="N1478" t="s">
        <v>165</v>
      </c>
      <c r="O1478" t="s">
        <v>2107</v>
      </c>
    </row>
    <row r="1479" spans="1:15">
      <c r="A1479" t="s">
        <v>3246</v>
      </c>
      <c r="B1479" t="s">
        <v>2090</v>
      </c>
      <c r="C1479" t="s">
        <v>2100</v>
      </c>
      <c r="D1479" s="1">
        <v>45112</v>
      </c>
      <c r="E1479" s="1">
        <v>45125</v>
      </c>
      <c r="F1479">
        <v>167</v>
      </c>
      <c r="G1479">
        <v>4</v>
      </c>
      <c r="H1479">
        <v>214.79</v>
      </c>
      <c r="I1479">
        <v>103.41</v>
      </c>
      <c r="J1479" t="s">
        <v>41</v>
      </c>
      <c r="K1479" t="s">
        <v>16</v>
      </c>
      <c r="L1479" t="s">
        <v>2095</v>
      </c>
      <c r="M1479">
        <v>3</v>
      </c>
      <c r="N1479" t="s">
        <v>194</v>
      </c>
      <c r="O1479" t="s">
        <v>2088</v>
      </c>
    </row>
    <row r="1480" spans="1:15">
      <c r="A1480" t="s">
        <v>3247</v>
      </c>
      <c r="B1480" t="s">
        <v>2099</v>
      </c>
      <c r="C1480" t="s">
        <v>2111</v>
      </c>
      <c r="D1480" s="1">
        <v>43748</v>
      </c>
      <c r="E1480" s="1">
        <v>45123</v>
      </c>
      <c r="F1480">
        <v>169</v>
      </c>
      <c r="G1480">
        <v>1</v>
      </c>
      <c r="H1480">
        <v>67.23</v>
      </c>
      <c r="I1480">
        <v>98.1</v>
      </c>
      <c r="J1480" t="s">
        <v>115</v>
      </c>
      <c r="K1480" t="s">
        <v>16</v>
      </c>
      <c r="L1480" t="s">
        <v>2095</v>
      </c>
      <c r="M1480">
        <v>2</v>
      </c>
      <c r="N1480" t="s">
        <v>194</v>
      </c>
      <c r="O1480" t="s">
        <v>2109</v>
      </c>
    </row>
    <row r="1481" spans="1:15">
      <c r="A1481" t="s">
        <v>736</v>
      </c>
      <c r="B1481" t="s">
        <v>2090</v>
      </c>
      <c r="C1481" t="s">
        <v>2111</v>
      </c>
      <c r="D1481" s="1">
        <v>44524</v>
      </c>
      <c r="E1481" s="1">
        <v>45132</v>
      </c>
      <c r="F1481">
        <v>160</v>
      </c>
      <c r="G1481">
        <v>5</v>
      </c>
      <c r="H1481">
        <v>81.900000000000006</v>
      </c>
      <c r="I1481">
        <v>112.55</v>
      </c>
      <c r="J1481" t="s">
        <v>66</v>
      </c>
      <c r="K1481" t="s">
        <v>16</v>
      </c>
      <c r="L1481" t="s">
        <v>2087</v>
      </c>
      <c r="M1481">
        <v>3</v>
      </c>
      <c r="N1481" t="s">
        <v>174</v>
      </c>
      <c r="O1481" t="s">
        <v>2109</v>
      </c>
    </row>
    <row r="1482" spans="1:15">
      <c r="A1482" t="s">
        <v>3248</v>
      </c>
      <c r="B1482" t="s">
        <v>2099</v>
      </c>
      <c r="C1482" t="s">
        <v>2108</v>
      </c>
      <c r="D1482" s="1">
        <v>43556</v>
      </c>
      <c r="E1482" s="1">
        <v>44993</v>
      </c>
      <c r="F1482">
        <v>299</v>
      </c>
      <c r="G1482">
        <v>1</v>
      </c>
      <c r="H1482">
        <v>76.42</v>
      </c>
      <c r="I1482">
        <v>20.67</v>
      </c>
      <c r="J1482" t="s">
        <v>115</v>
      </c>
      <c r="K1482" t="s">
        <v>20</v>
      </c>
      <c r="L1482" t="s">
        <v>2095</v>
      </c>
      <c r="M1482">
        <v>10</v>
      </c>
      <c r="N1482" t="s">
        <v>165</v>
      </c>
      <c r="O1482" t="s">
        <v>2109</v>
      </c>
    </row>
    <row r="1483" spans="1:15">
      <c r="A1483" t="s">
        <v>631</v>
      </c>
      <c r="B1483" t="s">
        <v>2113</v>
      </c>
      <c r="C1483" t="s">
        <v>2086</v>
      </c>
      <c r="D1483" s="1">
        <v>43488</v>
      </c>
      <c r="E1483" s="1">
        <v>45037</v>
      </c>
      <c r="F1483">
        <v>255</v>
      </c>
      <c r="G1483">
        <v>5</v>
      </c>
      <c r="H1483">
        <v>411.92</v>
      </c>
      <c r="I1483">
        <v>59.39</v>
      </c>
      <c r="J1483" t="s">
        <v>14</v>
      </c>
      <c r="K1483" t="s">
        <v>20</v>
      </c>
      <c r="L1483" t="s">
        <v>2095</v>
      </c>
      <c r="M1483">
        <v>2</v>
      </c>
      <c r="N1483" t="s">
        <v>174</v>
      </c>
      <c r="O1483" t="s">
        <v>2107</v>
      </c>
    </row>
    <row r="1484" spans="1:15">
      <c r="A1484" t="s">
        <v>3249</v>
      </c>
      <c r="B1484" t="s">
        <v>2093</v>
      </c>
      <c r="C1484" t="s">
        <v>2094</v>
      </c>
      <c r="D1484" s="1">
        <v>44711</v>
      </c>
      <c r="E1484" s="1">
        <v>45061</v>
      </c>
      <c r="F1484">
        <v>231</v>
      </c>
      <c r="G1484">
        <v>1</v>
      </c>
      <c r="H1484">
        <v>54.34</v>
      </c>
      <c r="I1484">
        <v>28.12</v>
      </c>
      <c r="J1484" t="s">
        <v>41</v>
      </c>
      <c r="K1484" t="s">
        <v>20</v>
      </c>
      <c r="L1484" t="s">
        <v>2095</v>
      </c>
      <c r="M1484">
        <v>7</v>
      </c>
      <c r="N1484" t="s">
        <v>179</v>
      </c>
      <c r="O1484" t="s">
        <v>2121</v>
      </c>
    </row>
    <row r="1485" spans="1:15">
      <c r="A1485" t="s">
        <v>3250</v>
      </c>
      <c r="B1485" t="s">
        <v>2090</v>
      </c>
      <c r="C1485" t="s">
        <v>2086</v>
      </c>
      <c r="D1485" s="1">
        <v>45222</v>
      </c>
      <c r="E1485" s="1">
        <v>44984</v>
      </c>
      <c r="F1485">
        <v>308</v>
      </c>
      <c r="G1485">
        <v>5</v>
      </c>
      <c r="H1485">
        <v>302.76</v>
      </c>
      <c r="I1485">
        <v>69.33</v>
      </c>
      <c r="J1485" t="s">
        <v>41</v>
      </c>
      <c r="K1485" t="s">
        <v>16</v>
      </c>
      <c r="L1485" t="s">
        <v>2095</v>
      </c>
      <c r="M1485">
        <v>0</v>
      </c>
      <c r="N1485" t="s">
        <v>232</v>
      </c>
      <c r="O1485" t="s">
        <v>2088</v>
      </c>
    </row>
    <row r="1486" spans="1:15">
      <c r="A1486" t="s">
        <v>3251</v>
      </c>
      <c r="B1486" t="s">
        <v>2099</v>
      </c>
      <c r="C1486" t="s">
        <v>2094</v>
      </c>
      <c r="D1486" s="1">
        <v>44180</v>
      </c>
      <c r="E1486" s="1">
        <v>45179</v>
      </c>
      <c r="F1486">
        <v>113</v>
      </c>
      <c r="G1486">
        <v>1</v>
      </c>
      <c r="H1486">
        <v>37.299999999999997</v>
      </c>
      <c r="I1486">
        <v>97.36</v>
      </c>
      <c r="J1486" t="s">
        <v>66</v>
      </c>
      <c r="K1486" t="s">
        <v>16</v>
      </c>
      <c r="L1486" t="s">
        <v>2087</v>
      </c>
      <c r="M1486">
        <v>10</v>
      </c>
      <c r="N1486" t="s">
        <v>232</v>
      </c>
      <c r="O1486" t="s">
        <v>2107</v>
      </c>
    </row>
    <row r="1487" spans="1:15">
      <c r="A1487" t="s">
        <v>3252</v>
      </c>
      <c r="B1487" t="s">
        <v>2085</v>
      </c>
      <c r="C1487" t="s">
        <v>2108</v>
      </c>
      <c r="D1487" s="1">
        <v>44704</v>
      </c>
      <c r="E1487" s="1">
        <v>45071</v>
      </c>
      <c r="F1487">
        <v>221</v>
      </c>
      <c r="G1487">
        <v>22</v>
      </c>
      <c r="H1487">
        <v>1428.83</v>
      </c>
      <c r="I1487">
        <v>211.37</v>
      </c>
      <c r="J1487" t="s">
        <v>66</v>
      </c>
      <c r="K1487" t="s">
        <v>16</v>
      </c>
      <c r="L1487" t="s">
        <v>2095</v>
      </c>
      <c r="M1487">
        <v>8</v>
      </c>
      <c r="N1487" t="s">
        <v>174</v>
      </c>
      <c r="O1487" t="s">
        <v>2096</v>
      </c>
    </row>
    <row r="1488" spans="1:15">
      <c r="A1488" t="s">
        <v>3253</v>
      </c>
      <c r="B1488" t="s">
        <v>2090</v>
      </c>
      <c r="C1488" t="s">
        <v>2100</v>
      </c>
      <c r="D1488" s="1">
        <v>44588</v>
      </c>
      <c r="E1488" s="1">
        <v>45231</v>
      </c>
      <c r="F1488">
        <v>61</v>
      </c>
      <c r="G1488">
        <v>2</v>
      </c>
      <c r="H1488">
        <v>281.8</v>
      </c>
      <c r="I1488">
        <v>49.66</v>
      </c>
      <c r="J1488" t="s">
        <v>66</v>
      </c>
      <c r="K1488" t="s">
        <v>20</v>
      </c>
      <c r="L1488" t="s">
        <v>2087</v>
      </c>
      <c r="M1488">
        <v>8</v>
      </c>
      <c r="N1488" t="s">
        <v>157</v>
      </c>
      <c r="O1488" t="s">
        <v>2121</v>
      </c>
    </row>
    <row r="1489" spans="1:15">
      <c r="A1489" t="s">
        <v>3254</v>
      </c>
      <c r="B1489" t="s">
        <v>2113</v>
      </c>
      <c r="C1489" t="s">
        <v>2086</v>
      </c>
      <c r="D1489" s="1">
        <v>45241</v>
      </c>
      <c r="E1489" s="1">
        <v>45012</v>
      </c>
      <c r="F1489">
        <v>280</v>
      </c>
      <c r="G1489">
        <v>15</v>
      </c>
      <c r="H1489">
        <v>299.07</v>
      </c>
      <c r="I1489">
        <v>50.31</v>
      </c>
      <c r="J1489" t="s">
        <v>66</v>
      </c>
      <c r="K1489" t="s">
        <v>16</v>
      </c>
      <c r="L1489" t="s">
        <v>2095</v>
      </c>
      <c r="M1489">
        <v>7</v>
      </c>
      <c r="N1489" t="s">
        <v>232</v>
      </c>
      <c r="O1489" t="s">
        <v>2109</v>
      </c>
    </row>
    <row r="1490" spans="1:15">
      <c r="A1490" t="s">
        <v>1110</v>
      </c>
      <c r="B1490" t="s">
        <v>2085</v>
      </c>
      <c r="C1490" t="s">
        <v>2111</v>
      </c>
      <c r="D1490" s="1">
        <v>43946</v>
      </c>
      <c r="E1490" s="1">
        <v>45136</v>
      </c>
      <c r="F1490">
        <v>156</v>
      </c>
      <c r="G1490">
        <v>22</v>
      </c>
      <c r="H1490">
        <v>2338.6999999999998</v>
      </c>
      <c r="I1490">
        <v>175.98</v>
      </c>
      <c r="J1490" t="s">
        <v>90</v>
      </c>
      <c r="K1490" t="s">
        <v>16</v>
      </c>
      <c r="L1490" t="s">
        <v>2087</v>
      </c>
      <c r="M1490">
        <v>8</v>
      </c>
      <c r="N1490" t="s">
        <v>204</v>
      </c>
      <c r="O1490" t="s">
        <v>2096</v>
      </c>
    </row>
    <row r="1491" spans="1:15">
      <c r="A1491" t="s">
        <v>2045</v>
      </c>
      <c r="B1491" t="s">
        <v>2099</v>
      </c>
      <c r="C1491" t="s">
        <v>2100</v>
      </c>
      <c r="D1491" s="1">
        <v>43781</v>
      </c>
      <c r="E1491" s="1">
        <v>45142</v>
      </c>
      <c r="F1491">
        <v>150</v>
      </c>
      <c r="G1491">
        <v>1</v>
      </c>
      <c r="H1491">
        <v>58.52</v>
      </c>
      <c r="I1491">
        <v>89.1</v>
      </c>
      <c r="J1491" t="s">
        <v>14</v>
      </c>
      <c r="K1491" t="s">
        <v>16</v>
      </c>
      <c r="L1491" t="s">
        <v>2095</v>
      </c>
      <c r="M1491">
        <v>5</v>
      </c>
      <c r="N1491" t="s">
        <v>179</v>
      </c>
      <c r="O1491" t="s">
        <v>2096</v>
      </c>
    </row>
    <row r="1492" spans="1:15">
      <c r="A1492" t="s">
        <v>3255</v>
      </c>
      <c r="B1492" t="s">
        <v>2113</v>
      </c>
      <c r="C1492" t="s">
        <v>2111</v>
      </c>
      <c r="D1492" s="1">
        <v>43873</v>
      </c>
      <c r="E1492" s="1">
        <v>45275</v>
      </c>
      <c r="F1492">
        <v>17</v>
      </c>
      <c r="G1492">
        <v>16</v>
      </c>
      <c r="H1492">
        <v>113.59</v>
      </c>
      <c r="I1492">
        <v>48.72</v>
      </c>
      <c r="J1492" t="s">
        <v>14</v>
      </c>
      <c r="K1492" t="s">
        <v>16</v>
      </c>
      <c r="L1492" t="s">
        <v>2095</v>
      </c>
      <c r="M1492">
        <v>10</v>
      </c>
      <c r="N1492" t="s">
        <v>165</v>
      </c>
      <c r="O1492" t="s">
        <v>2096</v>
      </c>
    </row>
    <row r="1493" spans="1:15">
      <c r="A1493" t="s">
        <v>1704</v>
      </c>
      <c r="B1493" t="s">
        <v>2099</v>
      </c>
      <c r="C1493" t="s">
        <v>2086</v>
      </c>
      <c r="D1493" s="1">
        <v>43576</v>
      </c>
      <c r="E1493" s="1">
        <v>45104</v>
      </c>
      <c r="F1493">
        <v>188</v>
      </c>
      <c r="G1493">
        <v>2</v>
      </c>
      <c r="H1493">
        <v>125.17</v>
      </c>
      <c r="I1493">
        <v>45.28</v>
      </c>
      <c r="J1493" t="s">
        <v>90</v>
      </c>
      <c r="K1493" t="s">
        <v>20</v>
      </c>
      <c r="L1493" t="s">
        <v>2095</v>
      </c>
      <c r="M1493">
        <v>5</v>
      </c>
      <c r="N1493" t="s">
        <v>157</v>
      </c>
      <c r="O1493" t="s">
        <v>2107</v>
      </c>
    </row>
    <row r="1494" spans="1:15">
      <c r="A1494" t="s">
        <v>3256</v>
      </c>
      <c r="B1494" t="s">
        <v>2113</v>
      </c>
      <c r="C1494" t="s">
        <v>2100</v>
      </c>
      <c r="D1494" s="1">
        <v>44134</v>
      </c>
      <c r="E1494" s="1">
        <v>45084</v>
      </c>
      <c r="F1494">
        <v>208</v>
      </c>
      <c r="G1494">
        <v>14</v>
      </c>
      <c r="H1494">
        <v>137.53</v>
      </c>
      <c r="I1494">
        <v>42.26</v>
      </c>
      <c r="J1494" t="s">
        <v>115</v>
      </c>
      <c r="K1494" t="s">
        <v>16</v>
      </c>
      <c r="L1494" t="s">
        <v>2095</v>
      </c>
      <c r="M1494">
        <v>6</v>
      </c>
      <c r="N1494" t="s">
        <v>194</v>
      </c>
      <c r="O1494" t="s">
        <v>2121</v>
      </c>
    </row>
    <row r="1495" spans="1:15">
      <c r="A1495" t="s">
        <v>3257</v>
      </c>
      <c r="B1495" t="s">
        <v>2097</v>
      </c>
      <c r="C1495" t="s">
        <v>2111</v>
      </c>
      <c r="D1495" s="1">
        <v>44423</v>
      </c>
      <c r="E1495" s="1">
        <v>45225</v>
      </c>
      <c r="F1495">
        <v>67</v>
      </c>
      <c r="G1495">
        <v>4</v>
      </c>
      <c r="H1495">
        <v>592.01</v>
      </c>
      <c r="I1495">
        <v>81.99</v>
      </c>
      <c r="J1495" t="s">
        <v>66</v>
      </c>
      <c r="K1495" t="s">
        <v>20</v>
      </c>
      <c r="L1495" t="s">
        <v>2087</v>
      </c>
      <c r="M1495">
        <v>1</v>
      </c>
      <c r="N1495" t="s">
        <v>232</v>
      </c>
      <c r="O1495" t="s">
        <v>2096</v>
      </c>
    </row>
    <row r="1496" spans="1:15">
      <c r="A1496" t="s">
        <v>3258</v>
      </c>
      <c r="B1496" t="s">
        <v>2093</v>
      </c>
      <c r="C1496" t="s">
        <v>2108</v>
      </c>
      <c r="D1496" s="1">
        <v>44356</v>
      </c>
      <c r="E1496" s="1">
        <v>45080</v>
      </c>
      <c r="F1496">
        <v>212</v>
      </c>
      <c r="G1496">
        <v>5</v>
      </c>
      <c r="H1496">
        <v>138.33000000000001</v>
      </c>
      <c r="I1496">
        <v>51.89</v>
      </c>
      <c r="J1496" t="s">
        <v>90</v>
      </c>
      <c r="K1496" t="s">
        <v>20</v>
      </c>
      <c r="L1496" t="s">
        <v>2095</v>
      </c>
      <c r="M1496">
        <v>6</v>
      </c>
      <c r="N1496" t="s">
        <v>194</v>
      </c>
      <c r="O1496" t="s">
        <v>2109</v>
      </c>
    </row>
    <row r="1497" spans="1:15">
      <c r="A1497" t="s">
        <v>746</v>
      </c>
      <c r="B1497" t="s">
        <v>2085</v>
      </c>
      <c r="C1497" t="s">
        <v>2100</v>
      </c>
      <c r="D1497" s="1">
        <v>44927</v>
      </c>
      <c r="E1497" s="1">
        <v>45237</v>
      </c>
      <c r="F1497">
        <v>55</v>
      </c>
      <c r="G1497">
        <v>29</v>
      </c>
      <c r="H1497">
        <v>1317.11</v>
      </c>
      <c r="I1497">
        <v>276.22000000000003</v>
      </c>
      <c r="J1497" t="s">
        <v>66</v>
      </c>
      <c r="K1497" t="s">
        <v>20</v>
      </c>
      <c r="L1497" t="s">
        <v>2106</v>
      </c>
      <c r="M1497">
        <v>8</v>
      </c>
      <c r="N1497" t="s">
        <v>204</v>
      </c>
      <c r="O1497" t="s">
        <v>2109</v>
      </c>
    </row>
    <row r="1498" spans="1:15">
      <c r="A1498" t="s">
        <v>3259</v>
      </c>
      <c r="B1498" t="s">
        <v>2090</v>
      </c>
      <c r="C1498" t="s">
        <v>2091</v>
      </c>
      <c r="D1498" s="1">
        <v>45047</v>
      </c>
      <c r="E1498" s="1">
        <v>45022</v>
      </c>
      <c r="F1498">
        <v>270</v>
      </c>
      <c r="G1498">
        <v>2</v>
      </c>
      <c r="H1498">
        <v>199.76</v>
      </c>
      <c r="I1498">
        <v>77.5</v>
      </c>
      <c r="J1498" t="s">
        <v>90</v>
      </c>
      <c r="K1498" t="s">
        <v>16</v>
      </c>
      <c r="L1498" t="s">
        <v>2106</v>
      </c>
      <c r="M1498">
        <v>1</v>
      </c>
      <c r="N1498" t="s">
        <v>232</v>
      </c>
      <c r="O1498" t="s">
        <v>2121</v>
      </c>
    </row>
    <row r="1499" spans="1:15">
      <c r="A1499" t="s">
        <v>3260</v>
      </c>
      <c r="B1499" t="s">
        <v>2097</v>
      </c>
      <c r="C1499" t="s">
        <v>2111</v>
      </c>
      <c r="D1499" s="1">
        <v>43846</v>
      </c>
      <c r="E1499" s="1">
        <v>45010</v>
      </c>
      <c r="F1499">
        <v>282</v>
      </c>
      <c r="G1499">
        <v>3</v>
      </c>
      <c r="H1499">
        <v>673.71</v>
      </c>
      <c r="I1499">
        <v>60.03</v>
      </c>
      <c r="J1499" t="s">
        <v>115</v>
      </c>
      <c r="K1499" t="s">
        <v>16</v>
      </c>
      <c r="L1499" t="s">
        <v>2087</v>
      </c>
      <c r="M1499">
        <v>7</v>
      </c>
      <c r="N1499" t="s">
        <v>157</v>
      </c>
      <c r="O1499" t="s">
        <v>2107</v>
      </c>
    </row>
    <row r="1500" spans="1:15">
      <c r="A1500" t="s">
        <v>565</v>
      </c>
      <c r="B1500" t="s">
        <v>2097</v>
      </c>
      <c r="C1500" t="s">
        <v>2108</v>
      </c>
      <c r="D1500" s="1">
        <v>44447</v>
      </c>
      <c r="E1500" s="1">
        <v>45035</v>
      </c>
      <c r="F1500">
        <v>257</v>
      </c>
      <c r="G1500">
        <v>5</v>
      </c>
      <c r="H1500">
        <v>598.63</v>
      </c>
      <c r="I1500">
        <v>110.37</v>
      </c>
      <c r="J1500" t="s">
        <v>41</v>
      </c>
      <c r="K1500" t="s">
        <v>16</v>
      </c>
      <c r="L1500" t="s">
        <v>2106</v>
      </c>
      <c r="M1500">
        <v>6</v>
      </c>
      <c r="N1500" t="s">
        <v>194</v>
      </c>
      <c r="O1500" t="s">
        <v>2121</v>
      </c>
    </row>
    <row r="1501" spans="1:15">
      <c r="A1501" t="s">
        <v>3261</v>
      </c>
      <c r="B1501" t="s">
        <v>2085</v>
      </c>
      <c r="C1501" t="s">
        <v>2091</v>
      </c>
      <c r="D1501" s="1">
        <v>44125</v>
      </c>
      <c r="E1501" s="1">
        <v>45049</v>
      </c>
      <c r="F1501">
        <v>243</v>
      </c>
      <c r="G1501">
        <v>17</v>
      </c>
      <c r="H1501">
        <v>2710.87</v>
      </c>
      <c r="I1501">
        <v>284.31</v>
      </c>
      <c r="J1501" t="s">
        <v>90</v>
      </c>
      <c r="K1501" t="s">
        <v>16</v>
      </c>
      <c r="L1501" t="s">
        <v>2087</v>
      </c>
      <c r="M1501">
        <v>9</v>
      </c>
      <c r="N1501" t="s">
        <v>179</v>
      </c>
      <c r="O1501" t="s">
        <v>2088</v>
      </c>
    </row>
    <row r="1502" spans="1:15">
      <c r="A1502" t="s">
        <v>3262</v>
      </c>
      <c r="B1502" t="s">
        <v>2093</v>
      </c>
      <c r="C1502" t="s">
        <v>2108</v>
      </c>
      <c r="D1502" s="1">
        <v>43950</v>
      </c>
      <c r="E1502" s="1">
        <v>45245</v>
      </c>
      <c r="F1502">
        <v>47</v>
      </c>
      <c r="G1502">
        <v>2</v>
      </c>
      <c r="H1502">
        <v>73.91</v>
      </c>
      <c r="I1502">
        <v>46.36</v>
      </c>
      <c r="J1502" t="s">
        <v>41</v>
      </c>
      <c r="K1502" t="s">
        <v>16</v>
      </c>
      <c r="L1502" t="s">
        <v>2106</v>
      </c>
      <c r="M1502">
        <v>8</v>
      </c>
      <c r="N1502" t="s">
        <v>179</v>
      </c>
      <c r="O1502" t="s">
        <v>2121</v>
      </c>
    </row>
    <row r="1503" spans="1:15">
      <c r="A1503" t="s">
        <v>3263</v>
      </c>
      <c r="B1503" t="s">
        <v>2093</v>
      </c>
      <c r="C1503" t="s">
        <v>2086</v>
      </c>
      <c r="D1503" s="1">
        <v>43839</v>
      </c>
      <c r="E1503" s="1">
        <v>44938</v>
      </c>
      <c r="F1503">
        <v>354</v>
      </c>
      <c r="G1503">
        <v>2</v>
      </c>
      <c r="H1503">
        <v>37.94</v>
      </c>
      <c r="I1503">
        <v>34.299999999999997</v>
      </c>
      <c r="J1503" t="s">
        <v>14</v>
      </c>
      <c r="K1503" t="s">
        <v>16</v>
      </c>
      <c r="L1503" t="s">
        <v>2106</v>
      </c>
      <c r="M1503">
        <v>0</v>
      </c>
      <c r="N1503" t="s">
        <v>174</v>
      </c>
      <c r="O1503" t="s">
        <v>2109</v>
      </c>
    </row>
    <row r="1504" spans="1:15">
      <c r="A1504" t="s">
        <v>3264</v>
      </c>
      <c r="B1504" t="s">
        <v>2090</v>
      </c>
      <c r="C1504" t="s">
        <v>2094</v>
      </c>
      <c r="D1504" s="1">
        <v>44523</v>
      </c>
      <c r="E1504" s="1">
        <v>45069</v>
      </c>
      <c r="F1504">
        <v>223</v>
      </c>
      <c r="G1504">
        <v>3</v>
      </c>
      <c r="H1504">
        <v>152.94999999999999</v>
      </c>
      <c r="I1504">
        <v>103.87</v>
      </c>
      <c r="J1504" t="s">
        <v>41</v>
      </c>
      <c r="K1504" t="s">
        <v>16</v>
      </c>
      <c r="L1504" t="s">
        <v>2087</v>
      </c>
      <c r="M1504">
        <v>7</v>
      </c>
      <c r="N1504" t="s">
        <v>165</v>
      </c>
      <c r="O1504" t="s">
        <v>2096</v>
      </c>
    </row>
    <row r="1505" spans="1:15">
      <c r="A1505" t="s">
        <v>3265</v>
      </c>
      <c r="B1505" t="s">
        <v>2090</v>
      </c>
      <c r="C1505" t="s">
        <v>2100</v>
      </c>
      <c r="D1505" s="1">
        <v>43484</v>
      </c>
      <c r="E1505" s="1">
        <v>45271</v>
      </c>
      <c r="F1505">
        <v>21</v>
      </c>
      <c r="G1505">
        <v>6</v>
      </c>
      <c r="H1505">
        <v>248.09</v>
      </c>
      <c r="I1505">
        <v>111.16</v>
      </c>
      <c r="J1505" t="s">
        <v>66</v>
      </c>
      <c r="K1505" t="s">
        <v>16</v>
      </c>
      <c r="L1505" t="s">
        <v>2095</v>
      </c>
      <c r="M1505">
        <v>5</v>
      </c>
      <c r="N1505" t="s">
        <v>179</v>
      </c>
      <c r="O1505" t="s">
        <v>2121</v>
      </c>
    </row>
    <row r="1506" spans="1:15">
      <c r="A1506" t="s">
        <v>3266</v>
      </c>
      <c r="B1506" t="s">
        <v>2093</v>
      </c>
      <c r="C1506" t="s">
        <v>2100</v>
      </c>
      <c r="D1506" s="1">
        <v>44372</v>
      </c>
      <c r="E1506" s="1">
        <v>45092</v>
      </c>
      <c r="F1506">
        <v>200</v>
      </c>
      <c r="G1506">
        <v>3</v>
      </c>
      <c r="H1506">
        <v>51.56</v>
      </c>
      <c r="I1506">
        <v>43.34</v>
      </c>
      <c r="J1506" t="s">
        <v>115</v>
      </c>
      <c r="K1506" t="s">
        <v>20</v>
      </c>
      <c r="L1506" t="s">
        <v>2106</v>
      </c>
      <c r="M1506">
        <v>9</v>
      </c>
      <c r="N1506" t="s">
        <v>174</v>
      </c>
      <c r="O1506" t="s">
        <v>2107</v>
      </c>
    </row>
    <row r="1507" spans="1:15">
      <c r="A1507" t="s">
        <v>399</v>
      </c>
      <c r="B1507" t="s">
        <v>2090</v>
      </c>
      <c r="C1507" t="s">
        <v>2094</v>
      </c>
      <c r="D1507" s="1">
        <v>45170</v>
      </c>
      <c r="E1507" s="1">
        <v>45128</v>
      </c>
      <c r="F1507">
        <v>164</v>
      </c>
      <c r="G1507">
        <v>3</v>
      </c>
      <c r="H1507">
        <v>119.78</v>
      </c>
      <c r="I1507">
        <v>40.299999999999997</v>
      </c>
      <c r="J1507" t="s">
        <v>41</v>
      </c>
      <c r="K1507" t="s">
        <v>16</v>
      </c>
      <c r="L1507" t="s">
        <v>2106</v>
      </c>
      <c r="M1507">
        <v>2</v>
      </c>
      <c r="N1507" t="s">
        <v>157</v>
      </c>
      <c r="O1507" t="s">
        <v>2109</v>
      </c>
    </row>
    <row r="1508" spans="1:15">
      <c r="A1508" t="s">
        <v>3267</v>
      </c>
      <c r="B1508" t="s">
        <v>2093</v>
      </c>
      <c r="C1508" t="s">
        <v>2091</v>
      </c>
      <c r="D1508" s="1">
        <v>44423</v>
      </c>
      <c r="E1508" s="1">
        <v>45166</v>
      </c>
      <c r="F1508">
        <v>126</v>
      </c>
      <c r="G1508">
        <v>2</v>
      </c>
      <c r="H1508">
        <v>185.31</v>
      </c>
      <c r="I1508">
        <v>49.57</v>
      </c>
      <c r="J1508" t="s">
        <v>41</v>
      </c>
      <c r="K1508" t="s">
        <v>16</v>
      </c>
      <c r="L1508" t="s">
        <v>2087</v>
      </c>
      <c r="M1508">
        <v>8</v>
      </c>
      <c r="N1508" t="s">
        <v>165</v>
      </c>
      <c r="O1508" t="s">
        <v>2096</v>
      </c>
    </row>
    <row r="1509" spans="1:15">
      <c r="A1509" t="s">
        <v>1745</v>
      </c>
      <c r="B1509" t="s">
        <v>2099</v>
      </c>
      <c r="C1509" t="s">
        <v>2111</v>
      </c>
      <c r="D1509" s="1">
        <v>43523</v>
      </c>
      <c r="E1509" s="1">
        <v>45153</v>
      </c>
      <c r="F1509">
        <v>139</v>
      </c>
      <c r="G1509">
        <v>2</v>
      </c>
      <c r="H1509">
        <v>140.72</v>
      </c>
      <c r="I1509">
        <v>78.41</v>
      </c>
      <c r="J1509" t="s">
        <v>41</v>
      </c>
      <c r="K1509" t="s">
        <v>20</v>
      </c>
      <c r="L1509" t="s">
        <v>2087</v>
      </c>
      <c r="M1509">
        <v>0</v>
      </c>
      <c r="N1509" t="s">
        <v>157</v>
      </c>
      <c r="O1509" t="s">
        <v>2109</v>
      </c>
    </row>
    <row r="1510" spans="1:15">
      <c r="A1510" t="s">
        <v>3268</v>
      </c>
      <c r="B1510" t="s">
        <v>2085</v>
      </c>
      <c r="C1510" t="s">
        <v>2091</v>
      </c>
      <c r="D1510" s="1">
        <v>44497</v>
      </c>
      <c r="E1510" s="1">
        <v>45082</v>
      </c>
      <c r="F1510">
        <v>210</v>
      </c>
      <c r="G1510">
        <v>22</v>
      </c>
      <c r="H1510">
        <v>2151.6</v>
      </c>
      <c r="I1510">
        <v>133.88999999999999</v>
      </c>
      <c r="J1510" t="s">
        <v>66</v>
      </c>
      <c r="K1510" t="s">
        <v>16</v>
      </c>
      <c r="L1510" t="s">
        <v>2106</v>
      </c>
      <c r="M1510">
        <v>0</v>
      </c>
      <c r="N1510" t="s">
        <v>165</v>
      </c>
      <c r="O1510" t="s">
        <v>2109</v>
      </c>
    </row>
    <row r="1511" spans="1:15">
      <c r="A1511" t="s">
        <v>3269</v>
      </c>
      <c r="B1511" t="s">
        <v>2093</v>
      </c>
      <c r="C1511" t="s">
        <v>2111</v>
      </c>
      <c r="D1511" s="1">
        <v>44481</v>
      </c>
      <c r="E1511" s="1">
        <v>45065</v>
      </c>
      <c r="F1511">
        <v>227</v>
      </c>
      <c r="G1511">
        <v>3</v>
      </c>
      <c r="H1511">
        <v>153.75</v>
      </c>
      <c r="I1511">
        <v>27.94</v>
      </c>
      <c r="J1511" t="s">
        <v>90</v>
      </c>
      <c r="K1511" t="s">
        <v>16</v>
      </c>
      <c r="L1511" t="s">
        <v>2087</v>
      </c>
      <c r="M1511">
        <v>8</v>
      </c>
      <c r="N1511" t="s">
        <v>157</v>
      </c>
      <c r="O1511" t="s">
        <v>2109</v>
      </c>
    </row>
    <row r="1512" spans="1:15">
      <c r="A1512" t="s">
        <v>3270</v>
      </c>
      <c r="B1512" t="s">
        <v>2099</v>
      </c>
      <c r="C1512" t="s">
        <v>2091</v>
      </c>
      <c r="D1512" s="1">
        <v>43470</v>
      </c>
      <c r="E1512" s="1">
        <v>45147</v>
      </c>
      <c r="F1512">
        <v>145</v>
      </c>
      <c r="G1512">
        <v>2</v>
      </c>
      <c r="H1512">
        <v>37.9</v>
      </c>
      <c r="I1512">
        <v>65.53</v>
      </c>
      <c r="J1512" t="s">
        <v>14</v>
      </c>
      <c r="K1512" t="s">
        <v>16</v>
      </c>
      <c r="L1512" t="s">
        <v>2095</v>
      </c>
      <c r="M1512">
        <v>6</v>
      </c>
      <c r="N1512" t="s">
        <v>157</v>
      </c>
      <c r="O1512" t="s">
        <v>2088</v>
      </c>
    </row>
    <row r="1513" spans="1:15">
      <c r="A1513" t="s">
        <v>3271</v>
      </c>
      <c r="B1513" t="s">
        <v>2093</v>
      </c>
      <c r="C1513" t="s">
        <v>2100</v>
      </c>
      <c r="D1513" s="1">
        <v>44292</v>
      </c>
      <c r="E1513" s="1">
        <v>45061</v>
      </c>
      <c r="F1513">
        <v>231</v>
      </c>
      <c r="G1513">
        <v>3</v>
      </c>
      <c r="H1513">
        <v>137.83000000000001</v>
      </c>
      <c r="I1513">
        <v>67.63</v>
      </c>
      <c r="J1513" t="s">
        <v>14</v>
      </c>
      <c r="K1513" t="s">
        <v>16</v>
      </c>
      <c r="L1513" t="s">
        <v>2106</v>
      </c>
      <c r="M1513">
        <v>7</v>
      </c>
      <c r="N1513" t="s">
        <v>194</v>
      </c>
      <c r="O1513" t="s">
        <v>2121</v>
      </c>
    </row>
    <row r="1514" spans="1:15">
      <c r="A1514" t="s">
        <v>3272</v>
      </c>
      <c r="B1514" t="s">
        <v>2090</v>
      </c>
      <c r="C1514" t="s">
        <v>2086</v>
      </c>
      <c r="D1514" s="1">
        <v>44536</v>
      </c>
      <c r="E1514" s="1">
        <v>45038</v>
      </c>
      <c r="F1514">
        <v>254</v>
      </c>
      <c r="G1514">
        <v>5</v>
      </c>
      <c r="H1514">
        <v>286.62</v>
      </c>
      <c r="I1514">
        <v>56.71</v>
      </c>
      <c r="J1514" t="s">
        <v>115</v>
      </c>
      <c r="K1514" t="s">
        <v>20</v>
      </c>
      <c r="L1514" t="s">
        <v>2087</v>
      </c>
      <c r="M1514">
        <v>9</v>
      </c>
      <c r="N1514" t="s">
        <v>179</v>
      </c>
      <c r="O1514" t="s">
        <v>2088</v>
      </c>
    </row>
    <row r="1515" spans="1:15">
      <c r="A1515" t="s">
        <v>3273</v>
      </c>
      <c r="B1515" t="s">
        <v>2093</v>
      </c>
      <c r="C1515" t="s">
        <v>2086</v>
      </c>
      <c r="D1515" s="1">
        <v>43624</v>
      </c>
      <c r="E1515" s="1">
        <v>45058</v>
      </c>
      <c r="F1515">
        <v>234</v>
      </c>
      <c r="G1515">
        <v>3</v>
      </c>
      <c r="H1515">
        <v>173.16</v>
      </c>
      <c r="I1515">
        <v>55.89</v>
      </c>
      <c r="J1515" t="s">
        <v>115</v>
      </c>
      <c r="K1515" t="s">
        <v>16</v>
      </c>
      <c r="L1515" t="s">
        <v>2095</v>
      </c>
      <c r="M1515">
        <v>9</v>
      </c>
      <c r="N1515" t="s">
        <v>165</v>
      </c>
      <c r="O1515" t="s">
        <v>2088</v>
      </c>
    </row>
    <row r="1516" spans="1:15">
      <c r="A1516" t="s">
        <v>1628</v>
      </c>
      <c r="B1516" t="s">
        <v>2113</v>
      </c>
      <c r="C1516" t="s">
        <v>2091</v>
      </c>
      <c r="D1516" s="1">
        <v>44904</v>
      </c>
      <c r="E1516" s="1">
        <v>45265</v>
      </c>
      <c r="F1516">
        <v>27</v>
      </c>
      <c r="G1516">
        <v>15</v>
      </c>
      <c r="H1516">
        <v>107.1</v>
      </c>
      <c r="I1516">
        <v>44.1</v>
      </c>
      <c r="J1516" t="s">
        <v>41</v>
      </c>
      <c r="K1516" t="s">
        <v>16</v>
      </c>
      <c r="L1516" t="s">
        <v>2087</v>
      </c>
      <c r="M1516">
        <v>4</v>
      </c>
      <c r="N1516" t="s">
        <v>157</v>
      </c>
      <c r="O1516" t="s">
        <v>2107</v>
      </c>
    </row>
    <row r="1517" spans="1:15">
      <c r="A1517" t="s">
        <v>3274</v>
      </c>
      <c r="B1517" t="s">
        <v>2097</v>
      </c>
      <c r="C1517" t="s">
        <v>2091</v>
      </c>
      <c r="D1517" s="1">
        <v>44246</v>
      </c>
      <c r="E1517" s="1">
        <v>44978</v>
      </c>
      <c r="F1517">
        <v>314</v>
      </c>
      <c r="G1517">
        <v>6</v>
      </c>
      <c r="H1517">
        <v>783.98</v>
      </c>
      <c r="I1517">
        <v>75.73</v>
      </c>
      <c r="J1517" t="s">
        <v>14</v>
      </c>
      <c r="K1517" t="s">
        <v>16</v>
      </c>
      <c r="L1517" t="s">
        <v>2106</v>
      </c>
      <c r="M1517">
        <v>8</v>
      </c>
      <c r="N1517" t="s">
        <v>232</v>
      </c>
      <c r="O1517" t="s">
        <v>2088</v>
      </c>
    </row>
    <row r="1518" spans="1:15">
      <c r="A1518" t="s">
        <v>3275</v>
      </c>
      <c r="B1518" t="s">
        <v>2093</v>
      </c>
      <c r="C1518" t="s">
        <v>2094</v>
      </c>
      <c r="D1518" s="1">
        <v>44140</v>
      </c>
      <c r="E1518" s="1">
        <v>45242</v>
      </c>
      <c r="F1518">
        <v>50</v>
      </c>
      <c r="G1518">
        <v>1</v>
      </c>
      <c r="H1518">
        <v>142.29</v>
      </c>
      <c r="I1518">
        <v>74.61</v>
      </c>
      <c r="J1518" t="s">
        <v>115</v>
      </c>
      <c r="K1518" t="s">
        <v>16</v>
      </c>
      <c r="L1518" t="s">
        <v>2095</v>
      </c>
      <c r="M1518">
        <v>4</v>
      </c>
      <c r="N1518" t="s">
        <v>174</v>
      </c>
      <c r="O1518" t="s">
        <v>2096</v>
      </c>
    </row>
    <row r="1519" spans="1:15">
      <c r="A1519" t="s">
        <v>1248</v>
      </c>
      <c r="B1519" t="s">
        <v>2093</v>
      </c>
      <c r="C1519" t="s">
        <v>2091</v>
      </c>
      <c r="D1519" s="1">
        <v>44984</v>
      </c>
      <c r="E1519" s="1">
        <v>45284</v>
      </c>
      <c r="F1519">
        <v>8</v>
      </c>
      <c r="G1519">
        <v>1</v>
      </c>
      <c r="H1519">
        <v>61.02</v>
      </c>
      <c r="I1519">
        <v>47.03</v>
      </c>
      <c r="J1519" t="s">
        <v>41</v>
      </c>
      <c r="K1519" t="s">
        <v>16</v>
      </c>
      <c r="L1519" t="s">
        <v>2106</v>
      </c>
      <c r="M1519">
        <v>8</v>
      </c>
      <c r="N1519" t="s">
        <v>165</v>
      </c>
      <c r="O1519" t="s">
        <v>2121</v>
      </c>
    </row>
    <row r="1520" spans="1:15">
      <c r="A1520" t="s">
        <v>3276</v>
      </c>
      <c r="B1520" t="s">
        <v>2099</v>
      </c>
      <c r="C1520" t="s">
        <v>2094</v>
      </c>
      <c r="D1520" s="1">
        <v>44770</v>
      </c>
      <c r="E1520" s="1">
        <v>45009</v>
      </c>
      <c r="F1520">
        <v>283</v>
      </c>
      <c r="G1520">
        <v>2</v>
      </c>
      <c r="H1520">
        <v>42.44</v>
      </c>
      <c r="I1520">
        <v>91.16</v>
      </c>
      <c r="J1520" t="s">
        <v>90</v>
      </c>
      <c r="K1520" t="s">
        <v>20</v>
      </c>
      <c r="L1520" t="s">
        <v>2087</v>
      </c>
      <c r="M1520">
        <v>8</v>
      </c>
      <c r="N1520" t="s">
        <v>165</v>
      </c>
      <c r="O1520" t="s">
        <v>2109</v>
      </c>
    </row>
    <row r="1521" spans="1:15">
      <c r="A1521" t="s">
        <v>3277</v>
      </c>
      <c r="B1521" t="s">
        <v>2085</v>
      </c>
      <c r="C1521" t="s">
        <v>2091</v>
      </c>
      <c r="D1521" s="1">
        <v>43755</v>
      </c>
      <c r="E1521" s="1">
        <v>44992</v>
      </c>
      <c r="F1521">
        <v>300</v>
      </c>
      <c r="G1521">
        <v>39</v>
      </c>
      <c r="H1521">
        <v>1929.46</v>
      </c>
      <c r="I1521">
        <v>200.24</v>
      </c>
      <c r="J1521" t="s">
        <v>90</v>
      </c>
      <c r="K1521" t="s">
        <v>20</v>
      </c>
      <c r="L1521" t="s">
        <v>2106</v>
      </c>
      <c r="M1521">
        <v>8</v>
      </c>
      <c r="N1521" t="s">
        <v>165</v>
      </c>
      <c r="O1521" t="s">
        <v>2109</v>
      </c>
    </row>
    <row r="1522" spans="1:15">
      <c r="A1522" t="s">
        <v>1296</v>
      </c>
      <c r="B1522" t="s">
        <v>2085</v>
      </c>
      <c r="C1522" t="s">
        <v>2100</v>
      </c>
      <c r="D1522" s="1">
        <v>44060</v>
      </c>
      <c r="E1522" s="1">
        <v>44961</v>
      </c>
      <c r="F1522">
        <v>331</v>
      </c>
      <c r="G1522">
        <v>22</v>
      </c>
      <c r="H1522">
        <v>2245.98</v>
      </c>
      <c r="I1522">
        <v>294.51</v>
      </c>
      <c r="J1522" t="s">
        <v>115</v>
      </c>
      <c r="K1522" t="s">
        <v>16</v>
      </c>
      <c r="L1522" t="s">
        <v>2087</v>
      </c>
      <c r="M1522">
        <v>1</v>
      </c>
      <c r="N1522" t="s">
        <v>165</v>
      </c>
      <c r="O1522" t="s">
        <v>2107</v>
      </c>
    </row>
    <row r="1523" spans="1:15">
      <c r="A1523" t="s">
        <v>3278</v>
      </c>
      <c r="B1523" t="s">
        <v>2093</v>
      </c>
      <c r="C1523" t="s">
        <v>2108</v>
      </c>
      <c r="D1523" s="1">
        <v>44092</v>
      </c>
      <c r="E1523" s="1">
        <v>45166</v>
      </c>
      <c r="F1523">
        <v>126</v>
      </c>
      <c r="G1523">
        <v>3</v>
      </c>
      <c r="H1523">
        <v>127.84</v>
      </c>
      <c r="I1523">
        <v>42.2</v>
      </c>
      <c r="J1523" t="s">
        <v>115</v>
      </c>
      <c r="K1523" t="s">
        <v>20</v>
      </c>
      <c r="L1523" t="s">
        <v>2106</v>
      </c>
      <c r="M1523">
        <v>4</v>
      </c>
      <c r="N1523" t="s">
        <v>204</v>
      </c>
      <c r="O1523" t="s">
        <v>2096</v>
      </c>
    </row>
    <row r="1524" spans="1:15">
      <c r="A1524" t="s">
        <v>3279</v>
      </c>
      <c r="B1524" t="s">
        <v>2093</v>
      </c>
      <c r="C1524" t="s">
        <v>2086</v>
      </c>
      <c r="D1524" s="1">
        <v>44742</v>
      </c>
      <c r="E1524" s="1">
        <v>45064</v>
      </c>
      <c r="F1524">
        <v>228</v>
      </c>
      <c r="G1524">
        <v>3</v>
      </c>
      <c r="H1524">
        <v>117.6</v>
      </c>
      <c r="I1524">
        <v>61.2</v>
      </c>
      <c r="J1524" t="s">
        <v>90</v>
      </c>
      <c r="K1524" t="s">
        <v>16</v>
      </c>
      <c r="L1524" t="s">
        <v>2106</v>
      </c>
      <c r="M1524">
        <v>8</v>
      </c>
      <c r="N1524" t="s">
        <v>157</v>
      </c>
      <c r="O1524" t="s">
        <v>2096</v>
      </c>
    </row>
    <row r="1525" spans="1:15">
      <c r="A1525" t="s">
        <v>826</v>
      </c>
      <c r="B1525" t="s">
        <v>2090</v>
      </c>
      <c r="C1525" t="s">
        <v>2111</v>
      </c>
      <c r="D1525" s="1">
        <v>44274</v>
      </c>
      <c r="E1525" s="1">
        <v>44988</v>
      </c>
      <c r="F1525">
        <v>304</v>
      </c>
      <c r="G1525">
        <v>8</v>
      </c>
      <c r="H1525">
        <v>373.87</v>
      </c>
      <c r="I1525">
        <v>52.33</v>
      </c>
      <c r="J1525" t="s">
        <v>115</v>
      </c>
      <c r="K1525" t="s">
        <v>16</v>
      </c>
      <c r="L1525" t="s">
        <v>2106</v>
      </c>
      <c r="M1525">
        <v>2</v>
      </c>
      <c r="N1525" t="s">
        <v>204</v>
      </c>
      <c r="O1525" t="s">
        <v>2096</v>
      </c>
    </row>
    <row r="1526" spans="1:15">
      <c r="A1526" t="s">
        <v>3280</v>
      </c>
      <c r="B1526" t="s">
        <v>2099</v>
      </c>
      <c r="C1526" t="s">
        <v>2094</v>
      </c>
      <c r="D1526" s="1">
        <v>44126</v>
      </c>
      <c r="E1526" s="1">
        <v>45109</v>
      </c>
      <c r="F1526">
        <v>183</v>
      </c>
      <c r="G1526">
        <v>2</v>
      </c>
      <c r="H1526">
        <v>37.21</v>
      </c>
      <c r="I1526">
        <v>27.92</v>
      </c>
      <c r="J1526" t="s">
        <v>90</v>
      </c>
      <c r="K1526" t="s">
        <v>20</v>
      </c>
      <c r="L1526" t="s">
        <v>2106</v>
      </c>
      <c r="M1526">
        <v>6</v>
      </c>
      <c r="N1526" t="s">
        <v>194</v>
      </c>
      <c r="O1526" t="s">
        <v>2121</v>
      </c>
    </row>
    <row r="1527" spans="1:15">
      <c r="A1527" t="s">
        <v>3281</v>
      </c>
      <c r="B1527" t="s">
        <v>2099</v>
      </c>
      <c r="C1527" t="s">
        <v>2094</v>
      </c>
      <c r="D1527" s="1">
        <v>44200</v>
      </c>
      <c r="E1527" s="1">
        <v>45179</v>
      </c>
      <c r="F1527">
        <v>113</v>
      </c>
      <c r="G1527">
        <v>2</v>
      </c>
      <c r="H1527">
        <v>61.92</v>
      </c>
      <c r="I1527">
        <v>80.13</v>
      </c>
      <c r="J1527" t="s">
        <v>14</v>
      </c>
      <c r="K1527" t="s">
        <v>16</v>
      </c>
      <c r="L1527" t="s">
        <v>2087</v>
      </c>
      <c r="M1527">
        <v>7</v>
      </c>
      <c r="N1527" t="s">
        <v>204</v>
      </c>
      <c r="O1527" t="s">
        <v>2121</v>
      </c>
    </row>
    <row r="1528" spans="1:15">
      <c r="A1528" t="s">
        <v>3282</v>
      </c>
      <c r="B1528" t="s">
        <v>2085</v>
      </c>
      <c r="C1528" t="s">
        <v>2100</v>
      </c>
      <c r="D1528" s="1">
        <v>44157</v>
      </c>
      <c r="E1528" s="1">
        <v>45193</v>
      </c>
      <c r="F1528">
        <v>99</v>
      </c>
      <c r="G1528">
        <v>12</v>
      </c>
      <c r="H1528">
        <v>915.07</v>
      </c>
      <c r="I1528">
        <v>204.75</v>
      </c>
      <c r="J1528" t="s">
        <v>115</v>
      </c>
      <c r="K1528" t="s">
        <v>16</v>
      </c>
      <c r="L1528" t="s">
        <v>2087</v>
      </c>
      <c r="M1528">
        <v>10</v>
      </c>
      <c r="N1528" t="s">
        <v>174</v>
      </c>
      <c r="O1528" t="s">
        <v>2121</v>
      </c>
    </row>
    <row r="1529" spans="1:15">
      <c r="A1529" t="s">
        <v>3283</v>
      </c>
      <c r="B1529" t="s">
        <v>2085</v>
      </c>
      <c r="C1529" t="s">
        <v>2091</v>
      </c>
      <c r="D1529" s="1">
        <v>43684</v>
      </c>
      <c r="E1529" s="1">
        <v>45005</v>
      </c>
      <c r="F1529">
        <v>287</v>
      </c>
      <c r="G1529">
        <v>25</v>
      </c>
      <c r="H1529">
        <v>1641.75</v>
      </c>
      <c r="I1529">
        <v>151.07</v>
      </c>
      <c r="J1529" t="s">
        <v>66</v>
      </c>
      <c r="K1529" t="s">
        <v>16</v>
      </c>
      <c r="L1529" t="s">
        <v>2087</v>
      </c>
      <c r="M1529">
        <v>1</v>
      </c>
      <c r="N1529" t="s">
        <v>179</v>
      </c>
      <c r="O1529" t="s">
        <v>2088</v>
      </c>
    </row>
    <row r="1530" spans="1:15">
      <c r="A1530" t="s">
        <v>3284</v>
      </c>
      <c r="B1530" t="s">
        <v>2090</v>
      </c>
      <c r="C1530" t="s">
        <v>2091</v>
      </c>
      <c r="D1530" s="1">
        <v>43760</v>
      </c>
      <c r="E1530" s="1">
        <v>45030</v>
      </c>
      <c r="F1530">
        <v>262</v>
      </c>
      <c r="G1530">
        <v>6</v>
      </c>
      <c r="H1530">
        <v>231.14</v>
      </c>
      <c r="I1530">
        <v>63.69</v>
      </c>
      <c r="J1530" t="s">
        <v>115</v>
      </c>
      <c r="K1530" t="s">
        <v>16</v>
      </c>
      <c r="L1530" t="s">
        <v>2106</v>
      </c>
      <c r="M1530">
        <v>6</v>
      </c>
      <c r="N1530" t="s">
        <v>174</v>
      </c>
      <c r="O1530" t="s">
        <v>2088</v>
      </c>
    </row>
    <row r="1531" spans="1:15">
      <c r="A1531" t="s">
        <v>3285</v>
      </c>
      <c r="B1531" t="s">
        <v>2097</v>
      </c>
      <c r="C1531" t="s">
        <v>2100</v>
      </c>
      <c r="D1531" s="1">
        <v>44961</v>
      </c>
      <c r="E1531" s="1">
        <v>44959</v>
      </c>
      <c r="F1531">
        <v>333</v>
      </c>
      <c r="G1531">
        <v>8</v>
      </c>
      <c r="H1531">
        <v>683.38</v>
      </c>
      <c r="I1531">
        <v>136.72999999999999</v>
      </c>
      <c r="J1531" t="s">
        <v>14</v>
      </c>
      <c r="K1531" t="s">
        <v>16</v>
      </c>
      <c r="L1531" t="s">
        <v>2087</v>
      </c>
      <c r="M1531">
        <v>3</v>
      </c>
      <c r="N1531" t="s">
        <v>174</v>
      </c>
      <c r="O1531" t="s">
        <v>2088</v>
      </c>
    </row>
    <row r="1532" spans="1:15">
      <c r="A1532" t="s">
        <v>3286</v>
      </c>
      <c r="B1532" t="s">
        <v>2113</v>
      </c>
      <c r="C1532" t="s">
        <v>2111</v>
      </c>
      <c r="D1532" s="1">
        <v>44782</v>
      </c>
      <c r="E1532" s="1">
        <v>45137</v>
      </c>
      <c r="F1532">
        <v>155</v>
      </c>
      <c r="G1532">
        <v>13</v>
      </c>
      <c r="H1532">
        <v>176.94</v>
      </c>
      <c r="I1532">
        <v>40.61</v>
      </c>
      <c r="J1532" t="s">
        <v>41</v>
      </c>
      <c r="K1532" t="s">
        <v>16</v>
      </c>
      <c r="L1532" t="s">
        <v>2106</v>
      </c>
      <c r="M1532">
        <v>5</v>
      </c>
      <c r="N1532" t="s">
        <v>165</v>
      </c>
      <c r="O1532" t="s">
        <v>2096</v>
      </c>
    </row>
    <row r="1533" spans="1:15">
      <c r="A1533" t="s">
        <v>1479</v>
      </c>
      <c r="B1533" t="s">
        <v>2090</v>
      </c>
      <c r="C1533" t="s">
        <v>2108</v>
      </c>
      <c r="D1533" s="1">
        <v>44712</v>
      </c>
      <c r="E1533" s="1">
        <v>45069</v>
      </c>
      <c r="F1533">
        <v>223</v>
      </c>
      <c r="G1533">
        <v>6</v>
      </c>
      <c r="H1533">
        <v>315.48</v>
      </c>
      <c r="I1533">
        <v>57.87</v>
      </c>
      <c r="J1533" t="s">
        <v>14</v>
      </c>
      <c r="K1533" t="s">
        <v>16</v>
      </c>
      <c r="L1533" t="s">
        <v>2087</v>
      </c>
      <c r="M1533">
        <v>10</v>
      </c>
      <c r="N1533" t="s">
        <v>232</v>
      </c>
      <c r="O1533" t="s">
        <v>2096</v>
      </c>
    </row>
    <row r="1534" spans="1:15">
      <c r="A1534" t="s">
        <v>1552</v>
      </c>
      <c r="B1534" t="s">
        <v>2090</v>
      </c>
      <c r="C1534" t="s">
        <v>2086</v>
      </c>
      <c r="D1534" s="1">
        <v>44709</v>
      </c>
      <c r="E1534" s="1">
        <v>45170</v>
      </c>
      <c r="F1534">
        <v>122</v>
      </c>
      <c r="G1534">
        <v>8</v>
      </c>
      <c r="H1534">
        <v>218.64</v>
      </c>
      <c r="I1534">
        <v>45.3</v>
      </c>
      <c r="J1534" t="s">
        <v>90</v>
      </c>
      <c r="K1534" t="s">
        <v>20</v>
      </c>
      <c r="L1534" t="s">
        <v>2087</v>
      </c>
      <c r="M1534">
        <v>2</v>
      </c>
      <c r="N1534" t="s">
        <v>179</v>
      </c>
      <c r="O1534" t="s">
        <v>2121</v>
      </c>
    </row>
    <row r="1535" spans="1:15">
      <c r="A1535" t="s">
        <v>391</v>
      </c>
      <c r="B1535" t="s">
        <v>2113</v>
      </c>
      <c r="C1535" t="s">
        <v>2086</v>
      </c>
      <c r="D1535" s="1">
        <v>44208</v>
      </c>
      <c r="E1535" s="1">
        <v>45126</v>
      </c>
      <c r="F1535">
        <v>166</v>
      </c>
      <c r="G1535">
        <v>9</v>
      </c>
      <c r="H1535">
        <v>377.62</v>
      </c>
      <c r="I1535">
        <v>35.479999999999997</v>
      </c>
      <c r="J1535" t="s">
        <v>66</v>
      </c>
      <c r="K1535" t="s">
        <v>20</v>
      </c>
      <c r="L1535" t="s">
        <v>2095</v>
      </c>
      <c r="M1535">
        <v>4</v>
      </c>
      <c r="N1535" t="s">
        <v>194</v>
      </c>
      <c r="O1535" t="s">
        <v>2096</v>
      </c>
    </row>
    <row r="1536" spans="1:15">
      <c r="A1536" t="s">
        <v>3287</v>
      </c>
      <c r="B1536" t="s">
        <v>2099</v>
      </c>
      <c r="C1536" t="s">
        <v>2100</v>
      </c>
      <c r="D1536" s="1">
        <v>45005</v>
      </c>
      <c r="E1536" s="1">
        <v>45280</v>
      </c>
      <c r="F1536">
        <v>12</v>
      </c>
      <c r="G1536">
        <v>1</v>
      </c>
      <c r="H1536">
        <v>66.010000000000005</v>
      </c>
      <c r="I1536">
        <v>81.61</v>
      </c>
      <c r="J1536" t="s">
        <v>66</v>
      </c>
      <c r="K1536" t="s">
        <v>20</v>
      </c>
      <c r="L1536" t="s">
        <v>2095</v>
      </c>
      <c r="M1536">
        <v>9</v>
      </c>
      <c r="N1536" t="s">
        <v>194</v>
      </c>
      <c r="O1536" t="s">
        <v>2109</v>
      </c>
    </row>
    <row r="1537" spans="1:15">
      <c r="A1537" t="s">
        <v>3288</v>
      </c>
      <c r="B1537" t="s">
        <v>2093</v>
      </c>
      <c r="C1537" t="s">
        <v>2108</v>
      </c>
      <c r="D1537" s="1">
        <v>44155</v>
      </c>
      <c r="E1537" s="1">
        <v>45226</v>
      </c>
      <c r="F1537">
        <v>66</v>
      </c>
      <c r="G1537">
        <v>2</v>
      </c>
      <c r="H1537">
        <v>127.42</v>
      </c>
      <c r="I1537">
        <v>60.61</v>
      </c>
      <c r="J1537" t="s">
        <v>115</v>
      </c>
      <c r="K1537" t="s">
        <v>16</v>
      </c>
      <c r="L1537" t="s">
        <v>2095</v>
      </c>
      <c r="M1537">
        <v>10</v>
      </c>
      <c r="N1537" t="s">
        <v>204</v>
      </c>
      <c r="O1537" t="s">
        <v>2096</v>
      </c>
    </row>
    <row r="1538" spans="1:15">
      <c r="A1538" t="s">
        <v>812</v>
      </c>
      <c r="B1538" t="s">
        <v>2097</v>
      </c>
      <c r="C1538" t="s">
        <v>2091</v>
      </c>
      <c r="D1538" s="1">
        <v>45122</v>
      </c>
      <c r="E1538" s="1">
        <v>44949</v>
      </c>
      <c r="F1538">
        <v>343</v>
      </c>
      <c r="G1538">
        <v>7</v>
      </c>
      <c r="H1538">
        <v>325.67</v>
      </c>
      <c r="I1538">
        <v>115.07</v>
      </c>
      <c r="J1538" t="s">
        <v>14</v>
      </c>
      <c r="K1538" t="s">
        <v>16</v>
      </c>
      <c r="L1538" t="s">
        <v>2106</v>
      </c>
      <c r="M1538">
        <v>9</v>
      </c>
      <c r="N1538" t="s">
        <v>179</v>
      </c>
      <c r="O1538" t="s">
        <v>2107</v>
      </c>
    </row>
    <row r="1539" spans="1:15">
      <c r="A1539" t="s">
        <v>3289</v>
      </c>
      <c r="B1539" t="s">
        <v>2113</v>
      </c>
      <c r="C1539" t="s">
        <v>2094</v>
      </c>
      <c r="D1539" s="1">
        <v>44425</v>
      </c>
      <c r="E1539" s="1">
        <v>45024</v>
      </c>
      <c r="F1539">
        <v>268</v>
      </c>
      <c r="G1539">
        <v>13</v>
      </c>
      <c r="H1539">
        <v>405.26</v>
      </c>
      <c r="I1539">
        <v>73.55</v>
      </c>
      <c r="J1539" t="s">
        <v>41</v>
      </c>
      <c r="K1539" t="s">
        <v>16</v>
      </c>
      <c r="L1539" t="s">
        <v>2095</v>
      </c>
      <c r="M1539">
        <v>1</v>
      </c>
      <c r="N1539" t="s">
        <v>232</v>
      </c>
      <c r="O1539" t="s">
        <v>2109</v>
      </c>
    </row>
    <row r="1540" spans="1:15">
      <c r="A1540" t="s">
        <v>644</v>
      </c>
      <c r="B1540" t="s">
        <v>2093</v>
      </c>
      <c r="C1540" t="s">
        <v>2086</v>
      </c>
      <c r="D1540" s="1">
        <v>44408</v>
      </c>
      <c r="E1540" s="1">
        <v>45112</v>
      </c>
      <c r="F1540">
        <v>180</v>
      </c>
      <c r="G1540">
        <v>4</v>
      </c>
      <c r="H1540">
        <v>110.1</v>
      </c>
      <c r="I1540">
        <v>51.96</v>
      </c>
      <c r="J1540" t="s">
        <v>66</v>
      </c>
      <c r="K1540" t="s">
        <v>16</v>
      </c>
      <c r="L1540" t="s">
        <v>2106</v>
      </c>
      <c r="M1540">
        <v>4</v>
      </c>
      <c r="N1540" t="s">
        <v>174</v>
      </c>
      <c r="O1540" t="s">
        <v>2088</v>
      </c>
    </row>
    <row r="1541" spans="1:15">
      <c r="A1541" t="s">
        <v>3290</v>
      </c>
      <c r="B1541" t="s">
        <v>2099</v>
      </c>
      <c r="C1541" t="s">
        <v>2091</v>
      </c>
      <c r="D1541" s="1">
        <v>44943</v>
      </c>
      <c r="E1541" s="1">
        <v>45008</v>
      </c>
      <c r="F1541">
        <v>284</v>
      </c>
      <c r="G1541">
        <v>2</v>
      </c>
      <c r="H1541">
        <v>149.15</v>
      </c>
      <c r="I1541">
        <v>74.94</v>
      </c>
      <c r="J1541" t="s">
        <v>14</v>
      </c>
      <c r="K1541" t="s">
        <v>20</v>
      </c>
      <c r="L1541" t="s">
        <v>2106</v>
      </c>
      <c r="M1541">
        <v>2</v>
      </c>
      <c r="N1541" t="s">
        <v>179</v>
      </c>
      <c r="O1541" t="s">
        <v>2088</v>
      </c>
    </row>
    <row r="1542" spans="1:15">
      <c r="A1542" t="s">
        <v>3291</v>
      </c>
      <c r="B1542" t="s">
        <v>2113</v>
      </c>
      <c r="C1542" t="s">
        <v>2086</v>
      </c>
      <c r="D1542" s="1">
        <v>44032</v>
      </c>
      <c r="E1542" s="1">
        <v>44981</v>
      </c>
      <c r="F1542">
        <v>311</v>
      </c>
      <c r="G1542">
        <v>17</v>
      </c>
      <c r="H1542">
        <v>448.17</v>
      </c>
      <c r="I1542">
        <v>70.3</v>
      </c>
      <c r="J1542" t="s">
        <v>90</v>
      </c>
      <c r="K1542" t="s">
        <v>16</v>
      </c>
      <c r="L1542" t="s">
        <v>2095</v>
      </c>
      <c r="M1542">
        <v>10</v>
      </c>
      <c r="N1542" t="s">
        <v>179</v>
      </c>
      <c r="O1542" t="s">
        <v>2107</v>
      </c>
    </row>
    <row r="1543" spans="1:15">
      <c r="A1543" t="s">
        <v>3292</v>
      </c>
      <c r="B1543" t="s">
        <v>2097</v>
      </c>
      <c r="C1543" t="s">
        <v>2100</v>
      </c>
      <c r="D1543" s="1">
        <v>44945</v>
      </c>
      <c r="E1543" s="1">
        <v>45207</v>
      </c>
      <c r="F1543">
        <v>85</v>
      </c>
      <c r="G1543">
        <v>9</v>
      </c>
      <c r="H1543">
        <v>170.23</v>
      </c>
      <c r="I1543">
        <v>114.28</v>
      </c>
      <c r="J1543" t="s">
        <v>115</v>
      </c>
      <c r="K1543" t="s">
        <v>16</v>
      </c>
      <c r="L1543" t="s">
        <v>2095</v>
      </c>
      <c r="M1543">
        <v>7</v>
      </c>
      <c r="N1543" t="s">
        <v>204</v>
      </c>
      <c r="O1543" t="s">
        <v>2109</v>
      </c>
    </row>
    <row r="1544" spans="1:15">
      <c r="A1544" t="s">
        <v>3293</v>
      </c>
      <c r="B1544" t="s">
        <v>2113</v>
      </c>
      <c r="C1544" t="s">
        <v>2111</v>
      </c>
      <c r="D1544" s="1">
        <v>43860</v>
      </c>
      <c r="E1544" s="1">
        <v>45285</v>
      </c>
      <c r="F1544">
        <v>7</v>
      </c>
      <c r="G1544">
        <v>11</v>
      </c>
      <c r="H1544">
        <v>149.33000000000001</v>
      </c>
      <c r="I1544">
        <v>79.11</v>
      </c>
      <c r="J1544" t="s">
        <v>90</v>
      </c>
      <c r="K1544" t="s">
        <v>16</v>
      </c>
      <c r="L1544" t="s">
        <v>2095</v>
      </c>
      <c r="M1544">
        <v>9</v>
      </c>
      <c r="N1544" t="s">
        <v>157</v>
      </c>
      <c r="O1544" t="s">
        <v>2096</v>
      </c>
    </row>
    <row r="1545" spans="1:15">
      <c r="A1545" t="s">
        <v>3294</v>
      </c>
      <c r="B1545" t="s">
        <v>2113</v>
      </c>
      <c r="C1545" t="s">
        <v>2100</v>
      </c>
      <c r="D1545" s="1">
        <v>45100</v>
      </c>
      <c r="E1545" s="1">
        <v>44973</v>
      </c>
      <c r="F1545">
        <v>319</v>
      </c>
      <c r="G1545">
        <v>7</v>
      </c>
      <c r="H1545">
        <v>590.86</v>
      </c>
      <c r="I1545">
        <v>56.48</v>
      </c>
      <c r="J1545" t="s">
        <v>115</v>
      </c>
      <c r="K1545" t="s">
        <v>20</v>
      </c>
      <c r="L1545" t="s">
        <v>2095</v>
      </c>
      <c r="M1545">
        <v>4</v>
      </c>
      <c r="N1545" t="s">
        <v>179</v>
      </c>
      <c r="O1545" t="s">
        <v>2107</v>
      </c>
    </row>
    <row r="1546" spans="1:15">
      <c r="A1546" t="s">
        <v>3295</v>
      </c>
      <c r="B1546" t="s">
        <v>2099</v>
      </c>
      <c r="C1546" t="s">
        <v>2086</v>
      </c>
      <c r="D1546" s="1">
        <v>44314</v>
      </c>
      <c r="E1546" s="1">
        <v>45245</v>
      </c>
      <c r="F1546">
        <v>47</v>
      </c>
      <c r="G1546">
        <v>2</v>
      </c>
      <c r="H1546">
        <v>126.82</v>
      </c>
      <c r="I1546">
        <v>65.05</v>
      </c>
      <c r="J1546" t="s">
        <v>115</v>
      </c>
      <c r="K1546" t="s">
        <v>16</v>
      </c>
      <c r="L1546" t="s">
        <v>2087</v>
      </c>
      <c r="M1546">
        <v>2</v>
      </c>
      <c r="N1546" t="s">
        <v>157</v>
      </c>
      <c r="O1546" t="s">
        <v>2107</v>
      </c>
    </row>
    <row r="1547" spans="1:15">
      <c r="A1547" t="s">
        <v>3296</v>
      </c>
      <c r="B1547" t="s">
        <v>2099</v>
      </c>
      <c r="C1547" t="s">
        <v>2086</v>
      </c>
      <c r="D1547" s="1">
        <v>44388</v>
      </c>
      <c r="E1547" s="1">
        <v>45246</v>
      </c>
      <c r="F1547">
        <v>46</v>
      </c>
      <c r="G1547">
        <v>1</v>
      </c>
      <c r="H1547">
        <v>48.61</v>
      </c>
      <c r="I1547">
        <v>57.9</v>
      </c>
      <c r="J1547" t="s">
        <v>115</v>
      </c>
      <c r="K1547" t="s">
        <v>16</v>
      </c>
      <c r="L1547" t="s">
        <v>2095</v>
      </c>
      <c r="M1547">
        <v>2</v>
      </c>
      <c r="N1547" t="s">
        <v>157</v>
      </c>
      <c r="O1547" t="s">
        <v>2109</v>
      </c>
    </row>
    <row r="1548" spans="1:15">
      <c r="A1548" t="s">
        <v>3297</v>
      </c>
      <c r="B1548" t="s">
        <v>2093</v>
      </c>
      <c r="C1548" t="s">
        <v>2094</v>
      </c>
      <c r="D1548" s="1">
        <v>45097</v>
      </c>
      <c r="E1548" s="1">
        <v>45146</v>
      </c>
      <c r="F1548">
        <v>146</v>
      </c>
      <c r="G1548">
        <v>5</v>
      </c>
      <c r="H1548">
        <v>39.619999999999997</v>
      </c>
      <c r="I1548">
        <v>62.51</v>
      </c>
      <c r="J1548" t="s">
        <v>66</v>
      </c>
      <c r="K1548" t="s">
        <v>20</v>
      </c>
      <c r="L1548" t="s">
        <v>2106</v>
      </c>
      <c r="M1548">
        <v>10</v>
      </c>
      <c r="N1548" t="s">
        <v>165</v>
      </c>
      <c r="O1548" t="s">
        <v>2109</v>
      </c>
    </row>
    <row r="1549" spans="1:15">
      <c r="A1549" t="s">
        <v>3298</v>
      </c>
      <c r="B1549" t="s">
        <v>2085</v>
      </c>
      <c r="C1549" t="s">
        <v>2086</v>
      </c>
      <c r="D1549" s="1">
        <v>44420</v>
      </c>
      <c r="E1549" s="1">
        <v>45155</v>
      </c>
      <c r="F1549">
        <v>137</v>
      </c>
      <c r="G1549">
        <v>33</v>
      </c>
      <c r="H1549">
        <v>2754.86</v>
      </c>
      <c r="I1549">
        <v>156.11000000000001</v>
      </c>
      <c r="J1549" t="s">
        <v>66</v>
      </c>
      <c r="K1549" t="s">
        <v>20</v>
      </c>
      <c r="L1549" t="s">
        <v>2087</v>
      </c>
      <c r="M1549">
        <v>1</v>
      </c>
      <c r="N1549" t="s">
        <v>165</v>
      </c>
      <c r="O1549" t="s">
        <v>2109</v>
      </c>
    </row>
    <row r="1550" spans="1:15">
      <c r="A1550" t="s">
        <v>3299</v>
      </c>
      <c r="B1550" t="s">
        <v>2099</v>
      </c>
      <c r="C1550" t="s">
        <v>2086</v>
      </c>
      <c r="D1550" s="1">
        <v>44540</v>
      </c>
      <c r="E1550" s="1">
        <v>44966</v>
      </c>
      <c r="F1550">
        <v>326</v>
      </c>
      <c r="G1550">
        <v>2</v>
      </c>
      <c r="H1550">
        <v>60.81</v>
      </c>
      <c r="I1550">
        <v>36.200000000000003</v>
      </c>
      <c r="J1550" t="s">
        <v>115</v>
      </c>
      <c r="K1550" t="s">
        <v>20</v>
      </c>
      <c r="L1550" t="s">
        <v>2106</v>
      </c>
      <c r="M1550">
        <v>0</v>
      </c>
      <c r="N1550" t="s">
        <v>179</v>
      </c>
      <c r="O1550" t="s">
        <v>2109</v>
      </c>
    </row>
    <row r="1551" spans="1:15">
      <c r="A1551" t="s">
        <v>3300</v>
      </c>
      <c r="B1551" t="s">
        <v>2093</v>
      </c>
      <c r="C1551" t="s">
        <v>2094</v>
      </c>
      <c r="D1551" s="1">
        <v>44660</v>
      </c>
      <c r="E1551" s="1">
        <v>44960</v>
      </c>
      <c r="F1551">
        <v>332</v>
      </c>
      <c r="G1551">
        <v>2</v>
      </c>
      <c r="H1551">
        <v>108.67</v>
      </c>
      <c r="I1551">
        <v>23.98</v>
      </c>
      <c r="J1551" t="s">
        <v>90</v>
      </c>
      <c r="K1551" t="s">
        <v>20</v>
      </c>
      <c r="L1551" t="s">
        <v>2095</v>
      </c>
      <c r="M1551">
        <v>8</v>
      </c>
      <c r="N1551" t="s">
        <v>232</v>
      </c>
      <c r="O1551" t="s">
        <v>2121</v>
      </c>
    </row>
    <row r="1552" spans="1:15">
      <c r="A1552" t="s">
        <v>1220</v>
      </c>
      <c r="B1552" t="s">
        <v>2113</v>
      </c>
      <c r="C1552" t="s">
        <v>2094</v>
      </c>
      <c r="D1552" s="1">
        <v>43896</v>
      </c>
      <c r="E1552" s="1">
        <v>45185</v>
      </c>
      <c r="F1552">
        <v>107</v>
      </c>
      <c r="G1552">
        <v>17</v>
      </c>
      <c r="H1552">
        <v>183.82</v>
      </c>
      <c r="I1552">
        <v>71.34</v>
      </c>
      <c r="J1552" t="s">
        <v>115</v>
      </c>
      <c r="K1552" t="s">
        <v>20</v>
      </c>
      <c r="L1552" t="s">
        <v>2087</v>
      </c>
      <c r="M1552">
        <v>6</v>
      </c>
      <c r="N1552" t="s">
        <v>157</v>
      </c>
      <c r="O1552" t="s">
        <v>2088</v>
      </c>
    </row>
    <row r="1553" spans="1:15">
      <c r="A1553" t="s">
        <v>3301</v>
      </c>
      <c r="B1553" t="s">
        <v>2085</v>
      </c>
      <c r="C1553" t="s">
        <v>2111</v>
      </c>
      <c r="D1553" s="1">
        <v>44446</v>
      </c>
      <c r="E1553" s="1">
        <v>45131</v>
      </c>
      <c r="F1553">
        <v>161</v>
      </c>
      <c r="G1553">
        <v>39</v>
      </c>
      <c r="H1553">
        <v>1142.22</v>
      </c>
      <c r="I1553">
        <v>103.38</v>
      </c>
      <c r="J1553" t="s">
        <v>41</v>
      </c>
      <c r="K1553" t="s">
        <v>16</v>
      </c>
      <c r="L1553" t="s">
        <v>2106</v>
      </c>
      <c r="M1553">
        <v>6</v>
      </c>
      <c r="N1553" t="s">
        <v>165</v>
      </c>
      <c r="O1553" t="s">
        <v>2096</v>
      </c>
    </row>
    <row r="1554" spans="1:15">
      <c r="A1554" t="s">
        <v>211</v>
      </c>
      <c r="B1554" t="s">
        <v>2097</v>
      </c>
      <c r="C1554" t="s">
        <v>2108</v>
      </c>
      <c r="D1554" s="1">
        <v>44700</v>
      </c>
      <c r="E1554" s="1">
        <v>44941</v>
      </c>
      <c r="F1554">
        <v>351</v>
      </c>
      <c r="G1554">
        <v>4</v>
      </c>
      <c r="H1554">
        <v>758.18</v>
      </c>
      <c r="I1554">
        <v>128.63999999999999</v>
      </c>
      <c r="J1554" t="s">
        <v>66</v>
      </c>
      <c r="K1554" t="s">
        <v>20</v>
      </c>
      <c r="L1554" t="s">
        <v>2095</v>
      </c>
      <c r="M1554">
        <v>8</v>
      </c>
      <c r="N1554" t="s">
        <v>179</v>
      </c>
      <c r="O1554" t="s">
        <v>2088</v>
      </c>
    </row>
    <row r="1555" spans="1:15">
      <c r="A1555" t="s">
        <v>3302</v>
      </c>
      <c r="B1555" t="s">
        <v>2085</v>
      </c>
      <c r="C1555" t="s">
        <v>2108</v>
      </c>
      <c r="D1555" s="1">
        <v>44571</v>
      </c>
      <c r="E1555" s="1">
        <v>45194</v>
      </c>
      <c r="F1555">
        <v>98</v>
      </c>
      <c r="G1555">
        <v>16</v>
      </c>
      <c r="H1555">
        <v>2842.48</v>
      </c>
      <c r="I1555">
        <v>229.41</v>
      </c>
      <c r="J1555" t="s">
        <v>90</v>
      </c>
      <c r="K1555" t="s">
        <v>20</v>
      </c>
      <c r="L1555" t="s">
        <v>2095</v>
      </c>
      <c r="M1555">
        <v>8</v>
      </c>
      <c r="N1555" t="s">
        <v>179</v>
      </c>
      <c r="O1555" t="s">
        <v>2107</v>
      </c>
    </row>
    <row r="1556" spans="1:15">
      <c r="A1556" t="s">
        <v>1829</v>
      </c>
      <c r="B1556" t="s">
        <v>2085</v>
      </c>
      <c r="C1556" t="s">
        <v>2108</v>
      </c>
      <c r="D1556" s="1">
        <v>44288</v>
      </c>
      <c r="E1556" s="1">
        <v>45125</v>
      </c>
      <c r="F1556">
        <v>167</v>
      </c>
      <c r="G1556">
        <v>32</v>
      </c>
      <c r="H1556">
        <v>2620.54</v>
      </c>
      <c r="I1556">
        <v>101.41</v>
      </c>
      <c r="J1556" t="s">
        <v>115</v>
      </c>
      <c r="K1556" t="s">
        <v>16</v>
      </c>
      <c r="L1556" t="s">
        <v>2095</v>
      </c>
      <c r="M1556">
        <v>0</v>
      </c>
      <c r="N1556" t="s">
        <v>204</v>
      </c>
      <c r="O1556" t="s">
        <v>2088</v>
      </c>
    </row>
    <row r="1557" spans="1:15">
      <c r="A1557" t="s">
        <v>3303</v>
      </c>
      <c r="B1557" t="s">
        <v>2097</v>
      </c>
      <c r="C1557" t="s">
        <v>2100</v>
      </c>
      <c r="D1557" s="1">
        <v>44602</v>
      </c>
      <c r="E1557" s="1">
        <v>45000</v>
      </c>
      <c r="F1557">
        <v>292</v>
      </c>
      <c r="G1557">
        <v>6</v>
      </c>
      <c r="H1557">
        <v>462.68</v>
      </c>
      <c r="I1557">
        <v>64.67</v>
      </c>
      <c r="J1557" t="s">
        <v>115</v>
      </c>
      <c r="K1557" t="s">
        <v>20</v>
      </c>
      <c r="L1557" t="s">
        <v>2095</v>
      </c>
      <c r="M1557">
        <v>3</v>
      </c>
      <c r="N1557" t="s">
        <v>194</v>
      </c>
      <c r="O1557" t="s">
        <v>2088</v>
      </c>
    </row>
    <row r="1558" spans="1:15">
      <c r="A1558" t="s">
        <v>3304</v>
      </c>
      <c r="B1558" t="s">
        <v>2093</v>
      </c>
      <c r="C1558" t="s">
        <v>2091</v>
      </c>
      <c r="D1558" s="1">
        <v>44396</v>
      </c>
      <c r="E1558" s="1">
        <v>44950</v>
      </c>
      <c r="F1558">
        <v>342</v>
      </c>
      <c r="G1558">
        <v>4</v>
      </c>
      <c r="H1558">
        <v>142.43</v>
      </c>
      <c r="I1558">
        <v>56.45</v>
      </c>
      <c r="J1558" t="s">
        <v>66</v>
      </c>
      <c r="K1558" t="s">
        <v>16</v>
      </c>
      <c r="L1558" t="s">
        <v>2087</v>
      </c>
      <c r="M1558">
        <v>7</v>
      </c>
      <c r="N1558" t="s">
        <v>194</v>
      </c>
      <c r="O1558" t="s">
        <v>2109</v>
      </c>
    </row>
    <row r="1559" spans="1:15">
      <c r="A1559" t="s">
        <v>3305</v>
      </c>
      <c r="B1559" t="s">
        <v>2090</v>
      </c>
      <c r="C1559" t="s">
        <v>2091</v>
      </c>
      <c r="D1559" s="1">
        <v>44960</v>
      </c>
      <c r="E1559" s="1">
        <v>45042</v>
      </c>
      <c r="F1559">
        <v>250</v>
      </c>
      <c r="G1559">
        <v>6</v>
      </c>
      <c r="H1559">
        <v>212.41</v>
      </c>
      <c r="I1559">
        <v>81.489999999999995</v>
      </c>
      <c r="J1559" t="s">
        <v>66</v>
      </c>
      <c r="K1559" t="s">
        <v>16</v>
      </c>
      <c r="L1559" t="s">
        <v>2106</v>
      </c>
      <c r="M1559">
        <v>7</v>
      </c>
      <c r="N1559" t="s">
        <v>174</v>
      </c>
      <c r="O1559" t="s">
        <v>2109</v>
      </c>
    </row>
    <row r="1560" spans="1:15">
      <c r="A1560" t="s">
        <v>201</v>
      </c>
      <c r="B1560" t="s">
        <v>2099</v>
      </c>
      <c r="C1560" t="s">
        <v>2091</v>
      </c>
      <c r="D1560" s="1">
        <v>45186</v>
      </c>
      <c r="E1560" s="1">
        <v>45263</v>
      </c>
      <c r="F1560">
        <v>29</v>
      </c>
      <c r="G1560">
        <v>1</v>
      </c>
      <c r="H1560">
        <v>116.17</v>
      </c>
      <c r="I1560">
        <v>81.28</v>
      </c>
      <c r="J1560" t="s">
        <v>14</v>
      </c>
      <c r="K1560" t="s">
        <v>16</v>
      </c>
      <c r="L1560" t="s">
        <v>2087</v>
      </c>
      <c r="M1560">
        <v>5</v>
      </c>
      <c r="N1560" t="s">
        <v>165</v>
      </c>
      <c r="O1560" t="s">
        <v>2096</v>
      </c>
    </row>
    <row r="1561" spans="1:15">
      <c r="A1561" t="s">
        <v>3306</v>
      </c>
      <c r="B1561" t="s">
        <v>2093</v>
      </c>
      <c r="C1561" t="s">
        <v>2108</v>
      </c>
      <c r="D1561" s="1">
        <v>44198</v>
      </c>
      <c r="E1561" s="1">
        <v>44992</v>
      </c>
      <c r="F1561">
        <v>300</v>
      </c>
      <c r="G1561">
        <v>3</v>
      </c>
      <c r="H1561">
        <v>104.8</v>
      </c>
      <c r="I1561">
        <v>74.3</v>
      </c>
      <c r="J1561" t="s">
        <v>14</v>
      </c>
      <c r="K1561" t="s">
        <v>20</v>
      </c>
      <c r="L1561" t="s">
        <v>2087</v>
      </c>
      <c r="M1561">
        <v>9</v>
      </c>
      <c r="N1561" t="s">
        <v>232</v>
      </c>
      <c r="O1561" t="s">
        <v>2107</v>
      </c>
    </row>
    <row r="1562" spans="1:15">
      <c r="A1562" t="s">
        <v>3307</v>
      </c>
      <c r="B1562" t="s">
        <v>2090</v>
      </c>
      <c r="C1562" t="s">
        <v>2094</v>
      </c>
      <c r="D1562" s="1">
        <v>43557</v>
      </c>
      <c r="E1562" s="1">
        <v>45086</v>
      </c>
      <c r="F1562">
        <v>206</v>
      </c>
      <c r="G1562">
        <v>4</v>
      </c>
      <c r="H1562">
        <v>307.49</v>
      </c>
      <c r="I1562">
        <v>62.41</v>
      </c>
      <c r="J1562" t="s">
        <v>115</v>
      </c>
      <c r="K1562" t="s">
        <v>20</v>
      </c>
      <c r="L1562" t="s">
        <v>2095</v>
      </c>
      <c r="M1562">
        <v>1</v>
      </c>
      <c r="N1562" t="s">
        <v>174</v>
      </c>
      <c r="O1562" t="s">
        <v>2121</v>
      </c>
    </row>
    <row r="1563" spans="1:15">
      <c r="A1563" t="s">
        <v>3308</v>
      </c>
      <c r="B1563" t="s">
        <v>2085</v>
      </c>
      <c r="C1563" t="s">
        <v>2111</v>
      </c>
      <c r="D1563" s="1">
        <v>44800</v>
      </c>
      <c r="E1563" s="1">
        <v>45286</v>
      </c>
      <c r="F1563">
        <v>6</v>
      </c>
      <c r="G1563">
        <v>21</v>
      </c>
      <c r="H1563">
        <v>2753.08</v>
      </c>
      <c r="I1563">
        <v>290.19</v>
      </c>
      <c r="J1563" t="s">
        <v>41</v>
      </c>
      <c r="K1563" t="s">
        <v>16</v>
      </c>
      <c r="L1563" t="s">
        <v>2106</v>
      </c>
      <c r="M1563">
        <v>5</v>
      </c>
      <c r="N1563" t="s">
        <v>179</v>
      </c>
      <c r="O1563" t="s">
        <v>2096</v>
      </c>
    </row>
    <row r="1564" spans="1:15">
      <c r="A1564" t="s">
        <v>1160</v>
      </c>
      <c r="B1564" t="s">
        <v>2097</v>
      </c>
      <c r="C1564" t="s">
        <v>2100</v>
      </c>
      <c r="D1564" s="1">
        <v>44130</v>
      </c>
      <c r="E1564" s="1">
        <v>45248</v>
      </c>
      <c r="F1564">
        <v>44</v>
      </c>
      <c r="G1564">
        <v>9</v>
      </c>
      <c r="H1564">
        <v>498.24</v>
      </c>
      <c r="I1564">
        <v>94.4</v>
      </c>
      <c r="J1564" t="s">
        <v>115</v>
      </c>
      <c r="K1564" t="s">
        <v>20</v>
      </c>
      <c r="L1564" t="s">
        <v>2095</v>
      </c>
      <c r="M1564">
        <v>0</v>
      </c>
      <c r="N1564" t="s">
        <v>232</v>
      </c>
      <c r="O1564" t="s">
        <v>2109</v>
      </c>
    </row>
    <row r="1565" spans="1:15">
      <c r="A1565" t="s">
        <v>3309</v>
      </c>
      <c r="B1565" t="s">
        <v>2099</v>
      </c>
      <c r="C1565" t="s">
        <v>2108</v>
      </c>
      <c r="D1565" s="1">
        <v>43757</v>
      </c>
      <c r="E1565" s="1">
        <v>45045</v>
      </c>
      <c r="F1565">
        <v>247</v>
      </c>
      <c r="G1565">
        <v>2</v>
      </c>
      <c r="H1565">
        <v>89.9</v>
      </c>
      <c r="I1565">
        <v>89.9</v>
      </c>
      <c r="J1565" t="s">
        <v>66</v>
      </c>
      <c r="K1565" t="s">
        <v>20</v>
      </c>
      <c r="L1565" t="s">
        <v>2087</v>
      </c>
      <c r="M1565">
        <v>5</v>
      </c>
      <c r="N1565" t="s">
        <v>204</v>
      </c>
      <c r="O1565" t="s">
        <v>2088</v>
      </c>
    </row>
    <row r="1566" spans="1:15">
      <c r="A1566" t="s">
        <v>1943</v>
      </c>
      <c r="B1566" t="s">
        <v>2113</v>
      </c>
      <c r="C1566" t="s">
        <v>2111</v>
      </c>
      <c r="D1566" s="1">
        <v>45125</v>
      </c>
      <c r="E1566" s="1">
        <v>45077</v>
      </c>
      <c r="F1566">
        <v>215</v>
      </c>
      <c r="G1566">
        <v>13</v>
      </c>
      <c r="H1566">
        <v>306.01</v>
      </c>
      <c r="I1566">
        <v>53.65</v>
      </c>
      <c r="J1566" t="s">
        <v>41</v>
      </c>
      <c r="K1566" t="s">
        <v>16</v>
      </c>
      <c r="L1566" t="s">
        <v>2106</v>
      </c>
      <c r="M1566">
        <v>6</v>
      </c>
      <c r="N1566" t="s">
        <v>194</v>
      </c>
      <c r="O1566" t="s">
        <v>2096</v>
      </c>
    </row>
    <row r="1567" spans="1:15">
      <c r="A1567" t="s">
        <v>3310</v>
      </c>
      <c r="B1567" t="s">
        <v>2085</v>
      </c>
      <c r="C1567" t="s">
        <v>2091</v>
      </c>
      <c r="D1567" s="1">
        <v>44119</v>
      </c>
      <c r="E1567" s="1">
        <v>45172</v>
      </c>
      <c r="F1567">
        <v>120</v>
      </c>
      <c r="G1567">
        <v>25</v>
      </c>
      <c r="H1567">
        <v>1279.44</v>
      </c>
      <c r="I1567">
        <v>126.94</v>
      </c>
      <c r="J1567" t="s">
        <v>90</v>
      </c>
      <c r="K1567" t="s">
        <v>20</v>
      </c>
      <c r="L1567" t="s">
        <v>2106</v>
      </c>
      <c r="M1567">
        <v>3</v>
      </c>
      <c r="N1567" t="s">
        <v>179</v>
      </c>
      <c r="O1567" t="s">
        <v>2096</v>
      </c>
    </row>
    <row r="1568" spans="1:15">
      <c r="A1568" t="s">
        <v>1429</v>
      </c>
      <c r="B1568" t="s">
        <v>2113</v>
      </c>
      <c r="C1568" t="s">
        <v>2108</v>
      </c>
      <c r="D1568" s="1">
        <v>43794</v>
      </c>
      <c r="E1568" s="1">
        <v>45234</v>
      </c>
      <c r="F1568">
        <v>58</v>
      </c>
      <c r="G1568">
        <v>20</v>
      </c>
      <c r="H1568">
        <v>283.02999999999997</v>
      </c>
      <c r="I1568">
        <v>65.319999999999993</v>
      </c>
      <c r="J1568" t="s">
        <v>41</v>
      </c>
      <c r="K1568" t="s">
        <v>20</v>
      </c>
      <c r="L1568" t="s">
        <v>2087</v>
      </c>
      <c r="M1568">
        <v>3</v>
      </c>
      <c r="N1568" t="s">
        <v>174</v>
      </c>
      <c r="O1568" t="s">
        <v>2088</v>
      </c>
    </row>
    <row r="1569" spans="1:15">
      <c r="A1569" t="s">
        <v>3311</v>
      </c>
      <c r="B1569" t="s">
        <v>2099</v>
      </c>
      <c r="C1569" t="s">
        <v>2094</v>
      </c>
      <c r="D1569" s="1">
        <v>45165</v>
      </c>
      <c r="E1569" s="1">
        <v>44972</v>
      </c>
      <c r="F1569">
        <v>320</v>
      </c>
      <c r="G1569">
        <v>1</v>
      </c>
      <c r="H1569">
        <v>112.39</v>
      </c>
      <c r="I1569">
        <v>30.94</v>
      </c>
      <c r="J1569" t="s">
        <v>115</v>
      </c>
      <c r="K1569" t="s">
        <v>16</v>
      </c>
      <c r="L1569" t="s">
        <v>2106</v>
      </c>
      <c r="M1569">
        <v>10</v>
      </c>
      <c r="N1569" t="s">
        <v>194</v>
      </c>
      <c r="O1569" t="s">
        <v>2107</v>
      </c>
    </row>
    <row r="1570" spans="1:15">
      <c r="A1570" t="s">
        <v>197</v>
      </c>
      <c r="B1570" t="s">
        <v>2097</v>
      </c>
      <c r="C1570" t="s">
        <v>2111</v>
      </c>
      <c r="D1570" s="1">
        <v>45216</v>
      </c>
      <c r="E1570" s="1">
        <v>45117</v>
      </c>
      <c r="F1570">
        <v>175</v>
      </c>
      <c r="G1570">
        <v>6</v>
      </c>
      <c r="H1570">
        <v>263.77999999999997</v>
      </c>
      <c r="I1570">
        <v>59.05</v>
      </c>
      <c r="J1570" t="s">
        <v>115</v>
      </c>
      <c r="K1570" t="s">
        <v>16</v>
      </c>
      <c r="L1570" t="s">
        <v>2106</v>
      </c>
      <c r="M1570">
        <v>4</v>
      </c>
      <c r="N1570" t="s">
        <v>232</v>
      </c>
      <c r="O1570" t="s">
        <v>2107</v>
      </c>
    </row>
    <row r="1571" spans="1:15">
      <c r="A1571" t="s">
        <v>3312</v>
      </c>
      <c r="B1571" t="s">
        <v>2090</v>
      </c>
      <c r="C1571" t="s">
        <v>2094</v>
      </c>
      <c r="D1571" s="1">
        <v>44421</v>
      </c>
      <c r="E1571" s="1">
        <v>45033</v>
      </c>
      <c r="F1571">
        <v>259</v>
      </c>
      <c r="G1571">
        <v>5</v>
      </c>
      <c r="H1571">
        <v>335.07</v>
      </c>
      <c r="I1571">
        <v>41.92</v>
      </c>
      <c r="J1571" t="s">
        <v>66</v>
      </c>
      <c r="K1571" t="s">
        <v>16</v>
      </c>
      <c r="L1571" t="s">
        <v>2087</v>
      </c>
      <c r="M1571">
        <v>4</v>
      </c>
      <c r="N1571" t="s">
        <v>204</v>
      </c>
      <c r="O1571" t="s">
        <v>2107</v>
      </c>
    </row>
    <row r="1572" spans="1:15">
      <c r="A1572" t="s">
        <v>3313</v>
      </c>
      <c r="B1572" t="s">
        <v>2093</v>
      </c>
      <c r="C1572" t="s">
        <v>2094</v>
      </c>
      <c r="D1572" s="1">
        <v>44196</v>
      </c>
      <c r="E1572" s="1">
        <v>45205</v>
      </c>
      <c r="F1572">
        <v>87</v>
      </c>
      <c r="G1572">
        <v>1</v>
      </c>
      <c r="H1572">
        <v>88.71</v>
      </c>
      <c r="I1572">
        <v>57.93</v>
      </c>
      <c r="J1572" t="s">
        <v>14</v>
      </c>
      <c r="K1572" t="s">
        <v>20</v>
      </c>
      <c r="L1572" t="s">
        <v>2087</v>
      </c>
      <c r="M1572">
        <v>4</v>
      </c>
      <c r="N1572" t="s">
        <v>165</v>
      </c>
      <c r="O1572" t="s">
        <v>2088</v>
      </c>
    </row>
    <row r="1573" spans="1:15">
      <c r="A1573" t="s">
        <v>301</v>
      </c>
      <c r="B1573" t="s">
        <v>2085</v>
      </c>
      <c r="C1573" t="s">
        <v>2091</v>
      </c>
      <c r="D1573" s="1">
        <v>43492</v>
      </c>
      <c r="E1573" s="1">
        <v>45009</v>
      </c>
      <c r="F1573">
        <v>283</v>
      </c>
      <c r="G1573">
        <v>25</v>
      </c>
      <c r="H1573">
        <v>940.01</v>
      </c>
      <c r="I1573">
        <v>100.59</v>
      </c>
      <c r="J1573" t="s">
        <v>14</v>
      </c>
      <c r="K1573" t="s">
        <v>20</v>
      </c>
      <c r="L1573" t="s">
        <v>2106</v>
      </c>
      <c r="M1573">
        <v>1</v>
      </c>
      <c r="N1573" t="s">
        <v>204</v>
      </c>
      <c r="O1573" t="s">
        <v>2088</v>
      </c>
    </row>
    <row r="1574" spans="1:15">
      <c r="A1574" t="s">
        <v>3314</v>
      </c>
      <c r="B1574" t="s">
        <v>2090</v>
      </c>
      <c r="C1574" t="s">
        <v>2094</v>
      </c>
      <c r="D1574" s="1">
        <v>43668</v>
      </c>
      <c r="E1574" s="1">
        <v>45043</v>
      </c>
      <c r="F1574">
        <v>249</v>
      </c>
      <c r="G1574">
        <v>2</v>
      </c>
      <c r="H1574">
        <v>286.57</v>
      </c>
      <c r="I1574">
        <v>115.42</v>
      </c>
      <c r="J1574" t="s">
        <v>66</v>
      </c>
      <c r="K1574" t="s">
        <v>20</v>
      </c>
      <c r="L1574" t="s">
        <v>2087</v>
      </c>
      <c r="M1574">
        <v>6</v>
      </c>
      <c r="N1574" t="s">
        <v>165</v>
      </c>
      <c r="O1574" t="s">
        <v>2096</v>
      </c>
    </row>
    <row r="1575" spans="1:15">
      <c r="A1575" t="s">
        <v>3315</v>
      </c>
      <c r="B1575" t="s">
        <v>2093</v>
      </c>
      <c r="C1575" t="s">
        <v>2100</v>
      </c>
      <c r="D1575" s="1">
        <v>44887</v>
      </c>
      <c r="E1575" s="1">
        <v>45176</v>
      </c>
      <c r="F1575">
        <v>116</v>
      </c>
      <c r="G1575">
        <v>5</v>
      </c>
      <c r="H1575">
        <v>73.37</v>
      </c>
      <c r="I1575">
        <v>53.75</v>
      </c>
      <c r="J1575" t="s">
        <v>66</v>
      </c>
      <c r="K1575" t="s">
        <v>16</v>
      </c>
      <c r="L1575" t="s">
        <v>2106</v>
      </c>
      <c r="M1575">
        <v>2</v>
      </c>
      <c r="N1575" t="s">
        <v>232</v>
      </c>
      <c r="O1575" t="s">
        <v>2107</v>
      </c>
    </row>
    <row r="1576" spans="1:15">
      <c r="A1576" t="s">
        <v>3316</v>
      </c>
      <c r="B1576" t="s">
        <v>2090</v>
      </c>
      <c r="C1576" t="s">
        <v>2111</v>
      </c>
      <c r="D1576" s="1">
        <v>43960</v>
      </c>
      <c r="E1576" s="1">
        <v>45030</v>
      </c>
      <c r="F1576">
        <v>262</v>
      </c>
      <c r="G1576">
        <v>5</v>
      </c>
      <c r="H1576">
        <v>172.36</v>
      </c>
      <c r="I1576">
        <v>90.95</v>
      </c>
      <c r="J1576" t="s">
        <v>41</v>
      </c>
      <c r="K1576" t="s">
        <v>16</v>
      </c>
      <c r="L1576" t="s">
        <v>2106</v>
      </c>
      <c r="M1576">
        <v>5</v>
      </c>
      <c r="N1576" t="s">
        <v>165</v>
      </c>
      <c r="O1576" t="s">
        <v>2096</v>
      </c>
    </row>
    <row r="1577" spans="1:15">
      <c r="A1577" t="s">
        <v>3317</v>
      </c>
      <c r="B1577" t="s">
        <v>2090</v>
      </c>
      <c r="C1577" t="s">
        <v>2111</v>
      </c>
      <c r="D1577" s="1">
        <v>45143</v>
      </c>
      <c r="E1577" s="1">
        <v>45022</v>
      </c>
      <c r="F1577">
        <v>270</v>
      </c>
      <c r="G1577">
        <v>7</v>
      </c>
      <c r="H1577">
        <v>286.66000000000003</v>
      </c>
      <c r="I1577">
        <v>70.760000000000005</v>
      </c>
      <c r="J1577" t="s">
        <v>115</v>
      </c>
      <c r="K1577" t="s">
        <v>16</v>
      </c>
      <c r="L1577" t="s">
        <v>2087</v>
      </c>
      <c r="M1577">
        <v>6</v>
      </c>
      <c r="N1577" t="s">
        <v>204</v>
      </c>
      <c r="O1577" t="s">
        <v>2109</v>
      </c>
    </row>
    <row r="1578" spans="1:15">
      <c r="A1578" t="s">
        <v>3318</v>
      </c>
      <c r="B1578" t="s">
        <v>2085</v>
      </c>
      <c r="C1578" t="s">
        <v>2111</v>
      </c>
      <c r="D1578" s="1">
        <v>44313</v>
      </c>
      <c r="E1578" s="1">
        <v>45149</v>
      </c>
      <c r="F1578">
        <v>143</v>
      </c>
      <c r="G1578">
        <v>31</v>
      </c>
      <c r="H1578">
        <v>2441.7600000000002</v>
      </c>
      <c r="I1578">
        <v>297.99</v>
      </c>
      <c r="J1578" t="s">
        <v>14</v>
      </c>
      <c r="K1578" t="s">
        <v>16</v>
      </c>
      <c r="L1578" t="s">
        <v>2087</v>
      </c>
      <c r="M1578">
        <v>6</v>
      </c>
      <c r="N1578" t="s">
        <v>157</v>
      </c>
      <c r="O1578" t="s">
        <v>2121</v>
      </c>
    </row>
    <row r="1579" spans="1:15">
      <c r="A1579" t="s">
        <v>3319</v>
      </c>
      <c r="B1579" t="s">
        <v>2097</v>
      </c>
      <c r="C1579" t="s">
        <v>2108</v>
      </c>
      <c r="D1579" s="1">
        <v>43728</v>
      </c>
      <c r="E1579" s="1">
        <v>44995</v>
      </c>
      <c r="F1579">
        <v>297</v>
      </c>
      <c r="G1579">
        <v>3</v>
      </c>
      <c r="H1579">
        <v>237.38</v>
      </c>
      <c r="I1579">
        <v>134.9</v>
      </c>
      <c r="J1579" t="s">
        <v>41</v>
      </c>
      <c r="K1579" t="s">
        <v>16</v>
      </c>
      <c r="L1579" t="s">
        <v>2106</v>
      </c>
      <c r="M1579">
        <v>9</v>
      </c>
      <c r="N1579" t="s">
        <v>232</v>
      </c>
      <c r="O1579" t="s">
        <v>2096</v>
      </c>
    </row>
    <row r="1580" spans="1:15">
      <c r="A1580" t="s">
        <v>3320</v>
      </c>
      <c r="B1580" t="s">
        <v>2085</v>
      </c>
      <c r="C1580" t="s">
        <v>2091</v>
      </c>
      <c r="D1580" s="1">
        <v>44333</v>
      </c>
      <c r="E1580" s="1">
        <v>45210</v>
      </c>
      <c r="F1580">
        <v>82</v>
      </c>
      <c r="G1580">
        <v>40</v>
      </c>
      <c r="H1580">
        <v>2974.85</v>
      </c>
      <c r="I1580">
        <v>245.04</v>
      </c>
      <c r="J1580" t="s">
        <v>90</v>
      </c>
      <c r="K1580" t="s">
        <v>16</v>
      </c>
      <c r="L1580" t="s">
        <v>2087</v>
      </c>
      <c r="M1580">
        <v>9</v>
      </c>
      <c r="N1580" t="s">
        <v>165</v>
      </c>
      <c r="O1580" t="s">
        <v>2096</v>
      </c>
    </row>
    <row r="1581" spans="1:15">
      <c r="A1581" t="s">
        <v>3321</v>
      </c>
      <c r="B1581" t="s">
        <v>2085</v>
      </c>
      <c r="C1581" t="s">
        <v>2108</v>
      </c>
      <c r="D1581" s="1">
        <v>44136</v>
      </c>
      <c r="E1581" s="1">
        <v>45003</v>
      </c>
      <c r="F1581">
        <v>289</v>
      </c>
      <c r="G1581">
        <v>27</v>
      </c>
      <c r="H1581">
        <v>2701.34</v>
      </c>
      <c r="I1581">
        <v>222.85</v>
      </c>
      <c r="J1581" t="s">
        <v>66</v>
      </c>
      <c r="K1581" t="s">
        <v>16</v>
      </c>
      <c r="L1581" t="s">
        <v>2087</v>
      </c>
      <c r="M1581">
        <v>1</v>
      </c>
      <c r="N1581" t="s">
        <v>194</v>
      </c>
      <c r="O1581" t="s">
        <v>2121</v>
      </c>
    </row>
    <row r="1582" spans="1:15">
      <c r="A1582" t="s">
        <v>3322</v>
      </c>
      <c r="B1582" t="s">
        <v>2085</v>
      </c>
      <c r="C1582" t="s">
        <v>2111</v>
      </c>
      <c r="D1582" s="1">
        <v>45223</v>
      </c>
      <c r="E1582" s="1">
        <v>45106</v>
      </c>
      <c r="F1582">
        <v>186</v>
      </c>
      <c r="G1582">
        <v>31</v>
      </c>
      <c r="H1582">
        <v>1161.25</v>
      </c>
      <c r="I1582">
        <v>149.06</v>
      </c>
      <c r="J1582" t="s">
        <v>90</v>
      </c>
      <c r="K1582" t="s">
        <v>16</v>
      </c>
      <c r="L1582" t="s">
        <v>2087</v>
      </c>
      <c r="M1582">
        <v>5</v>
      </c>
      <c r="N1582" t="s">
        <v>204</v>
      </c>
      <c r="O1582" t="s">
        <v>2121</v>
      </c>
    </row>
    <row r="1583" spans="1:15">
      <c r="A1583" t="s">
        <v>3323</v>
      </c>
      <c r="B1583" t="s">
        <v>2097</v>
      </c>
      <c r="C1583" t="s">
        <v>2100</v>
      </c>
      <c r="D1583" s="1">
        <v>44251</v>
      </c>
      <c r="E1583" s="1">
        <v>45053</v>
      </c>
      <c r="F1583">
        <v>239</v>
      </c>
      <c r="G1583">
        <v>9</v>
      </c>
      <c r="H1583">
        <v>678.81</v>
      </c>
      <c r="I1583">
        <v>61</v>
      </c>
      <c r="J1583" t="s">
        <v>41</v>
      </c>
      <c r="K1583" t="s">
        <v>16</v>
      </c>
      <c r="L1583" t="s">
        <v>2095</v>
      </c>
      <c r="M1583">
        <v>1</v>
      </c>
      <c r="N1583" t="s">
        <v>232</v>
      </c>
      <c r="O1583" t="s">
        <v>2088</v>
      </c>
    </row>
    <row r="1584" spans="1:15">
      <c r="A1584" t="s">
        <v>3324</v>
      </c>
      <c r="B1584" t="s">
        <v>2113</v>
      </c>
      <c r="C1584" t="s">
        <v>2091</v>
      </c>
      <c r="D1584" s="1">
        <v>44195</v>
      </c>
      <c r="E1584" s="1">
        <v>45225</v>
      </c>
      <c r="F1584">
        <v>67</v>
      </c>
      <c r="G1584">
        <v>17</v>
      </c>
      <c r="H1584">
        <v>546.80999999999995</v>
      </c>
      <c r="I1584">
        <v>61.69</v>
      </c>
      <c r="J1584" t="s">
        <v>41</v>
      </c>
      <c r="K1584" t="s">
        <v>16</v>
      </c>
      <c r="L1584" t="s">
        <v>2106</v>
      </c>
      <c r="M1584">
        <v>7</v>
      </c>
      <c r="N1584" t="s">
        <v>204</v>
      </c>
      <c r="O1584" t="s">
        <v>2121</v>
      </c>
    </row>
    <row r="1585" spans="1:15">
      <c r="A1585" t="s">
        <v>1458</v>
      </c>
      <c r="B1585" t="s">
        <v>2085</v>
      </c>
      <c r="C1585" t="s">
        <v>2094</v>
      </c>
      <c r="D1585" s="1">
        <v>45223</v>
      </c>
      <c r="E1585" s="1">
        <v>45207</v>
      </c>
      <c r="F1585">
        <v>85</v>
      </c>
      <c r="G1585">
        <v>21</v>
      </c>
      <c r="H1585">
        <v>2137.2800000000002</v>
      </c>
      <c r="I1585">
        <v>105.27</v>
      </c>
      <c r="J1585" t="s">
        <v>14</v>
      </c>
      <c r="K1585" t="s">
        <v>16</v>
      </c>
      <c r="L1585" t="s">
        <v>2106</v>
      </c>
      <c r="M1585">
        <v>5</v>
      </c>
      <c r="N1585" t="s">
        <v>194</v>
      </c>
      <c r="O1585" t="s">
        <v>2096</v>
      </c>
    </row>
    <row r="1586" spans="1:15">
      <c r="A1586" t="s">
        <v>3325</v>
      </c>
      <c r="B1586" t="s">
        <v>2093</v>
      </c>
      <c r="C1586" t="s">
        <v>2108</v>
      </c>
      <c r="D1586" s="1">
        <v>44021</v>
      </c>
      <c r="E1586" s="1">
        <v>45074</v>
      </c>
      <c r="F1586">
        <v>218</v>
      </c>
      <c r="G1586">
        <v>2</v>
      </c>
      <c r="H1586">
        <v>171.4</v>
      </c>
      <c r="I1586">
        <v>66.91</v>
      </c>
      <c r="J1586" t="s">
        <v>66</v>
      </c>
      <c r="K1586" t="s">
        <v>20</v>
      </c>
      <c r="L1586" t="s">
        <v>2087</v>
      </c>
      <c r="M1586">
        <v>7</v>
      </c>
      <c r="N1586" t="s">
        <v>157</v>
      </c>
      <c r="O1586" t="s">
        <v>2107</v>
      </c>
    </row>
    <row r="1587" spans="1:15">
      <c r="A1587" t="s">
        <v>3326</v>
      </c>
      <c r="B1587" t="s">
        <v>2090</v>
      </c>
      <c r="C1587" t="s">
        <v>2091</v>
      </c>
      <c r="D1587" s="1">
        <v>44426</v>
      </c>
      <c r="E1587" s="1">
        <v>45050</v>
      </c>
      <c r="F1587">
        <v>242</v>
      </c>
      <c r="G1587">
        <v>6</v>
      </c>
      <c r="H1587">
        <v>153.18</v>
      </c>
      <c r="I1587">
        <v>40.06</v>
      </c>
      <c r="J1587" t="s">
        <v>14</v>
      </c>
      <c r="K1587" t="s">
        <v>16</v>
      </c>
      <c r="L1587" t="s">
        <v>2087</v>
      </c>
      <c r="M1587">
        <v>4</v>
      </c>
      <c r="N1587" t="s">
        <v>204</v>
      </c>
      <c r="O1587" t="s">
        <v>2096</v>
      </c>
    </row>
    <row r="1588" spans="1:15">
      <c r="A1588" t="s">
        <v>3327</v>
      </c>
      <c r="B1588" t="s">
        <v>2113</v>
      </c>
      <c r="C1588" t="s">
        <v>2111</v>
      </c>
      <c r="D1588" s="1">
        <v>43770</v>
      </c>
      <c r="E1588" s="1">
        <v>45110</v>
      </c>
      <c r="F1588">
        <v>182</v>
      </c>
      <c r="G1588">
        <v>20</v>
      </c>
      <c r="H1588">
        <v>246.21</v>
      </c>
      <c r="I1588">
        <v>71.47</v>
      </c>
      <c r="J1588" t="s">
        <v>14</v>
      </c>
      <c r="K1588" t="s">
        <v>16</v>
      </c>
      <c r="L1588" t="s">
        <v>2106</v>
      </c>
      <c r="M1588">
        <v>9</v>
      </c>
      <c r="N1588" t="s">
        <v>204</v>
      </c>
      <c r="O1588" t="s">
        <v>2088</v>
      </c>
    </row>
    <row r="1589" spans="1:15">
      <c r="A1589" t="s">
        <v>3328</v>
      </c>
      <c r="B1589" t="s">
        <v>2090</v>
      </c>
      <c r="C1589" t="s">
        <v>2108</v>
      </c>
      <c r="D1589" s="1">
        <v>43596</v>
      </c>
      <c r="E1589" s="1">
        <v>44995</v>
      </c>
      <c r="F1589">
        <v>297</v>
      </c>
      <c r="G1589">
        <v>5</v>
      </c>
      <c r="H1589">
        <v>268.69</v>
      </c>
      <c r="I1589">
        <v>65.349999999999994</v>
      </c>
      <c r="J1589" t="s">
        <v>14</v>
      </c>
      <c r="K1589" t="s">
        <v>16</v>
      </c>
      <c r="L1589" t="s">
        <v>2095</v>
      </c>
      <c r="M1589">
        <v>9</v>
      </c>
      <c r="N1589" t="s">
        <v>194</v>
      </c>
      <c r="O1589" t="s">
        <v>2121</v>
      </c>
    </row>
    <row r="1590" spans="1:15">
      <c r="A1590" t="s">
        <v>3329</v>
      </c>
      <c r="B1590" t="s">
        <v>2097</v>
      </c>
      <c r="C1590" t="s">
        <v>2091</v>
      </c>
      <c r="D1590" s="1">
        <v>43660</v>
      </c>
      <c r="E1590" s="1">
        <v>45190</v>
      </c>
      <c r="F1590">
        <v>102</v>
      </c>
      <c r="G1590">
        <v>10</v>
      </c>
      <c r="H1590">
        <v>472.11</v>
      </c>
      <c r="I1590">
        <v>93.54</v>
      </c>
      <c r="J1590" t="s">
        <v>14</v>
      </c>
      <c r="K1590" t="s">
        <v>20</v>
      </c>
      <c r="L1590" t="s">
        <v>2106</v>
      </c>
      <c r="M1590">
        <v>5</v>
      </c>
      <c r="N1590" t="s">
        <v>232</v>
      </c>
      <c r="O1590" t="s">
        <v>2096</v>
      </c>
    </row>
    <row r="1591" spans="1:15">
      <c r="A1591" t="s">
        <v>1216</v>
      </c>
      <c r="B1591" t="s">
        <v>2085</v>
      </c>
      <c r="C1591" t="s">
        <v>2094</v>
      </c>
      <c r="D1591" s="1">
        <v>43964</v>
      </c>
      <c r="E1591" s="1">
        <v>44970</v>
      </c>
      <c r="F1591">
        <v>322</v>
      </c>
      <c r="G1591">
        <v>15</v>
      </c>
      <c r="H1591">
        <v>2390.79</v>
      </c>
      <c r="I1591">
        <v>207.18</v>
      </c>
      <c r="J1591" t="s">
        <v>41</v>
      </c>
      <c r="K1591" t="s">
        <v>20</v>
      </c>
      <c r="L1591" t="s">
        <v>2095</v>
      </c>
      <c r="M1591">
        <v>5</v>
      </c>
      <c r="N1591" t="s">
        <v>174</v>
      </c>
      <c r="O1591" t="s">
        <v>2096</v>
      </c>
    </row>
    <row r="1592" spans="1:15">
      <c r="A1592" t="s">
        <v>3330</v>
      </c>
      <c r="B1592" t="s">
        <v>2113</v>
      </c>
      <c r="C1592" t="s">
        <v>2111</v>
      </c>
      <c r="D1592" s="1">
        <v>43815</v>
      </c>
      <c r="E1592" s="1">
        <v>45250</v>
      </c>
      <c r="F1592">
        <v>42</v>
      </c>
      <c r="G1592">
        <v>12</v>
      </c>
      <c r="H1592">
        <v>316.57</v>
      </c>
      <c r="I1592">
        <v>56.74</v>
      </c>
      <c r="J1592" t="s">
        <v>14</v>
      </c>
      <c r="K1592" t="s">
        <v>16</v>
      </c>
      <c r="L1592" t="s">
        <v>2106</v>
      </c>
      <c r="M1592">
        <v>1</v>
      </c>
      <c r="N1592" t="s">
        <v>232</v>
      </c>
      <c r="O1592" t="s">
        <v>2109</v>
      </c>
    </row>
    <row r="1593" spans="1:15">
      <c r="A1593" t="s">
        <v>359</v>
      </c>
      <c r="B1593" t="s">
        <v>2085</v>
      </c>
      <c r="C1593" t="s">
        <v>2100</v>
      </c>
      <c r="D1593" s="1">
        <v>44540</v>
      </c>
      <c r="E1593" s="1">
        <v>45090</v>
      </c>
      <c r="F1593">
        <v>202</v>
      </c>
      <c r="G1593">
        <v>13</v>
      </c>
      <c r="H1593">
        <v>2153.31</v>
      </c>
      <c r="I1593">
        <v>181.08</v>
      </c>
      <c r="J1593" t="s">
        <v>66</v>
      </c>
      <c r="K1593" t="s">
        <v>16</v>
      </c>
      <c r="L1593" t="s">
        <v>2087</v>
      </c>
      <c r="M1593">
        <v>7</v>
      </c>
      <c r="N1593" t="s">
        <v>179</v>
      </c>
      <c r="O1593" t="s">
        <v>2096</v>
      </c>
    </row>
    <row r="1594" spans="1:15">
      <c r="A1594" t="s">
        <v>773</v>
      </c>
      <c r="B1594" t="s">
        <v>2099</v>
      </c>
      <c r="C1594" t="s">
        <v>2091</v>
      </c>
      <c r="D1594" s="1">
        <v>44650</v>
      </c>
      <c r="E1594" s="1">
        <v>45263</v>
      </c>
      <c r="F1594">
        <v>29</v>
      </c>
      <c r="G1594">
        <v>1</v>
      </c>
      <c r="H1594">
        <v>38.56</v>
      </c>
      <c r="I1594">
        <v>54.23</v>
      </c>
      <c r="J1594" t="s">
        <v>41</v>
      </c>
      <c r="K1594" t="s">
        <v>20</v>
      </c>
      <c r="L1594" t="s">
        <v>2095</v>
      </c>
      <c r="M1594">
        <v>5</v>
      </c>
      <c r="N1594" t="s">
        <v>194</v>
      </c>
      <c r="O1594" t="s">
        <v>2107</v>
      </c>
    </row>
    <row r="1595" spans="1:15">
      <c r="A1595" t="s">
        <v>3331</v>
      </c>
      <c r="B1595" t="s">
        <v>2093</v>
      </c>
      <c r="C1595" t="s">
        <v>2111</v>
      </c>
      <c r="D1595" s="1">
        <v>43844</v>
      </c>
      <c r="E1595" s="1">
        <v>45026</v>
      </c>
      <c r="F1595">
        <v>266</v>
      </c>
      <c r="G1595">
        <v>2</v>
      </c>
      <c r="H1595">
        <v>32.08</v>
      </c>
      <c r="I1595">
        <v>21.99</v>
      </c>
      <c r="J1595" t="s">
        <v>41</v>
      </c>
      <c r="K1595" t="s">
        <v>20</v>
      </c>
      <c r="L1595" t="s">
        <v>2087</v>
      </c>
      <c r="M1595">
        <v>5</v>
      </c>
      <c r="N1595" t="s">
        <v>165</v>
      </c>
      <c r="O1595" t="s">
        <v>2121</v>
      </c>
    </row>
    <row r="1596" spans="1:15">
      <c r="A1596" t="s">
        <v>3332</v>
      </c>
      <c r="B1596" t="s">
        <v>2093</v>
      </c>
      <c r="C1596" t="s">
        <v>2094</v>
      </c>
      <c r="D1596" s="1">
        <v>43748</v>
      </c>
      <c r="E1596" s="1">
        <v>45013</v>
      </c>
      <c r="F1596">
        <v>279</v>
      </c>
      <c r="G1596">
        <v>1</v>
      </c>
      <c r="H1596">
        <v>144.80000000000001</v>
      </c>
      <c r="I1596">
        <v>74.930000000000007</v>
      </c>
      <c r="J1596" t="s">
        <v>14</v>
      </c>
      <c r="K1596" t="s">
        <v>16</v>
      </c>
      <c r="L1596" t="s">
        <v>2087</v>
      </c>
      <c r="M1596">
        <v>2</v>
      </c>
      <c r="N1596" t="s">
        <v>174</v>
      </c>
      <c r="O1596" t="s">
        <v>2109</v>
      </c>
    </row>
    <row r="1597" spans="1:15">
      <c r="A1597" t="s">
        <v>3333</v>
      </c>
      <c r="B1597" t="s">
        <v>2099</v>
      </c>
      <c r="C1597" t="s">
        <v>2108</v>
      </c>
      <c r="D1597" s="1">
        <v>43990</v>
      </c>
      <c r="E1597" s="1">
        <v>45090</v>
      </c>
      <c r="F1597">
        <v>202</v>
      </c>
      <c r="G1597">
        <v>2</v>
      </c>
      <c r="H1597">
        <v>24.77</v>
      </c>
      <c r="I1597">
        <v>45.2</v>
      </c>
      <c r="J1597" t="s">
        <v>115</v>
      </c>
      <c r="K1597" t="s">
        <v>20</v>
      </c>
      <c r="L1597" t="s">
        <v>2095</v>
      </c>
      <c r="M1597">
        <v>0</v>
      </c>
      <c r="N1597" t="s">
        <v>174</v>
      </c>
      <c r="O1597" t="s">
        <v>2109</v>
      </c>
    </row>
    <row r="1598" spans="1:15">
      <c r="A1598" t="s">
        <v>3334</v>
      </c>
      <c r="B1598" t="s">
        <v>2099</v>
      </c>
      <c r="C1598" t="s">
        <v>2091</v>
      </c>
      <c r="D1598" s="1">
        <v>43754</v>
      </c>
      <c r="E1598" s="1">
        <v>44992</v>
      </c>
      <c r="F1598">
        <v>300</v>
      </c>
      <c r="G1598">
        <v>1</v>
      </c>
      <c r="H1598">
        <v>46.75</v>
      </c>
      <c r="I1598">
        <v>79.22</v>
      </c>
      <c r="J1598" t="s">
        <v>41</v>
      </c>
      <c r="K1598" t="s">
        <v>16</v>
      </c>
      <c r="L1598" t="s">
        <v>2095</v>
      </c>
      <c r="M1598">
        <v>0</v>
      </c>
      <c r="N1598" t="s">
        <v>194</v>
      </c>
      <c r="O1598" t="s">
        <v>2107</v>
      </c>
    </row>
    <row r="1599" spans="1:15">
      <c r="A1599" t="s">
        <v>3335</v>
      </c>
      <c r="B1599" t="s">
        <v>2090</v>
      </c>
      <c r="C1599" t="s">
        <v>2091</v>
      </c>
      <c r="D1599" s="1">
        <v>44228</v>
      </c>
      <c r="E1599" s="1">
        <v>45120</v>
      </c>
      <c r="F1599">
        <v>172</v>
      </c>
      <c r="G1599">
        <v>3</v>
      </c>
      <c r="H1599">
        <v>138.94</v>
      </c>
      <c r="I1599">
        <v>54.09</v>
      </c>
      <c r="J1599" t="s">
        <v>14</v>
      </c>
      <c r="K1599" t="s">
        <v>16</v>
      </c>
      <c r="L1599" t="s">
        <v>2106</v>
      </c>
      <c r="M1599">
        <v>9</v>
      </c>
      <c r="N1599" t="s">
        <v>179</v>
      </c>
      <c r="O1599" t="s">
        <v>2096</v>
      </c>
    </row>
    <row r="1600" spans="1:15">
      <c r="A1600" t="s">
        <v>3336</v>
      </c>
      <c r="B1600" t="s">
        <v>2085</v>
      </c>
      <c r="C1600" t="s">
        <v>2091</v>
      </c>
      <c r="D1600" s="1">
        <v>44094</v>
      </c>
      <c r="E1600" s="1">
        <v>45034</v>
      </c>
      <c r="F1600">
        <v>258</v>
      </c>
      <c r="G1600">
        <v>15</v>
      </c>
      <c r="H1600">
        <v>2467.96</v>
      </c>
      <c r="I1600">
        <v>151.21</v>
      </c>
      <c r="J1600" t="s">
        <v>115</v>
      </c>
      <c r="K1600" t="s">
        <v>16</v>
      </c>
      <c r="L1600" t="s">
        <v>2095</v>
      </c>
      <c r="M1600">
        <v>3</v>
      </c>
      <c r="N1600" t="s">
        <v>165</v>
      </c>
      <c r="O1600" t="s">
        <v>2107</v>
      </c>
    </row>
    <row r="1601" spans="1:15">
      <c r="A1601" t="s">
        <v>3337</v>
      </c>
      <c r="B1601" t="s">
        <v>2113</v>
      </c>
      <c r="C1601" t="s">
        <v>2091</v>
      </c>
      <c r="D1601" s="1">
        <v>43705</v>
      </c>
      <c r="E1601" s="1">
        <v>45036</v>
      </c>
      <c r="F1601">
        <v>256</v>
      </c>
      <c r="G1601">
        <v>10</v>
      </c>
      <c r="H1601">
        <v>358.51</v>
      </c>
      <c r="I1601">
        <v>77.77</v>
      </c>
      <c r="J1601" t="s">
        <v>41</v>
      </c>
      <c r="K1601" t="s">
        <v>20</v>
      </c>
      <c r="L1601" t="s">
        <v>2106</v>
      </c>
      <c r="M1601">
        <v>4</v>
      </c>
      <c r="N1601" t="s">
        <v>194</v>
      </c>
      <c r="O1601" t="s">
        <v>2109</v>
      </c>
    </row>
    <row r="1602" spans="1:15">
      <c r="A1602" t="s">
        <v>3338</v>
      </c>
      <c r="B1602" t="s">
        <v>2093</v>
      </c>
      <c r="C1602" t="s">
        <v>2100</v>
      </c>
      <c r="D1602" s="1">
        <v>43846</v>
      </c>
      <c r="E1602" s="1">
        <v>45183</v>
      </c>
      <c r="F1602">
        <v>109</v>
      </c>
      <c r="G1602">
        <v>3</v>
      </c>
      <c r="H1602">
        <v>86.65</v>
      </c>
      <c r="I1602">
        <v>32.99</v>
      </c>
      <c r="J1602" t="s">
        <v>66</v>
      </c>
      <c r="K1602" t="s">
        <v>16</v>
      </c>
      <c r="L1602" t="s">
        <v>2106</v>
      </c>
      <c r="M1602">
        <v>7</v>
      </c>
      <c r="N1602" t="s">
        <v>204</v>
      </c>
      <c r="O1602" t="s">
        <v>2096</v>
      </c>
    </row>
    <row r="1603" spans="1:15">
      <c r="A1603" t="s">
        <v>3339</v>
      </c>
      <c r="B1603" t="s">
        <v>2097</v>
      </c>
      <c r="C1603" t="s">
        <v>2091</v>
      </c>
      <c r="D1603" s="1">
        <v>43861</v>
      </c>
      <c r="E1603" s="1">
        <v>45064</v>
      </c>
      <c r="F1603">
        <v>228</v>
      </c>
      <c r="G1603">
        <v>7</v>
      </c>
      <c r="H1603">
        <v>529.37</v>
      </c>
      <c r="I1603">
        <v>93</v>
      </c>
      <c r="J1603" t="s">
        <v>14</v>
      </c>
      <c r="K1603" t="s">
        <v>20</v>
      </c>
      <c r="L1603" t="s">
        <v>2106</v>
      </c>
      <c r="M1603">
        <v>5</v>
      </c>
      <c r="N1603" t="s">
        <v>157</v>
      </c>
      <c r="O1603" t="s">
        <v>2109</v>
      </c>
    </row>
    <row r="1604" spans="1:15">
      <c r="A1604" t="s">
        <v>3340</v>
      </c>
      <c r="B1604" t="s">
        <v>2099</v>
      </c>
      <c r="C1604" t="s">
        <v>2108</v>
      </c>
      <c r="D1604" s="1">
        <v>43962</v>
      </c>
      <c r="E1604" s="1">
        <v>45068</v>
      </c>
      <c r="F1604">
        <v>224</v>
      </c>
      <c r="G1604">
        <v>2</v>
      </c>
      <c r="H1604">
        <v>101.26</v>
      </c>
      <c r="I1604">
        <v>89.36</v>
      </c>
      <c r="J1604" t="s">
        <v>115</v>
      </c>
      <c r="K1604" t="s">
        <v>20</v>
      </c>
      <c r="L1604" t="s">
        <v>2106</v>
      </c>
      <c r="M1604">
        <v>10</v>
      </c>
      <c r="N1604" t="s">
        <v>194</v>
      </c>
      <c r="O1604" t="s">
        <v>2107</v>
      </c>
    </row>
    <row r="1605" spans="1:15">
      <c r="A1605" t="s">
        <v>3341</v>
      </c>
      <c r="B1605" t="s">
        <v>2090</v>
      </c>
      <c r="C1605" t="s">
        <v>2094</v>
      </c>
      <c r="D1605" s="1">
        <v>45175</v>
      </c>
      <c r="E1605" s="1">
        <v>44974</v>
      </c>
      <c r="F1605">
        <v>318</v>
      </c>
      <c r="G1605">
        <v>5</v>
      </c>
      <c r="H1605">
        <v>345.72</v>
      </c>
      <c r="I1605">
        <v>68.5</v>
      </c>
      <c r="J1605" t="s">
        <v>41</v>
      </c>
      <c r="K1605" t="s">
        <v>16</v>
      </c>
      <c r="L1605" t="s">
        <v>2087</v>
      </c>
      <c r="M1605">
        <v>5</v>
      </c>
      <c r="N1605" t="s">
        <v>179</v>
      </c>
      <c r="O1605" t="s">
        <v>2121</v>
      </c>
    </row>
    <row r="1606" spans="1:15">
      <c r="A1606" t="s">
        <v>3342</v>
      </c>
      <c r="B1606" t="s">
        <v>2090</v>
      </c>
      <c r="C1606" t="s">
        <v>2094</v>
      </c>
      <c r="D1606" s="1">
        <v>44264</v>
      </c>
      <c r="E1606" s="1">
        <v>45007</v>
      </c>
      <c r="F1606">
        <v>285</v>
      </c>
      <c r="G1606">
        <v>8</v>
      </c>
      <c r="H1606">
        <v>101.23</v>
      </c>
      <c r="I1606">
        <v>79.03</v>
      </c>
      <c r="J1606" t="s">
        <v>41</v>
      </c>
      <c r="K1606" t="s">
        <v>20</v>
      </c>
      <c r="L1606" t="s">
        <v>2106</v>
      </c>
      <c r="M1606">
        <v>0</v>
      </c>
      <c r="N1606" t="s">
        <v>232</v>
      </c>
      <c r="O1606" t="s">
        <v>2109</v>
      </c>
    </row>
    <row r="1607" spans="1:15">
      <c r="A1607" t="s">
        <v>3343</v>
      </c>
      <c r="B1607" t="s">
        <v>2099</v>
      </c>
      <c r="C1607" t="s">
        <v>2091</v>
      </c>
      <c r="D1607" s="1">
        <v>44222</v>
      </c>
      <c r="E1607" s="1">
        <v>45039</v>
      </c>
      <c r="F1607">
        <v>253</v>
      </c>
      <c r="G1607">
        <v>2</v>
      </c>
      <c r="H1607">
        <v>33.68</v>
      </c>
      <c r="I1607">
        <v>57.82</v>
      </c>
      <c r="J1607" t="s">
        <v>90</v>
      </c>
      <c r="K1607" t="s">
        <v>20</v>
      </c>
      <c r="L1607" t="s">
        <v>2106</v>
      </c>
      <c r="M1607">
        <v>5</v>
      </c>
      <c r="N1607" t="s">
        <v>157</v>
      </c>
      <c r="O1607" t="s">
        <v>2121</v>
      </c>
    </row>
    <row r="1608" spans="1:15">
      <c r="A1608" t="s">
        <v>3344</v>
      </c>
      <c r="B1608" t="s">
        <v>2099</v>
      </c>
      <c r="C1608" t="s">
        <v>2108</v>
      </c>
      <c r="D1608" s="1">
        <v>44939</v>
      </c>
      <c r="E1608" s="1">
        <v>45089</v>
      </c>
      <c r="F1608">
        <v>203</v>
      </c>
      <c r="G1608">
        <v>2</v>
      </c>
      <c r="H1608">
        <v>140.09</v>
      </c>
      <c r="I1608">
        <v>51.5</v>
      </c>
      <c r="J1608" t="s">
        <v>41</v>
      </c>
      <c r="K1608" t="s">
        <v>16</v>
      </c>
      <c r="L1608" t="s">
        <v>2095</v>
      </c>
      <c r="M1608">
        <v>8</v>
      </c>
      <c r="N1608" t="s">
        <v>232</v>
      </c>
      <c r="O1608" t="s">
        <v>2109</v>
      </c>
    </row>
    <row r="1609" spans="1:15">
      <c r="A1609" t="s">
        <v>3345</v>
      </c>
      <c r="B1609" t="s">
        <v>2097</v>
      </c>
      <c r="C1609" t="s">
        <v>2091</v>
      </c>
      <c r="D1609" s="1">
        <v>43781</v>
      </c>
      <c r="E1609" s="1">
        <v>45075</v>
      </c>
      <c r="F1609">
        <v>217</v>
      </c>
      <c r="G1609">
        <v>11</v>
      </c>
      <c r="H1609">
        <v>727.35</v>
      </c>
      <c r="I1609">
        <v>124.79</v>
      </c>
      <c r="J1609" t="s">
        <v>90</v>
      </c>
      <c r="K1609" t="s">
        <v>16</v>
      </c>
      <c r="L1609" t="s">
        <v>2106</v>
      </c>
      <c r="M1609">
        <v>2</v>
      </c>
      <c r="N1609" t="s">
        <v>194</v>
      </c>
      <c r="O1609" t="s">
        <v>2096</v>
      </c>
    </row>
    <row r="1610" spans="1:15">
      <c r="A1610" t="s">
        <v>3346</v>
      </c>
      <c r="B1610" t="s">
        <v>2113</v>
      </c>
      <c r="C1610" t="s">
        <v>2108</v>
      </c>
      <c r="D1610" s="1">
        <v>45234</v>
      </c>
      <c r="E1610" s="1">
        <v>45257</v>
      </c>
      <c r="F1610">
        <v>35</v>
      </c>
      <c r="G1610">
        <v>20</v>
      </c>
      <c r="H1610">
        <v>140.9</v>
      </c>
      <c r="I1610">
        <v>62.05</v>
      </c>
      <c r="J1610" t="s">
        <v>90</v>
      </c>
      <c r="K1610" t="s">
        <v>16</v>
      </c>
      <c r="L1610" t="s">
        <v>2106</v>
      </c>
      <c r="M1610">
        <v>10</v>
      </c>
      <c r="N1610" t="s">
        <v>232</v>
      </c>
      <c r="O1610" t="s">
        <v>2107</v>
      </c>
    </row>
    <row r="1611" spans="1:15">
      <c r="A1611" t="s">
        <v>3347</v>
      </c>
      <c r="B1611" t="s">
        <v>2113</v>
      </c>
      <c r="C1611" t="s">
        <v>2094</v>
      </c>
      <c r="D1611" s="1">
        <v>44307</v>
      </c>
      <c r="E1611" s="1">
        <v>45207</v>
      </c>
      <c r="F1611">
        <v>85</v>
      </c>
      <c r="G1611">
        <v>13</v>
      </c>
      <c r="H1611">
        <v>206.25</v>
      </c>
      <c r="I1611">
        <v>62.97</v>
      </c>
      <c r="J1611" t="s">
        <v>115</v>
      </c>
      <c r="K1611" t="s">
        <v>20</v>
      </c>
      <c r="L1611" t="s">
        <v>2087</v>
      </c>
      <c r="M1611">
        <v>3</v>
      </c>
      <c r="N1611" t="s">
        <v>165</v>
      </c>
      <c r="O1611" t="s">
        <v>2088</v>
      </c>
    </row>
    <row r="1612" spans="1:15">
      <c r="A1612" t="s">
        <v>3348</v>
      </c>
      <c r="B1612" t="s">
        <v>2085</v>
      </c>
      <c r="C1612" t="s">
        <v>2094</v>
      </c>
      <c r="D1612" s="1">
        <v>44568</v>
      </c>
      <c r="E1612" s="1">
        <v>45002</v>
      </c>
      <c r="F1612">
        <v>290</v>
      </c>
      <c r="G1612">
        <v>25</v>
      </c>
      <c r="H1612">
        <v>2526.54</v>
      </c>
      <c r="I1612">
        <v>178.66</v>
      </c>
      <c r="J1612" t="s">
        <v>115</v>
      </c>
      <c r="K1612" t="s">
        <v>16</v>
      </c>
      <c r="L1612" t="s">
        <v>2106</v>
      </c>
      <c r="M1612">
        <v>10</v>
      </c>
      <c r="N1612" t="s">
        <v>157</v>
      </c>
      <c r="O1612" t="s">
        <v>2088</v>
      </c>
    </row>
    <row r="1613" spans="1:15">
      <c r="A1613" t="s">
        <v>3349</v>
      </c>
      <c r="B1613" t="s">
        <v>2090</v>
      </c>
      <c r="C1613" t="s">
        <v>2100</v>
      </c>
      <c r="D1613" s="1">
        <v>44812</v>
      </c>
      <c r="E1613" s="1">
        <v>44966</v>
      </c>
      <c r="F1613">
        <v>326</v>
      </c>
      <c r="G1613">
        <v>8</v>
      </c>
      <c r="H1613">
        <v>364.61</v>
      </c>
      <c r="I1613">
        <v>83.71</v>
      </c>
      <c r="J1613" t="s">
        <v>14</v>
      </c>
      <c r="K1613" t="s">
        <v>16</v>
      </c>
      <c r="L1613" t="s">
        <v>2095</v>
      </c>
      <c r="M1613">
        <v>10</v>
      </c>
      <c r="N1613" t="s">
        <v>232</v>
      </c>
      <c r="O1613" t="s">
        <v>2096</v>
      </c>
    </row>
    <row r="1614" spans="1:15">
      <c r="A1614" t="s">
        <v>3350</v>
      </c>
      <c r="B1614" t="s">
        <v>2085</v>
      </c>
      <c r="C1614" t="s">
        <v>2100</v>
      </c>
      <c r="D1614" s="1">
        <v>43868</v>
      </c>
      <c r="E1614" s="1">
        <v>45282</v>
      </c>
      <c r="F1614">
        <v>10</v>
      </c>
      <c r="G1614">
        <v>24</v>
      </c>
      <c r="H1614">
        <v>2773.26</v>
      </c>
      <c r="I1614">
        <v>203.05</v>
      </c>
      <c r="J1614" t="s">
        <v>14</v>
      </c>
      <c r="K1614" t="s">
        <v>16</v>
      </c>
      <c r="L1614" t="s">
        <v>2095</v>
      </c>
      <c r="M1614">
        <v>0</v>
      </c>
      <c r="N1614" t="s">
        <v>204</v>
      </c>
      <c r="O1614" t="s">
        <v>2107</v>
      </c>
    </row>
    <row r="1615" spans="1:15">
      <c r="A1615" t="s">
        <v>3351</v>
      </c>
      <c r="B1615" t="s">
        <v>2099</v>
      </c>
      <c r="C1615" t="s">
        <v>2111</v>
      </c>
      <c r="D1615" s="1">
        <v>43806</v>
      </c>
      <c r="E1615" s="1">
        <v>44929</v>
      </c>
      <c r="F1615">
        <v>363</v>
      </c>
      <c r="G1615">
        <v>1</v>
      </c>
      <c r="H1615">
        <v>69.34</v>
      </c>
      <c r="I1615">
        <v>57.72</v>
      </c>
      <c r="J1615" t="s">
        <v>66</v>
      </c>
      <c r="K1615" t="s">
        <v>20</v>
      </c>
      <c r="L1615" t="s">
        <v>2106</v>
      </c>
      <c r="M1615">
        <v>6</v>
      </c>
      <c r="N1615" t="s">
        <v>179</v>
      </c>
      <c r="O1615" t="s">
        <v>2109</v>
      </c>
    </row>
    <row r="1616" spans="1:15">
      <c r="A1616" t="s">
        <v>3352</v>
      </c>
      <c r="B1616" t="s">
        <v>2090</v>
      </c>
      <c r="C1616" t="s">
        <v>2086</v>
      </c>
      <c r="D1616" s="1">
        <v>44257</v>
      </c>
      <c r="E1616" s="1">
        <v>45067</v>
      </c>
      <c r="F1616">
        <v>225</v>
      </c>
      <c r="G1616">
        <v>7</v>
      </c>
      <c r="H1616">
        <v>86.11</v>
      </c>
      <c r="I1616">
        <v>111.7</v>
      </c>
      <c r="J1616" t="s">
        <v>41</v>
      </c>
      <c r="K1616" t="s">
        <v>16</v>
      </c>
      <c r="L1616" t="s">
        <v>2095</v>
      </c>
      <c r="M1616">
        <v>1</v>
      </c>
      <c r="N1616" t="s">
        <v>194</v>
      </c>
      <c r="O1616" t="s">
        <v>2109</v>
      </c>
    </row>
    <row r="1617" spans="1:15">
      <c r="A1617" t="s">
        <v>3353</v>
      </c>
      <c r="B1617" t="s">
        <v>2097</v>
      </c>
      <c r="C1617" t="s">
        <v>2108</v>
      </c>
      <c r="D1617" s="1">
        <v>43842</v>
      </c>
      <c r="E1617" s="1">
        <v>45092</v>
      </c>
      <c r="F1617">
        <v>200</v>
      </c>
      <c r="G1617">
        <v>7</v>
      </c>
      <c r="H1617">
        <v>658.95</v>
      </c>
      <c r="I1617">
        <v>94.2</v>
      </c>
      <c r="J1617" t="s">
        <v>66</v>
      </c>
      <c r="K1617" t="s">
        <v>16</v>
      </c>
      <c r="L1617" t="s">
        <v>2106</v>
      </c>
      <c r="M1617">
        <v>9</v>
      </c>
      <c r="N1617" t="s">
        <v>179</v>
      </c>
      <c r="O1617" t="s">
        <v>2107</v>
      </c>
    </row>
    <row r="1618" spans="1:15">
      <c r="A1618" t="s">
        <v>3354</v>
      </c>
      <c r="B1618" t="s">
        <v>2099</v>
      </c>
      <c r="C1618" t="s">
        <v>2086</v>
      </c>
      <c r="D1618" s="1">
        <v>45137</v>
      </c>
      <c r="E1618" s="1">
        <v>45024</v>
      </c>
      <c r="F1618">
        <v>268</v>
      </c>
      <c r="G1618">
        <v>2</v>
      </c>
      <c r="H1618">
        <v>64.78</v>
      </c>
      <c r="I1618">
        <v>52.44</v>
      </c>
      <c r="J1618" t="s">
        <v>14</v>
      </c>
      <c r="K1618" t="s">
        <v>16</v>
      </c>
      <c r="L1618" t="s">
        <v>2095</v>
      </c>
      <c r="M1618">
        <v>9</v>
      </c>
      <c r="N1618" t="s">
        <v>179</v>
      </c>
      <c r="O1618" t="s">
        <v>2088</v>
      </c>
    </row>
    <row r="1619" spans="1:15">
      <c r="A1619" t="s">
        <v>1840</v>
      </c>
      <c r="B1619" t="s">
        <v>2093</v>
      </c>
      <c r="C1619" t="s">
        <v>2086</v>
      </c>
      <c r="D1619" s="1">
        <v>44638</v>
      </c>
      <c r="E1619" s="1">
        <v>45061</v>
      </c>
      <c r="F1619">
        <v>231</v>
      </c>
      <c r="G1619">
        <v>3</v>
      </c>
      <c r="H1619">
        <v>31.93</v>
      </c>
      <c r="I1619">
        <v>43.72</v>
      </c>
      <c r="J1619" t="s">
        <v>14</v>
      </c>
      <c r="K1619" t="s">
        <v>20</v>
      </c>
      <c r="L1619" t="s">
        <v>2095</v>
      </c>
      <c r="M1619">
        <v>2</v>
      </c>
      <c r="N1619" t="s">
        <v>165</v>
      </c>
      <c r="O1619" t="s">
        <v>2109</v>
      </c>
    </row>
    <row r="1620" spans="1:15">
      <c r="A1620" t="s">
        <v>3355</v>
      </c>
      <c r="B1620" t="s">
        <v>2093</v>
      </c>
      <c r="C1620" t="s">
        <v>2100</v>
      </c>
      <c r="D1620" s="1">
        <v>43647</v>
      </c>
      <c r="E1620" s="1">
        <v>45244</v>
      </c>
      <c r="F1620">
        <v>48</v>
      </c>
      <c r="G1620">
        <v>4</v>
      </c>
      <c r="H1620">
        <v>152.16</v>
      </c>
      <c r="I1620">
        <v>54.03</v>
      </c>
      <c r="J1620" t="s">
        <v>90</v>
      </c>
      <c r="K1620" t="s">
        <v>20</v>
      </c>
      <c r="L1620" t="s">
        <v>2095</v>
      </c>
      <c r="M1620">
        <v>6</v>
      </c>
      <c r="N1620" t="s">
        <v>165</v>
      </c>
      <c r="O1620" t="s">
        <v>2088</v>
      </c>
    </row>
    <row r="1621" spans="1:15">
      <c r="A1621" t="s">
        <v>3356</v>
      </c>
      <c r="B1621" t="s">
        <v>2097</v>
      </c>
      <c r="C1621" t="s">
        <v>2100</v>
      </c>
      <c r="D1621" s="1">
        <v>43533</v>
      </c>
      <c r="E1621" s="1">
        <v>44980</v>
      </c>
      <c r="F1621">
        <v>312</v>
      </c>
      <c r="G1621">
        <v>6</v>
      </c>
      <c r="H1621">
        <v>363.61</v>
      </c>
      <c r="I1621">
        <v>110.01</v>
      </c>
      <c r="J1621" t="s">
        <v>14</v>
      </c>
      <c r="K1621" t="s">
        <v>16</v>
      </c>
      <c r="L1621" t="s">
        <v>2087</v>
      </c>
      <c r="M1621">
        <v>9</v>
      </c>
      <c r="N1621" t="s">
        <v>174</v>
      </c>
      <c r="O1621" t="s">
        <v>2096</v>
      </c>
    </row>
    <row r="1622" spans="1:15">
      <c r="A1622" t="s">
        <v>3357</v>
      </c>
      <c r="B1622" t="s">
        <v>2099</v>
      </c>
      <c r="C1622" t="s">
        <v>2111</v>
      </c>
      <c r="D1622" s="1">
        <v>44664</v>
      </c>
      <c r="E1622" s="1">
        <v>44944</v>
      </c>
      <c r="F1622">
        <v>348</v>
      </c>
      <c r="G1622">
        <v>1</v>
      </c>
      <c r="H1622">
        <v>93.8</v>
      </c>
      <c r="I1622">
        <v>41.77</v>
      </c>
      <c r="J1622" t="s">
        <v>41</v>
      </c>
      <c r="K1622" t="s">
        <v>16</v>
      </c>
      <c r="L1622" t="s">
        <v>2095</v>
      </c>
      <c r="M1622">
        <v>4</v>
      </c>
      <c r="N1622" t="s">
        <v>194</v>
      </c>
      <c r="O1622" t="s">
        <v>2107</v>
      </c>
    </row>
    <row r="1623" spans="1:15">
      <c r="A1623" t="s">
        <v>3358</v>
      </c>
      <c r="B1623" t="s">
        <v>2099</v>
      </c>
      <c r="C1623" t="s">
        <v>2094</v>
      </c>
      <c r="D1623" s="1">
        <v>43886</v>
      </c>
      <c r="E1623" s="1">
        <v>45278</v>
      </c>
      <c r="F1623">
        <v>14</v>
      </c>
      <c r="G1623">
        <v>2</v>
      </c>
      <c r="H1623">
        <v>128.32</v>
      </c>
      <c r="I1623">
        <v>72.540000000000006</v>
      </c>
      <c r="J1623" t="s">
        <v>115</v>
      </c>
      <c r="K1623" t="s">
        <v>16</v>
      </c>
      <c r="L1623" t="s">
        <v>2087</v>
      </c>
      <c r="M1623">
        <v>0</v>
      </c>
      <c r="N1623" t="s">
        <v>179</v>
      </c>
      <c r="O1623" t="s">
        <v>2088</v>
      </c>
    </row>
    <row r="1624" spans="1:15">
      <c r="A1624" t="s">
        <v>3359</v>
      </c>
      <c r="B1624" t="s">
        <v>2090</v>
      </c>
      <c r="C1624" t="s">
        <v>2100</v>
      </c>
      <c r="D1624" s="1">
        <v>43593</v>
      </c>
      <c r="E1624" s="1">
        <v>44963</v>
      </c>
      <c r="F1624">
        <v>329</v>
      </c>
      <c r="G1624">
        <v>8</v>
      </c>
      <c r="H1624">
        <v>301.23</v>
      </c>
      <c r="I1624">
        <v>47.09</v>
      </c>
      <c r="J1624" t="s">
        <v>90</v>
      </c>
      <c r="K1624" t="s">
        <v>20</v>
      </c>
      <c r="L1624" t="s">
        <v>2095</v>
      </c>
      <c r="M1624">
        <v>0</v>
      </c>
      <c r="N1624" t="s">
        <v>174</v>
      </c>
      <c r="O1624" t="s">
        <v>2121</v>
      </c>
    </row>
    <row r="1625" spans="1:15">
      <c r="A1625" t="s">
        <v>3360</v>
      </c>
      <c r="B1625" t="s">
        <v>2090</v>
      </c>
      <c r="C1625" t="s">
        <v>2108</v>
      </c>
      <c r="D1625" s="1">
        <v>44045</v>
      </c>
      <c r="E1625" s="1">
        <v>45223</v>
      </c>
      <c r="F1625">
        <v>69</v>
      </c>
      <c r="G1625">
        <v>2</v>
      </c>
      <c r="H1625">
        <v>113.19</v>
      </c>
      <c r="I1625">
        <v>40.83</v>
      </c>
      <c r="J1625" t="s">
        <v>115</v>
      </c>
      <c r="K1625" t="s">
        <v>20</v>
      </c>
      <c r="L1625" t="s">
        <v>2106</v>
      </c>
      <c r="M1625">
        <v>1</v>
      </c>
      <c r="N1625" t="s">
        <v>179</v>
      </c>
      <c r="O1625" t="s">
        <v>2096</v>
      </c>
    </row>
    <row r="1626" spans="1:15">
      <c r="A1626" t="s">
        <v>3361</v>
      </c>
      <c r="B1626" t="s">
        <v>2085</v>
      </c>
      <c r="C1626" t="s">
        <v>2091</v>
      </c>
      <c r="D1626" s="1">
        <v>43796</v>
      </c>
      <c r="E1626" s="1">
        <v>44946</v>
      </c>
      <c r="F1626">
        <v>346</v>
      </c>
      <c r="G1626">
        <v>39</v>
      </c>
      <c r="H1626">
        <v>1485.41</v>
      </c>
      <c r="I1626">
        <v>279.79000000000002</v>
      </c>
      <c r="J1626" t="s">
        <v>115</v>
      </c>
      <c r="K1626" t="s">
        <v>20</v>
      </c>
      <c r="L1626" t="s">
        <v>2087</v>
      </c>
      <c r="M1626">
        <v>6</v>
      </c>
      <c r="N1626" t="s">
        <v>174</v>
      </c>
      <c r="O1626" t="s">
        <v>2109</v>
      </c>
    </row>
    <row r="1627" spans="1:15">
      <c r="A1627" t="s">
        <v>3362</v>
      </c>
      <c r="B1627" t="s">
        <v>2090</v>
      </c>
      <c r="C1627" t="s">
        <v>2111</v>
      </c>
      <c r="D1627" s="1">
        <v>44737</v>
      </c>
      <c r="E1627" s="1">
        <v>45235</v>
      </c>
      <c r="F1627">
        <v>57</v>
      </c>
      <c r="G1627">
        <v>2</v>
      </c>
      <c r="H1627">
        <v>319.36</v>
      </c>
      <c r="I1627">
        <v>45.79</v>
      </c>
      <c r="J1627" t="s">
        <v>41</v>
      </c>
      <c r="K1627" t="s">
        <v>16</v>
      </c>
      <c r="L1627" t="s">
        <v>2095</v>
      </c>
      <c r="M1627">
        <v>1</v>
      </c>
      <c r="N1627" t="s">
        <v>179</v>
      </c>
      <c r="O1627" t="s">
        <v>2107</v>
      </c>
    </row>
    <row r="1628" spans="1:15">
      <c r="A1628" t="s">
        <v>1330</v>
      </c>
      <c r="B1628" t="s">
        <v>2113</v>
      </c>
      <c r="C1628" t="s">
        <v>2091</v>
      </c>
      <c r="D1628" s="1">
        <v>43785</v>
      </c>
      <c r="E1628" s="1">
        <v>44957</v>
      </c>
      <c r="F1628">
        <v>335</v>
      </c>
      <c r="G1628">
        <v>15</v>
      </c>
      <c r="H1628">
        <v>251.18</v>
      </c>
      <c r="I1628">
        <v>43.06</v>
      </c>
      <c r="J1628" t="s">
        <v>66</v>
      </c>
      <c r="K1628" t="s">
        <v>16</v>
      </c>
      <c r="L1628" t="s">
        <v>2095</v>
      </c>
      <c r="M1628">
        <v>6</v>
      </c>
      <c r="N1628" t="s">
        <v>174</v>
      </c>
      <c r="O1628" t="s">
        <v>2109</v>
      </c>
    </row>
    <row r="1629" spans="1:15">
      <c r="A1629" t="s">
        <v>3363</v>
      </c>
      <c r="B1629" t="s">
        <v>2090</v>
      </c>
      <c r="C1629" t="s">
        <v>2091</v>
      </c>
      <c r="D1629" s="1">
        <v>44677</v>
      </c>
      <c r="E1629" s="1">
        <v>44978</v>
      </c>
      <c r="F1629">
        <v>314</v>
      </c>
      <c r="G1629">
        <v>7</v>
      </c>
      <c r="H1629">
        <v>110.77</v>
      </c>
      <c r="I1629">
        <v>106.99</v>
      </c>
      <c r="J1629" t="s">
        <v>115</v>
      </c>
      <c r="K1629" t="s">
        <v>16</v>
      </c>
      <c r="L1629" t="s">
        <v>2095</v>
      </c>
      <c r="M1629">
        <v>1</v>
      </c>
      <c r="N1629" t="s">
        <v>194</v>
      </c>
      <c r="O1629" t="s">
        <v>2109</v>
      </c>
    </row>
    <row r="1630" spans="1:15">
      <c r="A1630" t="s">
        <v>1777</v>
      </c>
      <c r="B1630" t="s">
        <v>2085</v>
      </c>
      <c r="C1630" t="s">
        <v>2091</v>
      </c>
      <c r="D1630" s="1">
        <v>44480</v>
      </c>
      <c r="E1630" s="1">
        <v>44986</v>
      </c>
      <c r="F1630">
        <v>306</v>
      </c>
      <c r="G1630">
        <v>39</v>
      </c>
      <c r="H1630">
        <v>2344.16</v>
      </c>
      <c r="I1630">
        <v>117.28</v>
      </c>
      <c r="J1630" t="s">
        <v>41</v>
      </c>
      <c r="K1630" t="s">
        <v>20</v>
      </c>
      <c r="L1630" t="s">
        <v>2095</v>
      </c>
      <c r="M1630">
        <v>9</v>
      </c>
      <c r="N1630" t="s">
        <v>165</v>
      </c>
      <c r="O1630" t="s">
        <v>2121</v>
      </c>
    </row>
    <row r="1631" spans="1:15">
      <c r="A1631" t="s">
        <v>3364</v>
      </c>
      <c r="B1631" t="s">
        <v>2085</v>
      </c>
      <c r="C1631" t="s">
        <v>2091</v>
      </c>
      <c r="D1631" s="1">
        <v>45242</v>
      </c>
      <c r="E1631" s="1">
        <v>44929</v>
      </c>
      <c r="F1631">
        <v>363</v>
      </c>
      <c r="G1631">
        <v>16</v>
      </c>
      <c r="H1631">
        <v>1467.6</v>
      </c>
      <c r="I1631">
        <v>192.79</v>
      </c>
      <c r="J1631" t="s">
        <v>115</v>
      </c>
      <c r="K1631" t="s">
        <v>20</v>
      </c>
      <c r="L1631" t="s">
        <v>2106</v>
      </c>
      <c r="M1631">
        <v>1</v>
      </c>
      <c r="N1631" t="s">
        <v>194</v>
      </c>
      <c r="O1631" t="s">
        <v>2096</v>
      </c>
    </row>
    <row r="1632" spans="1:15">
      <c r="A1632" t="s">
        <v>3365</v>
      </c>
      <c r="B1632" t="s">
        <v>2085</v>
      </c>
      <c r="C1632" t="s">
        <v>2094</v>
      </c>
      <c r="D1632" s="1">
        <v>44760</v>
      </c>
      <c r="E1632" s="1">
        <v>45080</v>
      </c>
      <c r="F1632">
        <v>212</v>
      </c>
      <c r="G1632">
        <v>16</v>
      </c>
      <c r="H1632">
        <v>2648.84</v>
      </c>
      <c r="I1632">
        <v>191.88</v>
      </c>
      <c r="J1632" t="s">
        <v>41</v>
      </c>
      <c r="K1632" t="s">
        <v>16</v>
      </c>
      <c r="L1632" t="s">
        <v>2106</v>
      </c>
      <c r="M1632">
        <v>1</v>
      </c>
      <c r="N1632" t="s">
        <v>179</v>
      </c>
      <c r="O1632" t="s">
        <v>2088</v>
      </c>
    </row>
    <row r="1633" spans="1:15">
      <c r="A1633" t="s">
        <v>3366</v>
      </c>
      <c r="B1633" t="s">
        <v>2097</v>
      </c>
      <c r="C1633" t="s">
        <v>2094</v>
      </c>
      <c r="D1633" s="1">
        <v>44471</v>
      </c>
      <c r="E1633" s="1">
        <v>45121</v>
      </c>
      <c r="F1633">
        <v>171</v>
      </c>
      <c r="G1633">
        <v>9</v>
      </c>
      <c r="H1633">
        <v>459.68</v>
      </c>
      <c r="I1633">
        <v>101.01</v>
      </c>
      <c r="J1633" t="s">
        <v>90</v>
      </c>
      <c r="K1633" t="s">
        <v>16</v>
      </c>
      <c r="L1633" t="s">
        <v>2106</v>
      </c>
      <c r="M1633">
        <v>1</v>
      </c>
      <c r="N1633" t="s">
        <v>157</v>
      </c>
      <c r="O1633" t="s">
        <v>2088</v>
      </c>
    </row>
    <row r="1634" spans="1:15">
      <c r="A1634" t="s">
        <v>3367</v>
      </c>
      <c r="B1634" t="s">
        <v>2085</v>
      </c>
      <c r="C1634" t="s">
        <v>2108</v>
      </c>
      <c r="D1634" s="1">
        <v>44724</v>
      </c>
      <c r="E1634" s="1">
        <v>44983</v>
      </c>
      <c r="F1634">
        <v>309</v>
      </c>
      <c r="G1634">
        <v>13</v>
      </c>
      <c r="H1634">
        <v>2819.54</v>
      </c>
      <c r="I1634">
        <v>199.86</v>
      </c>
      <c r="J1634" t="s">
        <v>90</v>
      </c>
      <c r="K1634" t="s">
        <v>16</v>
      </c>
      <c r="L1634" t="s">
        <v>2106</v>
      </c>
      <c r="M1634">
        <v>4</v>
      </c>
      <c r="N1634" t="s">
        <v>157</v>
      </c>
      <c r="O1634" t="s">
        <v>2107</v>
      </c>
    </row>
    <row r="1635" spans="1:15">
      <c r="A1635" t="s">
        <v>389</v>
      </c>
      <c r="B1635" t="s">
        <v>2093</v>
      </c>
      <c r="C1635" t="s">
        <v>2108</v>
      </c>
      <c r="D1635" s="1">
        <v>43564</v>
      </c>
      <c r="E1635" s="1">
        <v>44965</v>
      </c>
      <c r="F1635">
        <v>327</v>
      </c>
      <c r="G1635">
        <v>2</v>
      </c>
      <c r="H1635">
        <v>50.22</v>
      </c>
      <c r="I1635">
        <v>37.04</v>
      </c>
      <c r="J1635" t="s">
        <v>41</v>
      </c>
      <c r="K1635" t="s">
        <v>16</v>
      </c>
      <c r="L1635" t="s">
        <v>2087</v>
      </c>
      <c r="M1635">
        <v>3</v>
      </c>
      <c r="N1635" t="s">
        <v>194</v>
      </c>
      <c r="O1635" t="s">
        <v>2096</v>
      </c>
    </row>
    <row r="1636" spans="1:15">
      <c r="A1636" t="s">
        <v>3368</v>
      </c>
      <c r="B1636" t="s">
        <v>2099</v>
      </c>
      <c r="C1636" t="s">
        <v>2086</v>
      </c>
      <c r="D1636" s="1">
        <v>43602</v>
      </c>
      <c r="E1636" s="1">
        <v>45135</v>
      </c>
      <c r="F1636">
        <v>157</v>
      </c>
      <c r="G1636">
        <v>2</v>
      </c>
      <c r="H1636">
        <v>145.56</v>
      </c>
      <c r="I1636">
        <v>34.840000000000003</v>
      </c>
      <c r="J1636" t="s">
        <v>66</v>
      </c>
      <c r="K1636" t="s">
        <v>16</v>
      </c>
      <c r="L1636" t="s">
        <v>2087</v>
      </c>
      <c r="M1636">
        <v>2</v>
      </c>
      <c r="N1636" t="s">
        <v>194</v>
      </c>
      <c r="O1636" t="s">
        <v>2107</v>
      </c>
    </row>
    <row r="1637" spans="1:15">
      <c r="A1637" t="s">
        <v>3369</v>
      </c>
      <c r="B1637" t="s">
        <v>2093</v>
      </c>
      <c r="C1637" t="s">
        <v>2108</v>
      </c>
      <c r="D1637" s="1">
        <v>43470</v>
      </c>
      <c r="E1637" s="1">
        <v>44998</v>
      </c>
      <c r="F1637">
        <v>294</v>
      </c>
      <c r="G1637">
        <v>4</v>
      </c>
      <c r="H1637">
        <v>155.72999999999999</v>
      </c>
      <c r="I1637">
        <v>73.61</v>
      </c>
      <c r="J1637" t="s">
        <v>66</v>
      </c>
      <c r="K1637" t="s">
        <v>16</v>
      </c>
      <c r="L1637" t="s">
        <v>2087</v>
      </c>
      <c r="M1637">
        <v>1</v>
      </c>
      <c r="N1637" t="s">
        <v>165</v>
      </c>
      <c r="O1637" t="s">
        <v>2109</v>
      </c>
    </row>
    <row r="1638" spans="1:15">
      <c r="A1638" t="s">
        <v>3370</v>
      </c>
      <c r="B1638" t="s">
        <v>2090</v>
      </c>
      <c r="C1638" t="s">
        <v>2094</v>
      </c>
      <c r="D1638" s="1">
        <v>44532</v>
      </c>
      <c r="E1638" s="1">
        <v>45196</v>
      </c>
      <c r="F1638">
        <v>96</v>
      </c>
      <c r="G1638">
        <v>6</v>
      </c>
      <c r="H1638">
        <v>271.11</v>
      </c>
      <c r="I1638">
        <v>89.09</v>
      </c>
      <c r="J1638" t="s">
        <v>90</v>
      </c>
      <c r="K1638" t="s">
        <v>16</v>
      </c>
      <c r="L1638" t="s">
        <v>2106</v>
      </c>
      <c r="M1638">
        <v>4</v>
      </c>
      <c r="N1638" t="s">
        <v>232</v>
      </c>
      <c r="O1638" t="s">
        <v>2088</v>
      </c>
    </row>
    <row r="1639" spans="1:15">
      <c r="A1639" t="s">
        <v>2017</v>
      </c>
      <c r="B1639" t="s">
        <v>2090</v>
      </c>
      <c r="C1639" t="s">
        <v>2108</v>
      </c>
      <c r="D1639" s="1">
        <v>43683</v>
      </c>
      <c r="E1639" s="1">
        <v>45229</v>
      </c>
      <c r="F1639">
        <v>63</v>
      </c>
      <c r="G1639">
        <v>3</v>
      </c>
      <c r="H1639">
        <v>393.97</v>
      </c>
      <c r="I1639">
        <v>42.45</v>
      </c>
      <c r="J1639" t="s">
        <v>66</v>
      </c>
      <c r="K1639" t="s">
        <v>16</v>
      </c>
      <c r="L1639" t="s">
        <v>2087</v>
      </c>
      <c r="M1639">
        <v>5</v>
      </c>
      <c r="N1639" t="s">
        <v>165</v>
      </c>
      <c r="O1639" t="s">
        <v>2109</v>
      </c>
    </row>
    <row r="1640" spans="1:15">
      <c r="A1640" t="s">
        <v>3371</v>
      </c>
      <c r="B1640" t="s">
        <v>2097</v>
      </c>
      <c r="C1640" t="s">
        <v>2100</v>
      </c>
      <c r="D1640" s="1">
        <v>43764</v>
      </c>
      <c r="E1640" s="1">
        <v>45021</v>
      </c>
      <c r="F1640">
        <v>271</v>
      </c>
      <c r="G1640">
        <v>8</v>
      </c>
      <c r="H1640">
        <v>386.64</v>
      </c>
      <c r="I1640">
        <v>100.49</v>
      </c>
      <c r="J1640" t="s">
        <v>14</v>
      </c>
      <c r="K1640" t="s">
        <v>16</v>
      </c>
      <c r="L1640" t="s">
        <v>2095</v>
      </c>
      <c r="M1640">
        <v>6</v>
      </c>
      <c r="N1640" t="s">
        <v>204</v>
      </c>
      <c r="O1640" t="s">
        <v>2107</v>
      </c>
    </row>
    <row r="1641" spans="1:15">
      <c r="A1641" t="s">
        <v>3372</v>
      </c>
      <c r="B1641" t="s">
        <v>2093</v>
      </c>
      <c r="C1641" t="s">
        <v>2100</v>
      </c>
      <c r="D1641" s="1">
        <v>44249</v>
      </c>
      <c r="E1641" s="1">
        <v>44931</v>
      </c>
      <c r="F1641">
        <v>361</v>
      </c>
      <c r="G1641">
        <v>3</v>
      </c>
      <c r="H1641">
        <v>98.87</v>
      </c>
      <c r="I1641">
        <v>21.55</v>
      </c>
      <c r="J1641" t="s">
        <v>14</v>
      </c>
      <c r="K1641" t="s">
        <v>20</v>
      </c>
      <c r="L1641" t="s">
        <v>2095</v>
      </c>
      <c r="M1641">
        <v>1</v>
      </c>
      <c r="N1641" t="s">
        <v>194</v>
      </c>
      <c r="O1641" t="s">
        <v>2121</v>
      </c>
    </row>
    <row r="1642" spans="1:15">
      <c r="A1642" t="s">
        <v>3373</v>
      </c>
      <c r="B1642" t="s">
        <v>2085</v>
      </c>
      <c r="C1642" t="s">
        <v>2108</v>
      </c>
      <c r="D1642" s="1">
        <v>44240</v>
      </c>
      <c r="E1642" s="1">
        <v>45187</v>
      </c>
      <c r="F1642">
        <v>105</v>
      </c>
      <c r="G1642">
        <v>38</v>
      </c>
      <c r="H1642">
        <v>1289.46</v>
      </c>
      <c r="I1642">
        <v>297.37</v>
      </c>
      <c r="J1642" t="s">
        <v>90</v>
      </c>
      <c r="K1642" t="s">
        <v>16</v>
      </c>
      <c r="L1642" t="s">
        <v>2087</v>
      </c>
      <c r="M1642">
        <v>0</v>
      </c>
      <c r="N1642" t="s">
        <v>179</v>
      </c>
      <c r="O1642" t="s">
        <v>2088</v>
      </c>
    </row>
    <row r="1643" spans="1:15">
      <c r="A1643" t="s">
        <v>3374</v>
      </c>
      <c r="B1643" t="s">
        <v>2099</v>
      </c>
      <c r="C1643" t="s">
        <v>2100</v>
      </c>
      <c r="D1643" s="1">
        <v>44772</v>
      </c>
      <c r="E1643" s="1">
        <v>45137</v>
      </c>
      <c r="F1643">
        <v>155</v>
      </c>
      <c r="G1643">
        <v>1</v>
      </c>
      <c r="H1643">
        <v>134</v>
      </c>
      <c r="I1643">
        <v>20.27</v>
      </c>
      <c r="J1643" t="s">
        <v>115</v>
      </c>
      <c r="K1643" t="s">
        <v>20</v>
      </c>
      <c r="L1643" t="s">
        <v>2095</v>
      </c>
      <c r="M1643">
        <v>10</v>
      </c>
      <c r="N1643" t="s">
        <v>194</v>
      </c>
      <c r="O1643" t="s">
        <v>2096</v>
      </c>
    </row>
    <row r="1644" spans="1:15">
      <c r="A1644" t="s">
        <v>3375</v>
      </c>
      <c r="B1644" t="s">
        <v>2099</v>
      </c>
      <c r="C1644" t="s">
        <v>2091</v>
      </c>
      <c r="D1644" s="1">
        <v>44300</v>
      </c>
      <c r="E1644" s="1">
        <v>45013</v>
      </c>
      <c r="F1644">
        <v>279</v>
      </c>
      <c r="G1644">
        <v>1</v>
      </c>
      <c r="H1644">
        <v>89.72</v>
      </c>
      <c r="I1644">
        <v>20.62</v>
      </c>
      <c r="J1644" t="s">
        <v>115</v>
      </c>
      <c r="K1644" t="s">
        <v>20</v>
      </c>
      <c r="L1644" t="s">
        <v>2095</v>
      </c>
      <c r="M1644">
        <v>1</v>
      </c>
      <c r="N1644" t="s">
        <v>194</v>
      </c>
      <c r="O1644" t="s">
        <v>2107</v>
      </c>
    </row>
    <row r="1645" spans="1:15">
      <c r="A1645" t="s">
        <v>3376</v>
      </c>
      <c r="B1645" t="s">
        <v>2097</v>
      </c>
      <c r="C1645" t="s">
        <v>2091</v>
      </c>
      <c r="D1645" s="1">
        <v>43824</v>
      </c>
      <c r="E1645" s="1">
        <v>45211</v>
      </c>
      <c r="F1645">
        <v>81</v>
      </c>
      <c r="G1645">
        <v>6</v>
      </c>
      <c r="H1645">
        <v>242.84</v>
      </c>
      <c r="I1645">
        <v>64.81</v>
      </c>
      <c r="J1645" t="s">
        <v>66</v>
      </c>
      <c r="K1645" t="s">
        <v>16</v>
      </c>
      <c r="L1645" t="s">
        <v>2106</v>
      </c>
      <c r="M1645">
        <v>4</v>
      </c>
      <c r="N1645" t="s">
        <v>204</v>
      </c>
      <c r="O1645" t="s">
        <v>2121</v>
      </c>
    </row>
    <row r="1646" spans="1:15">
      <c r="A1646" t="s">
        <v>3377</v>
      </c>
      <c r="B1646" t="s">
        <v>2097</v>
      </c>
      <c r="C1646" t="s">
        <v>2094</v>
      </c>
      <c r="D1646" s="1">
        <v>44676</v>
      </c>
      <c r="E1646" s="1">
        <v>45231</v>
      </c>
      <c r="F1646">
        <v>61</v>
      </c>
      <c r="G1646">
        <v>11</v>
      </c>
      <c r="H1646">
        <v>275.19</v>
      </c>
      <c r="I1646">
        <v>149.99</v>
      </c>
      <c r="J1646" t="s">
        <v>14</v>
      </c>
      <c r="K1646" t="s">
        <v>16</v>
      </c>
      <c r="L1646" t="s">
        <v>2087</v>
      </c>
      <c r="M1646">
        <v>1</v>
      </c>
      <c r="N1646" t="s">
        <v>174</v>
      </c>
      <c r="O1646" t="s">
        <v>2088</v>
      </c>
    </row>
    <row r="1647" spans="1:15">
      <c r="A1647" t="s">
        <v>3378</v>
      </c>
      <c r="B1647" t="s">
        <v>2113</v>
      </c>
      <c r="C1647" t="s">
        <v>2108</v>
      </c>
      <c r="D1647" s="1">
        <v>44229</v>
      </c>
      <c r="E1647" s="1">
        <v>44979</v>
      </c>
      <c r="F1647">
        <v>313</v>
      </c>
      <c r="G1647">
        <v>19</v>
      </c>
      <c r="H1647">
        <v>402.67</v>
      </c>
      <c r="I1647">
        <v>35.79</v>
      </c>
      <c r="J1647" t="s">
        <v>14</v>
      </c>
      <c r="K1647" t="s">
        <v>16</v>
      </c>
      <c r="L1647" t="s">
        <v>2087</v>
      </c>
      <c r="M1647">
        <v>10</v>
      </c>
      <c r="N1647" t="s">
        <v>174</v>
      </c>
      <c r="O1647" t="s">
        <v>2121</v>
      </c>
    </row>
    <row r="1648" spans="1:15">
      <c r="A1648" t="s">
        <v>3379</v>
      </c>
      <c r="B1648" t="s">
        <v>2097</v>
      </c>
      <c r="C1648" t="s">
        <v>2108</v>
      </c>
      <c r="D1648" s="1">
        <v>43764</v>
      </c>
      <c r="E1648" s="1">
        <v>45011</v>
      </c>
      <c r="F1648">
        <v>281</v>
      </c>
      <c r="G1648">
        <v>8</v>
      </c>
      <c r="H1648">
        <v>778.67</v>
      </c>
      <c r="I1648">
        <v>144.37</v>
      </c>
      <c r="J1648" t="s">
        <v>115</v>
      </c>
      <c r="K1648" t="s">
        <v>20</v>
      </c>
      <c r="L1648" t="s">
        <v>2095</v>
      </c>
      <c r="M1648">
        <v>0</v>
      </c>
      <c r="N1648" t="s">
        <v>179</v>
      </c>
      <c r="O1648" t="s">
        <v>2109</v>
      </c>
    </row>
    <row r="1649" spans="1:15">
      <c r="A1649" t="s">
        <v>3380</v>
      </c>
      <c r="B1649" t="s">
        <v>2113</v>
      </c>
      <c r="C1649" t="s">
        <v>2086</v>
      </c>
      <c r="D1649" s="1">
        <v>44202</v>
      </c>
      <c r="E1649" s="1">
        <v>45177</v>
      </c>
      <c r="F1649">
        <v>115</v>
      </c>
      <c r="G1649">
        <v>8</v>
      </c>
      <c r="H1649">
        <v>419.78</v>
      </c>
      <c r="I1649">
        <v>76.8</v>
      </c>
      <c r="J1649" t="s">
        <v>14</v>
      </c>
      <c r="K1649" t="s">
        <v>20</v>
      </c>
      <c r="L1649" t="s">
        <v>2087</v>
      </c>
      <c r="M1649">
        <v>8</v>
      </c>
      <c r="N1649" t="s">
        <v>157</v>
      </c>
      <c r="O1649" t="s">
        <v>2096</v>
      </c>
    </row>
    <row r="1650" spans="1:15">
      <c r="A1650" t="s">
        <v>3381</v>
      </c>
      <c r="B1650" t="s">
        <v>2097</v>
      </c>
      <c r="C1650" t="s">
        <v>2086</v>
      </c>
      <c r="D1650" s="1">
        <v>44080</v>
      </c>
      <c r="E1650" s="1">
        <v>44979</v>
      </c>
      <c r="F1650">
        <v>313</v>
      </c>
      <c r="G1650">
        <v>11</v>
      </c>
      <c r="H1650">
        <v>161.18</v>
      </c>
      <c r="I1650">
        <v>57.28</v>
      </c>
      <c r="J1650" t="s">
        <v>66</v>
      </c>
      <c r="K1650" t="s">
        <v>20</v>
      </c>
      <c r="L1650" t="s">
        <v>2087</v>
      </c>
      <c r="M1650">
        <v>3</v>
      </c>
      <c r="N1650" t="s">
        <v>194</v>
      </c>
      <c r="O1650" t="s">
        <v>2096</v>
      </c>
    </row>
    <row r="1651" spans="1:15">
      <c r="A1651" t="s">
        <v>3382</v>
      </c>
      <c r="B1651" t="s">
        <v>2090</v>
      </c>
      <c r="C1651" t="s">
        <v>2111</v>
      </c>
      <c r="D1651" s="1">
        <v>45026</v>
      </c>
      <c r="E1651" s="1">
        <v>45188</v>
      </c>
      <c r="F1651">
        <v>104</v>
      </c>
      <c r="G1651">
        <v>4</v>
      </c>
      <c r="H1651">
        <v>358.91</v>
      </c>
      <c r="I1651">
        <v>50.1</v>
      </c>
      <c r="J1651" t="s">
        <v>66</v>
      </c>
      <c r="K1651" t="s">
        <v>16</v>
      </c>
      <c r="L1651" t="s">
        <v>2087</v>
      </c>
      <c r="M1651">
        <v>8</v>
      </c>
      <c r="N1651" t="s">
        <v>204</v>
      </c>
      <c r="O1651" t="s">
        <v>2109</v>
      </c>
    </row>
    <row r="1652" spans="1:15">
      <c r="A1652" t="s">
        <v>3383</v>
      </c>
      <c r="B1652" t="s">
        <v>2113</v>
      </c>
      <c r="C1652" t="s">
        <v>2108</v>
      </c>
      <c r="D1652" s="1">
        <v>44779</v>
      </c>
      <c r="E1652" s="1">
        <v>45188</v>
      </c>
      <c r="F1652">
        <v>104</v>
      </c>
      <c r="G1652">
        <v>9</v>
      </c>
      <c r="H1652">
        <v>375.3</v>
      </c>
      <c r="I1652">
        <v>38.76</v>
      </c>
      <c r="J1652" t="s">
        <v>115</v>
      </c>
      <c r="K1652" t="s">
        <v>20</v>
      </c>
      <c r="L1652" t="s">
        <v>2095</v>
      </c>
      <c r="M1652">
        <v>0</v>
      </c>
      <c r="N1652" t="s">
        <v>204</v>
      </c>
      <c r="O1652" t="s">
        <v>2107</v>
      </c>
    </row>
    <row r="1653" spans="1:15">
      <c r="A1653" t="s">
        <v>3384</v>
      </c>
      <c r="B1653" t="s">
        <v>2113</v>
      </c>
      <c r="C1653" t="s">
        <v>2108</v>
      </c>
      <c r="D1653" s="1">
        <v>44920</v>
      </c>
      <c r="E1653" s="1">
        <v>44939</v>
      </c>
      <c r="F1653">
        <v>353</v>
      </c>
      <c r="G1653">
        <v>20</v>
      </c>
      <c r="H1653">
        <v>590.66999999999996</v>
      </c>
      <c r="I1653">
        <v>57.96</v>
      </c>
      <c r="J1653" t="s">
        <v>41</v>
      </c>
      <c r="K1653" t="s">
        <v>16</v>
      </c>
      <c r="L1653" t="s">
        <v>2106</v>
      </c>
      <c r="M1653">
        <v>9</v>
      </c>
      <c r="N1653" t="s">
        <v>179</v>
      </c>
      <c r="O1653" t="s">
        <v>2096</v>
      </c>
    </row>
    <row r="1654" spans="1:15">
      <c r="A1654" t="s">
        <v>3385</v>
      </c>
      <c r="B1654" t="s">
        <v>2093</v>
      </c>
      <c r="C1654" t="s">
        <v>2094</v>
      </c>
      <c r="D1654" s="1">
        <v>44736</v>
      </c>
      <c r="E1654" s="1">
        <v>45154</v>
      </c>
      <c r="F1654">
        <v>138</v>
      </c>
      <c r="G1654">
        <v>2</v>
      </c>
      <c r="H1654">
        <v>46.55</v>
      </c>
      <c r="I1654">
        <v>69.430000000000007</v>
      </c>
      <c r="J1654" t="s">
        <v>41</v>
      </c>
      <c r="K1654" t="s">
        <v>20</v>
      </c>
      <c r="L1654" t="s">
        <v>2087</v>
      </c>
      <c r="M1654">
        <v>9</v>
      </c>
      <c r="N1654" t="s">
        <v>232</v>
      </c>
      <c r="O1654" t="s">
        <v>2096</v>
      </c>
    </row>
    <row r="1655" spans="1:15">
      <c r="A1655" t="s">
        <v>3386</v>
      </c>
      <c r="B1655" t="s">
        <v>2113</v>
      </c>
      <c r="C1655" t="s">
        <v>2086</v>
      </c>
      <c r="D1655" s="1">
        <v>44475</v>
      </c>
      <c r="E1655" s="1">
        <v>45117</v>
      </c>
      <c r="F1655">
        <v>175</v>
      </c>
      <c r="G1655">
        <v>15</v>
      </c>
      <c r="H1655">
        <v>376.27</v>
      </c>
      <c r="I1655">
        <v>77.89</v>
      </c>
      <c r="J1655" t="s">
        <v>115</v>
      </c>
      <c r="K1655" t="s">
        <v>16</v>
      </c>
      <c r="L1655" t="s">
        <v>2106</v>
      </c>
      <c r="M1655">
        <v>0</v>
      </c>
      <c r="N1655" t="s">
        <v>232</v>
      </c>
      <c r="O1655" t="s">
        <v>2121</v>
      </c>
    </row>
    <row r="1656" spans="1:15">
      <c r="A1656" t="s">
        <v>3387</v>
      </c>
      <c r="B1656" t="s">
        <v>2097</v>
      </c>
      <c r="C1656" t="s">
        <v>2108</v>
      </c>
      <c r="D1656" s="1">
        <v>44346</v>
      </c>
      <c r="E1656" s="1">
        <v>45217</v>
      </c>
      <c r="F1656">
        <v>75</v>
      </c>
      <c r="G1656">
        <v>3</v>
      </c>
      <c r="H1656">
        <v>692.18</v>
      </c>
      <c r="I1656">
        <v>110.27</v>
      </c>
      <c r="J1656" t="s">
        <v>14</v>
      </c>
      <c r="K1656" t="s">
        <v>20</v>
      </c>
      <c r="L1656" t="s">
        <v>2087</v>
      </c>
      <c r="M1656">
        <v>5</v>
      </c>
      <c r="N1656" t="s">
        <v>157</v>
      </c>
      <c r="O1656" t="s">
        <v>2088</v>
      </c>
    </row>
    <row r="1657" spans="1:15">
      <c r="A1657" t="s">
        <v>1028</v>
      </c>
      <c r="B1657" t="s">
        <v>2090</v>
      </c>
      <c r="C1657" t="s">
        <v>2100</v>
      </c>
      <c r="D1657" s="1">
        <v>43602</v>
      </c>
      <c r="E1657" s="1">
        <v>44951</v>
      </c>
      <c r="F1657">
        <v>341</v>
      </c>
      <c r="G1657">
        <v>8</v>
      </c>
      <c r="H1657">
        <v>253.83</v>
      </c>
      <c r="I1657">
        <v>41.18</v>
      </c>
      <c r="J1657" t="s">
        <v>66</v>
      </c>
      <c r="K1657" t="s">
        <v>16</v>
      </c>
      <c r="L1657" t="s">
        <v>2087</v>
      </c>
      <c r="M1657">
        <v>3</v>
      </c>
      <c r="N1657" t="s">
        <v>157</v>
      </c>
      <c r="O1657" t="s">
        <v>2109</v>
      </c>
    </row>
    <row r="1658" spans="1:15">
      <c r="A1658" t="s">
        <v>3388</v>
      </c>
      <c r="B1658" t="s">
        <v>2113</v>
      </c>
      <c r="C1658" t="s">
        <v>2091</v>
      </c>
      <c r="D1658" s="1">
        <v>44283</v>
      </c>
      <c r="E1658" s="1">
        <v>45089</v>
      </c>
      <c r="F1658">
        <v>203</v>
      </c>
      <c r="G1658">
        <v>16</v>
      </c>
      <c r="H1658">
        <v>322.02999999999997</v>
      </c>
      <c r="I1658">
        <v>32.159999999999997</v>
      </c>
      <c r="J1658" t="s">
        <v>90</v>
      </c>
      <c r="K1658" t="s">
        <v>16</v>
      </c>
      <c r="L1658" t="s">
        <v>2095</v>
      </c>
      <c r="M1658">
        <v>3</v>
      </c>
      <c r="N1658" t="s">
        <v>204</v>
      </c>
      <c r="O1658" t="s">
        <v>2088</v>
      </c>
    </row>
    <row r="1659" spans="1:15">
      <c r="A1659" t="s">
        <v>1765</v>
      </c>
      <c r="B1659" t="s">
        <v>2085</v>
      </c>
      <c r="C1659" t="s">
        <v>2091</v>
      </c>
      <c r="D1659" s="1">
        <v>43752</v>
      </c>
      <c r="E1659" s="1">
        <v>45110</v>
      </c>
      <c r="F1659">
        <v>182</v>
      </c>
      <c r="G1659">
        <v>21</v>
      </c>
      <c r="H1659">
        <v>2093.04</v>
      </c>
      <c r="I1659">
        <v>210.37</v>
      </c>
      <c r="J1659" t="s">
        <v>14</v>
      </c>
      <c r="K1659" t="s">
        <v>20</v>
      </c>
      <c r="L1659" t="s">
        <v>2087</v>
      </c>
      <c r="M1659">
        <v>3</v>
      </c>
      <c r="N1659" t="s">
        <v>204</v>
      </c>
      <c r="O1659" t="s">
        <v>2109</v>
      </c>
    </row>
    <row r="1660" spans="1:15">
      <c r="A1660" t="s">
        <v>3389</v>
      </c>
      <c r="B1660" t="s">
        <v>2090</v>
      </c>
      <c r="C1660" t="s">
        <v>2094</v>
      </c>
      <c r="D1660" s="1">
        <v>44280</v>
      </c>
      <c r="E1660" s="1">
        <v>45078</v>
      </c>
      <c r="F1660">
        <v>214</v>
      </c>
      <c r="G1660">
        <v>6</v>
      </c>
      <c r="H1660">
        <v>131.43</v>
      </c>
      <c r="I1660">
        <v>89.03</v>
      </c>
      <c r="J1660" t="s">
        <v>66</v>
      </c>
      <c r="K1660" t="s">
        <v>16</v>
      </c>
      <c r="L1660" t="s">
        <v>2087</v>
      </c>
      <c r="M1660">
        <v>2</v>
      </c>
      <c r="N1660" t="s">
        <v>194</v>
      </c>
      <c r="O1660" t="s">
        <v>2096</v>
      </c>
    </row>
    <row r="1661" spans="1:15">
      <c r="A1661" t="s">
        <v>422</v>
      </c>
      <c r="B1661" t="s">
        <v>2090</v>
      </c>
      <c r="C1661" t="s">
        <v>2091</v>
      </c>
      <c r="D1661" s="1">
        <v>43754</v>
      </c>
      <c r="E1661" s="1">
        <v>45055</v>
      </c>
      <c r="F1661">
        <v>237</v>
      </c>
      <c r="G1661">
        <v>4</v>
      </c>
      <c r="H1661">
        <v>296.10000000000002</v>
      </c>
      <c r="I1661">
        <v>59.23</v>
      </c>
      <c r="J1661" t="s">
        <v>41</v>
      </c>
      <c r="K1661" t="s">
        <v>16</v>
      </c>
      <c r="L1661" t="s">
        <v>2106</v>
      </c>
      <c r="M1661">
        <v>0</v>
      </c>
      <c r="N1661" t="s">
        <v>179</v>
      </c>
      <c r="O1661" t="s">
        <v>2096</v>
      </c>
    </row>
    <row r="1662" spans="1:15">
      <c r="A1662" t="s">
        <v>1676</v>
      </c>
      <c r="B1662" t="s">
        <v>2113</v>
      </c>
      <c r="C1662" t="s">
        <v>2094</v>
      </c>
      <c r="D1662" s="1">
        <v>43692</v>
      </c>
      <c r="E1662" s="1">
        <v>45096</v>
      </c>
      <c r="F1662">
        <v>196</v>
      </c>
      <c r="G1662">
        <v>7</v>
      </c>
      <c r="H1662">
        <v>327.18</v>
      </c>
      <c r="I1662">
        <v>36.299999999999997</v>
      </c>
      <c r="J1662" t="s">
        <v>41</v>
      </c>
      <c r="K1662" t="s">
        <v>16</v>
      </c>
      <c r="L1662" t="s">
        <v>2106</v>
      </c>
      <c r="M1662">
        <v>1</v>
      </c>
      <c r="N1662" t="s">
        <v>194</v>
      </c>
      <c r="O1662" t="s">
        <v>2088</v>
      </c>
    </row>
    <row r="1663" spans="1:15">
      <c r="A1663" t="s">
        <v>3390</v>
      </c>
      <c r="B1663" t="s">
        <v>2113</v>
      </c>
      <c r="C1663" t="s">
        <v>2100</v>
      </c>
      <c r="D1663" s="1">
        <v>44663</v>
      </c>
      <c r="E1663" s="1">
        <v>44941</v>
      </c>
      <c r="F1663">
        <v>351</v>
      </c>
      <c r="G1663">
        <v>15</v>
      </c>
      <c r="H1663">
        <v>329.27</v>
      </c>
      <c r="I1663">
        <v>72.290000000000006</v>
      </c>
      <c r="J1663" t="s">
        <v>41</v>
      </c>
      <c r="K1663" t="s">
        <v>16</v>
      </c>
      <c r="L1663" t="s">
        <v>2106</v>
      </c>
      <c r="M1663">
        <v>6</v>
      </c>
      <c r="N1663" t="s">
        <v>174</v>
      </c>
      <c r="O1663" t="s">
        <v>2107</v>
      </c>
    </row>
    <row r="1664" spans="1:15">
      <c r="A1664" t="s">
        <v>1222</v>
      </c>
      <c r="B1664" t="s">
        <v>2113</v>
      </c>
      <c r="C1664" t="s">
        <v>2091</v>
      </c>
      <c r="D1664" s="1">
        <v>45028</v>
      </c>
      <c r="E1664" s="1">
        <v>45036</v>
      </c>
      <c r="F1664">
        <v>256</v>
      </c>
      <c r="G1664">
        <v>10</v>
      </c>
      <c r="H1664">
        <v>284.45999999999998</v>
      </c>
      <c r="I1664">
        <v>33.07</v>
      </c>
      <c r="J1664" t="s">
        <v>41</v>
      </c>
      <c r="K1664" t="s">
        <v>20</v>
      </c>
      <c r="L1664" t="s">
        <v>2087</v>
      </c>
      <c r="M1664">
        <v>10</v>
      </c>
      <c r="N1664" t="s">
        <v>232</v>
      </c>
      <c r="O1664" t="s">
        <v>2121</v>
      </c>
    </row>
    <row r="1665" spans="1:15">
      <c r="A1665" t="s">
        <v>1602</v>
      </c>
      <c r="B1665" t="s">
        <v>2113</v>
      </c>
      <c r="C1665" t="s">
        <v>2086</v>
      </c>
      <c r="D1665" s="1">
        <v>44125</v>
      </c>
      <c r="E1665" s="1">
        <v>45254</v>
      </c>
      <c r="F1665">
        <v>38</v>
      </c>
      <c r="G1665">
        <v>10</v>
      </c>
      <c r="H1665">
        <v>565.46</v>
      </c>
      <c r="I1665">
        <v>72.42</v>
      </c>
      <c r="J1665" t="s">
        <v>41</v>
      </c>
      <c r="K1665" t="s">
        <v>20</v>
      </c>
      <c r="L1665" t="s">
        <v>2087</v>
      </c>
      <c r="M1665">
        <v>3</v>
      </c>
      <c r="N1665" t="s">
        <v>174</v>
      </c>
      <c r="O1665" t="s">
        <v>2121</v>
      </c>
    </row>
    <row r="1666" spans="1:15">
      <c r="A1666" t="s">
        <v>1921</v>
      </c>
      <c r="B1666" t="s">
        <v>2085</v>
      </c>
      <c r="C1666" t="s">
        <v>2086</v>
      </c>
      <c r="D1666" s="1">
        <v>43842</v>
      </c>
      <c r="E1666" s="1">
        <v>45280</v>
      </c>
      <c r="F1666">
        <v>12</v>
      </c>
      <c r="G1666">
        <v>38</v>
      </c>
      <c r="H1666">
        <v>1107.6099999999999</v>
      </c>
      <c r="I1666">
        <v>187.02</v>
      </c>
      <c r="J1666" t="s">
        <v>115</v>
      </c>
      <c r="K1666" t="s">
        <v>16</v>
      </c>
      <c r="L1666" t="s">
        <v>2087</v>
      </c>
      <c r="M1666">
        <v>2</v>
      </c>
      <c r="N1666" t="s">
        <v>174</v>
      </c>
      <c r="O1666" t="s">
        <v>2109</v>
      </c>
    </row>
    <row r="1667" spans="1:15">
      <c r="A1667" t="s">
        <v>3391</v>
      </c>
      <c r="B1667" t="s">
        <v>2113</v>
      </c>
      <c r="C1667" t="s">
        <v>2111</v>
      </c>
      <c r="D1667" s="1">
        <v>43520</v>
      </c>
      <c r="E1667" s="1">
        <v>45081</v>
      </c>
      <c r="F1667">
        <v>211</v>
      </c>
      <c r="G1667">
        <v>10</v>
      </c>
      <c r="H1667">
        <v>400.12</v>
      </c>
      <c r="I1667">
        <v>71.459999999999994</v>
      </c>
      <c r="J1667" t="s">
        <v>90</v>
      </c>
      <c r="K1667" t="s">
        <v>16</v>
      </c>
      <c r="L1667" t="s">
        <v>2106</v>
      </c>
      <c r="M1667">
        <v>2</v>
      </c>
      <c r="N1667" t="s">
        <v>174</v>
      </c>
      <c r="O1667" t="s">
        <v>2121</v>
      </c>
    </row>
    <row r="1668" spans="1:15">
      <c r="A1668" t="s">
        <v>3392</v>
      </c>
      <c r="B1668" t="s">
        <v>2093</v>
      </c>
      <c r="C1668" t="s">
        <v>2091</v>
      </c>
      <c r="D1668" s="1">
        <v>44249</v>
      </c>
      <c r="E1668" s="1">
        <v>45236</v>
      </c>
      <c r="F1668">
        <v>56</v>
      </c>
      <c r="G1668">
        <v>2</v>
      </c>
      <c r="H1668">
        <v>130.36000000000001</v>
      </c>
      <c r="I1668">
        <v>73.989999999999995</v>
      </c>
      <c r="J1668" t="s">
        <v>90</v>
      </c>
      <c r="K1668" t="s">
        <v>16</v>
      </c>
      <c r="L1668" t="s">
        <v>2087</v>
      </c>
      <c r="M1668">
        <v>3</v>
      </c>
      <c r="N1668" t="s">
        <v>157</v>
      </c>
      <c r="O1668" t="s">
        <v>2121</v>
      </c>
    </row>
    <row r="1669" spans="1:15">
      <c r="A1669" t="s">
        <v>3393</v>
      </c>
      <c r="B1669" t="s">
        <v>2085</v>
      </c>
      <c r="C1669" t="s">
        <v>2111</v>
      </c>
      <c r="D1669" s="1">
        <v>43787</v>
      </c>
      <c r="E1669" s="1">
        <v>45183</v>
      </c>
      <c r="F1669">
        <v>109</v>
      </c>
      <c r="G1669">
        <v>18</v>
      </c>
      <c r="H1669">
        <v>1066.44</v>
      </c>
      <c r="I1669">
        <v>146.13</v>
      </c>
      <c r="J1669" t="s">
        <v>66</v>
      </c>
      <c r="K1669" t="s">
        <v>20</v>
      </c>
      <c r="L1669" t="s">
        <v>2087</v>
      </c>
      <c r="M1669">
        <v>0</v>
      </c>
      <c r="N1669" t="s">
        <v>157</v>
      </c>
      <c r="O1669" t="s">
        <v>2107</v>
      </c>
    </row>
    <row r="1670" spans="1:15">
      <c r="A1670" t="s">
        <v>3394</v>
      </c>
      <c r="B1670" t="s">
        <v>2085</v>
      </c>
      <c r="C1670" t="s">
        <v>2091</v>
      </c>
      <c r="D1670" s="1">
        <v>43683</v>
      </c>
      <c r="E1670" s="1">
        <v>45222</v>
      </c>
      <c r="F1670">
        <v>70</v>
      </c>
      <c r="G1670">
        <v>25</v>
      </c>
      <c r="H1670">
        <v>1009.48</v>
      </c>
      <c r="I1670">
        <v>217.01</v>
      </c>
      <c r="J1670" t="s">
        <v>41</v>
      </c>
      <c r="K1670" t="s">
        <v>16</v>
      </c>
      <c r="L1670" t="s">
        <v>2087</v>
      </c>
      <c r="M1670">
        <v>9</v>
      </c>
      <c r="N1670" t="s">
        <v>157</v>
      </c>
      <c r="O1670" t="s">
        <v>2109</v>
      </c>
    </row>
    <row r="1671" spans="1:15">
      <c r="A1671" t="s">
        <v>3395</v>
      </c>
      <c r="B1671" t="s">
        <v>2090</v>
      </c>
      <c r="C1671" t="s">
        <v>2111</v>
      </c>
      <c r="D1671" s="1">
        <v>43585</v>
      </c>
      <c r="E1671" s="1">
        <v>45257</v>
      </c>
      <c r="F1671">
        <v>35</v>
      </c>
      <c r="G1671">
        <v>5</v>
      </c>
      <c r="H1671">
        <v>107.12</v>
      </c>
      <c r="I1671">
        <v>44.94</v>
      </c>
      <c r="J1671" t="s">
        <v>41</v>
      </c>
      <c r="K1671" t="s">
        <v>20</v>
      </c>
      <c r="L1671" t="s">
        <v>2106</v>
      </c>
      <c r="M1671">
        <v>10</v>
      </c>
      <c r="N1671" t="s">
        <v>194</v>
      </c>
      <c r="O1671" t="s">
        <v>2109</v>
      </c>
    </row>
    <row r="1672" spans="1:15">
      <c r="A1672" t="s">
        <v>3396</v>
      </c>
      <c r="B1672" t="s">
        <v>2085</v>
      </c>
      <c r="C1672" t="s">
        <v>2094</v>
      </c>
      <c r="D1672" s="1">
        <v>44237</v>
      </c>
      <c r="E1672" s="1">
        <v>45273</v>
      </c>
      <c r="F1672">
        <v>19</v>
      </c>
      <c r="G1672">
        <v>24</v>
      </c>
      <c r="H1672">
        <v>1121.69</v>
      </c>
      <c r="I1672">
        <v>268.33999999999997</v>
      </c>
      <c r="J1672" t="s">
        <v>90</v>
      </c>
      <c r="K1672" t="s">
        <v>16</v>
      </c>
      <c r="L1672" t="s">
        <v>2106</v>
      </c>
      <c r="M1672">
        <v>5</v>
      </c>
      <c r="N1672" t="s">
        <v>194</v>
      </c>
      <c r="O1672" t="s">
        <v>2088</v>
      </c>
    </row>
    <row r="1673" spans="1:15">
      <c r="A1673" t="s">
        <v>3397</v>
      </c>
      <c r="B1673" t="s">
        <v>2113</v>
      </c>
      <c r="C1673" t="s">
        <v>2091</v>
      </c>
      <c r="D1673" s="1">
        <v>44739</v>
      </c>
      <c r="E1673" s="1">
        <v>45000</v>
      </c>
      <c r="F1673">
        <v>292</v>
      </c>
      <c r="G1673">
        <v>5</v>
      </c>
      <c r="H1673">
        <v>463.55</v>
      </c>
      <c r="I1673">
        <v>58.97</v>
      </c>
      <c r="J1673" t="s">
        <v>14</v>
      </c>
      <c r="K1673" t="s">
        <v>16</v>
      </c>
      <c r="L1673" t="s">
        <v>2087</v>
      </c>
      <c r="M1673">
        <v>3</v>
      </c>
      <c r="N1673" t="s">
        <v>157</v>
      </c>
      <c r="O1673" t="s">
        <v>2107</v>
      </c>
    </row>
    <row r="1674" spans="1:15">
      <c r="A1674" t="s">
        <v>1910</v>
      </c>
      <c r="B1674" t="s">
        <v>2085</v>
      </c>
      <c r="C1674" t="s">
        <v>2111</v>
      </c>
      <c r="D1674" s="1">
        <v>45067</v>
      </c>
      <c r="E1674" s="1">
        <v>45200</v>
      </c>
      <c r="F1674">
        <v>92</v>
      </c>
      <c r="G1674">
        <v>24</v>
      </c>
      <c r="H1674">
        <v>2231.96</v>
      </c>
      <c r="I1674">
        <v>193.74</v>
      </c>
      <c r="J1674" t="s">
        <v>66</v>
      </c>
      <c r="K1674" t="s">
        <v>16</v>
      </c>
      <c r="L1674" t="s">
        <v>2087</v>
      </c>
      <c r="M1674">
        <v>4</v>
      </c>
      <c r="N1674" t="s">
        <v>204</v>
      </c>
      <c r="O1674" t="s">
        <v>2121</v>
      </c>
    </row>
    <row r="1675" spans="1:15">
      <c r="A1675" t="s">
        <v>3398</v>
      </c>
      <c r="B1675" t="s">
        <v>2097</v>
      </c>
      <c r="C1675" t="s">
        <v>2094</v>
      </c>
      <c r="D1675" s="1">
        <v>44725</v>
      </c>
      <c r="E1675" s="1">
        <v>45078</v>
      </c>
      <c r="F1675">
        <v>214</v>
      </c>
      <c r="G1675">
        <v>10</v>
      </c>
      <c r="H1675">
        <v>158.35</v>
      </c>
      <c r="I1675">
        <v>124.01</v>
      </c>
      <c r="J1675" t="s">
        <v>41</v>
      </c>
      <c r="K1675" t="s">
        <v>20</v>
      </c>
      <c r="L1675" t="s">
        <v>2106</v>
      </c>
      <c r="M1675">
        <v>1</v>
      </c>
      <c r="N1675" t="s">
        <v>174</v>
      </c>
      <c r="O1675" t="s">
        <v>2109</v>
      </c>
    </row>
    <row r="1676" spans="1:15">
      <c r="A1676" t="s">
        <v>3399</v>
      </c>
      <c r="B1676" t="s">
        <v>2099</v>
      </c>
      <c r="C1676" t="s">
        <v>2094</v>
      </c>
      <c r="D1676" s="1">
        <v>44162</v>
      </c>
      <c r="E1676" s="1">
        <v>44956</v>
      </c>
      <c r="F1676">
        <v>336</v>
      </c>
      <c r="G1676">
        <v>2</v>
      </c>
      <c r="H1676">
        <v>146</v>
      </c>
      <c r="I1676">
        <v>76.92</v>
      </c>
      <c r="J1676" t="s">
        <v>41</v>
      </c>
      <c r="K1676" t="s">
        <v>20</v>
      </c>
      <c r="L1676" t="s">
        <v>2087</v>
      </c>
      <c r="M1676">
        <v>10</v>
      </c>
      <c r="N1676" t="s">
        <v>179</v>
      </c>
      <c r="O1676" t="s">
        <v>2109</v>
      </c>
    </row>
    <row r="1677" spans="1:15">
      <c r="A1677" t="s">
        <v>3400</v>
      </c>
      <c r="B1677" t="s">
        <v>2085</v>
      </c>
      <c r="C1677" t="s">
        <v>2108</v>
      </c>
      <c r="D1677" s="1">
        <v>44600</v>
      </c>
      <c r="E1677" s="1">
        <v>44971</v>
      </c>
      <c r="F1677">
        <v>321</v>
      </c>
      <c r="G1677">
        <v>16</v>
      </c>
      <c r="H1677">
        <v>858.31</v>
      </c>
      <c r="I1677">
        <v>215.1</v>
      </c>
      <c r="J1677" t="s">
        <v>66</v>
      </c>
      <c r="K1677" t="s">
        <v>16</v>
      </c>
      <c r="L1677" t="s">
        <v>2106</v>
      </c>
      <c r="M1677">
        <v>0</v>
      </c>
      <c r="N1677" t="s">
        <v>204</v>
      </c>
      <c r="O1677" t="s">
        <v>2096</v>
      </c>
    </row>
    <row r="1678" spans="1:15">
      <c r="A1678" t="s">
        <v>3401</v>
      </c>
      <c r="B1678" t="s">
        <v>2093</v>
      </c>
      <c r="C1678" t="s">
        <v>2111</v>
      </c>
      <c r="D1678" s="1">
        <v>43607</v>
      </c>
      <c r="E1678" s="1">
        <v>45272</v>
      </c>
      <c r="F1678">
        <v>20</v>
      </c>
      <c r="G1678">
        <v>5</v>
      </c>
      <c r="H1678">
        <v>40.18</v>
      </c>
      <c r="I1678">
        <v>27.92</v>
      </c>
      <c r="J1678" t="s">
        <v>90</v>
      </c>
      <c r="K1678" t="s">
        <v>16</v>
      </c>
      <c r="L1678" t="s">
        <v>2106</v>
      </c>
      <c r="M1678">
        <v>8</v>
      </c>
      <c r="N1678" t="s">
        <v>165</v>
      </c>
      <c r="O1678" t="s">
        <v>2109</v>
      </c>
    </row>
    <row r="1679" spans="1:15">
      <c r="A1679" t="s">
        <v>1016</v>
      </c>
      <c r="B1679" t="s">
        <v>2085</v>
      </c>
      <c r="C1679" t="s">
        <v>2094</v>
      </c>
      <c r="D1679" s="1">
        <v>44341</v>
      </c>
      <c r="E1679" s="1">
        <v>45031</v>
      </c>
      <c r="F1679">
        <v>261</v>
      </c>
      <c r="G1679">
        <v>24</v>
      </c>
      <c r="H1679">
        <v>2184.2399999999998</v>
      </c>
      <c r="I1679">
        <v>195.56</v>
      </c>
      <c r="J1679" t="s">
        <v>41</v>
      </c>
      <c r="K1679" t="s">
        <v>16</v>
      </c>
      <c r="L1679" t="s">
        <v>2095</v>
      </c>
      <c r="M1679">
        <v>3</v>
      </c>
      <c r="N1679" t="s">
        <v>165</v>
      </c>
      <c r="O1679" t="s">
        <v>2109</v>
      </c>
    </row>
    <row r="1680" spans="1:15">
      <c r="A1680" t="s">
        <v>3402</v>
      </c>
      <c r="B1680" t="s">
        <v>2085</v>
      </c>
      <c r="C1680" t="s">
        <v>2100</v>
      </c>
      <c r="D1680" s="1">
        <v>45245</v>
      </c>
      <c r="E1680" s="1">
        <v>44997</v>
      </c>
      <c r="F1680">
        <v>295</v>
      </c>
      <c r="G1680">
        <v>29</v>
      </c>
      <c r="H1680">
        <v>1582.62</v>
      </c>
      <c r="I1680">
        <v>131.06</v>
      </c>
      <c r="J1680" t="s">
        <v>115</v>
      </c>
      <c r="K1680" t="s">
        <v>20</v>
      </c>
      <c r="L1680" t="s">
        <v>2087</v>
      </c>
      <c r="M1680">
        <v>10</v>
      </c>
      <c r="N1680" t="s">
        <v>232</v>
      </c>
      <c r="O1680" t="s">
        <v>2121</v>
      </c>
    </row>
    <row r="1681" spans="1:15">
      <c r="A1681" t="s">
        <v>3403</v>
      </c>
      <c r="B1681" t="s">
        <v>2099</v>
      </c>
      <c r="C1681" t="s">
        <v>2086</v>
      </c>
      <c r="D1681" s="1">
        <v>44051</v>
      </c>
      <c r="E1681" s="1">
        <v>45004</v>
      </c>
      <c r="F1681">
        <v>288</v>
      </c>
      <c r="G1681">
        <v>1</v>
      </c>
      <c r="H1681">
        <v>138.51</v>
      </c>
      <c r="I1681">
        <v>26.7</v>
      </c>
      <c r="J1681" t="s">
        <v>66</v>
      </c>
      <c r="K1681" t="s">
        <v>16</v>
      </c>
      <c r="L1681" t="s">
        <v>2095</v>
      </c>
      <c r="M1681">
        <v>0</v>
      </c>
      <c r="N1681" t="s">
        <v>174</v>
      </c>
      <c r="O1681" t="s">
        <v>2107</v>
      </c>
    </row>
    <row r="1682" spans="1:15">
      <c r="A1682" t="s">
        <v>3404</v>
      </c>
      <c r="B1682" t="s">
        <v>2099</v>
      </c>
      <c r="C1682" t="s">
        <v>2086</v>
      </c>
      <c r="D1682" s="1">
        <v>45006</v>
      </c>
      <c r="E1682" s="1">
        <v>45202</v>
      </c>
      <c r="F1682">
        <v>90</v>
      </c>
      <c r="G1682">
        <v>2</v>
      </c>
      <c r="H1682">
        <v>120.48</v>
      </c>
      <c r="I1682">
        <v>39.65</v>
      </c>
      <c r="J1682" t="s">
        <v>41</v>
      </c>
      <c r="K1682" t="s">
        <v>16</v>
      </c>
      <c r="L1682" t="s">
        <v>2106</v>
      </c>
      <c r="M1682">
        <v>1</v>
      </c>
      <c r="N1682" t="s">
        <v>157</v>
      </c>
      <c r="O1682" t="s">
        <v>2107</v>
      </c>
    </row>
    <row r="1683" spans="1:15">
      <c r="A1683" t="s">
        <v>3405</v>
      </c>
      <c r="B1683" t="s">
        <v>2113</v>
      </c>
      <c r="C1683" t="s">
        <v>2100</v>
      </c>
      <c r="D1683" s="1">
        <v>44494</v>
      </c>
      <c r="E1683" s="1">
        <v>45121</v>
      </c>
      <c r="F1683">
        <v>171</v>
      </c>
      <c r="G1683">
        <v>18</v>
      </c>
      <c r="H1683">
        <v>272.29000000000002</v>
      </c>
      <c r="I1683">
        <v>62.94</v>
      </c>
      <c r="J1683" t="s">
        <v>115</v>
      </c>
      <c r="K1683" t="s">
        <v>16</v>
      </c>
      <c r="L1683" t="s">
        <v>2095</v>
      </c>
      <c r="M1683">
        <v>7</v>
      </c>
      <c r="N1683" t="s">
        <v>179</v>
      </c>
      <c r="O1683" t="s">
        <v>2088</v>
      </c>
    </row>
    <row r="1684" spans="1:15">
      <c r="A1684" t="s">
        <v>395</v>
      </c>
      <c r="B1684" t="s">
        <v>2093</v>
      </c>
      <c r="C1684" t="s">
        <v>2100</v>
      </c>
      <c r="D1684" s="1">
        <v>43879</v>
      </c>
      <c r="E1684" s="1">
        <v>45276</v>
      </c>
      <c r="F1684">
        <v>16</v>
      </c>
      <c r="G1684">
        <v>3</v>
      </c>
      <c r="H1684">
        <v>47.56</v>
      </c>
      <c r="I1684">
        <v>59.55</v>
      </c>
      <c r="J1684" t="s">
        <v>90</v>
      </c>
      <c r="K1684" t="s">
        <v>16</v>
      </c>
      <c r="L1684" t="s">
        <v>2106</v>
      </c>
      <c r="M1684">
        <v>1</v>
      </c>
      <c r="N1684" t="s">
        <v>194</v>
      </c>
      <c r="O1684" t="s">
        <v>2107</v>
      </c>
    </row>
    <row r="1685" spans="1:15">
      <c r="A1685" t="s">
        <v>3406</v>
      </c>
      <c r="B1685" t="s">
        <v>2090</v>
      </c>
      <c r="C1685" t="s">
        <v>2111</v>
      </c>
      <c r="D1685" s="1">
        <v>44028</v>
      </c>
      <c r="E1685" s="1">
        <v>45268</v>
      </c>
      <c r="F1685">
        <v>24</v>
      </c>
      <c r="G1685">
        <v>3</v>
      </c>
      <c r="H1685">
        <v>93.2</v>
      </c>
      <c r="I1685">
        <v>47.87</v>
      </c>
      <c r="J1685" t="s">
        <v>90</v>
      </c>
      <c r="K1685" t="s">
        <v>16</v>
      </c>
      <c r="L1685" t="s">
        <v>2095</v>
      </c>
      <c r="M1685">
        <v>6</v>
      </c>
      <c r="N1685" t="s">
        <v>204</v>
      </c>
      <c r="O1685" t="s">
        <v>2121</v>
      </c>
    </row>
    <row r="1686" spans="1:15">
      <c r="A1686" t="s">
        <v>3407</v>
      </c>
      <c r="B1686" t="s">
        <v>2097</v>
      </c>
      <c r="C1686" t="s">
        <v>2111</v>
      </c>
      <c r="D1686" s="1">
        <v>43917</v>
      </c>
      <c r="E1686" s="1">
        <v>45115</v>
      </c>
      <c r="F1686">
        <v>177</v>
      </c>
      <c r="G1686">
        <v>9</v>
      </c>
      <c r="H1686">
        <v>439.33</v>
      </c>
      <c r="I1686">
        <v>129.30000000000001</v>
      </c>
      <c r="J1686" t="s">
        <v>41</v>
      </c>
      <c r="K1686" t="s">
        <v>16</v>
      </c>
      <c r="L1686" t="s">
        <v>2095</v>
      </c>
      <c r="M1686">
        <v>4</v>
      </c>
      <c r="N1686" t="s">
        <v>194</v>
      </c>
      <c r="O1686" t="s">
        <v>2121</v>
      </c>
    </row>
    <row r="1687" spans="1:15">
      <c r="A1687" t="s">
        <v>3408</v>
      </c>
      <c r="B1687" t="s">
        <v>2097</v>
      </c>
      <c r="C1687" t="s">
        <v>2094</v>
      </c>
      <c r="D1687" s="1">
        <v>44843</v>
      </c>
      <c r="E1687" s="1">
        <v>45127</v>
      </c>
      <c r="F1687">
        <v>165</v>
      </c>
      <c r="G1687">
        <v>6</v>
      </c>
      <c r="H1687">
        <v>467.86</v>
      </c>
      <c r="I1687">
        <v>133.44</v>
      </c>
      <c r="J1687" t="s">
        <v>90</v>
      </c>
      <c r="K1687" t="s">
        <v>20</v>
      </c>
      <c r="L1687" t="s">
        <v>2087</v>
      </c>
      <c r="M1687">
        <v>6</v>
      </c>
      <c r="N1687" t="s">
        <v>194</v>
      </c>
      <c r="O1687" t="s">
        <v>2088</v>
      </c>
    </row>
    <row r="1688" spans="1:15">
      <c r="A1688" t="s">
        <v>3409</v>
      </c>
      <c r="B1688" t="s">
        <v>2099</v>
      </c>
      <c r="C1688" t="s">
        <v>2094</v>
      </c>
      <c r="D1688" s="1">
        <v>44036</v>
      </c>
      <c r="E1688" s="1">
        <v>45222</v>
      </c>
      <c r="F1688">
        <v>70</v>
      </c>
      <c r="G1688">
        <v>2</v>
      </c>
      <c r="H1688">
        <v>96.53</v>
      </c>
      <c r="I1688">
        <v>32.78</v>
      </c>
      <c r="J1688" t="s">
        <v>66</v>
      </c>
      <c r="K1688" t="s">
        <v>16</v>
      </c>
      <c r="L1688" t="s">
        <v>2095</v>
      </c>
      <c r="M1688">
        <v>4</v>
      </c>
      <c r="N1688" t="s">
        <v>204</v>
      </c>
      <c r="O1688" t="s">
        <v>2107</v>
      </c>
    </row>
    <row r="1689" spans="1:15">
      <c r="A1689" t="s">
        <v>1808</v>
      </c>
      <c r="B1689" t="s">
        <v>2113</v>
      </c>
      <c r="C1689" t="s">
        <v>2094</v>
      </c>
      <c r="D1689" s="1">
        <v>44628</v>
      </c>
      <c r="E1689" s="1">
        <v>45141</v>
      </c>
      <c r="F1689">
        <v>151</v>
      </c>
      <c r="G1689">
        <v>5</v>
      </c>
      <c r="H1689">
        <v>579.29</v>
      </c>
      <c r="I1689">
        <v>58.93</v>
      </c>
      <c r="J1689" t="s">
        <v>90</v>
      </c>
      <c r="K1689" t="s">
        <v>20</v>
      </c>
      <c r="L1689" t="s">
        <v>2087</v>
      </c>
      <c r="M1689">
        <v>1</v>
      </c>
      <c r="N1689" t="s">
        <v>157</v>
      </c>
      <c r="O1689" t="s">
        <v>2096</v>
      </c>
    </row>
    <row r="1690" spans="1:15">
      <c r="A1690" t="s">
        <v>3410</v>
      </c>
      <c r="B1690" t="s">
        <v>2099</v>
      </c>
      <c r="C1690" t="s">
        <v>2091</v>
      </c>
      <c r="D1690" s="1">
        <v>44922</v>
      </c>
      <c r="E1690" s="1">
        <v>45179</v>
      </c>
      <c r="F1690">
        <v>113</v>
      </c>
      <c r="G1690">
        <v>1</v>
      </c>
      <c r="H1690">
        <v>117.59</v>
      </c>
      <c r="I1690">
        <v>90.07</v>
      </c>
      <c r="J1690" t="s">
        <v>115</v>
      </c>
      <c r="K1690" t="s">
        <v>16</v>
      </c>
      <c r="L1690" t="s">
        <v>2106</v>
      </c>
      <c r="M1690">
        <v>5</v>
      </c>
      <c r="N1690" t="s">
        <v>165</v>
      </c>
      <c r="O1690" t="s">
        <v>2096</v>
      </c>
    </row>
    <row r="1691" spans="1:15">
      <c r="A1691" t="s">
        <v>3411</v>
      </c>
      <c r="B1691" t="s">
        <v>2090</v>
      </c>
      <c r="C1691" t="s">
        <v>2091</v>
      </c>
      <c r="D1691" s="1">
        <v>44868</v>
      </c>
      <c r="E1691" s="1">
        <v>45064</v>
      </c>
      <c r="F1691">
        <v>228</v>
      </c>
      <c r="G1691">
        <v>5</v>
      </c>
      <c r="H1691">
        <v>266.98</v>
      </c>
      <c r="I1691">
        <v>57.24</v>
      </c>
      <c r="J1691" t="s">
        <v>14</v>
      </c>
      <c r="K1691" t="s">
        <v>16</v>
      </c>
      <c r="L1691" t="s">
        <v>2106</v>
      </c>
      <c r="M1691">
        <v>1</v>
      </c>
      <c r="N1691" t="s">
        <v>194</v>
      </c>
      <c r="O1691" t="s">
        <v>2109</v>
      </c>
    </row>
    <row r="1692" spans="1:15">
      <c r="A1692" t="s">
        <v>3412</v>
      </c>
      <c r="B1692" t="s">
        <v>2093</v>
      </c>
      <c r="C1692" t="s">
        <v>2094</v>
      </c>
      <c r="D1692" s="1">
        <v>45078</v>
      </c>
      <c r="E1692" s="1">
        <v>45027</v>
      </c>
      <c r="F1692">
        <v>265</v>
      </c>
      <c r="G1692">
        <v>3</v>
      </c>
      <c r="H1692">
        <v>183.18</v>
      </c>
      <c r="I1692">
        <v>31.16</v>
      </c>
      <c r="J1692" t="s">
        <v>90</v>
      </c>
      <c r="K1692" t="s">
        <v>16</v>
      </c>
      <c r="L1692" t="s">
        <v>2106</v>
      </c>
      <c r="M1692">
        <v>10</v>
      </c>
      <c r="N1692" t="s">
        <v>165</v>
      </c>
      <c r="O1692" t="s">
        <v>2096</v>
      </c>
    </row>
    <row r="1693" spans="1:15">
      <c r="A1693" t="s">
        <v>890</v>
      </c>
      <c r="B1693" t="s">
        <v>2113</v>
      </c>
      <c r="C1693" t="s">
        <v>2094</v>
      </c>
      <c r="D1693" s="1">
        <v>44415</v>
      </c>
      <c r="E1693" s="1">
        <v>44997</v>
      </c>
      <c r="F1693">
        <v>295</v>
      </c>
      <c r="G1693">
        <v>16</v>
      </c>
      <c r="H1693">
        <v>586.23</v>
      </c>
      <c r="I1693">
        <v>66.150000000000006</v>
      </c>
      <c r="J1693" t="s">
        <v>14</v>
      </c>
      <c r="K1693" t="s">
        <v>20</v>
      </c>
      <c r="L1693" t="s">
        <v>2087</v>
      </c>
      <c r="M1693">
        <v>10</v>
      </c>
      <c r="N1693" t="s">
        <v>174</v>
      </c>
      <c r="O1693" t="s">
        <v>2109</v>
      </c>
    </row>
    <row r="1694" spans="1:15">
      <c r="A1694" t="s">
        <v>3413</v>
      </c>
      <c r="B1694" t="s">
        <v>2085</v>
      </c>
      <c r="C1694" t="s">
        <v>2094</v>
      </c>
      <c r="D1694" s="1">
        <v>43740</v>
      </c>
      <c r="E1694" s="1">
        <v>44974</v>
      </c>
      <c r="F1694">
        <v>318</v>
      </c>
      <c r="G1694">
        <v>18</v>
      </c>
      <c r="H1694">
        <v>1306.3900000000001</v>
      </c>
      <c r="I1694">
        <v>222.19</v>
      </c>
      <c r="J1694" t="s">
        <v>90</v>
      </c>
      <c r="K1694" t="s">
        <v>20</v>
      </c>
      <c r="L1694" t="s">
        <v>2106</v>
      </c>
      <c r="M1694">
        <v>2</v>
      </c>
      <c r="N1694" t="s">
        <v>179</v>
      </c>
      <c r="O1694" t="s">
        <v>2107</v>
      </c>
    </row>
    <row r="1695" spans="1:15">
      <c r="A1695" t="s">
        <v>3414</v>
      </c>
      <c r="B1695" t="s">
        <v>2097</v>
      </c>
      <c r="C1695" t="s">
        <v>2086</v>
      </c>
      <c r="D1695" s="1">
        <v>44886</v>
      </c>
      <c r="E1695" s="1">
        <v>44955</v>
      </c>
      <c r="F1695">
        <v>337</v>
      </c>
      <c r="G1695">
        <v>10</v>
      </c>
      <c r="H1695">
        <v>569.32000000000005</v>
      </c>
      <c r="I1695">
        <v>138.08000000000001</v>
      </c>
      <c r="J1695" t="s">
        <v>66</v>
      </c>
      <c r="K1695" t="s">
        <v>16</v>
      </c>
      <c r="L1695" t="s">
        <v>2095</v>
      </c>
      <c r="M1695">
        <v>6</v>
      </c>
      <c r="N1695" t="s">
        <v>204</v>
      </c>
      <c r="O1695" t="s">
        <v>2109</v>
      </c>
    </row>
    <row r="1696" spans="1:15">
      <c r="A1696" t="s">
        <v>3415</v>
      </c>
      <c r="B1696" t="s">
        <v>2093</v>
      </c>
      <c r="C1696" t="s">
        <v>2108</v>
      </c>
      <c r="D1696" s="1">
        <v>44756</v>
      </c>
      <c r="E1696" s="1">
        <v>45039</v>
      </c>
      <c r="F1696">
        <v>253</v>
      </c>
      <c r="G1696">
        <v>4</v>
      </c>
      <c r="H1696">
        <v>32</v>
      </c>
      <c r="I1696">
        <v>31.83</v>
      </c>
      <c r="J1696" t="s">
        <v>41</v>
      </c>
      <c r="K1696" t="s">
        <v>20</v>
      </c>
      <c r="L1696" t="s">
        <v>2087</v>
      </c>
      <c r="M1696">
        <v>3</v>
      </c>
      <c r="N1696" t="s">
        <v>174</v>
      </c>
      <c r="O1696" t="s">
        <v>2096</v>
      </c>
    </row>
    <row r="1697" spans="1:15">
      <c r="A1697" t="s">
        <v>3416</v>
      </c>
      <c r="B1697" t="s">
        <v>2085</v>
      </c>
      <c r="C1697" t="s">
        <v>2108</v>
      </c>
      <c r="D1697" s="1">
        <v>43521</v>
      </c>
      <c r="E1697" s="1">
        <v>44952</v>
      </c>
      <c r="F1697">
        <v>340</v>
      </c>
      <c r="G1697">
        <v>16</v>
      </c>
      <c r="H1697">
        <v>2743.22</v>
      </c>
      <c r="I1697">
        <v>265.08999999999997</v>
      </c>
      <c r="J1697" t="s">
        <v>115</v>
      </c>
      <c r="K1697" t="s">
        <v>16</v>
      </c>
      <c r="L1697" t="s">
        <v>2106</v>
      </c>
      <c r="M1697">
        <v>4</v>
      </c>
      <c r="N1697" t="s">
        <v>157</v>
      </c>
      <c r="O1697" t="s">
        <v>2109</v>
      </c>
    </row>
    <row r="1698" spans="1:15">
      <c r="A1698" t="s">
        <v>3417</v>
      </c>
      <c r="B1698" t="s">
        <v>2113</v>
      </c>
      <c r="C1698" t="s">
        <v>2108</v>
      </c>
      <c r="D1698" s="1">
        <v>44332</v>
      </c>
      <c r="E1698" s="1">
        <v>45158</v>
      </c>
      <c r="F1698">
        <v>134</v>
      </c>
      <c r="G1698">
        <v>11</v>
      </c>
      <c r="H1698">
        <v>202.3</v>
      </c>
      <c r="I1698">
        <v>67.64</v>
      </c>
      <c r="J1698" t="s">
        <v>115</v>
      </c>
      <c r="K1698" t="s">
        <v>16</v>
      </c>
      <c r="L1698" t="s">
        <v>2095</v>
      </c>
      <c r="M1698">
        <v>8</v>
      </c>
      <c r="N1698" t="s">
        <v>157</v>
      </c>
      <c r="O1698" t="s">
        <v>2088</v>
      </c>
    </row>
    <row r="1699" spans="1:15">
      <c r="A1699" t="s">
        <v>3418</v>
      </c>
      <c r="B1699" t="s">
        <v>2090</v>
      </c>
      <c r="C1699" t="s">
        <v>2091</v>
      </c>
      <c r="D1699" s="1">
        <v>43641</v>
      </c>
      <c r="E1699" s="1">
        <v>45284</v>
      </c>
      <c r="F1699">
        <v>8</v>
      </c>
      <c r="G1699">
        <v>5</v>
      </c>
      <c r="H1699">
        <v>239.6</v>
      </c>
      <c r="I1699">
        <v>99.21</v>
      </c>
      <c r="J1699" t="s">
        <v>90</v>
      </c>
      <c r="K1699" t="s">
        <v>16</v>
      </c>
      <c r="L1699" t="s">
        <v>2087</v>
      </c>
      <c r="M1699">
        <v>10</v>
      </c>
      <c r="N1699" t="s">
        <v>165</v>
      </c>
      <c r="O1699" t="s">
        <v>2121</v>
      </c>
    </row>
    <row r="1700" spans="1:15">
      <c r="A1700" t="s">
        <v>3419</v>
      </c>
      <c r="B1700" t="s">
        <v>2090</v>
      </c>
      <c r="C1700" t="s">
        <v>2111</v>
      </c>
      <c r="D1700" s="1">
        <v>44693</v>
      </c>
      <c r="E1700" s="1">
        <v>44995</v>
      </c>
      <c r="F1700">
        <v>297</v>
      </c>
      <c r="G1700">
        <v>4</v>
      </c>
      <c r="H1700">
        <v>365.01</v>
      </c>
      <c r="I1700">
        <v>110.14</v>
      </c>
      <c r="J1700" t="s">
        <v>115</v>
      </c>
      <c r="K1700" t="s">
        <v>16</v>
      </c>
      <c r="L1700" t="s">
        <v>2087</v>
      </c>
      <c r="M1700">
        <v>4</v>
      </c>
      <c r="N1700" t="s">
        <v>232</v>
      </c>
      <c r="O1700" t="s">
        <v>2096</v>
      </c>
    </row>
    <row r="1701" spans="1:15">
      <c r="A1701" t="s">
        <v>3420</v>
      </c>
      <c r="B1701" t="s">
        <v>2085</v>
      </c>
      <c r="C1701" t="s">
        <v>2086</v>
      </c>
      <c r="D1701" s="1">
        <v>44222</v>
      </c>
      <c r="E1701" s="1">
        <v>44974</v>
      </c>
      <c r="F1701">
        <v>318</v>
      </c>
      <c r="G1701">
        <v>39</v>
      </c>
      <c r="H1701">
        <v>1213.1500000000001</v>
      </c>
      <c r="I1701">
        <v>152.31</v>
      </c>
      <c r="J1701" t="s">
        <v>41</v>
      </c>
      <c r="K1701" t="s">
        <v>16</v>
      </c>
      <c r="L1701" t="s">
        <v>2095</v>
      </c>
      <c r="M1701">
        <v>10</v>
      </c>
      <c r="N1701" t="s">
        <v>179</v>
      </c>
      <c r="O1701" t="s">
        <v>2096</v>
      </c>
    </row>
    <row r="1702" spans="1:15">
      <c r="A1702" t="s">
        <v>3421</v>
      </c>
      <c r="B1702" t="s">
        <v>2085</v>
      </c>
      <c r="C1702" t="s">
        <v>2094</v>
      </c>
      <c r="D1702" s="1">
        <v>43690</v>
      </c>
      <c r="E1702" s="1">
        <v>45170</v>
      </c>
      <c r="F1702">
        <v>122</v>
      </c>
      <c r="G1702">
        <v>15</v>
      </c>
      <c r="H1702">
        <v>2777.63</v>
      </c>
      <c r="I1702">
        <v>158.35</v>
      </c>
      <c r="J1702" t="s">
        <v>115</v>
      </c>
      <c r="K1702" t="s">
        <v>20</v>
      </c>
      <c r="L1702" t="s">
        <v>2106</v>
      </c>
      <c r="M1702">
        <v>10</v>
      </c>
      <c r="N1702" t="s">
        <v>174</v>
      </c>
      <c r="O1702" t="s">
        <v>2088</v>
      </c>
    </row>
    <row r="1703" spans="1:15">
      <c r="A1703" t="s">
        <v>3422</v>
      </c>
      <c r="B1703" t="s">
        <v>2085</v>
      </c>
      <c r="C1703" t="s">
        <v>2108</v>
      </c>
      <c r="D1703" s="1">
        <v>44647</v>
      </c>
      <c r="E1703" s="1">
        <v>45254</v>
      </c>
      <c r="F1703">
        <v>38</v>
      </c>
      <c r="G1703">
        <v>18</v>
      </c>
      <c r="H1703">
        <v>2893.65</v>
      </c>
      <c r="I1703">
        <v>246.75</v>
      </c>
      <c r="J1703" t="s">
        <v>14</v>
      </c>
      <c r="K1703" t="s">
        <v>16</v>
      </c>
      <c r="L1703" t="s">
        <v>2087</v>
      </c>
      <c r="M1703">
        <v>10</v>
      </c>
      <c r="N1703" t="s">
        <v>174</v>
      </c>
      <c r="O1703" t="s">
        <v>2096</v>
      </c>
    </row>
    <row r="1704" spans="1:15">
      <c r="A1704" t="s">
        <v>550</v>
      </c>
      <c r="B1704" t="s">
        <v>2113</v>
      </c>
      <c r="C1704" t="s">
        <v>2086</v>
      </c>
      <c r="D1704" s="1">
        <v>44296</v>
      </c>
      <c r="E1704" s="1">
        <v>45124</v>
      </c>
      <c r="F1704">
        <v>168</v>
      </c>
      <c r="G1704">
        <v>6</v>
      </c>
      <c r="H1704">
        <v>235.97</v>
      </c>
      <c r="I1704">
        <v>33.19</v>
      </c>
      <c r="J1704" t="s">
        <v>66</v>
      </c>
      <c r="K1704" t="s">
        <v>16</v>
      </c>
      <c r="L1704" t="s">
        <v>2106</v>
      </c>
      <c r="M1704">
        <v>3</v>
      </c>
      <c r="N1704" t="s">
        <v>179</v>
      </c>
      <c r="O1704" t="s">
        <v>2121</v>
      </c>
    </row>
    <row r="1705" spans="1:15">
      <c r="A1705" t="s">
        <v>3423</v>
      </c>
      <c r="B1705" t="s">
        <v>2097</v>
      </c>
      <c r="C1705" t="s">
        <v>2091</v>
      </c>
      <c r="D1705" s="1">
        <v>44520</v>
      </c>
      <c r="E1705" s="1">
        <v>45257</v>
      </c>
      <c r="F1705">
        <v>35</v>
      </c>
      <c r="G1705">
        <v>11</v>
      </c>
      <c r="H1705">
        <v>562.29999999999995</v>
      </c>
      <c r="I1705">
        <v>60.3</v>
      </c>
      <c r="J1705" t="s">
        <v>90</v>
      </c>
      <c r="K1705" t="s">
        <v>16</v>
      </c>
      <c r="L1705" t="s">
        <v>2087</v>
      </c>
      <c r="M1705">
        <v>5</v>
      </c>
      <c r="N1705" t="s">
        <v>194</v>
      </c>
      <c r="O1705" t="s">
        <v>2088</v>
      </c>
    </row>
    <row r="1706" spans="1:15">
      <c r="A1706" t="s">
        <v>3424</v>
      </c>
      <c r="B1706" t="s">
        <v>2085</v>
      </c>
      <c r="C1706" t="s">
        <v>2086</v>
      </c>
      <c r="D1706" s="1">
        <v>43677</v>
      </c>
      <c r="E1706" s="1">
        <v>45133</v>
      </c>
      <c r="F1706">
        <v>159</v>
      </c>
      <c r="G1706">
        <v>18</v>
      </c>
      <c r="H1706">
        <v>892.54</v>
      </c>
      <c r="I1706">
        <v>227.83</v>
      </c>
      <c r="J1706" t="s">
        <v>66</v>
      </c>
      <c r="K1706" t="s">
        <v>16</v>
      </c>
      <c r="L1706" t="s">
        <v>2087</v>
      </c>
      <c r="M1706">
        <v>7</v>
      </c>
      <c r="N1706" t="s">
        <v>174</v>
      </c>
      <c r="O1706" t="s">
        <v>2109</v>
      </c>
    </row>
    <row r="1707" spans="1:15">
      <c r="A1707" t="s">
        <v>3425</v>
      </c>
      <c r="B1707" t="s">
        <v>2099</v>
      </c>
      <c r="C1707" t="s">
        <v>2091</v>
      </c>
      <c r="D1707" s="1">
        <v>44711</v>
      </c>
      <c r="E1707" s="1">
        <v>44946</v>
      </c>
      <c r="F1707">
        <v>346</v>
      </c>
      <c r="G1707">
        <v>2</v>
      </c>
      <c r="H1707">
        <v>24.69</v>
      </c>
      <c r="I1707">
        <v>96.97</v>
      </c>
      <c r="J1707" t="s">
        <v>90</v>
      </c>
      <c r="K1707" t="s">
        <v>20</v>
      </c>
      <c r="L1707" t="s">
        <v>2095</v>
      </c>
      <c r="M1707">
        <v>6</v>
      </c>
      <c r="N1707" t="s">
        <v>232</v>
      </c>
      <c r="O1707" t="s">
        <v>2088</v>
      </c>
    </row>
    <row r="1708" spans="1:15">
      <c r="A1708" t="s">
        <v>546</v>
      </c>
      <c r="B1708" t="s">
        <v>2093</v>
      </c>
      <c r="C1708" t="s">
        <v>2100</v>
      </c>
      <c r="D1708" s="1">
        <v>44903</v>
      </c>
      <c r="E1708" s="1">
        <v>44979</v>
      </c>
      <c r="F1708">
        <v>313</v>
      </c>
      <c r="G1708">
        <v>5</v>
      </c>
      <c r="H1708">
        <v>139.79</v>
      </c>
      <c r="I1708">
        <v>32.25</v>
      </c>
      <c r="J1708" t="s">
        <v>14</v>
      </c>
      <c r="K1708" t="s">
        <v>16</v>
      </c>
      <c r="L1708" t="s">
        <v>2087</v>
      </c>
      <c r="M1708">
        <v>8</v>
      </c>
      <c r="N1708" t="s">
        <v>204</v>
      </c>
      <c r="O1708" t="s">
        <v>2109</v>
      </c>
    </row>
    <row r="1709" spans="1:15">
      <c r="A1709" t="s">
        <v>3426</v>
      </c>
      <c r="B1709" t="s">
        <v>2090</v>
      </c>
      <c r="C1709" t="s">
        <v>2100</v>
      </c>
      <c r="D1709" s="1">
        <v>44428</v>
      </c>
      <c r="E1709" s="1">
        <v>45124</v>
      </c>
      <c r="F1709">
        <v>168</v>
      </c>
      <c r="G1709">
        <v>5</v>
      </c>
      <c r="H1709">
        <v>116.1</v>
      </c>
      <c r="I1709">
        <v>85.5</v>
      </c>
      <c r="J1709" t="s">
        <v>66</v>
      </c>
      <c r="K1709" t="s">
        <v>20</v>
      </c>
      <c r="L1709" t="s">
        <v>2106</v>
      </c>
      <c r="M1709">
        <v>8</v>
      </c>
      <c r="N1709" t="s">
        <v>157</v>
      </c>
      <c r="O1709" t="s">
        <v>2107</v>
      </c>
    </row>
    <row r="1710" spans="1:15">
      <c r="A1710" t="s">
        <v>2021</v>
      </c>
      <c r="B1710" t="s">
        <v>2097</v>
      </c>
      <c r="C1710" t="s">
        <v>2111</v>
      </c>
      <c r="D1710" s="1">
        <v>44939</v>
      </c>
      <c r="E1710" s="1">
        <v>45091</v>
      </c>
      <c r="F1710">
        <v>201</v>
      </c>
      <c r="G1710">
        <v>9</v>
      </c>
      <c r="H1710">
        <v>192.69</v>
      </c>
      <c r="I1710">
        <v>136.97999999999999</v>
      </c>
      <c r="J1710" t="s">
        <v>66</v>
      </c>
      <c r="K1710" t="s">
        <v>20</v>
      </c>
      <c r="L1710" t="s">
        <v>2095</v>
      </c>
      <c r="M1710">
        <v>5</v>
      </c>
      <c r="N1710" t="s">
        <v>157</v>
      </c>
      <c r="O1710" t="s">
        <v>2121</v>
      </c>
    </row>
    <row r="1711" spans="1:15">
      <c r="A1711" t="s">
        <v>3427</v>
      </c>
      <c r="B1711" t="s">
        <v>2113</v>
      </c>
      <c r="C1711" t="s">
        <v>2091</v>
      </c>
      <c r="D1711" s="1">
        <v>44366</v>
      </c>
      <c r="E1711" s="1">
        <v>45288</v>
      </c>
      <c r="F1711">
        <v>4</v>
      </c>
      <c r="G1711">
        <v>7</v>
      </c>
      <c r="H1711">
        <v>394.03</v>
      </c>
      <c r="I1711">
        <v>51.1</v>
      </c>
      <c r="J1711" t="s">
        <v>115</v>
      </c>
      <c r="K1711" t="s">
        <v>16</v>
      </c>
      <c r="L1711" t="s">
        <v>2095</v>
      </c>
      <c r="M1711">
        <v>5</v>
      </c>
      <c r="N1711" t="s">
        <v>157</v>
      </c>
      <c r="O1711" t="s">
        <v>2107</v>
      </c>
    </row>
    <row r="1712" spans="1:15">
      <c r="A1712" t="s">
        <v>3428</v>
      </c>
      <c r="B1712" t="s">
        <v>2090</v>
      </c>
      <c r="C1712" t="s">
        <v>2091</v>
      </c>
      <c r="D1712" s="1">
        <v>43800</v>
      </c>
      <c r="E1712" s="1">
        <v>45071</v>
      </c>
      <c r="F1712">
        <v>221</v>
      </c>
      <c r="G1712">
        <v>7</v>
      </c>
      <c r="H1712">
        <v>269.85000000000002</v>
      </c>
      <c r="I1712">
        <v>100.89</v>
      </c>
      <c r="J1712" t="s">
        <v>90</v>
      </c>
      <c r="K1712" t="s">
        <v>16</v>
      </c>
      <c r="L1712" t="s">
        <v>2106</v>
      </c>
      <c r="M1712">
        <v>2</v>
      </c>
      <c r="N1712" t="s">
        <v>174</v>
      </c>
      <c r="O1712" t="s">
        <v>2109</v>
      </c>
    </row>
    <row r="1713" spans="1:15">
      <c r="A1713" t="s">
        <v>3429</v>
      </c>
      <c r="B1713" t="s">
        <v>2093</v>
      </c>
      <c r="C1713" t="s">
        <v>2086</v>
      </c>
      <c r="D1713" s="1">
        <v>44861</v>
      </c>
      <c r="E1713" s="1">
        <v>45096</v>
      </c>
      <c r="F1713">
        <v>196</v>
      </c>
      <c r="G1713">
        <v>4</v>
      </c>
      <c r="H1713">
        <v>86.98</v>
      </c>
      <c r="I1713">
        <v>22.6</v>
      </c>
      <c r="J1713" t="s">
        <v>66</v>
      </c>
      <c r="K1713" t="s">
        <v>16</v>
      </c>
      <c r="L1713" t="s">
        <v>2087</v>
      </c>
      <c r="M1713">
        <v>8</v>
      </c>
      <c r="N1713" t="s">
        <v>204</v>
      </c>
      <c r="O1713" t="s">
        <v>2088</v>
      </c>
    </row>
    <row r="1714" spans="1:15">
      <c r="A1714" t="s">
        <v>3430</v>
      </c>
      <c r="B1714" t="s">
        <v>2097</v>
      </c>
      <c r="C1714" t="s">
        <v>2086</v>
      </c>
      <c r="D1714" s="1">
        <v>43479</v>
      </c>
      <c r="E1714" s="1">
        <v>45004</v>
      </c>
      <c r="F1714">
        <v>288</v>
      </c>
      <c r="G1714">
        <v>3</v>
      </c>
      <c r="H1714">
        <v>679.61</v>
      </c>
      <c r="I1714">
        <v>127.64</v>
      </c>
      <c r="J1714" t="s">
        <v>66</v>
      </c>
      <c r="K1714" t="s">
        <v>16</v>
      </c>
      <c r="L1714" t="s">
        <v>2095</v>
      </c>
      <c r="M1714">
        <v>7</v>
      </c>
      <c r="N1714" t="s">
        <v>157</v>
      </c>
      <c r="O1714" t="s">
        <v>2109</v>
      </c>
    </row>
    <row r="1715" spans="1:15">
      <c r="A1715" t="s">
        <v>3431</v>
      </c>
      <c r="B1715" t="s">
        <v>2099</v>
      </c>
      <c r="C1715" t="s">
        <v>2094</v>
      </c>
      <c r="D1715" s="1">
        <v>43920</v>
      </c>
      <c r="E1715" s="1">
        <v>45057</v>
      </c>
      <c r="F1715">
        <v>235</v>
      </c>
      <c r="G1715">
        <v>2</v>
      </c>
      <c r="H1715">
        <v>97.03</v>
      </c>
      <c r="I1715">
        <v>84.89</v>
      </c>
      <c r="J1715" t="s">
        <v>14</v>
      </c>
      <c r="K1715" t="s">
        <v>20</v>
      </c>
      <c r="L1715" t="s">
        <v>2087</v>
      </c>
      <c r="M1715">
        <v>0</v>
      </c>
      <c r="N1715" t="s">
        <v>157</v>
      </c>
      <c r="O1715" t="s">
        <v>2121</v>
      </c>
    </row>
    <row r="1716" spans="1:15">
      <c r="A1716" t="s">
        <v>1124</v>
      </c>
      <c r="B1716" t="s">
        <v>2097</v>
      </c>
      <c r="C1716" t="s">
        <v>2111</v>
      </c>
      <c r="D1716" s="1">
        <v>43684</v>
      </c>
      <c r="E1716" s="1">
        <v>45049</v>
      </c>
      <c r="F1716">
        <v>243</v>
      </c>
      <c r="G1716">
        <v>11</v>
      </c>
      <c r="H1716">
        <v>390.9</v>
      </c>
      <c r="I1716">
        <v>79.98</v>
      </c>
      <c r="J1716" t="s">
        <v>115</v>
      </c>
      <c r="K1716" t="s">
        <v>16</v>
      </c>
      <c r="L1716" t="s">
        <v>2095</v>
      </c>
      <c r="M1716">
        <v>0</v>
      </c>
      <c r="N1716" t="s">
        <v>232</v>
      </c>
      <c r="O1716" t="s">
        <v>2088</v>
      </c>
    </row>
    <row r="1717" spans="1:15">
      <c r="A1717" t="s">
        <v>3432</v>
      </c>
      <c r="B1717" t="s">
        <v>2099</v>
      </c>
      <c r="C1717" t="s">
        <v>2091</v>
      </c>
      <c r="D1717" s="1">
        <v>44774</v>
      </c>
      <c r="E1717" s="1">
        <v>45160</v>
      </c>
      <c r="F1717">
        <v>132</v>
      </c>
      <c r="G1717">
        <v>1</v>
      </c>
      <c r="H1717">
        <v>135.18</v>
      </c>
      <c r="I1717">
        <v>87.39</v>
      </c>
      <c r="J1717" t="s">
        <v>115</v>
      </c>
      <c r="K1717" t="s">
        <v>20</v>
      </c>
      <c r="L1717" t="s">
        <v>2095</v>
      </c>
      <c r="M1717">
        <v>7</v>
      </c>
      <c r="N1717" t="s">
        <v>179</v>
      </c>
      <c r="O1717" t="s">
        <v>2109</v>
      </c>
    </row>
    <row r="1718" spans="1:15">
      <c r="A1718" t="s">
        <v>3433</v>
      </c>
      <c r="B1718" t="s">
        <v>2099</v>
      </c>
      <c r="C1718" t="s">
        <v>2086</v>
      </c>
      <c r="D1718" s="1">
        <v>43703</v>
      </c>
      <c r="E1718" s="1">
        <v>44988</v>
      </c>
      <c r="F1718">
        <v>304</v>
      </c>
      <c r="G1718">
        <v>2</v>
      </c>
      <c r="H1718">
        <v>139.58000000000001</v>
      </c>
      <c r="I1718">
        <v>96.01</v>
      </c>
      <c r="J1718" t="s">
        <v>66</v>
      </c>
      <c r="K1718" t="s">
        <v>16</v>
      </c>
      <c r="L1718" t="s">
        <v>2087</v>
      </c>
      <c r="M1718">
        <v>2</v>
      </c>
      <c r="N1718" t="s">
        <v>165</v>
      </c>
      <c r="O1718" t="s">
        <v>2109</v>
      </c>
    </row>
    <row r="1719" spans="1:15">
      <c r="A1719" t="s">
        <v>3434</v>
      </c>
      <c r="B1719" t="s">
        <v>2093</v>
      </c>
      <c r="C1719" t="s">
        <v>2111</v>
      </c>
      <c r="D1719" s="1">
        <v>45063</v>
      </c>
      <c r="E1719" s="1">
        <v>45235</v>
      </c>
      <c r="F1719">
        <v>57</v>
      </c>
      <c r="G1719">
        <v>5</v>
      </c>
      <c r="H1719">
        <v>186.66</v>
      </c>
      <c r="I1719">
        <v>31.91</v>
      </c>
      <c r="J1719" t="s">
        <v>14</v>
      </c>
      <c r="K1719" t="s">
        <v>16</v>
      </c>
      <c r="L1719" t="s">
        <v>2095</v>
      </c>
      <c r="M1719">
        <v>2</v>
      </c>
      <c r="N1719" t="s">
        <v>174</v>
      </c>
      <c r="O1719" t="s">
        <v>2096</v>
      </c>
    </row>
    <row r="1720" spans="1:15">
      <c r="A1720" t="s">
        <v>3435</v>
      </c>
      <c r="B1720" t="s">
        <v>2097</v>
      </c>
      <c r="C1720" t="s">
        <v>2091</v>
      </c>
      <c r="D1720" s="1">
        <v>44060</v>
      </c>
      <c r="E1720" s="1">
        <v>45177</v>
      </c>
      <c r="F1720">
        <v>115</v>
      </c>
      <c r="G1720">
        <v>7</v>
      </c>
      <c r="H1720">
        <v>241.53</v>
      </c>
      <c r="I1720">
        <v>79.52</v>
      </c>
      <c r="J1720" t="s">
        <v>14</v>
      </c>
      <c r="K1720" t="s">
        <v>16</v>
      </c>
      <c r="L1720" t="s">
        <v>2106</v>
      </c>
      <c r="M1720">
        <v>10</v>
      </c>
      <c r="N1720" t="s">
        <v>204</v>
      </c>
      <c r="O1720" t="s">
        <v>2109</v>
      </c>
    </row>
    <row r="1721" spans="1:15">
      <c r="A1721" t="s">
        <v>3436</v>
      </c>
      <c r="B1721" t="s">
        <v>2099</v>
      </c>
      <c r="C1721" t="s">
        <v>2100</v>
      </c>
      <c r="D1721" s="1">
        <v>45071</v>
      </c>
      <c r="E1721" s="1">
        <v>45291</v>
      </c>
      <c r="F1721">
        <v>1</v>
      </c>
      <c r="G1721">
        <v>1</v>
      </c>
      <c r="H1721">
        <v>118.46</v>
      </c>
      <c r="I1721">
        <v>86.74</v>
      </c>
      <c r="J1721" t="s">
        <v>14</v>
      </c>
      <c r="K1721" t="s">
        <v>20</v>
      </c>
      <c r="L1721" t="s">
        <v>2106</v>
      </c>
      <c r="M1721">
        <v>9</v>
      </c>
      <c r="N1721" t="s">
        <v>165</v>
      </c>
      <c r="O1721" t="s">
        <v>2109</v>
      </c>
    </row>
    <row r="1722" spans="1:15">
      <c r="A1722" t="s">
        <v>1750</v>
      </c>
      <c r="B1722" t="s">
        <v>2085</v>
      </c>
      <c r="C1722" t="s">
        <v>2100</v>
      </c>
      <c r="D1722" s="1">
        <v>44182</v>
      </c>
      <c r="E1722" s="1">
        <v>45131</v>
      </c>
      <c r="F1722">
        <v>161</v>
      </c>
      <c r="G1722">
        <v>24</v>
      </c>
      <c r="H1722">
        <v>1602.48</v>
      </c>
      <c r="I1722">
        <v>221.98</v>
      </c>
      <c r="J1722" t="s">
        <v>90</v>
      </c>
      <c r="K1722" t="s">
        <v>16</v>
      </c>
      <c r="L1722" t="s">
        <v>2087</v>
      </c>
      <c r="M1722">
        <v>0</v>
      </c>
      <c r="N1722" t="s">
        <v>232</v>
      </c>
      <c r="O1722" t="s">
        <v>2088</v>
      </c>
    </row>
    <row r="1723" spans="1:15">
      <c r="A1723" t="s">
        <v>3437</v>
      </c>
      <c r="B1723" t="s">
        <v>2093</v>
      </c>
      <c r="C1723" t="s">
        <v>2111</v>
      </c>
      <c r="D1723" s="1">
        <v>44054</v>
      </c>
      <c r="E1723" s="1">
        <v>45063</v>
      </c>
      <c r="F1723">
        <v>229</v>
      </c>
      <c r="G1723">
        <v>4</v>
      </c>
      <c r="H1723">
        <v>119.08</v>
      </c>
      <c r="I1723">
        <v>34.07</v>
      </c>
      <c r="J1723" t="s">
        <v>14</v>
      </c>
      <c r="K1723" t="s">
        <v>20</v>
      </c>
      <c r="L1723" t="s">
        <v>2106</v>
      </c>
      <c r="M1723">
        <v>5</v>
      </c>
      <c r="N1723" t="s">
        <v>157</v>
      </c>
      <c r="O1723" t="s">
        <v>2107</v>
      </c>
    </row>
    <row r="1724" spans="1:15">
      <c r="A1724" t="s">
        <v>1037</v>
      </c>
      <c r="B1724" t="s">
        <v>2113</v>
      </c>
      <c r="C1724" t="s">
        <v>2091</v>
      </c>
      <c r="D1724" s="1">
        <v>44925</v>
      </c>
      <c r="E1724" s="1">
        <v>45113</v>
      </c>
      <c r="F1724">
        <v>179</v>
      </c>
      <c r="G1724">
        <v>9</v>
      </c>
      <c r="H1724">
        <v>593.21</v>
      </c>
      <c r="I1724">
        <v>48.99</v>
      </c>
      <c r="J1724" t="s">
        <v>90</v>
      </c>
      <c r="K1724" t="s">
        <v>20</v>
      </c>
      <c r="L1724" t="s">
        <v>2095</v>
      </c>
      <c r="M1724">
        <v>2</v>
      </c>
      <c r="N1724" t="s">
        <v>157</v>
      </c>
      <c r="O1724" t="s">
        <v>2096</v>
      </c>
    </row>
    <row r="1725" spans="1:15">
      <c r="A1725" t="s">
        <v>848</v>
      </c>
      <c r="B1725" t="s">
        <v>2090</v>
      </c>
      <c r="C1725" t="s">
        <v>2111</v>
      </c>
      <c r="D1725" s="1">
        <v>44743</v>
      </c>
      <c r="E1725" s="1">
        <v>45287</v>
      </c>
      <c r="F1725">
        <v>5</v>
      </c>
      <c r="G1725">
        <v>2</v>
      </c>
      <c r="H1725">
        <v>323.27999999999997</v>
      </c>
      <c r="I1725">
        <v>59.51</v>
      </c>
      <c r="J1725" t="s">
        <v>90</v>
      </c>
      <c r="K1725" t="s">
        <v>16</v>
      </c>
      <c r="L1725" t="s">
        <v>2087</v>
      </c>
      <c r="M1725">
        <v>4</v>
      </c>
      <c r="N1725" t="s">
        <v>204</v>
      </c>
      <c r="O1725" t="s">
        <v>2107</v>
      </c>
    </row>
    <row r="1726" spans="1:15">
      <c r="A1726" t="s">
        <v>1618</v>
      </c>
      <c r="B1726" t="s">
        <v>2099</v>
      </c>
      <c r="C1726" t="s">
        <v>2086</v>
      </c>
      <c r="D1726" s="1">
        <v>45081</v>
      </c>
      <c r="E1726" s="1">
        <v>45254</v>
      </c>
      <c r="F1726">
        <v>38</v>
      </c>
      <c r="G1726">
        <v>1</v>
      </c>
      <c r="H1726">
        <v>119.09</v>
      </c>
      <c r="I1726">
        <v>46.77</v>
      </c>
      <c r="J1726" t="s">
        <v>14</v>
      </c>
      <c r="K1726" t="s">
        <v>16</v>
      </c>
      <c r="L1726" t="s">
        <v>2087</v>
      </c>
      <c r="M1726">
        <v>0</v>
      </c>
      <c r="N1726" t="s">
        <v>165</v>
      </c>
      <c r="O1726" t="s">
        <v>2096</v>
      </c>
    </row>
    <row r="1727" spans="1:15">
      <c r="A1727" t="s">
        <v>3438</v>
      </c>
      <c r="B1727" t="s">
        <v>2085</v>
      </c>
      <c r="C1727" t="s">
        <v>2111</v>
      </c>
      <c r="D1727" s="1">
        <v>43776</v>
      </c>
      <c r="E1727" s="1">
        <v>45141</v>
      </c>
      <c r="F1727">
        <v>151</v>
      </c>
      <c r="G1727">
        <v>14</v>
      </c>
      <c r="H1727">
        <v>1673.32</v>
      </c>
      <c r="I1727">
        <v>265.76</v>
      </c>
      <c r="J1727" t="s">
        <v>14</v>
      </c>
      <c r="K1727" t="s">
        <v>20</v>
      </c>
      <c r="L1727" t="s">
        <v>2095</v>
      </c>
      <c r="M1727">
        <v>2</v>
      </c>
      <c r="N1727" t="s">
        <v>204</v>
      </c>
      <c r="O1727" t="s">
        <v>2121</v>
      </c>
    </row>
    <row r="1728" spans="1:15">
      <c r="A1728" t="s">
        <v>3439</v>
      </c>
      <c r="B1728" t="s">
        <v>2090</v>
      </c>
      <c r="C1728" t="s">
        <v>2094</v>
      </c>
      <c r="D1728" s="1">
        <v>45195</v>
      </c>
      <c r="E1728" s="1">
        <v>45166</v>
      </c>
      <c r="F1728">
        <v>126</v>
      </c>
      <c r="G1728">
        <v>6</v>
      </c>
      <c r="H1728">
        <v>309.69</v>
      </c>
      <c r="I1728">
        <v>93.55</v>
      </c>
      <c r="J1728" t="s">
        <v>115</v>
      </c>
      <c r="K1728" t="s">
        <v>16</v>
      </c>
      <c r="L1728" t="s">
        <v>2106</v>
      </c>
      <c r="M1728">
        <v>3</v>
      </c>
      <c r="N1728" t="s">
        <v>157</v>
      </c>
      <c r="O1728" t="s">
        <v>2121</v>
      </c>
    </row>
    <row r="1729" spans="1:15">
      <c r="A1729" t="s">
        <v>3440</v>
      </c>
      <c r="B1729" t="s">
        <v>2113</v>
      </c>
      <c r="C1729" t="s">
        <v>2111</v>
      </c>
      <c r="D1729" s="1">
        <v>44695</v>
      </c>
      <c r="E1729" s="1">
        <v>45022</v>
      </c>
      <c r="F1729">
        <v>270</v>
      </c>
      <c r="G1729">
        <v>11</v>
      </c>
      <c r="H1729">
        <v>279.08</v>
      </c>
      <c r="I1729">
        <v>74.72</v>
      </c>
      <c r="J1729" t="s">
        <v>66</v>
      </c>
      <c r="K1729" t="s">
        <v>20</v>
      </c>
      <c r="L1729" t="s">
        <v>2087</v>
      </c>
      <c r="M1729">
        <v>7</v>
      </c>
      <c r="N1729" t="s">
        <v>232</v>
      </c>
      <c r="O1729" t="s">
        <v>2096</v>
      </c>
    </row>
    <row r="1730" spans="1:15">
      <c r="A1730" t="s">
        <v>3441</v>
      </c>
      <c r="B1730" t="s">
        <v>2113</v>
      </c>
      <c r="C1730" t="s">
        <v>2108</v>
      </c>
      <c r="D1730" s="1">
        <v>44500</v>
      </c>
      <c r="E1730" s="1">
        <v>45138</v>
      </c>
      <c r="F1730">
        <v>154</v>
      </c>
      <c r="G1730">
        <v>17</v>
      </c>
      <c r="H1730">
        <v>221.23</v>
      </c>
      <c r="I1730">
        <v>74.81</v>
      </c>
      <c r="J1730" t="s">
        <v>90</v>
      </c>
      <c r="K1730" t="s">
        <v>16</v>
      </c>
      <c r="L1730" t="s">
        <v>2106</v>
      </c>
      <c r="M1730">
        <v>3</v>
      </c>
      <c r="N1730" t="s">
        <v>179</v>
      </c>
      <c r="O1730" t="s">
        <v>2107</v>
      </c>
    </row>
    <row r="1731" spans="1:15">
      <c r="A1731" t="s">
        <v>1350</v>
      </c>
      <c r="B1731" t="s">
        <v>2085</v>
      </c>
      <c r="C1731" t="s">
        <v>2091</v>
      </c>
      <c r="D1731" s="1">
        <v>44479</v>
      </c>
      <c r="E1731" s="1">
        <v>45281</v>
      </c>
      <c r="F1731">
        <v>11</v>
      </c>
      <c r="G1731">
        <v>40</v>
      </c>
      <c r="H1731">
        <v>1256.8699999999999</v>
      </c>
      <c r="I1731">
        <v>288.48</v>
      </c>
      <c r="J1731" t="s">
        <v>90</v>
      </c>
      <c r="K1731" t="s">
        <v>16</v>
      </c>
      <c r="L1731" t="s">
        <v>2087</v>
      </c>
      <c r="M1731">
        <v>2</v>
      </c>
      <c r="N1731" t="s">
        <v>179</v>
      </c>
      <c r="O1731" t="s">
        <v>2088</v>
      </c>
    </row>
    <row r="1732" spans="1:15">
      <c r="A1732" t="s">
        <v>3442</v>
      </c>
      <c r="B1732" t="s">
        <v>2097</v>
      </c>
      <c r="C1732" t="s">
        <v>2091</v>
      </c>
      <c r="D1732" s="1">
        <v>45223</v>
      </c>
      <c r="E1732" s="1">
        <v>45230</v>
      </c>
      <c r="F1732">
        <v>62</v>
      </c>
      <c r="G1732">
        <v>7</v>
      </c>
      <c r="H1732">
        <v>405.35</v>
      </c>
      <c r="I1732">
        <v>83.31</v>
      </c>
      <c r="J1732" t="s">
        <v>90</v>
      </c>
      <c r="K1732" t="s">
        <v>20</v>
      </c>
      <c r="L1732" t="s">
        <v>2095</v>
      </c>
      <c r="M1732">
        <v>4</v>
      </c>
      <c r="N1732" t="s">
        <v>174</v>
      </c>
      <c r="O1732" t="s">
        <v>2096</v>
      </c>
    </row>
    <row r="1733" spans="1:15">
      <c r="A1733" t="s">
        <v>3443</v>
      </c>
      <c r="B1733" t="s">
        <v>2085</v>
      </c>
      <c r="C1733" t="s">
        <v>2086</v>
      </c>
      <c r="D1733" s="1">
        <v>43755</v>
      </c>
      <c r="E1733" s="1">
        <v>44937</v>
      </c>
      <c r="F1733">
        <v>355</v>
      </c>
      <c r="G1733">
        <v>34</v>
      </c>
      <c r="H1733">
        <v>2737.28</v>
      </c>
      <c r="I1733">
        <v>235.06</v>
      </c>
      <c r="J1733" t="s">
        <v>90</v>
      </c>
      <c r="K1733" t="s">
        <v>20</v>
      </c>
      <c r="L1733" t="s">
        <v>2095</v>
      </c>
      <c r="M1733">
        <v>1</v>
      </c>
      <c r="N1733" t="s">
        <v>194</v>
      </c>
      <c r="O1733" t="s">
        <v>2109</v>
      </c>
    </row>
    <row r="1734" spans="1:15">
      <c r="A1734" t="s">
        <v>784</v>
      </c>
      <c r="B1734" t="s">
        <v>2085</v>
      </c>
      <c r="C1734" t="s">
        <v>2094</v>
      </c>
      <c r="D1734" s="1">
        <v>45034</v>
      </c>
      <c r="E1734" s="1">
        <v>45100</v>
      </c>
      <c r="F1734">
        <v>192</v>
      </c>
      <c r="G1734">
        <v>22</v>
      </c>
      <c r="H1734">
        <v>989.24</v>
      </c>
      <c r="I1734">
        <v>104.82</v>
      </c>
      <c r="J1734" t="s">
        <v>41</v>
      </c>
      <c r="K1734" t="s">
        <v>16</v>
      </c>
      <c r="L1734" t="s">
        <v>2087</v>
      </c>
      <c r="M1734">
        <v>1</v>
      </c>
      <c r="N1734" t="s">
        <v>204</v>
      </c>
      <c r="O1734" t="s">
        <v>2107</v>
      </c>
    </row>
    <row r="1735" spans="1:15">
      <c r="A1735" t="s">
        <v>3444</v>
      </c>
      <c r="B1735" t="s">
        <v>2093</v>
      </c>
      <c r="C1735" t="s">
        <v>2094</v>
      </c>
      <c r="D1735" s="1">
        <v>43871</v>
      </c>
      <c r="E1735" s="1">
        <v>45047</v>
      </c>
      <c r="F1735">
        <v>245</v>
      </c>
      <c r="G1735">
        <v>1</v>
      </c>
      <c r="H1735">
        <v>179.45</v>
      </c>
      <c r="I1735">
        <v>61.76</v>
      </c>
      <c r="J1735" t="s">
        <v>90</v>
      </c>
      <c r="K1735" t="s">
        <v>20</v>
      </c>
      <c r="L1735" t="s">
        <v>2095</v>
      </c>
      <c r="M1735">
        <v>6</v>
      </c>
      <c r="N1735" t="s">
        <v>232</v>
      </c>
      <c r="O1735" t="s">
        <v>2107</v>
      </c>
    </row>
    <row r="1736" spans="1:15">
      <c r="A1736" t="s">
        <v>3445</v>
      </c>
      <c r="B1736" t="s">
        <v>2085</v>
      </c>
      <c r="C1736" t="s">
        <v>2111</v>
      </c>
      <c r="D1736" s="1">
        <v>43543</v>
      </c>
      <c r="E1736" s="1">
        <v>45228</v>
      </c>
      <c r="F1736">
        <v>64</v>
      </c>
      <c r="G1736">
        <v>14</v>
      </c>
      <c r="H1736">
        <v>2795.56</v>
      </c>
      <c r="I1736">
        <v>111.37</v>
      </c>
      <c r="J1736" t="s">
        <v>115</v>
      </c>
      <c r="K1736" t="s">
        <v>20</v>
      </c>
      <c r="L1736" t="s">
        <v>2106</v>
      </c>
      <c r="M1736">
        <v>3</v>
      </c>
      <c r="N1736" t="s">
        <v>174</v>
      </c>
      <c r="O1736" t="s">
        <v>2088</v>
      </c>
    </row>
    <row r="1737" spans="1:15">
      <c r="A1737" t="s">
        <v>3446</v>
      </c>
      <c r="B1737" t="s">
        <v>2099</v>
      </c>
      <c r="C1737" t="s">
        <v>2111</v>
      </c>
      <c r="D1737" s="1">
        <v>44100</v>
      </c>
      <c r="E1737" s="1">
        <v>45199</v>
      </c>
      <c r="F1737">
        <v>93</v>
      </c>
      <c r="G1737">
        <v>1</v>
      </c>
      <c r="H1737">
        <v>114.53</v>
      </c>
      <c r="I1737">
        <v>84.76</v>
      </c>
      <c r="J1737" t="s">
        <v>41</v>
      </c>
      <c r="K1737" t="s">
        <v>20</v>
      </c>
      <c r="L1737" t="s">
        <v>2106</v>
      </c>
      <c r="M1737">
        <v>3</v>
      </c>
      <c r="N1737" t="s">
        <v>194</v>
      </c>
      <c r="O1737" t="s">
        <v>2121</v>
      </c>
    </row>
    <row r="1738" spans="1:15">
      <c r="A1738" t="s">
        <v>3447</v>
      </c>
      <c r="B1738" t="s">
        <v>2085</v>
      </c>
      <c r="C1738" t="s">
        <v>2086</v>
      </c>
      <c r="D1738" s="1">
        <v>45014</v>
      </c>
      <c r="E1738" s="1">
        <v>45019</v>
      </c>
      <c r="F1738">
        <v>273</v>
      </c>
      <c r="G1738">
        <v>22</v>
      </c>
      <c r="H1738">
        <v>1996.26</v>
      </c>
      <c r="I1738">
        <v>288.67</v>
      </c>
      <c r="J1738" t="s">
        <v>14</v>
      </c>
      <c r="K1738" t="s">
        <v>20</v>
      </c>
      <c r="L1738" t="s">
        <v>2106</v>
      </c>
      <c r="M1738">
        <v>3</v>
      </c>
      <c r="N1738" t="s">
        <v>174</v>
      </c>
      <c r="O1738" t="s">
        <v>2121</v>
      </c>
    </row>
    <row r="1739" spans="1:15">
      <c r="A1739" t="s">
        <v>3448</v>
      </c>
      <c r="B1739" t="s">
        <v>2093</v>
      </c>
      <c r="C1739" t="s">
        <v>2100</v>
      </c>
      <c r="D1739" s="1">
        <v>43647</v>
      </c>
      <c r="E1739" s="1">
        <v>45051</v>
      </c>
      <c r="F1739">
        <v>241</v>
      </c>
      <c r="G1739">
        <v>2</v>
      </c>
      <c r="H1739">
        <v>137.66999999999999</v>
      </c>
      <c r="I1739">
        <v>45.03</v>
      </c>
      <c r="J1739" t="s">
        <v>90</v>
      </c>
      <c r="K1739" t="s">
        <v>16</v>
      </c>
      <c r="L1739" t="s">
        <v>2106</v>
      </c>
      <c r="M1739">
        <v>10</v>
      </c>
      <c r="N1739" t="s">
        <v>174</v>
      </c>
      <c r="O1739" t="s">
        <v>2088</v>
      </c>
    </row>
    <row r="1740" spans="1:15">
      <c r="A1740" t="s">
        <v>3449</v>
      </c>
      <c r="B1740" t="s">
        <v>2085</v>
      </c>
      <c r="C1740" t="s">
        <v>2111</v>
      </c>
      <c r="D1740" s="1">
        <v>44344</v>
      </c>
      <c r="E1740" s="1">
        <v>45193</v>
      </c>
      <c r="F1740">
        <v>99</v>
      </c>
      <c r="G1740">
        <v>16</v>
      </c>
      <c r="H1740">
        <v>2967.1</v>
      </c>
      <c r="I1740">
        <v>234.88</v>
      </c>
      <c r="J1740" t="s">
        <v>66</v>
      </c>
      <c r="K1740" t="s">
        <v>20</v>
      </c>
      <c r="L1740" t="s">
        <v>2087</v>
      </c>
      <c r="M1740">
        <v>7</v>
      </c>
      <c r="N1740" t="s">
        <v>165</v>
      </c>
      <c r="O1740" t="s">
        <v>2121</v>
      </c>
    </row>
    <row r="1741" spans="1:15">
      <c r="A1741" t="s">
        <v>3450</v>
      </c>
      <c r="B1741" t="s">
        <v>2099</v>
      </c>
      <c r="C1741" t="s">
        <v>2111</v>
      </c>
      <c r="D1741" s="1">
        <v>43917</v>
      </c>
      <c r="E1741" s="1">
        <v>44964</v>
      </c>
      <c r="F1741">
        <v>328</v>
      </c>
      <c r="G1741">
        <v>1</v>
      </c>
      <c r="H1741">
        <v>133.34</v>
      </c>
      <c r="I1741">
        <v>92.91</v>
      </c>
      <c r="J1741" t="s">
        <v>14</v>
      </c>
      <c r="K1741" t="s">
        <v>16</v>
      </c>
      <c r="L1741" t="s">
        <v>2106</v>
      </c>
      <c r="M1741">
        <v>8</v>
      </c>
      <c r="N1741" t="s">
        <v>157</v>
      </c>
      <c r="O1741" t="s">
        <v>2107</v>
      </c>
    </row>
    <row r="1742" spans="1:15">
      <c r="A1742" t="s">
        <v>3451</v>
      </c>
      <c r="B1742" t="s">
        <v>2085</v>
      </c>
      <c r="C1742" t="s">
        <v>2100</v>
      </c>
      <c r="D1742" s="1">
        <v>43881</v>
      </c>
      <c r="E1742" s="1">
        <v>45236</v>
      </c>
      <c r="F1742">
        <v>56</v>
      </c>
      <c r="G1742">
        <v>39</v>
      </c>
      <c r="H1742">
        <v>2148.3200000000002</v>
      </c>
      <c r="I1742">
        <v>199.44</v>
      </c>
      <c r="J1742" t="s">
        <v>115</v>
      </c>
      <c r="K1742" t="s">
        <v>20</v>
      </c>
      <c r="L1742" t="s">
        <v>2087</v>
      </c>
      <c r="M1742">
        <v>2</v>
      </c>
      <c r="N1742" t="s">
        <v>174</v>
      </c>
      <c r="O1742" t="s">
        <v>2088</v>
      </c>
    </row>
    <row r="1743" spans="1:15">
      <c r="A1743" t="s">
        <v>3452</v>
      </c>
      <c r="B1743" t="s">
        <v>2090</v>
      </c>
      <c r="C1743" t="s">
        <v>2091</v>
      </c>
      <c r="D1743" s="1">
        <v>44330</v>
      </c>
      <c r="E1743" s="1">
        <v>45237</v>
      </c>
      <c r="F1743">
        <v>55</v>
      </c>
      <c r="G1743">
        <v>2</v>
      </c>
      <c r="H1743">
        <v>319.04000000000002</v>
      </c>
      <c r="I1743">
        <v>51.19</v>
      </c>
      <c r="J1743" t="s">
        <v>90</v>
      </c>
      <c r="K1743" t="s">
        <v>16</v>
      </c>
      <c r="L1743" t="s">
        <v>2106</v>
      </c>
      <c r="M1743">
        <v>5</v>
      </c>
      <c r="N1743" t="s">
        <v>165</v>
      </c>
      <c r="O1743" t="s">
        <v>2096</v>
      </c>
    </row>
    <row r="1744" spans="1:15">
      <c r="A1744" t="s">
        <v>3453</v>
      </c>
      <c r="B1744" t="s">
        <v>2093</v>
      </c>
      <c r="C1744" t="s">
        <v>2111</v>
      </c>
      <c r="D1744" s="1">
        <v>44446</v>
      </c>
      <c r="E1744" s="1">
        <v>45280</v>
      </c>
      <c r="F1744">
        <v>12</v>
      </c>
      <c r="G1744">
        <v>1</v>
      </c>
      <c r="H1744">
        <v>98.94</v>
      </c>
      <c r="I1744">
        <v>49.15</v>
      </c>
      <c r="J1744" t="s">
        <v>115</v>
      </c>
      <c r="K1744" t="s">
        <v>16</v>
      </c>
      <c r="L1744" t="s">
        <v>2087</v>
      </c>
      <c r="M1744">
        <v>6</v>
      </c>
      <c r="N1744" t="s">
        <v>179</v>
      </c>
      <c r="O1744" t="s">
        <v>2107</v>
      </c>
    </row>
    <row r="1745" spans="1:15">
      <c r="A1745" t="s">
        <v>3454</v>
      </c>
      <c r="B1745" t="s">
        <v>2093</v>
      </c>
      <c r="C1745" t="s">
        <v>2100</v>
      </c>
      <c r="D1745" s="1">
        <v>44303</v>
      </c>
      <c r="E1745" s="1">
        <v>45047</v>
      </c>
      <c r="F1745">
        <v>245</v>
      </c>
      <c r="G1745">
        <v>5</v>
      </c>
      <c r="H1745">
        <v>122.26</v>
      </c>
      <c r="I1745">
        <v>77.489999999999995</v>
      </c>
      <c r="J1745" t="s">
        <v>115</v>
      </c>
      <c r="K1745" t="s">
        <v>20</v>
      </c>
      <c r="L1745" t="s">
        <v>2106</v>
      </c>
      <c r="M1745">
        <v>10</v>
      </c>
      <c r="N1745" t="s">
        <v>194</v>
      </c>
      <c r="O1745" t="s">
        <v>2096</v>
      </c>
    </row>
    <row r="1746" spans="1:15">
      <c r="A1746" t="s">
        <v>1988</v>
      </c>
      <c r="B1746" t="s">
        <v>2085</v>
      </c>
      <c r="C1746" t="s">
        <v>2091</v>
      </c>
      <c r="D1746" s="1">
        <v>45068</v>
      </c>
      <c r="E1746" s="1">
        <v>45254</v>
      </c>
      <c r="F1746">
        <v>38</v>
      </c>
      <c r="G1746">
        <v>35</v>
      </c>
      <c r="H1746">
        <v>2240.4299999999998</v>
      </c>
      <c r="I1746">
        <v>275.82</v>
      </c>
      <c r="J1746" t="s">
        <v>90</v>
      </c>
      <c r="K1746" t="s">
        <v>16</v>
      </c>
      <c r="L1746" t="s">
        <v>2095</v>
      </c>
      <c r="M1746">
        <v>9</v>
      </c>
      <c r="N1746" t="s">
        <v>157</v>
      </c>
      <c r="O1746" t="s">
        <v>2107</v>
      </c>
    </row>
    <row r="1747" spans="1:15">
      <c r="A1747" t="s">
        <v>1255</v>
      </c>
      <c r="B1747" t="s">
        <v>2099</v>
      </c>
      <c r="C1747" t="s">
        <v>2111</v>
      </c>
      <c r="D1747" s="1">
        <v>44881</v>
      </c>
      <c r="E1747" s="1">
        <v>45190</v>
      </c>
      <c r="F1747">
        <v>102</v>
      </c>
      <c r="G1747">
        <v>2</v>
      </c>
      <c r="H1747">
        <v>76.55</v>
      </c>
      <c r="I1747">
        <v>61.18</v>
      </c>
      <c r="J1747" t="s">
        <v>115</v>
      </c>
      <c r="K1747" t="s">
        <v>20</v>
      </c>
      <c r="L1747" t="s">
        <v>2106</v>
      </c>
      <c r="M1747">
        <v>3</v>
      </c>
      <c r="N1747" t="s">
        <v>204</v>
      </c>
      <c r="O1747" t="s">
        <v>2109</v>
      </c>
    </row>
    <row r="1748" spans="1:15">
      <c r="A1748" t="s">
        <v>3455</v>
      </c>
      <c r="B1748" t="s">
        <v>2085</v>
      </c>
      <c r="C1748" t="s">
        <v>2108</v>
      </c>
      <c r="D1748" s="1">
        <v>43849</v>
      </c>
      <c r="E1748" s="1">
        <v>45208</v>
      </c>
      <c r="F1748">
        <v>84</v>
      </c>
      <c r="G1748">
        <v>24</v>
      </c>
      <c r="H1748">
        <v>2976.92</v>
      </c>
      <c r="I1748">
        <v>164.97</v>
      </c>
      <c r="J1748" t="s">
        <v>115</v>
      </c>
      <c r="K1748" t="s">
        <v>20</v>
      </c>
      <c r="L1748" t="s">
        <v>2106</v>
      </c>
      <c r="M1748">
        <v>8</v>
      </c>
      <c r="N1748" t="s">
        <v>232</v>
      </c>
      <c r="O1748" t="s">
        <v>2096</v>
      </c>
    </row>
    <row r="1749" spans="1:15">
      <c r="A1749" t="s">
        <v>3456</v>
      </c>
      <c r="B1749" t="s">
        <v>2099</v>
      </c>
      <c r="C1749" t="s">
        <v>2086</v>
      </c>
      <c r="D1749" s="1">
        <v>44117</v>
      </c>
      <c r="E1749" s="1">
        <v>45216</v>
      </c>
      <c r="F1749">
        <v>76</v>
      </c>
      <c r="G1749">
        <v>2</v>
      </c>
      <c r="H1749">
        <v>95.5</v>
      </c>
      <c r="I1749">
        <v>39.35</v>
      </c>
      <c r="J1749" t="s">
        <v>14</v>
      </c>
      <c r="K1749" t="s">
        <v>16</v>
      </c>
      <c r="L1749" t="s">
        <v>2087</v>
      </c>
      <c r="M1749">
        <v>5</v>
      </c>
      <c r="N1749" t="s">
        <v>232</v>
      </c>
      <c r="O1749" t="s">
        <v>2109</v>
      </c>
    </row>
    <row r="1750" spans="1:15">
      <c r="A1750" t="s">
        <v>3457</v>
      </c>
      <c r="B1750" t="s">
        <v>2099</v>
      </c>
      <c r="C1750" t="s">
        <v>2100</v>
      </c>
      <c r="D1750" s="1">
        <v>44701</v>
      </c>
      <c r="E1750" s="1">
        <v>45180</v>
      </c>
      <c r="F1750">
        <v>112</v>
      </c>
      <c r="G1750">
        <v>2</v>
      </c>
      <c r="H1750">
        <v>39.799999999999997</v>
      </c>
      <c r="I1750">
        <v>45.82</v>
      </c>
      <c r="J1750" t="s">
        <v>66</v>
      </c>
      <c r="K1750" t="s">
        <v>16</v>
      </c>
      <c r="L1750" t="s">
        <v>2106</v>
      </c>
      <c r="M1750">
        <v>3</v>
      </c>
      <c r="N1750" t="s">
        <v>232</v>
      </c>
      <c r="O1750" t="s">
        <v>2121</v>
      </c>
    </row>
    <row r="1751" spans="1:15">
      <c r="A1751" t="s">
        <v>3458</v>
      </c>
      <c r="B1751" t="s">
        <v>2093</v>
      </c>
      <c r="C1751" t="s">
        <v>2094</v>
      </c>
      <c r="D1751" s="1">
        <v>43614</v>
      </c>
      <c r="E1751" s="1">
        <v>45290</v>
      </c>
      <c r="F1751">
        <v>2</v>
      </c>
      <c r="G1751">
        <v>5</v>
      </c>
      <c r="H1751">
        <v>34.19</v>
      </c>
      <c r="I1751">
        <v>21.76</v>
      </c>
      <c r="J1751" t="s">
        <v>14</v>
      </c>
      <c r="K1751" t="s">
        <v>16</v>
      </c>
      <c r="L1751" t="s">
        <v>2095</v>
      </c>
      <c r="M1751">
        <v>6</v>
      </c>
      <c r="N1751" t="s">
        <v>194</v>
      </c>
      <c r="O1751" t="s">
        <v>2109</v>
      </c>
    </row>
    <row r="1752" spans="1:15">
      <c r="A1752" t="s">
        <v>3459</v>
      </c>
      <c r="B1752" t="s">
        <v>2090</v>
      </c>
      <c r="C1752" t="s">
        <v>2086</v>
      </c>
      <c r="D1752" s="1">
        <v>45151</v>
      </c>
      <c r="E1752" s="1">
        <v>44998</v>
      </c>
      <c r="F1752">
        <v>294</v>
      </c>
      <c r="G1752">
        <v>6</v>
      </c>
      <c r="H1752">
        <v>140.31</v>
      </c>
      <c r="I1752">
        <v>45.6</v>
      </c>
      <c r="J1752" t="s">
        <v>66</v>
      </c>
      <c r="K1752" t="s">
        <v>16</v>
      </c>
      <c r="L1752" t="s">
        <v>2087</v>
      </c>
      <c r="M1752">
        <v>1</v>
      </c>
      <c r="N1752" t="s">
        <v>232</v>
      </c>
      <c r="O1752" t="s">
        <v>2088</v>
      </c>
    </row>
    <row r="1753" spans="1:15">
      <c r="A1753" t="s">
        <v>3460</v>
      </c>
      <c r="B1753" t="s">
        <v>2099</v>
      </c>
      <c r="C1753" t="s">
        <v>2100</v>
      </c>
      <c r="D1753" s="1">
        <v>44097</v>
      </c>
      <c r="E1753" s="1">
        <v>45196</v>
      </c>
      <c r="F1753">
        <v>96</v>
      </c>
      <c r="G1753">
        <v>1</v>
      </c>
      <c r="H1753">
        <v>104.28</v>
      </c>
      <c r="I1753">
        <v>87.32</v>
      </c>
      <c r="J1753" t="s">
        <v>14</v>
      </c>
      <c r="K1753" t="s">
        <v>16</v>
      </c>
      <c r="L1753" t="s">
        <v>2106</v>
      </c>
      <c r="M1753">
        <v>5</v>
      </c>
      <c r="N1753" t="s">
        <v>179</v>
      </c>
      <c r="O1753" t="s">
        <v>2096</v>
      </c>
    </row>
    <row r="1754" spans="1:15">
      <c r="A1754" t="s">
        <v>3461</v>
      </c>
      <c r="B1754" t="s">
        <v>2085</v>
      </c>
      <c r="C1754" t="s">
        <v>2108</v>
      </c>
      <c r="D1754" s="1">
        <v>44683</v>
      </c>
      <c r="E1754" s="1">
        <v>45287</v>
      </c>
      <c r="F1754">
        <v>5</v>
      </c>
      <c r="G1754">
        <v>34</v>
      </c>
      <c r="H1754">
        <v>2127.63</v>
      </c>
      <c r="I1754">
        <v>152.38</v>
      </c>
      <c r="J1754" t="s">
        <v>41</v>
      </c>
      <c r="K1754" t="s">
        <v>20</v>
      </c>
      <c r="L1754" t="s">
        <v>2087</v>
      </c>
      <c r="M1754">
        <v>8</v>
      </c>
      <c r="N1754" t="s">
        <v>179</v>
      </c>
      <c r="O1754" t="s">
        <v>2109</v>
      </c>
    </row>
    <row r="1755" spans="1:15">
      <c r="A1755" t="s">
        <v>1869</v>
      </c>
      <c r="B1755" t="s">
        <v>2113</v>
      </c>
      <c r="C1755" t="s">
        <v>2091</v>
      </c>
      <c r="D1755" s="1">
        <v>44781</v>
      </c>
      <c r="E1755" s="1">
        <v>44935</v>
      </c>
      <c r="F1755">
        <v>357</v>
      </c>
      <c r="G1755">
        <v>19</v>
      </c>
      <c r="H1755">
        <v>596.21</v>
      </c>
      <c r="I1755">
        <v>61.32</v>
      </c>
      <c r="J1755" t="s">
        <v>115</v>
      </c>
      <c r="K1755" t="s">
        <v>16</v>
      </c>
      <c r="L1755" t="s">
        <v>2095</v>
      </c>
      <c r="M1755">
        <v>1</v>
      </c>
      <c r="N1755" t="s">
        <v>174</v>
      </c>
      <c r="O1755" t="s">
        <v>2107</v>
      </c>
    </row>
    <row r="1756" spans="1:15">
      <c r="A1756" t="s">
        <v>227</v>
      </c>
      <c r="B1756" t="s">
        <v>2113</v>
      </c>
      <c r="C1756" t="s">
        <v>2111</v>
      </c>
      <c r="D1756" s="1">
        <v>45177</v>
      </c>
      <c r="E1756" s="1">
        <v>45247</v>
      </c>
      <c r="F1756">
        <v>45</v>
      </c>
      <c r="G1756">
        <v>5</v>
      </c>
      <c r="H1756">
        <v>131.9</v>
      </c>
      <c r="I1756">
        <v>55.36</v>
      </c>
      <c r="J1756" t="s">
        <v>90</v>
      </c>
      <c r="K1756" t="s">
        <v>16</v>
      </c>
      <c r="L1756" t="s">
        <v>2095</v>
      </c>
      <c r="M1756">
        <v>9</v>
      </c>
      <c r="N1756" t="s">
        <v>179</v>
      </c>
      <c r="O1756" t="s">
        <v>2096</v>
      </c>
    </row>
    <row r="1757" spans="1:15">
      <c r="A1757" t="s">
        <v>1147</v>
      </c>
      <c r="B1757" t="s">
        <v>2099</v>
      </c>
      <c r="C1757" t="s">
        <v>2100</v>
      </c>
      <c r="D1757" s="1">
        <v>43931</v>
      </c>
      <c r="E1757" s="1">
        <v>45023</v>
      </c>
      <c r="F1757">
        <v>269</v>
      </c>
      <c r="G1757">
        <v>2</v>
      </c>
      <c r="H1757">
        <v>39.4</v>
      </c>
      <c r="I1757">
        <v>34.49</v>
      </c>
      <c r="J1757" t="s">
        <v>115</v>
      </c>
      <c r="K1757" t="s">
        <v>16</v>
      </c>
      <c r="L1757" t="s">
        <v>2095</v>
      </c>
      <c r="M1757">
        <v>10</v>
      </c>
      <c r="N1757" t="s">
        <v>232</v>
      </c>
      <c r="O1757" t="s">
        <v>2096</v>
      </c>
    </row>
    <row r="1758" spans="1:15">
      <c r="A1758" t="s">
        <v>3462</v>
      </c>
      <c r="B1758" t="s">
        <v>2099</v>
      </c>
      <c r="C1758" t="s">
        <v>2091</v>
      </c>
      <c r="D1758" s="1">
        <v>44486</v>
      </c>
      <c r="E1758" s="1">
        <v>45254</v>
      </c>
      <c r="F1758">
        <v>38</v>
      </c>
      <c r="G1758">
        <v>1</v>
      </c>
      <c r="H1758">
        <v>135.24</v>
      </c>
      <c r="I1758">
        <v>21.09</v>
      </c>
      <c r="J1758" t="s">
        <v>14</v>
      </c>
      <c r="K1758" t="s">
        <v>16</v>
      </c>
      <c r="L1758" t="s">
        <v>2087</v>
      </c>
      <c r="M1758">
        <v>2</v>
      </c>
      <c r="N1758" t="s">
        <v>204</v>
      </c>
      <c r="O1758" t="s">
        <v>2109</v>
      </c>
    </row>
    <row r="1759" spans="1:15">
      <c r="A1759" t="s">
        <v>3463</v>
      </c>
      <c r="B1759" t="s">
        <v>2097</v>
      </c>
      <c r="C1759" t="s">
        <v>2100</v>
      </c>
      <c r="D1759" s="1">
        <v>44210</v>
      </c>
      <c r="E1759" s="1">
        <v>45049</v>
      </c>
      <c r="F1759">
        <v>243</v>
      </c>
      <c r="G1759">
        <v>7</v>
      </c>
      <c r="H1759">
        <v>606.14</v>
      </c>
      <c r="I1759">
        <v>107.42</v>
      </c>
      <c r="J1759" t="s">
        <v>66</v>
      </c>
      <c r="K1759" t="s">
        <v>16</v>
      </c>
      <c r="L1759" t="s">
        <v>2106</v>
      </c>
      <c r="M1759">
        <v>5</v>
      </c>
      <c r="N1759" t="s">
        <v>204</v>
      </c>
      <c r="O1759" t="s">
        <v>2096</v>
      </c>
    </row>
    <row r="1760" spans="1:15">
      <c r="A1760" t="s">
        <v>3464</v>
      </c>
      <c r="B1760" t="s">
        <v>2093</v>
      </c>
      <c r="C1760" t="s">
        <v>2100</v>
      </c>
      <c r="D1760" s="1">
        <v>44689</v>
      </c>
      <c r="E1760" s="1">
        <v>45115</v>
      </c>
      <c r="F1760">
        <v>177</v>
      </c>
      <c r="G1760">
        <v>3</v>
      </c>
      <c r="H1760">
        <v>81.86</v>
      </c>
      <c r="I1760">
        <v>76.760000000000005</v>
      </c>
      <c r="J1760" t="s">
        <v>90</v>
      </c>
      <c r="K1760" t="s">
        <v>16</v>
      </c>
      <c r="L1760" t="s">
        <v>2095</v>
      </c>
      <c r="M1760">
        <v>6</v>
      </c>
      <c r="N1760" t="s">
        <v>232</v>
      </c>
      <c r="O1760" t="s">
        <v>2109</v>
      </c>
    </row>
    <row r="1761" spans="1:15">
      <c r="A1761" t="s">
        <v>3465</v>
      </c>
      <c r="B1761" t="s">
        <v>2097</v>
      </c>
      <c r="C1761" t="s">
        <v>2094</v>
      </c>
      <c r="D1761" s="1">
        <v>44229</v>
      </c>
      <c r="E1761" s="1">
        <v>45039</v>
      </c>
      <c r="F1761">
        <v>253</v>
      </c>
      <c r="G1761">
        <v>8</v>
      </c>
      <c r="H1761">
        <v>569.86</v>
      </c>
      <c r="I1761">
        <v>75.319999999999993</v>
      </c>
      <c r="J1761" t="s">
        <v>66</v>
      </c>
      <c r="K1761" t="s">
        <v>20</v>
      </c>
      <c r="L1761" t="s">
        <v>2095</v>
      </c>
      <c r="M1761">
        <v>4</v>
      </c>
      <c r="N1761" t="s">
        <v>204</v>
      </c>
      <c r="O1761" t="s">
        <v>2109</v>
      </c>
    </row>
    <row r="1762" spans="1:15">
      <c r="A1762" t="s">
        <v>3466</v>
      </c>
      <c r="B1762" t="s">
        <v>2090</v>
      </c>
      <c r="C1762" t="s">
        <v>2091</v>
      </c>
      <c r="D1762" s="1">
        <v>45255</v>
      </c>
      <c r="E1762" s="1">
        <v>45190</v>
      </c>
      <c r="F1762">
        <v>102</v>
      </c>
      <c r="G1762">
        <v>6</v>
      </c>
      <c r="H1762">
        <v>292.05</v>
      </c>
      <c r="I1762">
        <v>73.510000000000005</v>
      </c>
      <c r="J1762" t="s">
        <v>66</v>
      </c>
      <c r="K1762" t="s">
        <v>20</v>
      </c>
      <c r="L1762" t="s">
        <v>2095</v>
      </c>
      <c r="M1762">
        <v>4</v>
      </c>
      <c r="N1762" t="s">
        <v>232</v>
      </c>
      <c r="O1762" t="s">
        <v>2107</v>
      </c>
    </row>
    <row r="1763" spans="1:15">
      <c r="A1763" t="s">
        <v>3467</v>
      </c>
      <c r="B1763" t="s">
        <v>2093</v>
      </c>
      <c r="C1763" t="s">
        <v>2100</v>
      </c>
      <c r="D1763" s="1">
        <v>44756</v>
      </c>
      <c r="E1763" s="1">
        <v>45008</v>
      </c>
      <c r="F1763">
        <v>284</v>
      </c>
      <c r="G1763">
        <v>3</v>
      </c>
      <c r="H1763">
        <v>141.34</v>
      </c>
      <c r="I1763">
        <v>76.680000000000007</v>
      </c>
      <c r="J1763" t="s">
        <v>90</v>
      </c>
      <c r="K1763" t="s">
        <v>16</v>
      </c>
      <c r="L1763" t="s">
        <v>2087</v>
      </c>
      <c r="M1763">
        <v>6</v>
      </c>
      <c r="N1763" t="s">
        <v>179</v>
      </c>
      <c r="O1763" t="s">
        <v>2121</v>
      </c>
    </row>
    <row r="1764" spans="1:15">
      <c r="A1764" t="s">
        <v>3468</v>
      </c>
      <c r="B1764" t="s">
        <v>2090</v>
      </c>
      <c r="C1764" t="s">
        <v>2100</v>
      </c>
      <c r="D1764" s="1">
        <v>44823</v>
      </c>
      <c r="E1764" s="1">
        <v>45162</v>
      </c>
      <c r="F1764">
        <v>130</v>
      </c>
      <c r="G1764">
        <v>4</v>
      </c>
      <c r="H1764">
        <v>156.91</v>
      </c>
      <c r="I1764">
        <v>42.34</v>
      </c>
      <c r="J1764" t="s">
        <v>66</v>
      </c>
      <c r="K1764" t="s">
        <v>20</v>
      </c>
      <c r="L1764" t="s">
        <v>2087</v>
      </c>
      <c r="M1764">
        <v>0</v>
      </c>
      <c r="N1764" t="s">
        <v>232</v>
      </c>
      <c r="O1764" t="s">
        <v>2088</v>
      </c>
    </row>
    <row r="1765" spans="1:15">
      <c r="A1765" t="s">
        <v>3469</v>
      </c>
      <c r="B1765" t="s">
        <v>2113</v>
      </c>
      <c r="C1765" t="s">
        <v>2086</v>
      </c>
      <c r="D1765" s="1">
        <v>44302</v>
      </c>
      <c r="E1765" s="1">
        <v>45239</v>
      </c>
      <c r="F1765">
        <v>53</v>
      </c>
      <c r="G1765">
        <v>12</v>
      </c>
      <c r="H1765">
        <v>179.53</v>
      </c>
      <c r="I1765">
        <v>74.19</v>
      </c>
      <c r="J1765" t="s">
        <v>41</v>
      </c>
      <c r="K1765" t="s">
        <v>20</v>
      </c>
      <c r="L1765" t="s">
        <v>2106</v>
      </c>
      <c r="M1765">
        <v>4</v>
      </c>
      <c r="N1765" t="s">
        <v>194</v>
      </c>
      <c r="O1765" t="s">
        <v>2107</v>
      </c>
    </row>
    <row r="1766" spans="1:15">
      <c r="A1766" t="s">
        <v>3470</v>
      </c>
      <c r="B1766" t="s">
        <v>2093</v>
      </c>
      <c r="C1766" t="s">
        <v>2111</v>
      </c>
      <c r="D1766" s="1">
        <v>45240</v>
      </c>
      <c r="E1766" s="1">
        <v>45201</v>
      </c>
      <c r="F1766">
        <v>91</v>
      </c>
      <c r="G1766">
        <v>4</v>
      </c>
      <c r="H1766">
        <v>199.46</v>
      </c>
      <c r="I1766">
        <v>61.43</v>
      </c>
      <c r="J1766" t="s">
        <v>66</v>
      </c>
      <c r="K1766" t="s">
        <v>16</v>
      </c>
      <c r="L1766" t="s">
        <v>2106</v>
      </c>
      <c r="M1766">
        <v>4</v>
      </c>
      <c r="N1766" t="s">
        <v>194</v>
      </c>
      <c r="O1766" t="s">
        <v>2096</v>
      </c>
    </row>
    <row r="1767" spans="1:15">
      <c r="A1767" t="s">
        <v>3471</v>
      </c>
      <c r="B1767" t="s">
        <v>2113</v>
      </c>
      <c r="C1767" t="s">
        <v>2091</v>
      </c>
      <c r="D1767" s="1">
        <v>44287</v>
      </c>
      <c r="E1767" s="1">
        <v>45164</v>
      </c>
      <c r="F1767">
        <v>128</v>
      </c>
      <c r="G1767">
        <v>6</v>
      </c>
      <c r="H1767">
        <v>397.94</v>
      </c>
      <c r="I1767">
        <v>56.6</v>
      </c>
      <c r="J1767" t="s">
        <v>14</v>
      </c>
      <c r="K1767" t="s">
        <v>16</v>
      </c>
      <c r="L1767" t="s">
        <v>2087</v>
      </c>
      <c r="M1767">
        <v>3</v>
      </c>
      <c r="N1767" t="s">
        <v>194</v>
      </c>
      <c r="O1767" t="s">
        <v>2107</v>
      </c>
    </row>
    <row r="1768" spans="1:15">
      <c r="A1768" t="s">
        <v>961</v>
      </c>
      <c r="B1768" t="s">
        <v>2090</v>
      </c>
      <c r="C1768" t="s">
        <v>2091</v>
      </c>
      <c r="D1768" s="1">
        <v>44423</v>
      </c>
      <c r="E1768" s="1">
        <v>45155</v>
      </c>
      <c r="F1768">
        <v>137</v>
      </c>
      <c r="G1768">
        <v>8</v>
      </c>
      <c r="H1768">
        <v>142.77000000000001</v>
      </c>
      <c r="I1768">
        <v>43.65</v>
      </c>
      <c r="J1768" t="s">
        <v>90</v>
      </c>
      <c r="K1768" t="s">
        <v>16</v>
      </c>
      <c r="L1768" t="s">
        <v>2106</v>
      </c>
      <c r="M1768">
        <v>5</v>
      </c>
      <c r="N1768" t="s">
        <v>194</v>
      </c>
      <c r="O1768" t="s">
        <v>2121</v>
      </c>
    </row>
    <row r="1769" spans="1:15">
      <c r="A1769" t="s">
        <v>3472</v>
      </c>
      <c r="B1769" t="s">
        <v>2093</v>
      </c>
      <c r="C1769" t="s">
        <v>2091</v>
      </c>
      <c r="D1769" s="1">
        <v>43595</v>
      </c>
      <c r="E1769" s="1">
        <v>45142</v>
      </c>
      <c r="F1769">
        <v>150</v>
      </c>
      <c r="G1769">
        <v>1</v>
      </c>
      <c r="H1769">
        <v>71.09</v>
      </c>
      <c r="I1769">
        <v>75.52</v>
      </c>
      <c r="J1769" t="s">
        <v>66</v>
      </c>
      <c r="K1769" t="s">
        <v>20</v>
      </c>
      <c r="L1769" t="s">
        <v>2087</v>
      </c>
      <c r="M1769">
        <v>1</v>
      </c>
      <c r="N1769" t="s">
        <v>194</v>
      </c>
      <c r="O1769" t="s">
        <v>2096</v>
      </c>
    </row>
    <row r="1770" spans="1:15">
      <c r="A1770" t="s">
        <v>720</v>
      </c>
      <c r="B1770" t="s">
        <v>2093</v>
      </c>
      <c r="C1770" t="s">
        <v>2111</v>
      </c>
      <c r="D1770" s="1">
        <v>44080</v>
      </c>
      <c r="E1770" s="1">
        <v>45102</v>
      </c>
      <c r="F1770">
        <v>190</v>
      </c>
      <c r="G1770">
        <v>2</v>
      </c>
      <c r="H1770">
        <v>147.15</v>
      </c>
      <c r="I1770">
        <v>58.16</v>
      </c>
      <c r="J1770" t="s">
        <v>41</v>
      </c>
      <c r="K1770" t="s">
        <v>20</v>
      </c>
      <c r="L1770" t="s">
        <v>2095</v>
      </c>
      <c r="M1770">
        <v>4</v>
      </c>
      <c r="N1770" t="s">
        <v>157</v>
      </c>
      <c r="O1770" t="s">
        <v>2121</v>
      </c>
    </row>
    <row r="1771" spans="1:15">
      <c r="A1771" t="s">
        <v>3473</v>
      </c>
      <c r="B1771" t="s">
        <v>2097</v>
      </c>
      <c r="C1771" t="s">
        <v>2108</v>
      </c>
      <c r="D1771" s="1">
        <v>44008</v>
      </c>
      <c r="E1771" s="1">
        <v>45277</v>
      </c>
      <c r="F1771">
        <v>15</v>
      </c>
      <c r="G1771">
        <v>4</v>
      </c>
      <c r="H1771">
        <v>240.52</v>
      </c>
      <c r="I1771">
        <v>96.4</v>
      </c>
      <c r="J1771" t="s">
        <v>41</v>
      </c>
      <c r="K1771" t="s">
        <v>16</v>
      </c>
      <c r="L1771" t="s">
        <v>2087</v>
      </c>
      <c r="M1771">
        <v>9</v>
      </c>
      <c r="N1771" t="s">
        <v>179</v>
      </c>
      <c r="O1771" t="s">
        <v>2121</v>
      </c>
    </row>
    <row r="1772" spans="1:15">
      <c r="A1772" t="s">
        <v>3474</v>
      </c>
      <c r="B1772" t="s">
        <v>2097</v>
      </c>
      <c r="C1772" t="s">
        <v>2091</v>
      </c>
      <c r="D1772" s="1">
        <v>43671</v>
      </c>
      <c r="E1772" s="1">
        <v>44984</v>
      </c>
      <c r="F1772">
        <v>308</v>
      </c>
      <c r="G1772">
        <v>4</v>
      </c>
      <c r="H1772">
        <v>668.37</v>
      </c>
      <c r="I1772">
        <v>122.49</v>
      </c>
      <c r="J1772" t="s">
        <v>41</v>
      </c>
      <c r="K1772" t="s">
        <v>20</v>
      </c>
      <c r="L1772" t="s">
        <v>2087</v>
      </c>
      <c r="M1772">
        <v>9</v>
      </c>
      <c r="N1772" t="s">
        <v>174</v>
      </c>
      <c r="O1772" t="s">
        <v>2121</v>
      </c>
    </row>
    <row r="1773" spans="1:15">
      <c r="A1773" t="s">
        <v>3475</v>
      </c>
      <c r="B1773" t="s">
        <v>2097</v>
      </c>
      <c r="C1773" t="s">
        <v>2091</v>
      </c>
      <c r="D1773" s="1">
        <v>45139</v>
      </c>
      <c r="E1773" s="1">
        <v>45062</v>
      </c>
      <c r="F1773">
        <v>230</v>
      </c>
      <c r="G1773">
        <v>9</v>
      </c>
      <c r="H1773">
        <v>382.68</v>
      </c>
      <c r="I1773">
        <v>138.49</v>
      </c>
      <c r="J1773" t="s">
        <v>115</v>
      </c>
      <c r="K1773" t="s">
        <v>16</v>
      </c>
      <c r="L1773" t="s">
        <v>2106</v>
      </c>
      <c r="M1773">
        <v>6</v>
      </c>
      <c r="N1773" t="s">
        <v>157</v>
      </c>
      <c r="O1773" t="s">
        <v>2121</v>
      </c>
    </row>
    <row r="1774" spans="1:15">
      <c r="A1774" t="s">
        <v>536</v>
      </c>
      <c r="B1774" t="s">
        <v>2085</v>
      </c>
      <c r="C1774" t="s">
        <v>2091</v>
      </c>
      <c r="D1774" s="1">
        <v>43923</v>
      </c>
      <c r="E1774" s="1">
        <v>45197</v>
      </c>
      <c r="F1774">
        <v>95</v>
      </c>
      <c r="G1774">
        <v>34</v>
      </c>
      <c r="H1774">
        <v>912.45</v>
      </c>
      <c r="I1774">
        <v>172.7</v>
      </c>
      <c r="J1774" t="s">
        <v>115</v>
      </c>
      <c r="K1774" t="s">
        <v>20</v>
      </c>
      <c r="L1774" t="s">
        <v>2106</v>
      </c>
      <c r="M1774">
        <v>5</v>
      </c>
      <c r="N1774" t="s">
        <v>194</v>
      </c>
      <c r="O1774" t="s">
        <v>2121</v>
      </c>
    </row>
    <row r="1775" spans="1:15">
      <c r="A1775" t="s">
        <v>1886</v>
      </c>
      <c r="B1775" t="s">
        <v>2113</v>
      </c>
      <c r="C1775" t="s">
        <v>2108</v>
      </c>
      <c r="D1775" s="1">
        <v>43549</v>
      </c>
      <c r="E1775" s="1">
        <v>45236</v>
      </c>
      <c r="F1775">
        <v>56</v>
      </c>
      <c r="G1775">
        <v>7</v>
      </c>
      <c r="H1775">
        <v>229.77</v>
      </c>
      <c r="I1775">
        <v>67.83</v>
      </c>
      <c r="J1775" t="s">
        <v>14</v>
      </c>
      <c r="K1775" t="s">
        <v>20</v>
      </c>
      <c r="L1775" t="s">
        <v>2095</v>
      </c>
      <c r="M1775">
        <v>5</v>
      </c>
      <c r="N1775" t="s">
        <v>174</v>
      </c>
      <c r="O1775" t="s">
        <v>2096</v>
      </c>
    </row>
    <row r="1776" spans="1:15">
      <c r="A1776" t="s">
        <v>3476</v>
      </c>
      <c r="B1776" t="s">
        <v>2099</v>
      </c>
      <c r="C1776" t="s">
        <v>2091</v>
      </c>
      <c r="D1776" s="1">
        <v>45013</v>
      </c>
      <c r="E1776" s="1">
        <v>45277</v>
      </c>
      <c r="F1776">
        <v>15</v>
      </c>
      <c r="G1776">
        <v>2</v>
      </c>
      <c r="H1776">
        <v>64.72</v>
      </c>
      <c r="I1776">
        <v>48.6</v>
      </c>
      <c r="J1776" t="s">
        <v>90</v>
      </c>
      <c r="K1776" t="s">
        <v>20</v>
      </c>
      <c r="L1776" t="s">
        <v>2095</v>
      </c>
      <c r="M1776">
        <v>6</v>
      </c>
      <c r="N1776" t="s">
        <v>157</v>
      </c>
      <c r="O1776" t="s">
        <v>2109</v>
      </c>
    </row>
    <row r="1777" spans="1:15">
      <c r="A1777" t="s">
        <v>3477</v>
      </c>
      <c r="B1777" t="s">
        <v>2097</v>
      </c>
      <c r="C1777" t="s">
        <v>2100</v>
      </c>
      <c r="D1777" s="1">
        <v>43875</v>
      </c>
      <c r="E1777" s="1">
        <v>45053</v>
      </c>
      <c r="F1777">
        <v>239</v>
      </c>
      <c r="G1777">
        <v>11</v>
      </c>
      <c r="H1777">
        <v>699.38</v>
      </c>
      <c r="I1777">
        <v>91.57</v>
      </c>
      <c r="J1777" t="s">
        <v>66</v>
      </c>
      <c r="K1777" t="s">
        <v>16</v>
      </c>
      <c r="L1777" t="s">
        <v>2095</v>
      </c>
      <c r="M1777">
        <v>2</v>
      </c>
      <c r="N1777" t="s">
        <v>179</v>
      </c>
      <c r="O1777" t="s">
        <v>2096</v>
      </c>
    </row>
    <row r="1778" spans="1:15">
      <c r="A1778" t="s">
        <v>3478</v>
      </c>
      <c r="B1778" t="s">
        <v>2093</v>
      </c>
      <c r="C1778" t="s">
        <v>2100</v>
      </c>
      <c r="D1778" s="1">
        <v>44332</v>
      </c>
      <c r="E1778" s="1">
        <v>45012</v>
      </c>
      <c r="F1778">
        <v>280</v>
      </c>
      <c r="G1778">
        <v>3</v>
      </c>
      <c r="H1778">
        <v>171.18</v>
      </c>
      <c r="I1778">
        <v>42.47</v>
      </c>
      <c r="J1778" t="s">
        <v>66</v>
      </c>
      <c r="K1778" t="s">
        <v>16</v>
      </c>
      <c r="L1778" t="s">
        <v>2095</v>
      </c>
      <c r="M1778">
        <v>6</v>
      </c>
      <c r="N1778" t="s">
        <v>174</v>
      </c>
      <c r="O1778" t="s">
        <v>2088</v>
      </c>
    </row>
    <row r="1779" spans="1:15">
      <c r="A1779" t="s">
        <v>3479</v>
      </c>
      <c r="B1779" t="s">
        <v>2113</v>
      </c>
      <c r="C1779" t="s">
        <v>2091</v>
      </c>
      <c r="D1779" s="1">
        <v>44371</v>
      </c>
      <c r="E1779" s="1">
        <v>45127</v>
      </c>
      <c r="F1779">
        <v>165</v>
      </c>
      <c r="G1779">
        <v>8</v>
      </c>
      <c r="H1779">
        <v>355.58</v>
      </c>
      <c r="I1779">
        <v>69.180000000000007</v>
      </c>
      <c r="J1779" t="s">
        <v>14</v>
      </c>
      <c r="K1779" t="s">
        <v>20</v>
      </c>
      <c r="L1779" t="s">
        <v>2106</v>
      </c>
      <c r="M1779">
        <v>0</v>
      </c>
      <c r="N1779" t="s">
        <v>204</v>
      </c>
      <c r="O1779" t="s">
        <v>2088</v>
      </c>
    </row>
    <row r="1780" spans="1:15">
      <c r="A1780" t="s">
        <v>1723</v>
      </c>
      <c r="B1780" t="s">
        <v>2097</v>
      </c>
      <c r="C1780" t="s">
        <v>2086</v>
      </c>
      <c r="D1780" s="1">
        <v>43507</v>
      </c>
      <c r="E1780" s="1">
        <v>45047</v>
      </c>
      <c r="F1780">
        <v>245</v>
      </c>
      <c r="G1780">
        <v>4</v>
      </c>
      <c r="H1780">
        <v>542.28</v>
      </c>
      <c r="I1780">
        <v>93.15</v>
      </c>
      <c r="J1780" t="s">
        <v>115</v>
      </c>
      <c r="K1780" t="s">
        <v>16</v>
      </c>
      <c r="L1780" t="s">
        <v>2095</v>
      </c>
      <c r="M1780">
        <v>6</v>
      </c>
      <c r="N1780" t="s">
        <v>165</v>
      </c>
      <c r="O1780" t="s">
        <v>2109</v>
      </c>
    </row>
    <row r="1781" spans="1:15">
      <c r="A1781" t="s">
        <v>3480</v>
      </c>
      <c r="B1781" t="s">
        <v>2085</v>
      </c>
      <c r="C1781" t="s">
        <v>2086</v>
      </c>
      <c r="D1781" s="1">
        <v>44942</v>
      </c>
      <c r="E1781" s="1">
        <v>45242</v>
      </c>
      <c r="F1781">
        <v>50</v>
      </c>
      <c r="G1781">
        <v>21</v>
      </c>
      <c r="H1781">
        <v>1538.29</v>
      </c>
      <c r="I1781">
        <v>242.46</v>
      </c>
      <c r="J1781" t="s">
        <v>115</v>
      </c>
      <c r="K1781" t="s">
        <v>16</v>
      </c>
      <c r="L1781" t="s">
        <v>2095</v>
      </c>
      <c r="M1781">
        <v>10</v>
      </c>
      <c r="N1781" t="s">
        <v>165</v>
      </c>
      <c r="O1781" t="s">
        <v>2109</v>
      </c>
    </row>
    <row r="1782" spans="1:15">
      <c r="A1782" t="s">
        <v>3481</v>
      </c>
      <c r="B1782" t="s">
        <v>2099</v>
      </c>
      <c r="C1782" t="s">
        <v>2094</v>
      </c>
      <c r="D1782" s="1">
        <v>43820</v>
      </c>
      <c r="E1782" s="1">
        <v>45037</v>
      </c>
      <c r="F1782">
        <v>255</v>
      </c>
      <c r="G1782">
        <v>1</v>
      </c>
      <c r="H1782">
        <v>107.97</v>
      </c>
      <c r="I1782">
        <v>28</v>
      </c>
      <c r="J1782" t="s">
        <v>41</v>
      </c>
      <c r="K1782" t="s">
        <v>20</v>
      </c>
      <c r="L1782" t="s">
        <v>2106</v>
      </c>
      <c r="M1782">
        <v>8</v>
      </c>
      <c r="N1782" t="s">
        <v>174</v>
      </c>
      <c r="O1782" t="s">
        <v>2121</v>
      </c>
    </row>
    <row r="1783" spans="1:15">
      <c r="A1783" t="s">
        <v>3482</v>
      </c>
      <c r="B1783" t="s">
        <v>2090</v>
      </c>
      <c r="C1783" t="s">
        <v>2091</v>
      </c>
      <c r="D1783" s="1">
        <v>44063</v>
      </c>
      <c r="E1783" s="1">
        <v>45259</v>
      </c>
      <c r="F1783">
        <v>33</v>
      </c>
      <c r="G1783">
        <v>4</v>
      </c>
      <c r="H1783">
        <v>352.07</v>
      </c>
      <c r="I1783">
        <v>47.24</v>
      </c>
      <c r="J1783" t="s">
        <v>14</v>
      </c>
      <c r="K1783" t="s">
        <v>16</v>
      </c>
      <c r="L1783" t="s">
        <v>2087</v>
      </c>
      <c r="M1783">
        <v>9</v>
      </c>
      <c r="N1783" t="s">
        <v>179</v>
      </c>
      <c r="O1783" t="s">
        <v>2107</v>
      </c>
    </row>
    <row r="1784" spans="1:15">
      <c r="A1784" t="s">
        <v>3483</v>
      </c>
      <c r="B1784" t="s">
        <v>2099</v>
      </c>
      <c r="C1784" t="s">
        <v>2091</v>
      </c>
      <c r="D1784" s="1">
        <v>43762</v>
      </c>
      <c r="E1784" s="1">
        <v>45210</v>
      </c>
      <c r="F1784">
        <v>82</v>
      </c>
      <c r="G1784">
        <v>2</v>
      </c>
      <c r="H1784">
        <v>67.61</v>
      </c>
      <c r="I1784">
        <v>88.72</v>
      </c>
      <c r="J1784" t="s">
        <v>41</v>
      </c>
      <c r="K1784" t="s">
        <v>16</v>
      </c>
      <c r="L1784" t="s">
        <v>2095</v>
      </c>
      <c r="M1784">
        <v>4</v>
      </c>
      <c r="N1784" t="s">
        <v>157</v>
      </c>
      <c r="O1784" t="s">
        <v>2109</v>
      </c>
    </row>
    <row r="1785" spans="1:15">
      <c r="A1785" t="s">
        <v>984</v>
      </c>
      <c r="B1785" t="s">
        <v>2113</v>
      </c>
      <c r="C1785" t="s">
        <v>2111</v>
      </c>
      <c r="D1785" s="1">
        <v>44707</v>
      </c>
      <c r="E1785" s="1">
        <v>45239</v>
      </c>
      <c r="F1785">
        <v>53</v>
      </c>
      <c r="G1785">
        <v>16</v>
      </c>
      <c r="H1785">
        <v>320.77999999999997</v>
      </c>
      <c r="I1785">
        <v>53.33</v>
      </c>
      <c r="J1785" t="s">
        <v>14</v>
      </c>
      <c r="K1785" t="s">
        <v>20</v>
      </c>
      <c r="L1785" t="s">
        <v>2087</v>
      </c>
      <c r="M1785">
        <v>4</v>
      </c>
      <c r="N1785" t="s">
        <v>232</v>
      </c>
      <c r="O1785" t="s">
        <v>2096</v>
      </c>
    </row>
    <row r="1786" spans="1:15">
      <c r="A1786" t="s">
        <v>3484</v>
      </c>
      <c r="B1786" t="s">
        <v>2093</v>
      </c>
      <c r="C1786" t="s">
        <v>2108</v>
      </c>
      <c r="D1786" s="1">
        <v>43640</v>
      </c>
      <c r="E1786" s="1">
        <v>45193</v>
      </c>
      <c r="F1786">
        <v>99</v>
      </c>
      <c r="G1786">
        <v>3</v>
      </c>
      <c r="H1786">
        <v>136.88</v>
      </c>
      <c r="I1786">
        <v>31.64</v>
      </c>
      <c r="J1786" t="s">
        <v>41</v>
      </c>
      <c r="K1786" t="s">
        <v>20</v>
      </c>
      <c r="L1786" t="s">
        <v>2087</v>
      </c>
      <c r="M1786">
        <v>3</v>
      </c>
      <c r="N1786" t="s">
        <v>204</v>
      </c>
      <c r="O1786" t="s">
        <v>2088</v>
      </c>
    </row>
    <row r="1787" spans="1:15">
      <c r="A1787" t="s">
        <v>3485</v>
      </c>
      <c r="B1787" t="s">
        <v>2113</v>
      </c>
      <c r="C1787" t="s">
        <v>2108</v>
      </c>
      <c r="D1787" s="1">
        <v>43544</v>
      </c>
      <c r="E1787" s="1">
        <v>45278</v>
      </c>
      <c r="F1787">
        <v>14</v>
      </c>
      <c r="G1787">
        <v>12</v>
      </c>
      <c r="H1787">
        <v>557.67999999999995</v>
      </c>
      <c r="I1787">
        <v>34.229999999999997</v>
      </c>
      <c r="J1787" t="s">
        <v>41</v>
      </c>
      <c r="K1787" t="s">
        <v>20</v>
      </c>
      <c r="L1787" t="s">
        <v>2106</v>
      </c>
      <c r="M1787">
        <v>7</v>
      </c>
      <c r="N1787" t="s">
        <v>204</v>
      </c>
      <c r="O1787" t="s">
        <v>2096</v>
      </c>
    </row>
    <row r="1788" spans="1:15">
      <c r="A1788" t="s">
        <v>1197</v>
      </c>
      <c r="B1788" t="s">
        <v>2093</v>
      </c>
      <c r="C1788" t="s">
        <v>2111</v>
      </c>
      <c r="D1788" s="1">
        <v>44865</v>
      </c>
      <c r="E1788" s="1">
        <v>45226</v>
      </c>
      <c r="F1788">
        <v>66</v>
      </c>
      <c r="G1788">
        <v>1</v>
      </c>
      <c r="H1788">
        <v>84.52</v>
      </c>
      <c r="I1788">
        <v>44.48</v>
      </c>
      <c r="J1788" t="s">
        <v>90</v>
      </c>
      <c r="K1788" t="s">
        <v>20</v>
      </c>
      <c r="L1788" t="s">
        <v>2095</v>
      </c>
      <c r="M1788">
        <v>6</v>
      </c>
      <c r="N1788" t="s">
        <v>179</v>
      </c>
      <c r="O1788" t="s">
        <v>2121</v>
      </c>
    </row>
    <row r="1789" spans="1:15">
      <c r="A1789" t="s">
        <v>3486</v>
      </c>
      <c r="B1789" t="s">
        <v>2085</v>
      </c>
      <c r="C1789" t="s">
        <v>2091</v>
      </c>
      <c r="D1789" s="1">
        <v>43694</v>
      </c>
      <c r="E1789" s="1">
        <v>45145</v>
      </c>
      <c r="F1789">
        <v>147</v>
      </c>
      <c r="G1789">
        <v>26</v>
      </c>
      <c r="H1789">
        <v>1269.98</v>
      </c>
      <c r="I1789">
        <v>132.34</v>
      </c>
      <c r="J1789" t="s">
        <v>115</v>
      </c>
      <c r="K1789" t="s">
        <v>16</v>
      </c>
      <c r="L1789" t="s">
        <v>2106</v>
      </c>
      <c r="M1789">
        <v>0</v>
      </c>
      <c r="N1789" t="s">
        <v>165</v>
      </c>
      <c r="O1789" t="s">
        <v>2088</v>
      </c>
    </row>
    <row r="1790" spans="1:15">
      <c r="A1790" t="s">
        <v>3487</v>
      </c>
      <c r="B1790" t="s">
        <v>2099</v>
      </c>
      <c r="C1790" t="s">
        <v>2086</v>
      </c>
      <c r="D1790" s="1">
        <v>43666</v>
      </c>
      <c r="E1790" s="1">
        <v>45230</v>
      </c>
      <c r="F1790">
        <v>62</v>
      </c>
      <c r="G1790">
        <v>1</v>
      </c>
      <c r="H1790">
        <v>126.61</v>
      </c>
      <c r="I1790">
        <v>32.450000000000003</v>
      </c>
      <c r="J1790" t="s">
        <v>41</v>
      </c>
      <c r="K1790" t="s">
        <v>16</v>
      </c>
      <c r="L1790" t="s">
        <v>2106</v>
      </c>
      <c r="M1790">
        <v>1</v>
      </c>
      <c r="N1790" t="s">
        <v>179</v>
      </c>
      <c r="O1790" t="s">
        <v>2121</v>
      </c>
    </row>
    <row r="1791" spans="1:15">
      <c r="A1791" t="s">
        <v>500</v>
      </c>
      <c r="B1791" t="s">
        <v>2099</v>
      </c>
      <c r="C1791" t="s">
        <v>2111</v>
      </c>
      <c r="D1791" s="1">
        <v>44457</v>
      </c>
      <c r="E1791" s="1">
        <v>44985</v>
      </c>
      <c r="F1791">
        <v>307</v>
      </c>
      <c r="G1791">
        <v>1</v>
      </c>
      <c r="H1791">
        <v>108.32</v>
      </c>
      <c r="I1791">
        <v>54.81</v>
      </c>
      <c r="J1791" t="s">
        <v>66</v>
      </c>
      <c r="K1791" t="s">
        <v>16</v>
      </c>
      <c r="L1791" t="s">
        <v>2106</v>
      </c>
      <c r="M1791">
        <v>8</v>
      </c>
      <c r="N1791" t="s">
        <v>165</v>
      </c>
      <c r="O1791" t="s">
        <v>2109</v>
      </c>
    </row>
    <row r="1792" spans="1:15">
      <c r="A1792" t="s">
        <v>716</v>
      </c>
      <c r="B1792" t="s">
        <v>2099</v>
      </c>
      <c r="C1792" t="s">
        <v>2108</v>
      </c>
      <c r="D1792" s="1">
        <v>45207</v>
      </c>
      <c r="E1792" s="1">
        <v>45231</v>
      </c>
      <c r="F1792">
        <v>61</v>
      </c>
      <c r="G1792">
        <v>1</v>
      </c>
      <c r="H1792">
        <v>77.47</v>
      </c>
      <c r="I1792">
        <v>43.36</v>
      </c>
      <c r="J1792" t="s">
        <v>115</v>
      </c>
      <c r="K1792" t="s">
        <v>20</v>
      </c>
      <c r="L1792" t="s">
        <v>2095</v>
      </c>
      <c r="M1792">
        <v>5</v>
      </c>
      <c r="N1792" t="s">
        <v>179</v>
      </c>
      <c r="O1792" t="s">
        <v>2107</v>
      </c>
    </row>
    <row r="1793" spans="1:15">
      <c r="A1793" t="s">
        <v>3488</v>
      </c>
      <c r="B1793" t="s">
        <v>2085</v>
      </c>
      <c r="C1793" t="s">
        <v>2111</v>
      </c>
      <c r="D1793" s="1">
        <v>45122</v>
      </c>
      <c r="E1793" s="1">
        <v>45017</v>
      </c>
      <c r="F1793">
        <v>275</v>
      </c>
      <c r="G1793">
        <v>20</v>
      </c>
      <c r="H1793">
        <v>1403.16</v>
      </c>
      <c r="I1793">
        <v>110.22</v>
      </c>
      <c r="J1793" t="s">
        <v>41</v>
      </c>
      <c r="K1793" t="s">
        <v>20</v>
      </c>
      <c r="L1793" t="s">
        <v>2087</v>
      </c>
      <c r="M1793">
        <v>8</v>
      </c>
      <c r="N1793" t="s">
        <v>157</v>
      </c>
      <c r="O1793" t="s">
        <v>2088</v>
      </c>
    </row>
    <row r="1794" spans="1:15">
      <c r="A1794" t="s">
        <v>3489</v>
      </c>
      <c r="B1794" t="s">
        <v>2099</v>
      </c>
      <c r="C1794" t="s">
        <v>2094</v>
      </c>
      <c r="D1794" s="1">
        <v>44100</v>
      </c>
      <c r="E1794" s="1">
        <v>45253</v>
      </c>
      <c r="F1794">
        <v>39</v>
      </c>
      <c r="G1794">
        <v>1</v>
      </c>
      <c r="H1794">
        <v>135.32</v>
      </c>
      <c r="I1794">
        <v>79.58</v>
      </c>
      <c r="J1794" t="s">
        <v>14</v>
      </c>
      <c r="K1794" t="s">
        <v>16</v>
      </c>
      <c r="L1794" t="s">
        <v>2106</v>
      </c>
      <c r="M1794">
        <v>5</v>
      </c>
      <c r="N1794" t="s">
        <v>232</v>
      </c>
      <c r="O1794" t="s">
        <v>2109</v>
      </c>
    </row>
    <row r="1795" spans="1:15">
      <c r="A1795" t="s">
        <v>3490</v>
      </c>
      <c r="B1795" t="s">
        <v>2099</v>
      </c>
      <c r="C1795" t="s">
        <v>2111</v>
      </c>
      <c r="D1795" s="1">
        <v>43563</v>
      </c>
      <c r="E1795" s="1">
        <v>45066</v>
      </c>
      <c r="F1795">
        <v>226</v>
      </c>
      <c r="G1795">
        <v>2</v>
      </c>
      <c r="H1795">
        <v>26.14</v>
      </c>
      <c r="I1795">
        <v>71.89</v>
      </c>
      <c r="J1795" t="s">
        <v>115</v>
      </c>
      <c r="K1795" t="s">
        <v>20</v>
      </c>
      <c r="L1795" t="s">
        <v>2095</v>
      </c>
      <c r="M1795">
        <v>4</v>
      </c>
      <c r="N1795" t="s">
        <v>204</v>
      </c>
      <c r="O1795" t="s">
        <v>2109</v>
      </c>
    </row>
    <row r="1796" spans="1:15">
      <c r="A1796" t="s">
        <v>765</v>
      </c>
      <c r="B1796" t="s">
        <v>2093</v>
      </c>
      <c r="C1796" t="s">
        <v>2091</v>
      </c>
      <c r="D1796" s="1">
        <v>44922</v>
      </c>
      <c r="E1796" s="1">
        <v>45001</v>
      </c>
      <c r="F1796">
        <v>291</v>
      </c>
      <c r="G1796">
        <v>3</v>
      </c>
      <c r="H1796">
        <v>80.59</v>
      </c>
      <c r="I1796">
        <v>24.13</v>
      </c>
      <c r="J1796" t="s">
        <v>90</v>
      </c>
      <c r="K1796" t="s">
        <v>20</v>
      </c>
      <c r="L1796" t="s">
        <v>2106</v>
      </c>
      <c r="M1796">
        <v>1</v>
      </c>
      <c r="N1796" t="s">
        <v>174</v>
      </c>
      <c r="O1796" t="s">
        <v>2096</v>
      </c>
    </row>
    <row r="1797" spans="1:15">
      <c r="A1797" t="s">
        <v>3491</v>
      </c>
      <c r="B1797" t="s">
        <v>2097</v>
      </c>
      <c r="C1797" t="s">
        <v>2094</v>
      </c>
      <c r="D1797" s="1">
        <v>43612</v>
      </c>
      <c r="E1797" s="1">
        <v>44951</v>
      </c>
      <c r="F1797">
        <v>341</v>
      </c>
      <c r="G1797">
        <v>11</v>
      </c>
      <c r="H1797">
        <v>582.27</v>
      </c>
      <c r="I1797">
        <v>94.64</v>
      </c>
      <c r="J1797" t="s">
        <v>14</v>
      </c>
      <c r="K1797" t="s">
        <v>16</v>
      </c>
      <c r="L1797" t="s">
        <v>2095</v>
      </c>
      <c r="M1797">
        <v>4</v>
      </c>
      <c r="N1797" t="s">
        <v>204</v>
      </c>
      <c r="O1797" t="s">
        <v>2096</v>
      </c>
    </row>
    <row r="1798" spans="1:15">
      <c r="A1798" t="s">
        <v>1689</v>
      </c>
      <c r="B1798" t="s">
        <v>2085</v>
      </c>
      <c r="C1798" t="s">
        <v>2086</v>
      </c>
      <c r="D1798" s="1">
        <v>43667</v>
      </c>
      <c r="E1798" s="1">
        <v>45047</v>
      </c>
      <c r="F1798">
        <v>245</v>
      </c>
      <c r="G1798">
        <v>29</v>
      </c>
      <c r="H1798">
        <v>1483.11</v>
      </c>
      <c r="I1798">
        <v>129.78</v>
      </c>
      <c r="J1798" t="s">
        <v>115</v>
      </c>
      <c r="K1798" t="s">
        <v>16</v>
      </c>
      <c r="L1798" t="s">
        <v>2087</v>
      </c>
      <c r="M1798">
        <v>3</v>
      </c>
      <c r="N1798" t="s">
        <v>157</v>
      </c>
      <c r="O1798" t="s">
        <v>2096</v>
      </c>
    </row>
    <row r="1799" spans="1:15">
      <c r="A1799" t="s">
        <v>3492</v>
      </c>
      <c r="B1799" t="s">
        <v>2090</v>
      </c>
      <c r="C1799" t="s">
        <v>2100</v>
      </c>
      <c r="D1799" s="1">
        <v>45006</v>
      </c>
      <c r="E1799" s="1">
        <v>45271</v>
      </c>
      <c r="F1799">
        <v>21</v>
      </c>
      <c r="G1799">
        <v>7</v>
      </c>
      <c r="H1799">
        <v>143.04</v>
      </c>
      <c r="I1799">
        <v>98.5</v>
      </c>
      <c r="J1799" t="s">
        <v>115</v>
      </c>
      <c r="K1799" t="s">
        <v>16</v>
      </c>
      <c r="L1799" t="s">
        <v>2106</v>
      </c>
      <c r="M1799">
        <v>10</v>
      </c>
      <c r="N1799" t="s">
        <v>204</v>
      </c>
      <c r="O1799" t="s">
        <v>2107</v>
      </c>
    </row>
    <row r="1800" spans="1:15">
      <c r="A1800" t="s">
        <v>800</v>
      </c>
      <c r="B1800" t="s">
        <v>2099</v>
      </c>
      <c r="C1800" t="s">
        <v>2111</v>
      </c>
      <c r="D1800" s="1">
        <v>44833</v>
      </c>
      <c r="E1800" s="1">
        <v>45275</v>
      </c>
      <c r="F1800">
        <v>17</v>
      </c>
      <c r="G1800">
        <v>1</v>
      </c>
      <c r="H1800">
        <v>50.88</v>
      </c>
      <c r="I1800">
        <v>65.23</v>
      </c>
      <c r="J1800" t="s">
        <v>90</v>
      </c>
      <c r="K1800" t="s">
        <v>16</v>
      </c>
      <c r="L1800" t="s">
        <v>2106</v>
      </c>
      <c r="M1800">
        <v>6</v>
      </c>
      <c r="N1800" t="s">
        <v>232</v>
      </c>
      <c r="O1800" t="s">
        <v>2096</v>
      </c>
    </row>
    <row r="1801" spans="1:15">
      <c r="A1801" t="s">
        <v>3493</v>
      </c>
      <c r="B1801" t="s">
        <v>2099</v>
      </c>
      <c r="C1801" t="s">
        <v>2111</v>
      </c>
      <c r="D1801" s="1">
        <v>43843</v>
      </c>
      <c r="E1801" s="1">
        <v>44950</v>
      </c>
      <c r="F1801">
        <v>342</v>
      </c>
      <c r="G1801">
        <v>2</v>
      </c>
      <c r="H1801">
        <v>104.24</v>
      </c>
      <c r="I1801">
        <v>54.27</v>
      </c>
      <c r="J1801" t="s">
        <v>14</v>
      </c>
      <c r="K1801" t="s">
        <v>16</v>
      </c>
      <c r="L1801" t="s">
        <v>2095</v>
      </c>
      <c r="M1801">
        <v>1</v>
      </c>
      <c r="N1801" t="s">
        <v>194</v>
      </c>
      <c r="O1801" t="s">
        <v>2096</v>
      </c>
    </row>
    <row r="1802" spans="1:15">
      <c r="A1802" t="s">
        <v>3494</v>
      </c>
      <c r="B1802" t="s">
        <v>2085</v>
      </c>
      <c r="C1802" t="s">
        <v>2094</v>
      </c>
      <c r="D1802" s="1">
        <v>44354</v>
      </c>
      <c r="E1802" s="1">
        <v>45050</v>
      </c>
      <c r="F1802">
        <v>242</v>
      </c>
      <c r="G1802">
        <v>27</v>
      </c>
      <c r="H1802">
        <v>2809.31</v>
      </c>
      <c r="I1802">
        <v>191.35</v>
      </c>
      <c r="J1802" t="s">
        <v>115</v>
      </c>
      <c r="K1802" t="s">
        <v>16</v>
      </c>
      <c r="L1802" t="s">
        <v>2095</v>
      </c>
      <c r="M1802">
        <v>10</v>
      </c>
      <c r="N1802" t="s">
        <v>165</v>
      </c>
      <c r="O1802" t="s">
        <v>2088</v>
      </c>
    </row>
    <row r="1803" spans="1:15">
      <c r="A1803" t="s">
        <v>1224</v>
      </c>
      <c r="B1803" t="s">
        <v>2090</v>
      </c>
      <c r="C1803" t="s">
        <v>2094</v>
      </c>
      <c r="D1803" s="1">
        <v>43479</v>
      </c>
      <c r="E1803" s="1">
        <v>45197</v>
      </c>
      <c r="F1803">
        <v>95</v>
      </c>
      <c r="G1803">
        <v>4</v>
      </c>
      <c r="H1803">
        <v>113.34</v>
      </c>
      <c r="I1803">
        <v>57.34</v>
      </c>
      <c r="J1803" t="s">
        <v>14</v>
      </c>
      <c r="K1803" t="s">
        <v>16</v>
      </c>
      <c r="L1803" t="s">
        <v>2106</v>
      </c>
      <c r="M1803">
        <v>1</v>
      </c>
      <c r="N1803" t="s">
        <v>232</v>
      </c>
      <c r="O1803" t="s">
        <v>2121</v>
      </c>
    </row>
    <row r="1804" spans="1:15">
      <c r="A1804" t="s">
        <v>3495</v>
      </c>
      <c r="B1804" t="s">
        <v>2093</v>
      </c>
      <c r="C1804" t="s">
        <v>2100</v>
      </c>
      <c r="D1804" s="1">
        <v>44326</v>
      </c>
      <c r="E1804" s="1">
        <v>45237</v>
      </c>
      <c r="F1804">
        <v>55</v>
      </c>
      <c r="G1804">
        <v>3</v>
      </c>
      <c r="H1804">
        <v>91.51</v>
      </c>
      <c r="I1804">
        <v>76.08</v>
      </c>
      <c r="J1804" t="s">
        <v>41</v>
      </c>
      <c r="K1804" t="s">
        <v>20</v>
      </c>
      <c r="L1804" t="s">
        <v>2087</v>
      </c>
      <c r="M1804">
        <v>5</v>
      </c>
      <c r="N1804" t="s">
        <v>194</v>
      </c>
      <c r="O1804" t="s">
        <v>2109</v>
      </c>
    </row>
    <row r="1805" spans="1:15">
      <c r="A1805" t="s">
        <v>740</v>
      </c>
      <c r="B1805" t="s">
        <v>2085</v>
      </c>
      <c r="C1805" t="s">
        <v>2100</v>
      </c>
      <c r="D1805" s="1">
        <v>43626</v>
      </c>
      <c r="E1805" s="1">
        <v>45047</v>
      </c>
      <c r="F1805">
        <v>245</v>
      </c>
      <c r="G1805">
        <v>31</v>
      </c>
      <c r="H1805">
        <v>1209.3399999999999</v>
      </c>
      <c r="I1805">
        <v>185.56</v>
      </c>
      <c r="J1805" t="s">
        <v>90</v>
      </c>
      <c r="K1805" t="s">
        <v>20</v>
      </c>
      <c r="L1805" t="s">
        <v>2106</v>
      </c>
      <c r="M1805">
        <v>1</v>
      </c>
      <c r="N1805" t="s">
        <v>165</v>
      </c>
      <c r="O1805" t="s">
        <v>2088</v>
      </c>
    </row>
    <row r="1806" spans="1:15">
      <c r="A1806" t="s">
        <v>1444</v>
      </c>
      <c r="B1806" t="s">
        <v>2090</v>
      </c>
      <c r="C1806" t="s">
        <v>2094</v>
      </c>
      <c r="D1806" s="1">
        <v>43958</v>
      </c>
      <c r="E1806" s="1">
        <v>45226</v>
      </c>
      <c r="F1806">
        <v>66</v>
      </c>
      <c r="G1806">
        <v>5</v>
      </c>
      <c r="H1806">
        <v>320.02999999999997</v>
      </c>
      <c r="I1806">
        <v>107.72</v>
      </c>
      <c r="J1806" t="s">
        <v>90</v>
      </c>
      <c r="K1806" t="s">
        <v>16</v>
      </c>
      <c r="L1806" t="s">
        <v>2095</v>
      </c>
      <c r="M1806">
        <v>6</v>
      </c>
      <c r="N1806" t="s">
        <v>179</v>
      </c>
      <c r="O1806" t="s">
        <v>2109</v>
      </c>
    </row>
    <row r="1807" spans="1:15">
      <c r="A1807" t="s">
        <v>1761</v>
      </c>
      <c r="B1807" t="s">
        <v>2099</v>
      </c>
      <c r="C1807" t="s">
        <v>2100</v>
      </c>
      <c r="D1807" s="1">
        <v>44478</v>
      </c>
      <c r="E1807" s="1">
        <v>45033</v>
      </c>
      <c r="F1807">
        <v>259</v>
      </c>
      <c r="G1807">
        <v>1</v>
      </c>
      <c r="H1807">
        <v>142.19</v>
      </c>
      <c r="I1807">
        <v>49.78</v>
      </c>
      <c r="J1807" t="s">
        <v>14</v>
      </c>
      <c r="K1807" t="s">
        <v>16</v>
      </c>
      <c r="L1807" t="s">
        <v>2106</v>
      </c>
      <c r="M1807">
        <v>8</v>
      </c>
      <c r="N1807" t="s">
        <v>204</v>
      </c>
      <c r="O1807" t="s">
        <v>2121</v>
      </c>
    </row>
    <row r="1808" spans="1:15">
      <c r="A1808" t="s">
        <v>585</v>
      </c>
      <c r="B1808" t="s">
        <v>2085</v>
      </c>
      <c r="C1808" t="s">
        <v>2108</v>
      </c>
      <c r="D1808" s="1">
        <v>44808</v>
      </c>
      <c r="E1808" s="1">
        <v>45074</v>
      </c>
      <c r="F1808">
        <v>218</v>
      </c>
      <c r="G1808">
        <v>17</v>
      </c>
      <c r="H1808">
        <v>2404.7600000000002</v>
      </c>
      <c r="I1808">
        <v>143.47999999999999</v>
      </c>
      <c r="J1808" t="s">
        <v>90</v>
      </c>
      <c r="K1808" t="s">
        <v>16</v>
      </c>
      <c r="L1808" t="s">
        <v>2087</v>
      </c>
      <c r="M1808">
        <v>4</v>
      </c>
      <c r="N1808" t="s">
        <v>179</v>
      </c>
      <c r="O1808" t="s">
        <v>2109</v>
      </c>
    </row>
    <row r="1809" spans="1:15">
      <c r="A1809" t="s">
        <v>3496</v>
      </c>
      <c r="B1809" t="s">
        <v>2099</v>
      </c>
      <c r="C1809" t="s">
        <v>2094</v>
      </c>
      <c r="D1809" s="1">
        <v>43913</v>
      </c>
      <c r="E1809" s="1">
        <v>44927</v>
      </c>
      <c r="F1809">
        <v>365</v>
      </c>
      <c r="G1809">
        <v>1</v>
      </c>
      <c r="H1809">
        <v>84.25</v>
      </c>
      <c r="I1809">
        <v>36.380000000000003</v>
      </c>
      <c r="J1809" t="s">
        <v>14</v>
      </c>
      <c r="K1809" t="s">
        <v>16</v>
      </c>
      <c r="L1809" t="s">
        <v>2087</v>
      </c>
      <c r="M1809">
        <v>6</v>
      </c>
      <c r="N1809" t="s">
        <v>179</v>
      </c>
      <c r="O1809" t="s">
        <v>2096</v>
      </c>
    </row>
    <row r="1810" spans="1:15">
      <c r="A1810" t="s">
        <v>3497</v>
      </c>
      <c r="B1810" t="s">
        <v>2093</v>
      </c>
      <c r="C1810" t="s">
        <v>2094</v>
      </c>
      <c r="D1810" s="1">
        <v>44233</v>
      </c>
      <c r="E1810" s="1">
        <v>45022</v>
      </c>
      <c r="F1810">
        <v>270</v>
      </c>
      <c r="G1810">
        <v>3</v>
      </c>
      <c r="H1810">
        <v>59.6</v>
      </c>
      <c r="I1810">
        <v>60.26</v>
      </c>
      <c r="J1810" t="s">
        <v>115</v>
      </c>
      <c r="K1810" t="s">
        <v>16</v>
      </c>
      <c r="L1810" t="s">
        <v>2095</v>
      </c>
      <c r="M1810">
        <v>9</v>
      </c>
      <c r="N1810" t="s">
        <v>204</v>
      </c>
      <c r="O1810" t="s">
        <v>2088</v>
      </c>
    </row>
    <row r="1811" spans="1:15">
      <c r="A1811" t="s">
        <v>3498</v>
      </c>
      <c r="B1811" t="s">
        <v>2093</v>
      </c>
      <c r="C1811" t="s">
        <v>2111</v>
      </c>
      <c r="D1811" s="1">
        <v>44002</v>
      </c>
      <c r="E1811" s="1">
        <v>45172</v>
      </c>
      <c r="F1811">
        <v>120</v>
      </c>
      <c r="G1811">
        <v>4</v>
      </c>
      <c r="H1811">
        <v>65.23</v>
      </c>
      <c r="I1811">
        <v>75.38</v>
      </c>
      <c r="J1811" t="s">
        <v>66</v>
      </c>
      <c r="K1811" t="s">
        <v>16</v>
      </c>
      <c r="L1811" t="s">
        <v>2087</v>
      </c>
      <c r="M1811">
        <v>6</v>
      </c>
      <c r="N1811" t="s">
        <v>232</v>
      </c>
      <c r="O1811" t="s">
        <v>2088</v>
      </c>
    </row>
    <row r="1812" spans="1:15">
      <c r="A1812" t="s">
        <v>410</v>
      </c>
      <c r="B1812" t="s">
        <v>2099</v>
      </c>
      <c r="C1812" t="s">
        <v>2091</v>
      </c>
      <c r="D1812" s="1">
        <v>44594</v>
      </c>
      <c r="E1812" s="1">
        <v>45213</v>
      </c>
      <c r="F1812">
        <v>79</v>
      </c>
      <c r="G1812">
        <v>2</v>
      </c>
      <c r="H1812">
        <v>140.51</v>
      </c>
      <c r="I1812">
        <v>37.32</v>
      </c>
      <c r="J1812" t="s">
        <v>14</v>
      </c>
      <c r="K1812" t="s">
        <v>16</v>
      </c>
      <c r="L1812" t="s">
        <v>2087</v>
      </c>
      <c r="M1812">
        <v>8</v>
      </c>
      <c r="N1812" t="s">
        <v>157</v>
      </c>
      <c r="O1812" t="s">
        <v>2109</v>
      </c>
    </row>
    <row r="1813" spans="1:15">
      <c r="A1813" t="s">
        <v>3499</v>
      </c>
      <c r="B1813" t="s">
        <v>2093</v>
      </c>
      <c r="C1813" t="s">
        <v>2108</v>
      </c>
      <c r="D1813" s="1">
        <v>44958</v>
      </c>
      <c r="E1813" s="1">
        <v>45043</v>
      </c>
      <c r="F1813">
        <v>249</v>
      </c>
      <c r="G1813">
        <v>5</v>
      </c>
      <c r="H1813">
        <v>186.49</v>
      </c>
      <c r="I1813">
        <v>33.67</v>
      </c>
      <c r="J1813" t="s">
        <v>14</v>
      </c>
      <c r="K1813" t="s">
        <v>16</v>
      </c>
      <c r="L1813" t="s">
        <v>2106</v>
      </c>
      <c r="M1813">
        <v>2</v>
      </c>
      <c r="N1813" t="s">
        <v>165</v>
      </c>
      <c r="O1813" t="s">
        <v>2107</v>
      </c>
    </row>
    <row r="1814" spans="1:15">
      <c r="A1814" t="s">
        <v>3500</v>
      </c>
      <c r="B1814" t="s">
        <v>2093</v>
      </c>
      <c r="C1814" t="s">
        <v>2100</v>
      </c>
      <c r="D1814" s="1">
        <v>44454</v>
      </c>
      <c r="E1814" s="1">
        <v>44956</v>
      </c>
      <c r="F1814">
        <v>336</v>
      </c>
      <c r="G1814">
        <v>5</v>
      </c>
      <c r="H1814">
        <v>49.31</v>
      </c>
      <c r="I1814">
        <v>58.63</v>
      </c>
      <c r="J1814" t="s">
        <v>66</v>
      </c>
      <c r="K1814" t="s">
        <v>20</v>
      </c>
      <c r="L1814" t="s">
        <v>2095</v>
      </c>
      <c r="M1814">
        <v>4</v>
      </c>
      <c r="N1814" t="s">
        <v>174</v>
      </c>
      <c r="O1814" t="s">
        <v>2096</v>
      </c>
    </row>
    <row r="1815" spans="1:15">
      <c r="A1815" t="s">
        <v>3501</v>
      </c>
      <c r="B1815" t="s">
        <v>2113</v>
      </c>
      <c r="C1815" t="s">
        <v>2111</v>
      </c>
      <c r="D1815" s="1">
        <v>43763</v>
      </c>
      <c r="E1815" s="1">
        <v>45223</v>
      </c>
      <c r="F1815">
        <v>69</v>
      </c>
      <c r="G1815">
        <v>6</v>
      </c>
      <c r="H1815">
        <v>288.56</v>
      </c>
      <c r="I1815">
        <v>76.83</v>
      </c>
      <c r="J1815" t="s">
        <v>14</v>
      </c>
      <c r="K1815" t="s">
        <v>20</v>
      </c>
      <c r="L1815" t="s">
        <v>2087</v>
      </c>
      <c r="M1815">
        <v>2</v>
      </c>
      <c r="N1815" t="s">
        <v>157</v>
      </c>
      <c r="O1815" t="s">
        <v>2088</v>
      </c>
    </row>
    <row r="1816" spans="1:15">
      <c r="A1816" t="s">
        <v>3502</v>
      </c>
      <c r="B1816" t="s">
        <v>2097</v>
      </c>
      <c r="C1816" t="s">
        <v>2086</v>
      </c>
      <c r="D1816" s="1">
        <v>43507</v>
      </c>
      <c r="E1816" s="1">
        <v>44971</v>
      </c>
      <c r="F1816">
        <v>321</v>
      </c>
      <c r="G1816">
        <v>7</v>
      </c>
      <c r="H1816">
        <v>461.88</v>
      </c>
      <c r="I1816">
        <v>101.86</v>
      </c>
      <c r="J1816" t="s">
        <v>14</v>
      </c>
      <c r="K1816" t="s">
        <v>16</v>
      </c>
      <c r="L1816" t="s">
        <v>2106</v>
      </c>
      <c r="M1816">
        <v>9</v>
      </c>
      <c r="N1816" t="s">
        <v>179</v>
      </c>
      <c r="O1816" t="s">
        <v>2109</v>
      </c>
    </row>
    <row r="1817" spans="1:15">
      <c r="A1817" t="s">
        <v>3503</v>
      </c>
      <c r="B1817" t="s">
        <v>2093</v>
      </c>
      <c r="C1817" t="s">
        <v>2086</v>
      </c>
      <c r="D1817" s="1">
        <v>44852</v>
      </c>
      <c r="E1817" s="1">
        <v>45156</v>
      </c>
      <c r="F1817">
        <v>136</v>
      </c>
      <c r="G1817">
        <v>1</v>
      </c>
      <c r="H1817">
        <v>174.16</v>
      </c>
      <c r="I1817">
        <v>48.83</v>
      </c>
      <c r="J1817" t="s">
        <v>115</v>
      </c>
      <c r="K1817" t="s">
        <v>20</v>
      </c>
      <c r="L1817" t="s">
        <v>2106</v>
      </c>
      <c r="M1817">
        <v>8</v>
      </c>
      <c r="N1817" t="s">
        <v>165</v>
      </c>
      <c r="O1817" t="s">
        <v>2121</v>
      </c>
    </row>
    <row r="1818" spans="1:15">
      <c r="A1818" t="s">
        <v>3504</v>
      </c>
      <c r="B1818" t="s">
        <v>2090</v>
      </c>
      <c r="C1818" t="s">
        <v>2086</v>
      </c>
      <c r="D1818" s="1">
        <v>44385</v>
      </c>
      <c r="E1818" s="1">
        <v>45246</v>
      </c>
      <c r="F1818">
        <v>46</v>
      </c>
      <c r="G1818">
        <v>5</v>
      </c>
      <c r="H1818">
        <v>366.2</v>
      </c>
      <c r="I1818">
        <v>86.53</v>
      </c>
      <c r="J1818" t="s">
        <v>14</v>
      </c>
      <c r="K1818" t="s">
        <v>16</v>
      </c>
      <c r="L1818" t="s">
        <v>2095</v>
      </c>
      <c r="M1818">
        <v>2</v>
      </c>
      <c r="N1818" t="s">
        <v>174</v>
      </c>
      <c r="O1818" t="s">
        <v>2109</v>
      </c>
    </row>
    <row r="1819" spans="1:15">
      <c r="A1819" t="s">
        <v>3505</v>
      </c>
      <c r="B1819" t="s">
        <v>2085</v>
      </c>
      <c r="C1819" t="s">
        <v>2100</v>
      </c>
      <c r="D1819" s="1">
        <v>45085</v>
      </c>
      <c r="E1819" s="1">
        <v>45098</v>
      </c>
      <c r="F1819">
        <v>194</v>
      </c>
      <c r="G1819">
        <v>15</v>
      </c>
      <c r="H1819">
        <v>1414.15</v>
      </c>
      <c r="I1819">
        <v>270.73</v>
      </c>
      <c r="J1819" t="s">
        <v>66</v>
      </c>
      <c r="K1819" t="s">
        <v>20</v>
      </c>
      <c r="L1819" t="s">
        <v>2106</v>
      </c>
      <c r="M1819">
        <v>1</v>
      </c>
      <c r="N1819" t="s">
        <v>232</v>
      </c>
      <c r="O1819" t="s">
        <v>2088</v>
      </c>
    </row>
    <row r="1820" spans="1:15">
      <c r="A1820" t="s">
        <v>3506</v>
      </c>
      <c r="B1820" t="s">
        <v>2090</v>
      </c>
      <c r="C1820" t="s">
        <v>2111</v>
      </c>
      <c r="D1820" s="1">
        <v>43485</v>
      </c>
      <c r="E1820" s="1">
        <v>45148</v>
      </c>
      <c r="F1820">
        <v>144</v>
      </c>
      <c r="G1820">
        <v>7</v>
      </c>
      <c r="H1820">
        <v>112.64</v>
      </c>
      <c r="I1820">
        <v>115.24</v>
      </c>
      <c r="J1820" t="s">
        <v>90</v>
      </c>
      <c r="K1820" t="s">
        <v>16</v>
      </c>
      <c r="L1820" t="s">
        <v>2106</v>
      </c>
      <c r="M1820">
        <v>10</v>
      </c>
      <c r="N1820" t="s">
        <v>179</v>
      </c>
      <c r="O1820" t="s">
        <v>2121</v>
      </c>
    </row>
    <row r="1821" spans="1:15">
      <c r="A1821" t="s">
        <v>3507</v>
      </c>
      <c r="B1821" t="s">
        <v>2099</v>
      </c>
      <c r="C1821" t="s">
        <v>2091</v>
      </c>
      <c r="D1821" s="1">
        <v>45163</v>
      </c>
      <c r="E1821" s="1">
        <v>44975</v>
      </c>
      <c r="F1821">
        <v>317</v>
      </c>
      <c r="G1821">
        <v>1</v>
      </c>
      <c r="H1821">
        <v>32.31</v>
      </c>
      <c r="I1821">
        <v>52.63</v>
      </c>
      <c r="J1821" t="s">
        <v>115</v>
      </c>
      <c r="K1821" t="s">
        <v>16</v>
      </c>
      <c r="L1821" t="s">
        <v>2087</v>
      </c>
      <c r="M1821">
        <v>5</v>
      </c>
      <c r="N1821" t="s">
        <v>204</v>
      </c>
      <c r="O1821" t="s">
        <v>2107</v>
      </c>
    </row>
    <row r="1822" spans="1:15">
      <c r="A1822" t="s">
        <v>3508</v>
      </c>
      <c r="B1822" t="s">
        <v>2093</v>
      </c>
      <c r="C1822" t="s">
        <v>2091</v>
      </c>
      <c r="D1822" s="1">
        <v>44712</v>
      </c>
      <c r="E1822" s="1">
        <v>45137</v>
      </c>
      <c r="F1822">
        <v>155</v>
      </c>
      <c r="G1822">
        <v>4</v>
      </c>
      <c r="H1822">
        <v>47.57</v>
      </c>
      <c r="I1822">
        <v>55.8</v>
      </c>
      <c r="J1822" t="s">
        <v>90</v>
      </c>
      <c r="K1822" t="s">
        <v>20</v>
      </c>
      <c r="L1822" t="s">
        <v>2106</v>
      </c>
      <c r="M1822">
        <v>1</v>
      </c>
      <c r="N1822" t="s">
        <v>174</v>
      </c>
      <c r="O1822" t="s">
        <v>2088</v>
      </c>
    </row>
    <row r="1823" spans="1:15">
      <c r="A1823" t="s">
        <v>363</v>
      </c>
      <c r="B1823" t="s">
        <v>2097</v>
      </c>
      <c r="C1823" t="s">
        <v>2086</v>
      </c>
      <c r="D1823" s="1">
        <v>44793</v>
      </c>
      <c r="E1823" s="1">
        <v>45224</v>
      </c>
      <c r="F1823">
        <v>68</v>
      </c>
      <c r="G1823">
        <v>11</v>
      </c>
      <c r="H1823">
        <v>704.41</v>
      </c>
      <c r="I1823">
        <v>121.05</v>
      </c>
      <c r="J1823" t="s">
        <v>14</v>
      </c>
      <c r="K1823" t="s">
        <v>16</v>
      </c>
      <c r="L1823" t="s">
        <v>2106</v>
      </c>
      <c r="M1823">
        <v>2</v>
      </c>
      <c r="N1823" t="s">
        <v>165</v>
      </c>
      <c r="O1823" t="s">
        <v>2096</v>
      </c>
    </row>
    <row r="1824" spans="1:15">
      <c r="A1824" t="s">
        <v>3509</v>
      </c>
      <c r="B1824" t="s">
        <v>2085</v>
      </c>
      <c r="C1824" t="s">
        <v>2100</v>
      </c>
      <c r="D1824" s="1">
        <v>44489</v>
      </c>
      <c r="E1824" s="1">
        <v>44966</v>
      </c>
      <c r="F1824">
        <v>326</v>
      </c>
      <c r="G1824">
        <v>36</v>
      </c>
      <c r="H1824">
        <v>1255.8</v>
      </c>
      <c r="I1824">
        <v>264.66000000000003</v>
      </c>
      <c r="J1824" t="s">
        <v>90</v>
      </c>
      <c r="K1824" t="s">
        <v>16</v>
      </c>
      <c r="L1824" t="s">
        <v>2095</v>
      </c>
      <c r="M1824">
        <v>10</v>
      </c>
      <c r="N1824" t="s">
        <v>165</v>
      </c>
      <c r="O1824" t="s">
        <v>2107</v>
      </c>
    </row>
    <row r="1825" spans="1:15">
      <c r="A1825" t="s">
        <v>3510</v>
      </c>
      <c r="B1825" t="s">
        <v>2085</v>
      </c>
      <c r="C1825" t="s">
        <v>2111</v>
      </c>
      <c r="D1825" s="1">
        <v>43864</v>
      </c>
      <c r="E1825" s="1">
        <v>45142</v>
      </c>
      <c r="F1825">
        <v>150</v>
      </c>
      <c r="G1825">
        <v>24</v>
      </c>
      <c r="H1825">
        <v>1287.97</v>
      </c>
      <c r="I1825">
        <v>296.73</v>
      </c>
      <c r="J1825" t="s">
        <v>41</v>
      </c>
      <c r="K1825" t="s">
        <v>16</v>
      </c>
      <c r="L1825" t="s">
        <v>2087</v>
      </c>
      <c r="M1825">
        <v>9</v>
      </c>
      <c r="N1825" t="s">
        <v>179</v>
      </c>
      <c r="O1825" t="s">
        <v>2088</v>
      </c>
    </row>
    <row r="1826" spans="1:15">
      <c r="A1826" t="s">
        <v>1199</v>
      </c>
      <c r="B1826" t="s">
        <v>2113</v>
      </c>
      <c r="C1826" t="s">
        <v>2108</v>
      </c>
      <c r="D1826" s="1">
        <v>43558</v>
      </c>
      <c r="E1826" s="1">
        <v>45085</v>
      </c>
      <c r="F1826">
        <v>207</v>
      </c>
      <c r="G1826">
        <v>13</v>
      </c>
      <c r="H1826">
        <v>389.2</v>
      </c>
      <c r="I1826">
        <v>67.72</v>
      </c>
      <c r="J1826" t="s">
        <v>115</v>
      </c>
      <c r="K1826" t="s">
        <v>16</v>
      </c>
      <c r="L1826" t="s">
        <v>2095</v>
      </c>
      <c r="M1826">
        <v>7</v>
      </c>
      <c r="N1826" t="s">
        <v>165</v>
      </c>
      <c r="O1826" t="s">
        <v>2107</v>
      </c>
    </row>
    <row r="1827" spans="1:15">
      <c r="A1827" t="s">
        <v>3511</v>
      </c>
      <c r="B1827" t="s">
        <v>2090</v>
      </c>
      <c r="C1827" t="s">
        <v>2086</v>
      </c>
      <c r="D1827" s="1">
        <v>45056</v>
      </c>
      <c r="E1827" s="1">
        <v>45097</v>
      </c>
      <c r="F1827">
        <v>195</v>
      </c>
      <c r="G1827">
        <v>4</v>
      </c>
      <c r="H1827">
        <v>319.92</v>
      </c>
      <c r="I1827">
        <v>69.73</v>
      </c>
      <c r="J1827" t="s">
        <v>41</v>
      </c>
      <c r="K1827" t="s">
        <v>16</v>
      </c>
      <c r="L1827" t="s">
        <v>2106</v>
      </c>
      <c r="M1827">
        <v>6</v>
      </c>
      <c r="N1827" t="s">
        <v>179</v>
      </c>
      <c r="O1827" t="s">
        <v>2107</v>
      </c>
    </row>
    <row r="1828" spans="1:15">
      <c r="A1828" t="s">
        <v>185</v>
      </c>
      <c r="B1828" t="s">
        <v>2093</v>
      </c>
      <c r="C1828" t="s">
        <v>2091</v>
      </c>
      <c r="D1828" s="1">
        <v>45167</v>
      </c>
      <c r="E1828" s="1">
        <v>44990</v>
      </c>
      <c r="F1828">
        <v>302</v>
      </c>
      <c r="G1828">
        <v>5</v>
      </c>
      <c r="H1828">
        <v>185.9</v>
      </c>
      <c r="I1828">
        <v>52.89</v>
      </c>
      <c r="J1828" t="s">
        <v>90</v>
      </c>
      <c r="K1828" t="s">
        <v>16</v>
      </c>
      <c r="L1828" t="s">
        <v>2106</v>
      </c>
      <c r="M1828">
        <v>3</v>
      </c>
      <c r="N1828" t="s">
        <v>232</v>
      </c>
      <c r="O1828" t="s">
        <v>2107</v>
      </c>
    </row>
    <row r="1829" spans="1:15">
      <c r="A1829" t="s">
        <v>3512</v>
      </c>
      <c r="B1829" t="s">
        <v>2097</v>
      </c>
      <c r="C1829" t="s">
        <v>2094</v>
      </c>
      <c r="D1829" s="1">
        <v>43682</v>
      </c>
      <c r="E1829" s="1">
        <v>45151</v>
      </c>
      <c r="F1829">
        <v>141</v>
      </c>
      <c r="G1829">
        <v>8</v>
      </c>
      <c r="H1829">
        <v>655.17999999999995</v>
      </c>
      <c r="I1829">
        <v>139.19999999999999</v>
      </c>
      <c r="J1829" t="s">
        <v>14</v>
      </c>
      <c r="K1829" t="s">
        <v>20</v>
      </c>
      <c r="L1829" t="s">
        <v>2106</v>
      </c>
      <c r="M1829">
        <v>2</v>
      </c>
      <c r="N1829" t="s">
        <v>194</v>
      </c>
      <c r="O1829" t="s">
        <v>2088</v>
      </c>
    </row>
    <row r="1830" spans="1:15">
      <c r="A1830" t="s">
        <v>3513</v>
      </c>
      <c r="B1830" t="s">
        <v>2085</v>
      </c>
      <c r="C1830" t="s">
        <v>2100</v>
      </c>
      <c r="D1830" s="1">
        <v>45168</v>
      </c>
      <c r="E1830" s="1">
        <v>45057</v>
      </c>
      <c r="F1830">
        <v>235</v>
      </c>
      <c r="G1830">
        <v>32</v>
      </c>
      <c r="H1830">
        <v>2425.92</v>
      </c>
      <c r="I1830">
        <v>296.29000000000002</v>
      </c>
      <c r="J1830" t="s">
        <v>90</v>
      </c>
      <c r="K1830" t="s">
        <v>16</v>
      </c>
      <c r="L1830" t="s">
        <v>2095</v>
      </c>
      <c r="M1830">
        <v>2</v>
      </c>
      <c r="N1830" t="s">
        <v>165</v>
      </c>
      <c r="O1830" t="s">
        <v>2107</v>
      </c>
    </row>
    <row r="1831" spans="1:15">
      <c r="A1831" t="s">
        <v>3514</v>
      </c>
      <c r="B1831" t="s">
        <v>2099</v>
      </c>
      <c r="C1831" t="s">
        <v>2086</v>
      </c>
      <c r="D1831" s="1">
        <v>43943</v>
      </c>
      <c r="E1831" s="1">
        <v>45219</v>
      </c>
      <c r="F1831">
        <v>73</v>
      </c>
      <c r="G1831">
        <v>1</v>
      </c>
      <c r="H1831">
        <v>35.799999999999997</v>
      </c>
      <c r="I1831">
        <v>63.36</v>
      </c>
      <c r="J1831" t="s">
        <v>66</v>
      </c>
      <c r="K1831" t="s">
        <v>16</v>
      </c>
      <c r="L1831" t="s">
        <v>2087</v>
      </c>
      <c r="M1831">
        <v>1</v>
      </c>
      <c r="N1831" t="s">
        <v>179</v>
      </c>
      <c r="O1831" t="s">
        <v>2107</v>
      </c>
    </row>
    <row r="1832" spans="1:15">
      <c r="A1832" t="s">
        <v>3515</v>
      </c>
      <c r="B1832" t="s">
        <v>2093</v>
      </c>
      <c r="C1832" t="s">
        <v>2091</v>
      </c>
      <c r="D1832" s="1">
        <v>44108</v>
      </c>
      <c r="E1832" s="1">
        <v>45126</v>
      </c>
      <c r="F1832">
        <v>166</v>
      </c>
      <c r="G1832">
        <v>5</v>
      </c>
      <c r="H1832">
        <v>72.790000000000006</v>
      </c>
      <c r="I1832">
        <v>34.03</v>
      </c>
      <c r="J1832" t="s">
        <v>14</v>
      </c>
      <c r="K1832" t="s">
        <v>20</v>
      </c>
      <c r="L1832" t="s">
        <v>2095</v>
      </c>
      <c r="M1832">
        <v>0</v>
      </c>
      <c r="N1832" t="s">
        <v>179</v>
      </c>
      <c r="O1832" t="s">
        <v>2109</v>
      </c>
    </row>
    <row r="1833" spans="1:15">
      <c r="A1833" t="s">
        <v>3516</v>
      </c>
      <c r="B1833" t="s">
        <v>2090</v>
      </c>
      <c r="C1833" t="s">
        <v>2111</v>
      </c>
      <c r="D1833" s="1">
        <v>45053</v>
      </c>
      <c r="E1833" s="1">
        <v>45245</v>
      </c>
      <c r="F1833">
        <v>47</v>
      </c>
      <c r="G1833">
        <v>5</v>
      </c>
      <c r="H1833">
        <v>246.82</v>
      </c>
      <c r="I1833">
        <v>98.95</v>
      </c>
      <c r="J1833" t="s">
        <v>115</v>
      </c>
      <c r="K1833" t="s">
        <v>16</v>
      </c>
      <c r="L1833" t="s">
        <v>2106</v>
      </c>
      <c r="M1833">
        <v>10</v>
      </c>
      <c r="N1833" t="s">
        <v>194</v>
      </c>
      <c r="O1833" t="s">
        <v>2121</v>
      </c>
    </row>
    <row r="1834" spans="1:15">
      <c r="A1834" t="s">
        <v>1414</v>
      </c>
      <c r="B1834" t="s">
        <v>2090</v>
      </c>
      <c r="C1834" t="s">
        <v>2086</v>
      </c>
      <c r="D1834" s="1">
        <v>44959</v>
      </c>
      <c r="E1834" s="1">
        <v>44943</v>
      </c>
      <c r="F1834">
        <v>349</v>
      </c>
      <c r="G1834">
        <v>6</v>
      </c>
      <c r="H1834">
        <v>228.74</v>
      </c>
      <c r="I1834">
        <v>90.37</v>
      </c>
      <c r="J1834" t="s">
        <v>115</v>
      </c>
      <c r="K1834" t="s">
        <v>20</v>
      </c>
      <c r="L1834" t="s">
        <v>2095</v>
      </c>
      <c r="M1834">
        <v>1</v>
      </c>
      <c r="N1834" t="s">
        <v>204</v>
      </c>
      <c r="O1834" t="s">
        <v>2109</v>
      </c>
    </row>
    <row r="1835" spans="1:15">
      <c r="A1835" t="s">
        <v>3517</v>
      </c>
      <c r="B1835" t="s">
        <v>2093</v>
      </c>
      <c r="C1835" t="s">
        <v>2100</v>
      </c>
      <c r="D1835" s="1">
        <v>43656</v>
      </c>
      <c r="E1835" s="1">
        <v>45141</v>
      </c>
      <c r="F1835">
        <v>151</v>
      </c>
      <c r="G1835">
        <v>2</v>
      </c>
      <c r="H1835">
        <v>85.87</v>
      </c>
      <c r="I1835">
        <v>76.739999999999995</v>
      </c>
      <c r="J1835" t="s">
        <v>115</v>
      </c>
      <c r="K1835" t="s">
        <v>16</v>
      </c>
      <c r="L1835" t="s">
        <v>2095</v>
      </c>
      <c r="M1835">
        <v>3</v>
      </c>
      <c r="N1835" t="s">
        <v>157</v>
      </c>
      <c r="O1835" t="s">
        <v>2088</v>
      </c>
    </row>
    <row r="1836" spans="1:15">
      <c r="A1836" t="s">
        <v>3518</v>
      </c>
      <c r="B1836" t="s">
        <v>2099</v>
      </c>
      <c r="C1836" t="s">
        <v>2091</v>
      </c>
      <c r="D1836" s="1">
        <v>44445</v>
      </c>
      <c r="E1836" s="1">
        <v>45281</v>
      </c>
      <c r="F1836">
        <v>11</v>
      </c>
      <c r="G1836">
        <v>1</v>
      </c>
      <c r="H1836">
        <v>141.46</v>
      </c>
      <c r="I1836">
        <v>56.23</v>
      </c>
      <c r="J1836" t="s">
        <v>14</v>
      </c>
      <c r="K1836" t="s">
        <v>16</v>
      </c>
      <c r="L1836" t="s">
        <v>2106</v>
      </c>
      <c r="M1836">
        <v>3</v>
      </c>
      <c r="N1836" t="s">
        <v>165</v>
      </c>
      <c r="O1836" t="s">
        <v>2121</v>
      </c>
    </row>
    <row r="1837" spans="1:15">
      <c r="A1837" t="s">
        <v>1102</v>
      </c>
      <c r="B1837" t="s">
        <v>2085</v>
      </c>
      <c r="C1837" t="s">
        <v>2108</v>
      </c>
      <c r="D1837" s="1">
        <v>44798</v>
      </c>
      <c r="E1837" s="1">
        <v>45014</v>
      </c>
      <c r="F1837">
        <v>278</v>
      </c>
      <c r="G1837">
        <v>34</v>
      </c>
      <c r="H1837">
        <v>2823.74</v>
      </c>
      <c r="I1837">
        <v>161.13</v>
      </c>
      <c r="J1837" t="s">
        <v>41</v>
      </c>
      <c r="K1837" t="s">
        <v>20</v>
      </c>
      <c r="L1837" t="s">
        <v>2087</v>
      </c>
      <c r="M1837">
        <v>1</v>
      </c>
      <c r="N1837" t="s">
        <v>165</v>
      </c>
      <c r="O1837" t="s">
        <v>2088</v>
      </c>
    </row>
    <row r="1838" spans="1:15">
      <c r="A1838" t="s">
        <v>3519</v>
      </c>
      <c r="B1838" t="s">
        <v>2090</v>
      </c>
      <c r="C1838" t="s">
        <v>2100</v>
      </c>
      <c r="D1838" s="1">
        <v>45123</v>
      </c>
      <c r="E1838" s="1">
        <v>44958</v>
      </c>
      <c r="F1838">
        <v>334</v>
      </c>
      <c r="G1838">
        <v>8</v>
      </c>
      <c r="H1838">
        <v>348.64</v>
      </c>
      <c r="I1838">
        <v>58.36</v>
      </c>
      <c r="J1838" t="s">
        <v>41</v>
      </c>
      <c r="K1838" t="s">
        <v>16</v>
      </c>
      <c r="L1838" t="s">
        <v>2106</v>
      </c>
      <c r="M1838">
        <v>3</v>
      </c>
      <c r="N1838" t="s">
        <v>204</v>
      </c>
      <c r="O1838" t="s">
        <v>2121</v>
      </c>
    </row>
    <row r="1839" spans="1:15">
      <c r="A1839" t="s">
        <v>3520</v>
      </c>
      <c r="B1839" t="s">
        <v>2113</v>
      </c>
      <c r="C1839" t="s">
        <v>2094</v>
      </c>
      <c r="D1839" s="1">
        <v>44794</v>
      </c>
      <c r="E1839" s="1">
        <v>45085</v>
      </c>
      <c r="F1839">
        <v>207</v>
      </c>
      <c r="G1839">
        <v>5</v>
      </c>
      <c r="H1839">
        <v>147.07</v>
      </c>
      <c r="I1839">
        <v>57.21</v>
      </c>
      <c r="J1839" t="s">
        <v>66</v>
      </c>
      <c r="K1839" t="s">
        <v>16</v>
      </c>
      <c r="L1839" t="s">
        <v>2087</v>
      </c>
      <c r="M1839">
        <v>8</v>
      </c>
      <c r="N1839" t="s">
        <v>179</v>
      </c>
      <c r="O1839" t="s">
        <v>2121</v>
      </c>
    </row>
    <row r="1840" spans="1:15">
      <c r="A1840" t="s">
        <v>3521</v>
      </c>
      <c r="B1840" t="s">
        <v>2097</v>
      </c>
      <c r="C1840" t="s">
        <v>2111</v>
      </c>
      <c r="D1840" s="1">
        <v>45121</v>
      </c>
      <c r="E1840" s="1">
        <v>45115</v>
      </c>
      <c r="F1840">
        <v>177</v>
      </c>
      <c r="G1840">
        <v>3</v>
      </c>
      <c r="H1840">
        <v>252.27</v>
      </c>
      <c r="I1840">
        <v>77.95</v>
      </c>
      <c r="J1840" t="s">
        <v>115</v>
      </c>
      <c r="K1840" t="s">
        <v>16</v>
      </c>
      <c r="L1840" t="s">
        <v>2087</v>
      </c>
      <c r="M1840">
        <v>6</v>
      </c>
      <c r="N1840" t="s">
        <v>194</v>
      </c>
      <c r="O1840" t="s">
        <v>2096</v>
      </c>
    </row>
    <row r="1841" spans="1:15">
      <c r="A1841" t="s">
        <v>1236</v>
      </c>
      <c r="B1841" t="s">
        <v>2085</v>
      </c>
      <c r="C1841" t="s">
        <v>2100</v>
      </c>
      <c r="D1841" s="1">
        <v>43599</v>
      </c>
      <c r="E1841" s="1">
        <v>45099</v>
      </c>
      <c r="F1841">
        <v>193</v>
      </c>
      <c r="G1841">
        <v>33</v>
      </c>
      <c r="H1841">
        <v>2418.84</v>
      </c>
      <c r="I1841">
        <v>185.16</v>
      </c>
      <c r="J1841" t="s">
        <v>66</v>
      </c>
      <c r="K1841" t="s">
        <v>16</v>
      </c>
      <c r="L1841" t="s">
        <v>2106</v>
      </c>
      <c r="M1841">
        <v>9</v>
      </c>
      <c r="N1841" t="s">
        <v>194</v>
      </c>
      <c r="O1841" t="s">
        <v>2096</v>
      </c>
    </row>
    <row r="1842" spans="1:15">
      <c r="A1842" t="s">
        <v>3522</v>
      </c>
      <c r="B1842" t="s">
        <v>2113</v>
      </c>
      <c r="C1842" t="s">
        <v>2111</v>
      </c>
      <c r="D1842" s="1">
        <v>44735</v>
      </c>
      <c r="E1842" s="1">
        <v>45288</v>
      </c>
      <c r="F1842">
        <v>4</v>
      </c>
      <c r="G1842">
        <v>20</v>
      </c>
      <c r="H1842">
        <v>275.77999999999997</v>
      </c>
      <c r="I1842">
        <v>61.05</v>
      </c>
      <c r="J1842" t="s">
        <v>41</v>
      </c>
      <c r="K1842" t="s">
        <v>16</v>
      </c>
      <c r="L1842" t="s">
        <v>2095</v>
      </c>
      <c r="M1842">
        <v>5</v>
      </c>
      <c r="N1842" t="s">
        <v>194</v>
      </c>
      <c r="O1842" t="s">
        <v>2107</v>
      </c>
    </row>
    <row r="1843" spans="1:15">
      <c r="A1843" t="s">
        <v>3523</v>
      </c>
      <c r="B1843" t="s">
        <v>2113</v>
      </c>
      <c r="C1843" t="s">
        <v>2086</v>
      </c>
      <c r="D1843" s="1">
        <v>44743</v>
      </c>
      <c r="E1843" s="1">
        <v>44955</v>
      </c>
      <c r="F1843">
        <v>337</v>
      </c>
      <c r="G1843">
        <v>15</v>
      </c>
      <c r="H1843">
        <v>595.05999999999995</v>
      </c>
      <c r="I1843">
        <v>64.22</v>
      </c>
      <c r="J1843" t="s">
        <v>41</v>
      </c>
      <c r="K1843" t="s">
        <v>16</v>
      </c>
      <c r="L1843" t="s">
        <v>2095</v>
      </c>
      <c r="M1843">
        <v>10</v>
      </c>
      <c r="N1843" t="s">
        <v>179</v>
      </c>
      <c r="O1843" t="s">
        <v>2096</v>
      </c>
    </row>
    <row r="1844" spans="1:15">
      <c r="A1844" t="s">
        <v>3524</v>
      </c>
      <c r="B1844" t="s">
        <v>2085</v>
      </c>
      <c r="C1844" t="s">
        <v>2091</v>
      </c>
      <c r="D1844" s="1">
        <v>44728</v>
      </c>
      <c r="E1844" s="1">
        <v>45063</v>
      </c>
      <c r="F1844">
        <v>229</v>
      </c>
      <c r="G1844">
        <v>32</v>
      </c>
      <c r="H1844">
        <v>1239.19</v>
      </c>
      <c r="I1844">
        <v>176.67</v>
      </c>
      <c r="J1844" t="s">
        <v>115</v>
      </c>
      <c r="K1844" t="s">
        <v>20</v>
      </c>
      <c r="L1844" t="s">
        <v>2095</v>
      </c>
      <c r="M1844">
        <v>0</v>
      </c>
      <c r="N1844" t="s">
        <v>165</v>
      </c>
      <c r="O1844" t="s">
        <v>2107</v>
      </c>
    </row>
    <row r="1845" spans="1:15">
      <c r="A1845" t="s">
        <v>534</v>
      </c>
      <c r="B1845" t="s">
        <v>2097</v>
      </c>
      <c r="C1845" t="s">
        <v>2100</v>
      </c>
      <c r="D1845" s="1">
        <v>44660</v>
      </c>
      <c r="E1845" s="1">
        <v>45266</v>
      </c>
      <c r="F1845">
        <v>26</v>
      </c>
      <c r="G1845">
        <v>10</v>
      </c>
      <c r="H1845">
        <v>398.45</v>
      </c>
      <c r="I1845">
        <v>88.16</v>
      </c>
      <c r="J1845" t="s">
        <v>115</v>
      </c>
      <c r="K1845" t="s">
        <v>16</v>
      </c>
      <c r="L1845" t="s">
        <v>2095</v>
      </c>
      <c r="M1845">
        <v>9</v>
      </c>
      <c r="N1845" t="s">
        <v>194</v>
      </c>
      <c r="O1845" t="s">
        <v>2107</v>
      </c>
    </row>
    <row r="1846" spans="1:15">
      <c r="A1846" t="s">
        <v>3525</v>
      </c>
      <c r="B1846" t="s">
        <v>2097</v>
      </c>
      <c r="C1846" t="s">
        <v>2108</v>
      </c>
      <c r="D1846" s="1">
        <v>43656</v>
      </c>
      <c r="E1846" s="1">
        <v>44960</v>
      </c>
      <c r="F1846">
        <v>332</v>
      </c>
      <c r="G1846">
        <v>11</v>
      </c>
      <c r="H1846">
        <v>399.42</v>
      </c>
      <c r="I1846">
        <v>106.87</v>
      </c>
      <c r="J1846" t="s">
        <v>115</v>
      </c>
      <c r="K1846" t="s">
        <v>16</v>
      </c>
      <c r="L1846" t="s">
        <v>2106</v>
      </c>
      <c r="M1846">
        <v>10</v>
      </c>
      <c r="N1846" t="s">
        <v>174</v>
      </c>
      <c r="O1846" t="s">
        <v>2088</v>
      </c>
    </row>
    <row r="1847" spans="1:15">
      <c r="A1847" t="s">
        <v>1193</v>
      </c>
      <c r="B1847" t="s">
        <v>2097</v>
      </c>
      <c r="C1847" t="s">
        <v>2094</v>
      </c>
      <c r="D1847" s="1">
        <v>45224</v>
      </c>
      <c r="E1847" s="1">
        <v>45003</v>
      </c>
      <c r="F1847">
        <v>289</v>
      </c>
      <c r="G1847">
        <v>7</v>
      </c>
      <c r="H1847">
        <v>232.43</v>
      </c>
      <c r="I1847">
        <v>115.37</v>
      </c>
      <c r="J1847" t="s">
        <v>14</v>
      </c>
      <c r="K1847" t="s">
        <v>16</v>
      </c>
      <c r="L1847" t="s">
        <v>2087</v>
      </c>
      <c r="M1847">
        <v>10</v>
      </c>
      <c r="N1847" t="s">
        <v>157</v>
      </c>
      <c r="O1847" t="s">
        <v>2088</v>
      </c>
    </row>
    <row r="1848" spans="1:15">
      <c r="A1848" t="s">
        <v>3526</v>
      </c>
      <c r="B1848" t="s">
        <v>2093</v>
      </c>
      <c r="C1848" t="s">
        <v>2108</v>
      </c>
      <c r="D1848" s="1">
        <v>45116</v>
      </c>
      <c r="E1848" s="1">
        <v>45080</v>
      </c>
      <c r="F1848">
        <v>212</v>
      </c>
      <c r="G1848">
        <v>2</v>
      </c>
      <c r="H1848">
        <v>75.930000000000007</v>
      </c>
      <c r="I1848">
        <v>31.48</v>
      </c>
      <c r="J1848" t="s">
        <v>115</v>
      </c>
      <c r="K1848" t="s">
        <v>20</v>
      </c>
      <c r="L1848" t="s">
        <v>2106</v>
      </c>
      <c r="M1848">
        <v>3</v>
      </c>
      <c r="N1848" t="s">
        <v>157</v>
      </c>
      <c r="O1848" t="s">
        <v>2121</v>
      </c>
    </row>
    <row r="1849" spans="1:15">
      <c r="A1849" t="s">
        <v>1172</v>
      </c>
      <c r="B1849" t="s">
        <v>2097</v>
      </c>
      <c r="C1849" t="s">
        <v>2100</v>
      </c>
      <c r="D1849" s="1">
        <v>44976</v>
      </c>
      <c r="E1849" s="1">
        <v>45196</v>
      </c>
      <c r="F1849">
        <v>96</v>
      </c>
      <c r="G1849">
        <v>10</v>
      </c>
      <c r="H1849">
        <v>391.1</v>
      </c>
      <c r="I1849">
        <v>143.91</v>
      </c>
      <c r="J1849" t="s">
        <v>90</v>
      </c>
      <c r="K1849" t="s">
        <v>20</v>
      </c>
      <c r="L1849" t="s">
        <v>2087</v>
      </c>
      <c r="M1849">
        <v>0</v>
      </c>
      <c r="N1849" t="s">
        <v>232</v>
      </c>
      <c r="O1849" t="s">
        <v>2109</v>
      </c>
    </row>
    <row r="1850" spans="1:15">
      <c r="A1850" t="s">
        <v>3527</v>
      </c>
      <c r="B1850" t="s">
        <v>2113</v>
      </c>
      <c r="C1850" t="s">
        <v>2100</v>
      </c>
      <c r="D1850" s="1">
        <v>44617</v>
      </c>
      <c r="E1850" s="1">
        <v>45017</v>
      </c>
      <c r="F1850">
        <v>275</v>
      </c>
      <c r="G1850">
        <v>14</v>
      </c>
      <c r="H1850">
        <v>187.86</v>
      </c>
      <c r="I1850">
        <v>42.45</v>
      </c>
      <c r="J1850" t="s">
        <v>115</v>
      </c>
      <c r="K1850" t="s">
        <v>16</v>
      </c>
      <c r="L1850" t="s">
        <v>2106</v>
      </c>
      <c r="M1850">
        <v>5</v>
      </c>
      <c r="N1850" t="s">
        <v>194</v>
      </c>
      <c r="O1850" t="s">
        <v>2096</v>
      </c>
    </row>
    <row r="1851" spans="1:15">
      <c r="A1851" t="s">
        <v>1489</v>
      </c>
      <c r="B1851" t="s">
        <v>2099</v>
      </c>
      <c r="C1851" t="s">
        <v>2094</v>
      </c>
      <c r="D1851" s="1">
        <v>43510</v>
      </c>
      <c r="E1851" s="1">
        <v>45222</v>
      </c>
      <c r="F1851">
        <v>70</v>
      </c>
      <c r="G1851">
        <v>2</v>
      </c>
      <c r="H1851">
        <v>46.55</v>
      </c>
      <c r="I1851">
        <v>85.7</v>
      </c>
      <c r="J1851" t="s">
        <v>41</v>
      </c>
      <c r="K1851" t="s">
        <v>20</v>
      </c>
      <c r="L1851" t="s">
        <v>2106</v>
      </c>
      <c r="M1851">
        <v>8</v>
      </c>
      <c r="N1851" t="s">
        <v>179</v>
      </c>
      <c r="O1851" t="s">
        <v>2088</v>
      </c>
    </row>
    <row r="1852" spans="1:15">
      <c r="A1852" t="s">
        <v>3528</v>
      </c>
      <c r="B1852" t="s">
        <v>2113</v>
      </c>
      <c r="C1852" t="s">
        <v>2111</v>
      </c>
      <c r="D1852" s="1">
        <v>45193</v>
      </c>
      <c r="E1852" s="1">
        <v>45250</v>
      </c>
      <c r="F1852">
        <v>42</v>
      </c>
      <c r="G1852">
        <v>13</v>
      </c>
      <c r="H1852">
        <v>539.57000000000005</v>
      </c>
      <c r="I1852">
        <v>76.06</v>
      </c>
      <c r="J1852" t="s">
        <v>41</v>
      </c>
      <c r="K1852" t="s">
        <v>20</v>
      </c>
      <c r="L1852" t="s">
        <v>2087</v>
      </c>
      <c r="M1852">
        <v>9</v>
      </c>
      <c r="N1852" t="s">
        <v>179</v>
      </c>
      <c r="O1852" t="s">
        <v>2109</v>
      </c>
    </row>
    <row r="1853" spans="1:15">
      <c r="A1853" t="s">
        <v>3529</v>
      </c>
      <c r="B1853" t="s">
        <v>2113</v>
      </c>
      <c r="C1853" t="s">
        <v>2100</v>
      </c>
      <c r="D1853" s="1">
        <v>45185</v>
      </c>
      <c r="E1853" s="1">
        <v>45167</v>
      </c>
      <c r="F1853">
        <v>125</v>
      </c>
      <c r="G1853">
        <v>15</v>
      </c>
      <c r="H1853">
        <v>204.76</v>
      </c>
      <c r="I1853">
        <v>60.05</v>
      </c>
      <c r="J1853" t="s">
        <v>66</v>
      </c>
      <c r="K1853" t="s">
        <v>16</v>
      </c>
      <c r="L1853" t="s">
        <v>2087</v>
      </c>
      <c r="M1853">
        <v>7</v>
      </c>
      <c r="N1853" t="s">
        <v>174</v>
      </c>
      <c r="O1853" t="s">
        <v>2088</v>
      </c>
    </row>
    <row r="1854" spans="1:15">
      <c r="A1854" t="s">
        <v>3530</v>
      </c>
      <c r="B1854" t="s">
        <v>2090</v>
      </c>
      <c r="C1854" t="s">
        <v>2094</v>
      </c>
      <c r="D1854" s="1">
        <v>45100</v>
      </c>
      <c r="E1854" s="1">
        <v>45228</v>
      </c>
      <c r="F1854">
        <v>64</v>
      </c>
      <c r="G1854">
        <v>3</v>
      </c>
      <c r="H1854">
        <v>81.45</v>
      </c>
      <c r="I1854">
        <v>100.96</v>
      </c>
      <c r="J1854" t="s">
        <v>66</v>
      </c>
      <c r="K1854" t="s">
        <v>16</v>
      </c>
      <c r="L1854" t="s">
        <v>2106</v>
      </c>
      <c r="M1854">
        <v>8</v>
      </c>
      <c r="N1854" t="s">
        <v>204</v>
      </c>
      <c r="O1854" t="s">
        <v>2107</v>
      </c>
    </row>
    <row r="1855" spans="1:15">
      <c r="A1855" t="s">
        <v>1743</v>
      </c>
      <c r="B1855" t="s">
        <v>2113</v>
      </c>
      <c r="C1855" t="s">
        <v>2100</v>
      </c>
      <c r="D1855" s="1">
        <v>44289</v>
      </c>
      <c r="E1855" s="1">
        <v>45268</v>
      </c>
      <c r="F1855">
        <v>24</v>
      </c>
      <c r="G1855">
        <v>14</v>
      </c>
      <c r="H1855">
        <v>469.79</v>
      </c>
      <c r="I1855">
        <v>60.53</v>
      </c>
      <c r="J1855" t="s">
        <v>115</v>
      </c>
      <c r="K1855" t="s">
        <v>16</v>
      </c>
      <c r="L1855" t="s">
        <v>2087</v>
      </c>
      <c r="M1855">
        <v>7</v>
      </c>
      <c r="N1855" t="s">
        <v>232</v>
      </c>
      <c r="O1855" t="s">
        <v>2088</v>
      </c>
    </row>
    <row r="1856" spans="1:15">
      <c r="A1856" t="s">
        <v>3531</v>
      </c>
      <c r="B1856" t="s">
        <v>2090</v>
      </c>
      <c r="C1856" t="s">
        <v>2100</v>
      </c>
      <c r="D1856" s="1">
        <v>44901</v>
      </c>
      <c r="E1856" s="1">
        <v>44981</v>
      </c>
      <c r="F1856">
        <v>311</v>
      </c>
      <c r="G1856">
        <v>6</v>
      </c>
      <c r="H1856">
        <v>162.63</v>
      </c>
      <c r="I1856">
        <v>41.31</v>
      </c>
      <c r="J1856" t="s">
        <v>14</v>
      </c>
      <c r="K1856" t="s">
        <v>16</v>
      </c>
      <c r="L1856" t="s">
        <v>2106</v>
      </c>
      <c r="M1856">
        <v>0</v>
      </c>
      <c r="N1856" t="s">
        <v>174</v>
      </c>
      <c r="O1856" t="s">
        <v>2121</v>
      </c>
    </row>
    <row r="1857" spans="1:15">
      <c r="A1857" t="s">
        <v>3532</v>
      </c>
      <c r="B1857" t="s">
        <v>2090</v>
      </c>
      <c r="C1857" t="s">
        <v>2086</v>
      </c>
      <c r="D1857" s="1">
        <v>45019</v>
      </c>
      <c r="E1857" s="1">
        <v>45037</v>
      </c>
      <c r="F1857">
        <v>255</v>
      </c>
      <c r="G1857">
        <v>5</v>
      </c>
      <c r="H1857">
        <v>370.62</v>
      </c>
      <c r="I1857">
        <v>46.46</v>
      </c>
      <c r="J1857" t="s">
        <v>66</v>
      </c>
      <c r="K1857" t="s">
        <v>20</v>
      </c>
      <c r="L1857" t="s">
        <v>2087</v>
      </c>
      <c r="M1857">
        <v>1</v>
      </c>
      <c r="N1857" t="s">
        <v>194</v>
      </c>
      <c r="O1857" t="s">
        <v>2109</v>
      </c>
    </row>
    <row r="1858" spans="1:15">
      <c r="A1858" t="s">
        <v>3533</v>
      </c>
      <c r="B1858" t="s">
        <v>2099</v>
      </c>
      <c r="C1858" t="s">
        <v>2094</v>
      </c>
      <c r="D1858" s="1">
        <v>43466</v>
      </c>
      <c r="E1858" s="1">
        <v>45261</v>
      </c>
      <c r="F1858">
        <v>31</v>
      </c>
      <c r="G1858">
        <v>2</v>
      </c>
      <c r="H1858">
        <v>74.45</v>
      </c>
      <c r="I1858">
        <v>78.23</v>
      </c>
      <c r="J1858" t="s">
        <v>14</v>
      </c>
      <c r="K1858" t="s">
        <v>20</v>
      </c>
      <c r="L1858" t="s">
        <v>2106</v>
      </c>
      <c r="M1858">
        <v>8</v>
      </c>
      <c r="N1858" t="s">
        <v>204</v>
      </c>
      <c r="O1858" t="s">
        <v>2096</v>
      </c>
    </row>
    <row r="1859" spans="1:15">
      <c r="A1859" t="s">
        <v>3534</v>
      </c>
      <c r="B1859" t="s">
        <v>2093</v>
      </c>
      <c r="C1859" t="s">
        <v>2108</v>
      </c>
      <c r="D1859" s="1">
        <v>44000</v>
      </c>
      <c r="E1859" s="1">
        <v>45215</v>
      </c>
      <c r="F1859">
        <v>77</v>
      </c>
      <c r="G1859">
        <v>1</v>
      </c>
      <c r="H1859">
        <v>95.34</v>
      </c>
      <c r="I1859">
        <v>59.73</v>
      </c>
      <c r="J1859" t="s">
        <v>41</v>
      </c>
      <c r="K1859" t="s">
        <v>16</v>
      </c>
      <c r="L1859" t="s">
        <v>2087</v>
      </c>
      <c r="M1859">
        <v>3</v>
      </c>
      <c r="N1859" t="s">
        <v>194</v>
      </c>
      <c r="O1859" t="s">
        <v>2088</v>
      </c>
    </row>
    <row r="1860" spans="1:15">
      <c r="A1860" t="s">
        <v>3535</v>
      </c>
      <c r="B1860" t="s">
        <v>2093</v>
      </c>
      <c r="C1860" t="s">
        <v>2111</v>
      </c>
      <c r="D1860" s="1">
        <v>44035</v>
      </c>
      <c r="E1860" s="1">
        <v>45092</v>
      </c>
      <c r="F1860">
        <v>200</v>
      </c>
      <c r="G1860">
        <v>4</v>
      </c>
      <c r="H1860">
        <v>127.83</v>
      </c>
      <c r="I1860">
        <v>39.659999999999997</v>
      </c>
      <c r="J1860" t="s">
        <v>66</v>
      </c>
      <c r="K1860" t="s">
        <v>16</v>
      </c>
      <c r="L1860" t="s">
        <v>2087</v>
      </c>
      <c r="M1860">
        <v>9</v>
      </c>
      <c r="N1860" t="s">
        <v>179</v>
      </c>
      <c r="O1860" t="s">
        <v>2107</v>
      </c>
    </row>
    <row r="1861" spans="1:15">
      <c r="A1861" t="s">
        <v>3536</v>
      </c>
      <c r="B1861" t="s">
        <v>2099</v>
      </c>
      <c r="C1861" t="s">
        <v>2091</v>
      </c>
      <c r="D1861" s="1">
        <v>44924</v>
      </c>
      <c r="E1861" s="1">
        <v>45062</v>
      </c>
      <c r="F1861">
        <v>230</v>
      </c>
      <c r="G1861">
        <v>2</v>
      </c>
      <c r="H1861">
        <v>60.41</v>
      </c>
      <c r="I1861">
        <v>30.86</v>
      </c>
      <c r="J1861" t="s">
        <v>115</v>
      </c>
      <c r="K1861" t="s">
        <v>16</v>
      </c>
      <c r="L1861" t="s">
        <v>2095</v>
      </c>
      <c r="M1861">
        <v>7</v>
      </c>
      <c r="N1861" t="s">
        <v>179</v>
      </c>
      <c r="O1861" t="s">
        <v>2088</v>
      </c>
    </row>
    <row r="1862" spans="1:15">
      <c r="A1862" t="s">
        <v>3537</v>
      </c>
      <c r="B1862" t="s">
        <v>2090</v>
      </c>
      <c r="C1862" t="s">
        <v>2111</v>
      </c>
      <c r="D1862" s="1">
        <v>43720</v>
      </c>
      <c r="E1862" s="1">
        <v>45080</v>
      </c>
      <c r="F1862">
        <v>212</v>
      </c>
      <c r="G1862">
        <v>3</v>
      </c>
      <c r="H1862">
        <v>367.84</v>
      </c>
      <c r="I1862">
        <v>104.12</v>
      </c>
      <c r="J1862" t="s">
        <v>41</v>
      </c>
      <c r="K1862" t="s">
        <v>16</v>
      </c>
      <c r="L1862" t="s">
        <v>2095</v>
      </c>
      <c r="M1862">
        <v>10</v>
      </c>
      <c r="N1862" t="s">
        <v>179</v>
      </c>
      <c r="O1862" t="s">
        <v>2107</v>
      </c>
    </row>
    <row r="1863" spans="1:15">
      <c r="A1863" t="s">
        <v>612</v>
      </c>
      <c r="B1863" t="s">
        <v>2090</v>
      </c>
      <c r="C1863" t="s">
        <v>2100</v>
      </c>
      <c r="D1863" s="1">
        <v>44342</v>
      </c>
      <c r="E1863" s="1">
        <v>45015</v>
      </c>
      <c r="F1863">
        <v>277</v>
      </c>
      <c r="G1863">
        <v>4</v>
      </c>
      <c r="H1863">
        <v>358.81</v>
      </c>
      <c r="I1863">
        <v>119.92</v>
      </c>
      <c r="J1863" t="s">
        <v>66</v>
      </c>
      <c r="K1863" t="s">
        <v>20</v>
      </c>
      <c r="L1863" t="s">
        <v>2095</v>
      </c>
      <c r="M1863">
        <v>10</v>
      </c>
      <c r="N1863" t="s">
        <v>204</v>
      </c>
      <c r="O1863" t="s">
        <v>2107</v>
      </c>
    </row>
    <row r="1864" spans="1:15">
      <c r="A1864" t="s">
        <v>814</v>
      </c>
      <c r="B1864" t="s">
        <v>2090</v>
      </c>
      <c r="C1864" t="s">
        <v>2086</v>
      </c>
      <c r="D1864" s="1">
        <v>44999</v>
      </c>
      <c r="E1864" s="1">
        <v>45135</v>
      </c>
      <c r="F1864">
        <v>157</v>
      </c>
      <c r="G1864">
        <v>7</v>
      </c>
      <c r="H1864">
        <v>172.01</v>
      </c>
      <c r="I1864">
        <v>59.56</v>
      </c>
      <c r="J1864" t="s">
        <v>14</v>
      </c>
      <c r="K1864" t="s">
        <v>20</v>
      </c>
      <c r="L1864" t="s">
        <v>2087</v>
      </c>
      <c r="M1864">
        <v>3</v>
      </c>
      <c r="N1864" t="s">
        <v>194</v>
      </c>
      <c r="O1864" t="s">
        <v>2088</v>
      </c>
    </row>
    <row r="1865" spans="1:15">
      <c r="A1865" t="s">
        <v>3538</v>
      </c>
      <c r="B1865" t="s">
        <v>2113</v>
      </c>
      <c r="C1865" t="s">
        <v>2091</v>
      </c>
      <c r="D1865" s="1">
        <v>43510</v>
      </c>
      <c r="E1865" s="1">
        <v>44967</v>
      </c>
      <c r="F1865">
        <v>325</v>
      </c>
      <c r="G1865">
        <v>12</v>
      </c>
      <c r="H1865">
        <v>109.47</v>
      </c>
      <c r="I1865">
        <v>71.989999999999995</v>
      </c>
      <c r="J1865" t="s">
        <v>90</v>
      </c>
      <c r="K1865" t="s">
        <v>20</v>
      </c>
      <c r="L1865" t="s">
        <v>2106</v>
      </c>
      <c r="M1865">
        <v>6</v>
      </c>
      <c r="N1865" t="s">
        <v>232</v>
      </c>
      <c r="O1865" t="s">
        <v>2121</v>
      </c>
    </row>
    <row r="1866" spans="1:15">
      <c r="A1866" t="s">
        <v>3539</v>
      </c>
      <c r="B1866" t="s">
        <v>2085</v>
      </c>
      <c r="C1866" t="s">
        <v>2108</v>
      </c>
      <c r="D1866" s="1">
        <v>45020</v>
      </c>
      <c r="E1866" s="1">
        <v>45077</v>
      </c>
      <c r="F1866">
        <v>215</v>
      </c>
      <c r="G1866">
        <v>37</v>
      </c>
      <c r="H1866">
        <v>2142.86</v>
      </c>
      <c r="I1866">
        <v>141.68</v>
      </c>
      <c r="J1866" t="s">
        <v>115</v>
      </c>
      <c r="K1866" t="s">
        <v>16</v>
      </c>
      <c r="L1866" t="s">
        <v>2095</v>
      </c>
      <c r="M1866">
        <v>7</v>
      </c>
      <c r="N1866" t="s">
        <v>204</v>
      </c>
      <c r="O1866" t="s">
        <v>2121</v>
      </c>
    </row>
    <row r="1867" spans="1:15">
      <c r="A1867" t="s">
        <v>163</v>
      </c>
      <c r="B1867" t="s">
        <v>2090</v>
      </c>
      <c r="C1867" t="s">
        <v>2094</v>
      </c>
      <c r="D1867" s="1">
        <v>43908</v>
      </c>
      <c r="E1867" s="1">
        <v>45125</v>
      </c>
      <c r="F1867">
        <v>167</v>
      </c>
      <c r="G1867">
        <v>5</v>
      </c>
      <c r="H1867">
        <v>322.88</v>
      </c>
      <c r="I1867">
        <v>43.9</v>
      </c>
      <c r="J1867" t="s">
        <v>90</v>
      </c>
      <c r="K1867" t="s">
        <v>16</v>
      </c>
      <c r="L1867" t="s">
        <v>2095</v>
      </c>
      <c r="M1867">
        <v>3</v>
      </c>
      <c r="N1867" t="s">
        <v>165</v>
      </c>
      <c r="O1867" t="s">
        <v>2109</v>
      </c>
    </row>
    <row r="1868" spans="1:15">
      <c r="A1868" t="s">
        <v>3540</v>
      </c>
      <c r="B1868" t="s">
        <v>2097</v>
      </c>
      <c r="C1868" t="s">
        <v>2094</v>
      </c>
      <c r="D1868" s="1">
        <v>44753</v>
      </c>
      <c r="E1868" s="1">
        <v>45231</v>
      </c>
      <c r="F1868">
        <v>61</v>
      </c>
      <c r="G1868">
        <v>7</v>
      </c>
      <c r="H1868">
        <v>347.63</v>
      </c>
      <c r="I1868">
        <v>78.13</v>
      </c>
      <c r="J1868" t="s">
        <v>90</v>
      </c>
      <c r="K1868" t="s">
        <v>20</v>
      </c>
      <c r="L1868" t="s">
        <v>2106</v>
      </c>
      <c r="M1868">
        <v>6</v>
      </c>
      <c r="N1868" t="s">
        <v>165</v>
      </c>
      <c r="O1868" t="s">
        <v>2107</v>
      </c>
    </row>
    <row r="1869" spans="1:15">
      <c r="A1869" t="s">
        <v>3541</v>
      </c>
      <c r="B1869" t="s">
        <v>2097</v>
      </c>
      <c r="C1869" t="s">
        <v>2091</v>
      </c>
      <c r="D1869" s="1">
        <v>43774</v>
      </c>
      <c r="E1869" s="1">
        <v>45027</v>
      </c>
      <c r="F1869">
        <v>265</v>
      </c>
      <c r="G1869">
        <v>4</v>
      </c>
      <c r="H1869">
        <v>499.19</v>
      </c>
      <c r="I1869">
        <v>117.43</v>
      </c>
      <c r="J1869" t="s">
        <v>66</v>
      </c>
      <c r="K1869" t="s">
        <v>16</v>
      </c>
      <c r="L1869" t="s">
        <v>2106</v>
      </c>
      <c r="M1869">
        <v>6</v>
      </c>
      <c r="N1869" t="s">
        <v>174</v>
      </c>
      <c r="O1869" t="s">
        <v>2109</v>
      </c>
    </row>
    <row r="1870" spans="1:15">
      <c r="A1870" t="s">
        <v>1682</v>
      </c>
      <c r="B1870" t="s">
        <v>2093</v>
      </c>
      <c r="C1870" t="s">
        <v>2094</v>
      </c>
      <c r="D1870" s="1">
        <v>43720</v>
      </c>
      <c r="E1870" s="1">
        <v>45155</v>
      </c>
      <c r="F1870">
        <v>137</v>
      </c>
      <c r="G1870">
        <v>1</v>
      </c>
      <c r="H1870">
        <v>106.24</v>
      </c>
      <c r="I1870">
        <v>33.19</v>
      </c>
      <c r="J1870" t="s">
        <v>66</v>
      </c>
      <c r="K1870" t="s">
        <v>16</v>
      </c>
      <c r="L1870" t="s">
        <v>2087</v>
      </c>
      <c r="M1870">
        <v>7</v>
      </c>
      <c r="N1870" t="s">
        <v>204</v>
      </c>
      <c r="O1870" t="s">
        <v>2107</v>
      </c>
    </row>
    <row r="1871" spans="1:15">
      <c r="A1871" t="s">
        <v>3542</v>
      </c>
      <c r="B1871" t="s">
        <v>2093</v>
      </c>
      <c r="C1871" t="s">
        <v>2086</v>
      </c>
      <c r="D1871" s="1">
        <v>44269</v>
      </c>
      <c r="E1871" s="1">
        <v>45154</v>
      </c>
      <c r="F1871">
        <v>138</v>
      </c>
      <c r="G1871">
        <v>4</v>
      </c>
      <c r="H1871">
        <v>181.33</v>
      </c>
      <c r="I1871">
        <v>43.29</v>
      </c>
      <c r="J1871" t="s">
        <v>66</v>
      </c>
      <c r="K1871" t="s">
        <v>20</v>
      </c>
      <c r="L1871" t="s">
        <v>2095</v>
      </c>
      <c r="M1871">
        <v>8</v>
      </c>
      <c r="N1871" t="s">
        <v>232</v>
      </c>
      <c r="O1871" t="s">
        <v>2088</v>
      </c>
    </row>
    <row r="1872" spans="1:15">
      <c r="A1872" t="s">
        <v>1340</v>
      </c>
      <c r="B1872" t="s">
        <v>2090</v>
      </c>
      <c r="C1872" t="s">
        <v>2086</v>
      </c>
      <c r="D1872" s="1">
        <v>44481</v>
      </c>
      <c r="E1872" s="1">
        <v>45118</v>
      </c>
      <c r="F1872">
        <v>174</v>
      </c>
      <c r="G1872">
        <v>5</v>
      </c>
      <c r="H1872">
        <v>340.39</v>
      </c>
      <c r="I1872">
        <v>61.2</v>
      </c>
      <c r="J1872" t="s">
        <v>66</v>
      </c>
      <c r="K1872" t="s">
        <v>20</v>
      </c>
      <c r="L1872" t="s">
        <v>2087</v>
      </c>
      <c r="M1872">
        <v>10</v>
      </c>
      <c r="N1872" t="s">
        <v>157</v>
      </c>
      <c r="O1872" t="s">
        <v>2121</v>
      </c>
    </row>
    <row r="1873" spans="1:15">
      <c r="A1873" t="s">
        <v>636</v>
      </c>
      <c r="B1873" t="s">
        <v>2090</v>
      </c>
      <c r="C1873" t="s">
        <v>2100</v>
      </c>
      <c r="D1873" s="1">
        <v>45203</v>
      </c>
      <c r="E1873" s="1">
        <v>45024</v>
      </c>
      <c r="F1873">
        <v>268</v>
      </c>
      <c r="G1873">
        <v>7</v>
      </c>
      <c r="H1873">
        <v>186.97</v>
      </c>
      <c r="I1873">
        <v>86.99</v>
      </c>
      <c r="J1873" t="s">
        <v>90</v>
      </c>
      <c r="K1873" t="s">
        <v>16</v>
      </c>
      <c r="L1873" t="s">
        <v>2095</v>
      </c>
      <c r="M1873">
        <v>3</v>
      </c>
      <c r="N1873" t="s">
        <v>204</v>
      </c>
      <c r="O1873" t="s">
        <v>2109</v>
      </c>
    </row>
    <row r="1874" spans="1:15">
      <c r="A1874" t="s">
        <v>3543</v>
      </c>
      <c r="B1874" t="s">
        <v>2099</v>
      </c>
      <c r="C1874" t="s">
        <v>2111</v>
      </c>
      <c r="D1874" s="1">
        <v>44009</v>
      </c>
      <c r="E1874" s="1">
        <v>45003</v>
      </c>
      <c r="F1874">
        <v>289</v>
      </c>
      <c r="G1874">
        <v>2</v>
      </c>
      <c r="H1874">
        <v>92.48</v>
      </c>
      <c r="I1874">
        <v>42.51</v>
      </c>
      <c r="J1874" t="s">
        <v>90</v>
      </c>
      <c r="K1874" t="s">
        <v>16</v>
      </c>
      <c r="L1874" t="s">
        <v>2087</v>
      </c>
      <c r="M1874">
        <v>5</v>
      </c>
      <c r="N1874" t="s">
        <v>174</v>
      </c>
      <c r="O1874" t="s">
        <v>2121</v>
      </c>
    </row>
    <row r="1875" spans="1:15">
      <c r="A1875" t="s">
        <v>3544</v>
      </c>
      <c r="B1875" t="s">
        <v>2090</v>
      </c>
      <c r="C1875" t="s">
        <v>2100</v>
      </c>
      <c r="D1875" s="1">
        <v>43621</v>
      </c>
      <c r="E1875" s="1">
        <v>45089</v>
      </c>
      <c r="F1875">
        <v>203</v>
      </c>
      <c r="G1875">
        <v>5</v>
      </c>
      <c r="H1875">
        <v>192.23</v>
      </c>
      <c r="I1875">
        <v>63.84</v>
      </c>
      <c r="J1875" t="s">
        <v>41</v>
      </c>
      <c r="K1875" t="s">
        <v>20</v>
      </c>
      <c r="L1875" t="s">
        <v>2095</v>
      </c>
      <c r="M1875">
        <v>0</v>
      </c>
      <c r="N1875" t="s">
        <v>232</v>
      </c>
      <c r="O1875" t="s">
        <v>2088</v>
      </c>
    </row>
    <row r="1876" spans="1:15">
      <c r="A1876" t="s">
        <v>3545</v>
      </c>
      <c r="B1876" t="s">
        <v>2085</v>
      </c>
      <c r="C1876" t="s">
        <v>2108</v>
      </c>
      <c r="D1876" s="1">
        <v>44635</v>
      </c>
      <c r="E1876" s="1">
        <v>45069</v>
      </c>
      <c r="F1876">
        <v>223</v>
      </c>
      <c r="G1876">
        <v>37</v>
      </c>
      <c r="H1876">
        <v>871.1</v>
      </c>
      <c r="I1876">
        <v>243.53</v>
      </c>
      <c r="J1876" t="s">
        <v>14</v>
      </c>
      <c r="K1876" t="s">
        <v>16</v>
      </c>
      <c r="L1876" t="s">
        <v>2087</v>
      </c>
      <c r="M1876">
        <v>6</v>
      </c>
      <c r="N1876" t="s">
        <v>194</v>
      </c>
      <c r="O1876" t="s">
        <v>2088</v>
      </c>
    </row>
    <row r="1877" spans="1:15">
      <c r="A1877" t="s">
        <v>3546</v>
      </c>
      <c r="B1877" t="s">
        <v>2097</v>
      </c>
      <c r="C1877" t="s">
        <v>2086</v>
      </c>
      <c r="D1877" s="1">
        <v>44169</v>
      </c>
      <c r="E1877" s="1">
        <v>45052</v>
      </c>
      <c r="F1877">
        <v>240</v>
      </c>
      <c r="G1877">
        <v>6</v>
      </c>
      <c r="H1877">
        <v>634.16</v>
      </c>
      <c r="I1877">
        <v>122.24</v>
      </c>
      <c r="J1877" t="s">
        <v>66</v>
      </c>
      <c r="K1877" t="s">
        <v>20</v>
      </c>
      <c r="L1877" t="s">
        <v>2106</v>
      </c>
      <c r="M1877">
        <v>6</v>
      </c>
      <c r="N1877" t="s">
        <v>194</v>
      </c>
      <c r="O1877" t="s">
        <v>2107</v>
      </c>
    </row>
    <row r="1878" spans="1:15">
      <c r="A1878" t="s">
        <v>3547</v>
      </c>
      <c r="B1878" t="s">
        <v>2113</v>
      </c>
      <c r="C1878" t="s">
        <v>2100</v>
      </c>
      <c r="D1878" s="1">
        <v>43732</v>
      </c>
      <c r="E1878" s="1">
        <v>45137</v>
      </c>
      <c r="F1878">
        <v>155</v>
      </c>
      <c r="G1878">
        <v>10</v>
      </c>
      <c r="H1878">
        <v>556.89</v>
      </c>
      <c r="I1878">
        <v>73.25</v>
      </c>
      <c r="J1878" t="s">
        <v>14</v>
      </c>
      <c r="K1878" t="s">
        <v>20</v>
      </c>
      <c r="L1878" t="s">
        <v>2106</v>
      </c>
      <c r="M1878">
        <v>10</v>
      </c>
      <c r="N1878" t="s">
        <v>179</v>
      </c>
      <c r="O1878" t="s">
        <v>2096</v>
      </c>
    </row>
    <row r="1879" spans="1:15">
      <c r="A1879" t="s">
        <v>3548</v>
      </c>
      <c r="B1879" t="s">
        <v>2085</v>
      </c>
      <c r="C1879" t="s">
        <v>2111</v>
      </c>
      <c r="D1879" s="1">
        <v>44634</v>
      </c>
      <c r="E1879" s="1">
        <v>44967</v>
      </c>
      <c r="F1879">
        <v>325</v>
      </c>
      <c r="G1879">
        <v>20</v>
      </c>
      <c r="H1879">
        <v>1826.11</v>
      </c>
      <c r="I1879">
        <v>271.08999999999997</v>
      </c>
      <c r="J1879" t="s">
        <v>14</v>
      </c>
      <c r="K1879" t="s">
        <v>20</v>
      </c>
      <c r="L1879" t="s">
        <v>2095</v>
      </c>
      <c r="M1879">
        <v>4</v>
      </c>
      <c r="N1879" t="s">
        <v>232</v>
      </c>
      <c r="O1879" t="s">
        <v>2121</v>
      </c>
    </row>
    <row r="1880" spans="1:15">
      <c r="A1880" t="s">
        <v>3549</v>
      </c>
      <c r="B1880" t="s">
        <v>2099</v>
      </c>
      <c r="C1880" t="s">
        <v>2086</v>
      </c>
      <c r="D1880" s="1">
        <v>44690</v>
      </c>
      <c r="E1880" s="1">
        <v>45183</v>
      </c>
      <c r="F1880">
        <v>109</v>
      </c>
      <c r="G1880">
        <v>1</v>
      </c>
      <c r="H1880">
        <v>30.23</v>
      </c>
      <c r="I1880">
        <v>75.150000000000006</v>
      </c>
      <c r="J1880" t="s">
        <v>115</v>
      </c>
      <c r="K1880" t="s">
        <v>20</v>
      </c>
      <c r="L1880" t="s">
        <v>2087</v>
      </c>
      <c r="M1880">
        <v>5</v>
      </c>
      <c r="N1880" t="s">
        <v>174</v>
      </c>
      <c r="O1880" t="s">
        <v>2096</v>
      </c>
    </row>
    <row r="1881" spans="1:15">
      <c r="A1881" t="s">
        <v>3550</v>
      </c>
      <c r="B1881" t="s">
        <v>2090</v>
      </c>
      <c r="C1881" t="s">
        <v>2094</v>
      </c>
      <c r="D1881" s="1">
        <v>43906</v>
      </c>
      <c r="E1881" s="1">
        <v>45156</v>
      </c>
      <c r="F1881">
        <v>136</v>
      </c>
      <c r="G1881">
        <v>2</v>
      </c>
      <c r="H1881">
        <v>298.51</v>
      </c>
      <c r="I1881">
        <v>65.459999999999994</v>
      </c>
      <c r="J1881" t="s">
        <v>90</v>
      </c>
      <c r="K1881" t="s">
        <v>16</v>
      </c>
      <c r="L1881" t="s">
        <v>2095</v>
      </c>
      <c r="M1881">
        <v>4</v>
      </c>
      <c r="N1881" t="s">
        <v>165</v>
      </c>
      <c r="O1881" t="s">
        <v>2121</v>
      </c>
    </row>
    <row r="1882" spans="1:15">
      <c r="A1882" t="s">
        <v>1020</v>
      </c>
      <c r="B1882" t="s">
        <v>2099</v>
      </c>
      <c r="C1882" t="s">
        <v>2100</v>
      </c>
      <c r="D1882" s="1">
        <v>44782</v>
      </c>
      <c r="E1882" s="1">
        <v>45258</v>
      </c>
      <c r="F1882">
        <v>34</v>
      </c>
      <c r="G1882">
        <v>2</v>
      </c>
      <c r="H1882">
        <v>75.260000000000005</v>
      </c>
      <c r="I1882">
        <v>27.44</v>
      </c>
      <c r="J1882" t="s">
        <v>115</v>
      </c>
      <c r="K1882" t="s">
        <v>16</v>
      </c>
      <c r="L1882" t="s">
        <v>2106</v>
      </c>
      <c r="M1882">
        <v>0</v>
      </c>
      <c r="N1882" t="s">
        <v>194</v>
      </c>
      <c r="O1882" t="s">
        <v>2109</v>
      </c>
    </row>
    <row r="1883" spans="1:15">
      <c r="A1883" t="s">
        <v>3551</v>
      </c>
      <c r="B1883" t="s">
        <v>2093</v>
      </c>
      <c r="C1883" t="s">
        <v>2086</v>
      </c>
      <c r="D1883" s="1">
        <v>45224</v>
      </c>
      <c r="E1883" s="1">
        <v>45123</v>
      </c>
      <c r="F1883">
        <v>169</v>
      </c>
      <c r="G1883">
        <v>5</v>
      </c>
      <c r="H1883">
        <v>99.97</v>
      </c>
      <c r="I1883">
        <v>60.27</v>
      </c>
      <c r="J1883" t="s">
        <v>41</v>
      </c>
      <c r="K1883" t="s">
        <v>20</v>
      </c>
      <c r="L1883" t="s">
        <v>2106</v>
      </c>
      <c r="M1883">
        <v>0</v>
      </c>
      <c r="N1883" t="s">
        <v>165</v>
      </c>
      <c r="O1883" t="s">
        <v>2121</v>
      </c>
    </row>
    <row r="1884" spans="1:15">
      <c r="A1884" t="s">
        <v>3552</v>
      </c>
      <c r="B1884" t="s">
        <v>2093</v>
      </c>
      <c r="C1884" t="s">
        <v>2094</v>
      </c>
      <c r="D1884" s="1">
        <v>44695</v>
      </c>
      <c r="E1884" s="1">
        <v>45227</v>
      </c>
      <c r="F1884">
        <v>65</v>
      </c>
      <c r="G1884">
        <v>2</v>
      </c>
      <c r="H1884">
        <v>92.71</v>
      </c>
      <c r="I1884">
        <v>40.590000000000003</v>
      </c>
      <c r="J1884" t="s">
        <v>14</v>
      </c>
      <c r="K1884" t="s">
        <v>20</v>
      </c>
      <c r="L1884" t="s">
        <v>2106</v>
      </c>
      <c r="M1884">
        <v>9</v>
      </c>
      <c r="N1884" t="s">
        <v>174</v>
      </c>
      <c r="O1884" t="s">
        <v>2121</v>
      </c>
    </row>
    <row r="1885" spans="1:15">
      <c r="A1885" t="s">
        <v>3553</v>
      </c>
      <c r="B1885" t="s">
        <v>2093</v>
      </c>
      <c r="C1885" t="s">
        <v>2086</v>
      </c>
      <c r="D1885" s="1">
        <v>43473</v>
      </c>
      <c r="E1885" s="1">
        <v>45019</v>
      </c>
      <c r="F1885">
        <v>273</v>
      </c>
      <c r="G1885">
        <v>2</v>
      </c>
      <c r="H1885">
        <v>149.24</v>
      </c>
      <c r="I1885">
        <v>61.5</v>
      </c>
      <c r="J1885" t="s">
        <v>41</v>
      </c>
      <c r="K1885" t="s">
        <v>16</v>
      </c>
      <c r="L1885" t="s">
        <v>2087</v>
      </c>
      <c r="M1885">
        <v>4</v>
      </c>
      <c r="N1885" t="s">
        <v>179</v>
      </c>
      <c r="O1885" t="s">
        <v>2096</v>
      </c>
    </row>
    <row r="1886" spans="1:15">
      <c r="A1886" t="s">
        <v>3554</v>
      </c>
      <c r="B1886" t="s">
        <v>2113</v>
      </c>
      <c r="C1886" t="s">
        <v>2100</v>
      </c>
      <c r="D1886" s="1">
        <v>44742</v>
      </c>
      <c r="E1886" s="1">
        <v>45200</v>
      </c>
      <c r="F1886">
        <v>92</v>
      </c>
      <c r="G1886">
        <v>13</v>
      </c>
      <c r="H1886">
        <v>519.09</v>
      </c>
      <c r="I1886">
        <v>64.02</v>
      </c>
      <c r="J1886" t="s">
        <v>41</v>
      </c>
      <c r="K1886" t="s">
        <v>16</v>
      </c>
      <c r="L1886" t="s">
        <v>2095</v>
      </c>
      <c r="M1886">
        <v>4</v>
      </c>
      <c r="N1886" t="s">
        <v>174</v>
      </c>
      <c r="O1886" t="s">
        <v>2121</v>
      </c>
    </row>
    <row r="1887" spans="1:15">
      <c r="A1887" t="s">
        <v>1420</v>
      </c>
      <c r="B1887" t="s">
        <v>2085</v>
      </c>
      <c r="C1887" t="s">
        <v>2094</v>
      </c>
      <c r="D1887" s="1">
        <v>44236</v>
      </c>
      <c r="E1887" s="1">
        <v>44943</v>
      </c>
      <c r="F1887">
        <v>349</v>
      </c>
      <c r="G1887">
        <v>18</v>
      </c>
      <c r="H1887">
        <v>2726.48</v>
      </c>
      <c r="I1887">
        <v>206.39</v>
      </c>
      <c r="J1887" t="s">
        <v>90</v>
      </c>
      <c r="K1887" t="s">
        <v>16</v>
      </c>
      <c r="L1887" t="s">
        <v>2087</v>
      </c>
      <c r="M1887">
        <v>3</v>
      </c>
      <c r="N1887" t="s">
        <v>157</v>
      </c>
      <c r="O1887" t="s">
        <v>2088</v>
      </c>
    </row>
    <row r="1888" spans="1:15">
      <c r="A1888" t="s">
        <v>3555</v>
      </c>
      <c r="B1888" t="s">
        <v>2090</v>
      </c>
      <c r="C1888" t="s">
        <v>2094</v>
      </c>
      <c r="D1888" s="1">
        <v>44982</v>
      </c>
      <c r="E1888" s="1">
        <v>45183</v>
      </c>
      <c r="F1888">
        <v>109</v>
      </c>
      <c r="G1888">
        <v>8</v>
      </c>
      <c r="H1888">
        <v>108.89</v>
      </c>
      <c r="I1888">
        <v>76.3</v>
      </c>
      <c r="J1888" t="s">
        <v>41</v>
      </c>
      <c r="K1888" t="s">
        <v>16</v>
      </c>
      <c r="L1888" t="s">
        <v>2087</v>
      </c>
      <c r="M1888">
        <v>4</v>
      </c>
      <c r="N1888" t="s">
        <v>179</v>
      </c>
      <c r="O1888" t="s">
        <v>2121</v>
      </c>
    </row>
    <row r="1889" spans="1:15">
      <c r="A1889" t="s">
        <v>3556</v>
      </c>
      <c r="B1889" t="s">
        <v>2097</v>
      </c>
      <c r="C1889" t="s">
        <v>2111</v>
      </c>
      <c r="D1889" s="1">
        <v>44043</v>
      </c>
      <c r="E1889" s="1">
        <v>44979</v>
      </c>
      <c r="F1889">
        <v>313</v>
      </c>
      <c r="G1889">
        <v>3</v>
      </c>
      <c r="H1889">
        <v>272.19</v>
      </c>
      <c r="I1889">
        <v>110.57</v>
      </c>
      <c r="J1889" t="s">
        <v>41</v>
      </c>
      <c r="K1889" t="s">
        <v>20</v>
      </c>
      <c r="L1889" t="s">
        <v>2095</v>
      </c>
      <c r="M1889">
        <v>8</v>
      </c>
      <c r="N1889" t="s">
        <v>204</v>
      </c>
      <c r="O1889" t="s">
        <v>2107</v>
      </c>
    </row>
    <row r="1890" spans="1:15">
      <c r="A1890" t="s">
        <v>1799</v>
      </c>
      <c r="B1890" t="s">
        <v>2113</v>
      </c>
      <c r="C1890" t="s">
        <v>2100</v>
      </c>
      <c r="D1890" s="1">
        <v>44898</v>
      </c>
      <c r="E1890" s="1">
        <v>45135</v>
      </c>
      <c r="F1890">
        <v>157</v>
      </c>
      <c r="G1890">
        <v>7</v>
      </c>
      <c r="H1890">
        <v>368.64</v>
      </c>
      <c r="I1890">
        <v>67.39</v>
      </c>
      <c r="J1890" t="s">
        <v>66</v>
      </c>
      <c r="K1890" t="s">
        <v>16</v>
      </c>
      <c r="L1890" t="s">
        <v>2087</v>
      </c>
      <c r="M1890">
        <v>4</v>
      </c>
      <c r="N1890" t="s">
        <v>174</v>
      </c>
      <c r="O1890" t="s">
        <v>2107</v>
      </c>
    </row>
    <row r="1891" spans="1:15">
      <c r="A1891" t="s">
        <v>3557</v>
      </c>
      <c r="B1891" t="s">
        <v>2085</v>
      </c>
      <c r="C1891" t="s">
        <v>2111</v>
      </c>
      <c r="D1891" s="1">
        <v>44846</v>
      </c>
      <c r="E1891" s="1">
        <v>45023</v>
      </c>
      <c r="F1891">
        <v>269</v>
      </c>
      <c r="G1891">
        <v>18</v>
      </c>
      <c r="H1891">
        <v>2821.08</v>
      </c>
      <c r="I1891">
        <v>115.27</v>
      </c>
      <c r="J1891" t="s">
        <v>41</v>
      </c>
      <c r="K1891" t="s">
        <v>16</v>
      </c>
      <c r="L1891" t="s">
        <v>2106</v>
      </c>
      <c r="M1891">
        <v>5</v>
      </c>
      <c r="N1891" t="s">
        <v>157</v>
      </c>
      <c r="O1891" t="s">
        <v>2121</v>
      </c>
    </row>
    <row r="1892" spans="1:15">
      <c r="A1892" t="s">
        <v>3558</v>
      </c>
      <c r="B1892" t="s">
        <v>2099</v>
      </c>
      <c r="C1892" t="s">
        <v>2086</v>
      </c>
      <c r="D1892" s="1">
        <v>43896</v>
      </c>
      <c r="E1892" s="1">
        <v>45245</v>
      </c>
      <c r="F1892">
        <v>47</v>
      </c>
      <c r="G1892">
        <v>2</v>
      </c>
      <c r="H1892">
        <v>89.49</v>
      </c>
      <c r="I1892">
        <v>26.28</v>
      </c>
      <c r="J1892" t="s">
        <v>115</v>
      </c>
      <c r="K1892" t="s">
        <v>16</v>
      </c>
      <c r="L1892" t="s">
        <v>2106</v>
      </c>
      <c r="M1892">
        <v>2</v>
      </c>
      <c r="N1892" t="s">
        <v>165</v>
      </c>
      <c r="O1892" t="s">
        <v>2096</v>
      </c>
    </row>
    <row r="1893" spans="1:15">
      <c r="A1893" t="s">
        <v>3559</v>
      </c>
      <c r="B1893" t="s">
        <v>2099</v>
      </c>
      <c r="C1893" t="s">
        <v>2086</v>
      </c>
      <c r="D1893" s="1">
        <v>44735</v>
      </c>
      <c r="E1893" s="1">
        <v>44956</v>
      </c>
      <c r="F1893">
        <v>336</v>
      </c>
      <c r="G1893">
        <v>2</v>
      </c>
      <c r="H1893">
        <v>64.680000000000007</v>
      </c>
      <c r="I1893">
        <v>69.81</v>
      </c>
      <c r="J1893" t="s">
        <v>115</v>
      </c>
      <c r="K1893" t="s">
        <v>16</v>
      </c>
      <c r="L1893" t="s">
        <v>2106</v>
      </c>
      <c r="M1893">
        <v>10</v>
      </c>
      <c r="N1893" t="s">
        <v>179</v>
      </c>
      <c r="O1893" t="s">
        <v>2096</v>
      </c>
    </row>
    <row r="1894" spans="1:15">
      <c r="A1894" t="s">
        <v>3560</v>
      </c>
      <c r="B1894" t="s">
        <v>2097</v>
      </c>
      <c r="C1894" t="s">
        <v>2111</v>
      </c>
      <c r="D1894" s="1">
        <v>45120</v>
      </c>
      <c r="E1894" s="1">
        <v>45192</v>
      </c>
      <c r="F1894">
        <v>100</v>
      </c>
      <c r="G1894">
        <v>11</v>
      </c>
      <c r="H1894">
        <v>786.48</v>
      </c>
      <c r="I1894">
        <v>83.03</v>
      </c>
      <c r="J1894" t="s">
        <v>90</v>
      </c>
      <c r="K1894" t="s">
        <v>16</v>
      </c>
      <c r="L1894" t="s">
        <v>2087</v>
      </c>
      <c r="M1894">
        <v>9</v>
      </c>
      <c r="N1894" t="s">
        <v>157</v>
      </c>
      <c r="O1894" t="s">
        <v>2107</v>
      </c>
    </row>
    <row r="1895" spans="1:15">
      <c r="A1895" t="s">
        <v>3561</v>
      </c>
      <c r="B1895" t="s">
        <v>2090</v>
      </c>
      <c r="C1895" t="s">
        <v>2086</v>
      </c>
      <c r="D1895" s="1">
        <v>43917</v>
      </c>
      <c r="E1895" s="1">
        <v>45086</v>
      </c>
      <c r="F1895">
        <v>206</v>
      </c>
      <c r="G1895">
        <v>3</v>
      </c>
      <c r="H1895">
        <v>381.59</v>
      </c>
      <c r="I1895">
        <v>47.77</v>
      </c>
      <c r="J1895" t="s">
        <v>115</v>
      </c>
      <c r="K1895" t="s">
        <v>16</v>
      </c>
      <c r="L1895" t="s">
        <v>2106</v>
      </c>
      <c r="M1895">
        <v>0</v>
      </c>
      <c r="N1895" t="s">
        <v>165</v>
      </c>
      <c r="O1895" t="s">
        <v>2096</v>
      </c>
    </row>
    <row r="1896" spans="1:15">
      <c r="A1896" t="s">
        <v>3562</v>
      </c>
      <c r="B1896" t="s">
        <v>2097</v>
      </c>
      <c r="C1896" t="s">
        <v>2094</v>
      </c>
      <c r="D1896" s="1">
        <v>44254</v>
      </c>
      <c r="E1896" s="1">
        <v>45023</v>
      </c>
      <c r="F1896">
        <v>269</v>
      </c>
      <c r="G1896">
        <v>11</v>
      </c>
      <c r="H1896">
        <v>192.27</v>
      </c>
      <c r="I1896">
        <v>75.819999999999993</v>
      </c>
      <c r="J1896" t="s">
        <v>41</v>
      </c>
      <c r="K1896" t="s">
        <v>20</v>
      </c>
      <c r="L1896" t="s">
        <v>2106</v>
      </c>
      <c r="M1896">
        <v>2</v>
      </c>
      <c r="N1896" t="s">
        <v>194</v>
      </c>
      <c r="O1896" t="s">
        <v>2107</v>
      </c>
    </row>
    <row r="1897" spans="1:15">
      <c r="A1897" t="s">
        <v>3563</v>
      </c>
      <c r="B1897" t="s">
        <v>2085</v>
      </c>
      <c r="C1897" t="s">
        <v>2111</v>
      </c>
      <c r="D1897" s="1">
        <v>44414</v>
      </c>
      <c r="E1897" s="1">
        <v>45050</v>
      </c>
      <c r="F1897">
        <v>242</v>
      </c>
      <c r="G1897">
        <v>34</v>
      </c>
      <c r="H1897">
        <v>2138.19</v>
      </c>
      <c r="I1897">
        <v>174</v>
      </c>
      <c r="J1897" t="s">
        <v>115</v>
      </c>
      <c r="K1897" t="s">
        <v>20</v>
      </c>
      <c r="L1897" t="s">
        <v>2095</v>
      </c>
      <c r="M1897">
        <v>2</v>
      </c>
      <c r="N1897" t="s">
        <v>174</v>
      </c>
      <c r="O1897" t="s">
        <v>2088</v>
      </c>
    </row>
    <row r="1898" spans="1:15">
      <c r="A1898" t="s">
        <v>3564</v>
      </c>
      <c r="B1898" t="s">
        <v>2113</v>
      </c>
      <c r="C1898" t="s">
        <v>2094</v>
      </c>
      <c r="D1898" s="1">
        <v>43651</v>
      </c>
      <c r="E1898" s="1">
        <v>44971</v>
      </c>
      <c r="F1898">
        <v>321</v>
      </c>
      <c r="G1898">
        <v>9</v>
      </c>
      <c r="H1898">
        <v>336.09</v>
      </c>
      <c r="I1898">
        <v>39.659999999999997</v>
      </c>
      <c r="J1898" t="s">
        <v>90</v>
      </c>
      <c r="K1898" t="s">
        <v>16</v>
      </c>
      <c r="L1898" t="s">
        <v>2095</v>
      </c>
      <c r="M1898">
        <v>3</v>
      </c>
      <c r="N1898" t="s">
        <v>174</v>
      </c>
      <c r="O1898" t="s">
        <v>2121</v>
      </c>
    </row>
    <row r="1899" spans="1:15">
      <c r="A1899" t="s">
        <v>899</v>
      </c>
      <c r="B1899" t="s">
        <v>2093</v>
      </c>
      <c r="C1899" t="s">
        <v>2091</v>
      </c>
      <c r="D1899" s="1">
        <v>43594</v>
      </c>
      <c r="E1899" s="1">
        <v>45091</v>
      </c>
      <c r="F1899">
        <v>201</v>
      </c>
      <c r="G1899">
        <v>3</v>
      </c>
      <c r="H1899">
        <v>91.62</v>
      </c>
      <c r="I1899">
        <v>70.94</v>
      </c>
      <c r="J1899" t="s">
        <v>14</v>
      </c>
      <c r="K1899" t="s">
        <v>16</v>
      </c>
      <c r="L1899" t="s">
        <v>2095</v>
      </c>
      <c r="M1899">
        <v>4</v>
      </c>
      <c r="N1899" t="s">
        <v>194</v>
      </c>
      <c r="O1899" t="s">
        <v>2096</v>
      </c>
    </row>
    <row r="1900" spans="1:15">
      <c r="A1900" t="s">
        <v>3565</v>
      </c>
      <c r="B1900" t="s">
        <v>2099</v>
      </c>
      <c r="C1900" t="s">
        <v>2086</v>
      </c>
      <c r="D1900" s="1">
        <v>43670</v>
      </c>
      <c r="E1900" s="1">
        <v>44951</v>
      </c>
      <c r="F1900">
        <v>341</v>
      </c>
      <c r="G1900">
        <v>2</v>
      </c>
      <c r="H1900">
        <v>89.27</v>
      </c>
      <c r="I1900">
        <v>73.739999999999995</v>
      </c>
      <c r="J1900" t="s">
        <v>90</v>
      </c>
      <c r="K1900" t="s">
        <v>16</v>
      </c>
      <c r="L1900" t="s">
        <v>2106</v>
      </c>
      <c r="M1900">
        <v>8</v>
      </c>
      <c r="N1900" t="s">
        <v>194</v>
      </c>
      <c r="O1900" t="s">
        <v>2121</v>
      </c>
    </row>
    <row r="1901" spans="1:15">
      <c r="A1901" t="s">
        <v>3566</v>
      </c>
      <c r="B1901" t="s">
        <v>2113</v>
      </c>
      <c r="C1901" t="s">
        <v>2108</v>
      </c>
      <c r="D1901" s="1">
        <v>44351</v>
      </c>
      <c r="E1901" s="1">
        <v>45048</v>
      </c>
      <c r="F1901">
        <v>244</v>
      </c>
      <c r="G1901">
        <v>19</v>
      </c>
      <c r="H1901">
        <v>303.39</v>
      </c>
      <c r="I1901">
        <v>71.97</v>
      </c>
      <c r="J1901" t="s">
        <v>66</v>
      </c>
      <c r="K1901" t="s">
        <v>16</v>
      </c>
      <c r="L1901" t="s">
        <v>2087</v>
      </c>
      <c r="M1901">
        <v>1</v>
      </c>
      <c r="N1901" t="s">
        <v>179</v>
      </c>
      <c r="O1901" t="s">
        <v>2088</v>
      </c>
    </row>
    <row r="1902" spans="1:15">
      <c r="A1902" t="s">
        <v>3567</v>
      </c>
      <c r="B1902" t="s">
        <v>2093</v>
      </c>
      <c r="C1902" t="s">
        <v>2086</v>
      </c>
      <c r="D1902" s="1">
        <v>44298</v>
      </c>
      <c r="E1902" s="1">
        <v>45241</v>
      </c>
      <c r="F1902">
        <v>51</v>
      </c>
      <c r="G1902">
        <v>2</v>
      </c>
      <c r="H1902">
        <v>131.6</v>
      </c>
      <c r="I1902">
        <v>25.9</v>
      </c>
      <c r="J1902" t="s">
        <v>66</v>
      </c>
      <c r="K1902" t="s">
        <v>16</v>
      </c>
      <c r="L1902" t="s">
        <v>2095</v>
      </c>
      <c r="M1902">
        <v>0</v>
      </c>
      <c r="N1902" t="s">
        <v>204</v>
      </c>
      <c r="O1902" t="s">
        <v>2121</v>
      </c>
    </row>
    <row r="1903" spans="1:15">
      <c r="A1903" t="s">
        <v>3568</v>
      </c>
      <c r="B1903" t="s">
        <v>2093</v>
      </c>
      <c r="C1903" t="s">
        <v>2111</v>
      </c>
      <c r="D1903" s="1">
        <v>45111</v>
      </c>
      <c r="E1903" s="1">
        <v>44979</v>
      </c>
      <c r="F1903">
        <v>313</v>
      </c>
      <c r="G1903">
        <v>1</v>
      </c>
      <c r="H1903">
        <v>188.94</v>
      </c>
      <c r="I1903">
        <v>75.040000000000006</v>
      </c>
      <c r="J1903" t="s">
        <v>90</v>
      </c>
      <c r="K1903" t="s">
        <v>16</v>
      </c>
      <c r="L1903" t="s">
        <v>2106</v>
      </c>
      <c r="M1903">
        <v>6</v>
      </c>
      <c r="N1903" t="s">
        <v>165</v>
      </c>
      <c r="O1903" t="s">
        <v>2109</v>
      </c>
    </row>
    <row r="1904" spans="1:15">
      <c r="A1904" t="s">
        <v>3569</v>
      </c>
      <c r="B1904" t="s">
        <v>2093</v>
      </c>
      <c r="C1904" t="s">
        <v>2108</v>
      </c>
      <c r="D1904" s="1">
        <v>45009</v>
      </c>
      <c r="E1904" s="1">
        <v>45286</v>
      </c>
      <c r="F1904">
        <v>6</v>
      </c>
      <c r="G1904">
        <v>5</v>
      </c>
      <c r="H1904">
        <v>45.86</v>
      </c>
      <c r="I1904">
        <v>23.53</v>
      </c>
      <c r="J1904" t="s">
        <v>115</v>
      </c>
      <c r="K1904" t="s">
        <v>20</v>
      </c>
      <c r="L1904" t="s">
        <v>2095</v>
      </c>
      <c r="M1904">
        <v>2</v>
      </c>
      <c r="N1904" t="s">
        <v>165</v>
      </c>
      <c r="O1904" t="s">
        <v>2121</v>
      </c>
    </row>
    <row r="1905" spans="1:15">
      <c r="A1905" t="s">
        <v>3570</v>
      </c>
      <c r="B1905" t="s">
        <v>2097</v>
      </c>
      <c r="C1905" t="s">
        <v>2091</v>
      </c>
      <c r="D1905" s="1">
        <v>45154</v>
      </c>
      <c r="E1905" s="1">
        <v>45184</v>
      </c>
      <c r="F1905">
        <v>108</v>
      </c>
      <c r="G1905">
        <v>4</v>
      </c>
      <c r="H1905">
        <v>412.92</v>
      </c>
      <c r="I1905">
        <v>64.14</v>
      </c>
      <c r="J1905" t="s">
        <v>41</v>
      </c>
      <c r="K1905" t="s">
        <v>20</v>
      </c>
      <c r="L1905" t="s">
        <v>2095</v>
      </c>
      <c r="M1905">
        <v>10</v>
      </c>
      <c r="N1905" t="s">
        <v>179</v>
      </c>
      <c r="O1905" t="s">
        <v>2109</v>
      </c>
    </row>
    <row r="1906" spans="1:15">
      <c r="A1906" t="s">
        <v>3571</v>
      </c>
      <c r="B1906" t="s">
        <v>2113</v>
      </c>
      <c r="C1906" t="s">
        <v>2086</v>
      </c>
      <c r="D1906" s="1">
        <v>45177</v>
      </c>
      <c r="E1906" s="1">
        <v>45243</v>
      </c>
      <c r="F1906">
        <v>49</v>
      </c>
      <c r="G1906">
        <v>17</v>
      </c>
      <c r="H1906">
        <v>185.25</v>
      </c>
      <c r="I1906">
        <v>69.11</v>
      </c>
      <c r="J1906" t="s">
        <v>90</v>
      </c>
      <c r="K1906" t="s">
        <v>16</v>
      </c>
      <c r="L1906" t="s">
        <v>2095</v>
      </c>
      <c r="M1906">
        <v>8</v>
      </c>
      <c r="N1906" t="s">
        <v>157</v>
      </c>
      <c r="O1906" t="s">
        <v>2121</v>
      </c>
    </row>
    <row r="1907" spans="1:15">
      <c r="A1907" t="s">
        <v>3572</v>
      </c>
      <c r="B1907" t="s">
        <v>2099</v>
      </c>
      <c r="C1907" t="s">
        <v>2091</v>
      </c>
      <c r="D1907" s="1">
        <v>44630</v>
      </c>
      <c r="E1907" s="1">
        <v>45044</v>
      </c>
      <c r="F1907">
        <v>248</v>
      </c>
      <c r="G1907">
        <v>1</v>
      </c>
      <c r="H1907">
        <v>116.95</v>
      </c>
      <c r="I1907">
        <v>20.89</v>
      </c>
      <c r="J1907" t="s">
        <v>66</v>
      </c>
      <c r="K1907" t="s">
        <v>16</v>
      </c>
      <c r="L1907" t="s">
        <v>2095</v>
      </c>
      <c r="M1907">
        <v>2</v>
      </c>
      <c r="N1907" t="s">
        <v>232</v>
      </c>
      <c r="O1907" t="s">
        <v>2109</v>
      </c>
    </row>
    <row r="1908" spans="1:15">
      <c r="A1908" t="s">
        <v>3573</v>
      </c>
      <c r="B1908" t="s">
        <v>2085</v>
      </c>
      <c r="C1908" t="s">
        <v>2108</v>
      </c>
      <c r="D1908" s="1">
        <v>43561</v>
      </c>
      <c r="E1908" s="1">
        <v>45257</v>
      </c>
      <c r="F1908">
        <v>35</v>
      </c>
      <c r="G1908">
        <v>34</v>
      </c>
      <c r="H1908">
        <v>1242.72</v>
      </c>
      <c r="I1908">
        <v>129.15</v>
      </c>
      <c r="J1908" t="s">
        <v>90</v>
      </c>
      <c r="K1908" t="s">
        <v>16</v>
      </c>
      <c r="L1908" t="s">
        <v>2106</v>
      </c>
      <c r="M1908">
        <v>5</v>
      </c>
      <c r="N1908" t="s">
        <v>232</v>
      </c>
      <c r="O1908" t="s">
        <v>2109</v>
      </c>
    </row>
    <row r="1909" spans="1:15">
      <c r="A1909" t="s">
        <v>3574</v>
      </c>
      <c r="B1909" t="s">
        <v>2093</v>
      </c>
      <c r="C1909" t="s">
        <v>2091</v>
      </c>
      <c r="D1909" s="1">
        <v>44414</v>
      </c>
      <c r="E1909" s="1">
        <v>44989</v>
      </c>
      <c r="F1909">
        <v>303</v>
      </c>
      <c r="G1909">
        <v>2</v>
      </c>
      <c r="H1909">
        <v>73.2</v>
      </c>
      <c r="I1909">
        <v>31.48</v>
      </c>
      <c r="J1909" t="s">
        <v>115</v>
      </c>
      <c r="K1909" t="s">
        <v>16</v>
      </c>
      <c r="L1909" t="s">
        <v>2095</v>
      </c>
      <c r="M1909">
        <v>4</v>
      </c>
      <c r="N1909" t="s">
        <v>194</v>
      </c>
      <c r="O1909" t="s">
        <v>2107</v>
      </c>
    </row>
    <row r="1910" spans="1:15">
      <c r="A1910" t="s">
        <v>199</v>
      </c>
      <c r="B1910" t="s">
        <v>2093</v>
      </c>
      <c r="C1910" t="s">
        <v>2111</v>
      </c>
      <c r="D1910" s="1">
        <v>45110</v>
      </c>
      <c r="E1910" s="1">
        <v>45255</v>
      </c>
      <c r="F1910">
        <v>37</v>
      </c>
      <c r="G1910">
        <v>1</v>
      </c>
      <c r="H1910">
        <v>86.3</v>
      </c>
      <c r="I1910">
        <v>79.75</v>
      </c>
      <c r="J1910" t="s">
        <v>41</v>
      </c>
      <c r="K1910" t="s">
        <v>20</v>
      </c>
      <c r="L1910" t="s">
        <v>2106</v>
      </c>
      <c r="M1910">
        <v>6</v>
      </c>
      <c r="N1910" t="s">
        <v>174</v>
      </c>
      <c r="O1910" t="s">
        <v>2109</v>
      </c>
    </row>
    <row r="1911" spans="1:15">
      <c r="A1911" t="s">
        <v>3575</v>
      </c>
      <c r="B1911" t="s">
        <v>2085</v>
      </c>
      <c r="C1911" t="s">
        <v>2094</v>
      </c>
      <c r="D1911" s="1">
        <v>45169</v>
      </c>
      <c r="E1911" s="1">
        <v>45020</v>
      </c>
      <c r="F1911">
        <v>272</v>
      </c>
      <c r="G1911">
        <v>21</v>
      </c>
      <c r="H1911">
        <v>2015.32</v>
      </c>
      <c r="I1911">
        <v>134.69999999999999</v>
      </c>
      <c r="J1911" t="s">
        <v>14</v>
      </c>
      <c r="K1911" t="s">
        <v>16</v>
      </c>
      <c r="L1911" t="s">
        <v>2087</v>
      </c>
      <c r="M1911">
        <v>4</v>
      </c>
      <c r="N1911" t="s">
        <v>204</v>
      </c>
      <c r="O1911" t="s">
        <v>2121</v>
      </c>
    </row>
    <row r="1912" spans="1:15">
      <c r="A1912" t="s">
        <v>554</v>
      </c>
      <c r="B1912" t="s">
        <v>2099</v>
      </c>
      <c r="C1912" t="s">
        <v>2108</v>
      </c>
      <c r="D1912" s="1">
        <v>44164</v>
      </c>
      <c r="E1912" s="1">
        <v>44948</v>
      </c>
      <c r="F1912">
        <v>344</v>
      </c>
      <c r="G1912">
        <v>2</v>
      </c>
      <c r="H1912">
        <v>110.04</v>
      </c>
      <c r="I1912">
        <v>68.56</v>
      </c>
      <c r="J1912" t="s">
        <v>115</v>
      </c>
      <c r="K1912" t="s">
        <v>16</v>
      </c>
      <c r="L1912" t="s">
        <v>2087</v>
      </c>
      <c r="M1912">
        <v>1</v>
      </c>
      <c r="N1912" t="s">
        <v>165</v>
      </c>
      <c r="O1912" t="s">
        <v>2088</v>
      </c>
    </row>
    <row r="1913" spans="1:15">
      <c r="A1913" t="s">
        <v>3576</v>
      </c>
      <c r="B1913" t="s">
        <v>2093</v>
      </c>
      <c r="C1913" t="s">
        <v>2091</v>
      </c>
      <c r="D1913" s="1">
        <v>44874</v>
      </c>
      <c r="E1913" s="1">
        <v>45059</v>
      </c>
      <c r="F1913">
        <v>233</v>
      </c>
      <c r="G1913">
        <v>5</v>
      </c>
      <c r="H1913">
        <v>115.86</v>
      </c>
      <c r="I1913">
        <v>46.14</v>
      </c>
      <c r="J1913" t="s">
        <v>14</v>
      </c>
      <c r="K1913" t="s">
        <v>16</v>
      </c>
      <c r="L1913" t="s">
        <v>2087</v>
      </c>
      <c r="M1913">
        <v>5</v>
      </c>
      <c r="N1913" t="s">
        <v>165</v>
      </c>
      <c r="O1913" t="s">
        <v>2121</v>
      </c>
    </row>
    <row r="1914" spans="1:15">
      <c r="A1914" t="s">
        <v>1650</v>
      </c>
      <c r="B1914" t="s">
        <v>2099</v>
      </c>
      <c r="C1914" t="s">
        <v>2086</v>
      </c>
      <c r="D1914" s="1">
        <v>44553</v>
      </c>
      <c r="E1914" s="1">
        <v>45187</v>
      </c>
      <c r="F1914">
        <v>105</v>
      </c>
      <c r="G1914">
        <v>1</v>
      </c>
      <c r="H1914">
        <v>48.67</v>
      </c>
      <c r="I1914">
        <v>64.709999999999994</v>
      </c>
      <c r="J1914" t="s">
        <v>90</v>
      </c>
      <c r="K1914" t="s">
        <v>20</v>
      </c>
      <c r="L1914" t="s">
        <v>2087</v>
      </c>
      <c r="M1914">
        <v>5</v>
      </c>
      <c r="N1914" t="s">
        <v>204</v>
      </c>
      <c r="O1914" t="s">
        <v>2088</v>
      </c>
    </row>
    <row r="1915" spans="1:15">
      <c r="A1915" t="s">
        <v>3577</v>
      </c>
      <c r="B1915" t="s">
        <v>2090</v>
      </c>
      <c r="C1915" t="s">
        <v>2100</v>
      </c>
      <c r="D1915" s="1">
        <v>44815</v>
      </c>
      <c r="E1915" s="1">
        <v>44953</v>
      </c>
      <c r="F1915">
        <v>339</v>
      </c>
      <c r="G1915">
        <v>8</v>
      </c>
      <c r="H1915">
        <v>156.05000000000001</v>
      </c>
      <c r="I1915">
        <v>56.48</v>
      </c>
      <c r="J1915" t="s">
        <v>41</v>
      </c>
      <c r="K1915" t="s">
        <v>16</v>
      </c>
      <c r="L1915" t="s">
        <v>2106</v>
      </c>
      <c r="M1915">
        <v>0</v>
      </c>
      <c r="N1915" t="s">
        <v>174</v>
      </c>
      <c r="O1915" t="s">
        <v>2096</v>
      </c>
    </row>
    <row r="1916" spans="1:15">
      <c r="A1916" t="s">
        <v>3578</v>
      </c>
      <c r="B1916" t="s">
        <v>2093</v>
      </c>
      <c r="C1916" t="s">
        <v>2086</v>
      </c>
      <c r="D1916" s="1">
        <v>44038</v>
      </c>
      <c r="E1916" s="1">
        <v>45173</v>
      </c>
      <c r="F1916">
        <v>119</v>
      </c>
      <c r="G1916">
        <v>2</v>
      </c>
      <c r="H1916">
        <v>124.52</v>
      </c>
      <c r="I1916">
        <v>20.55</v>
      </c>
      <c r="J1916" t="s">
        <v>66</v>
      </c>
      <c r="K1916" t="s">
        <v>20</v>
      </c>
      <c r="L1916" t="s">
        <v>2087</v>
      </c>
      <c r="M1916">
        <v>1</v>
      </c>
      <c r="N1916" t="s">
        <v>179</v>
      </c>
      <c r="O1916" t="s">
        <v>2088</v>
      </c>
    </row>
    <row r="1917" spans="1:15">
      <c r="A1917" t="s">
        <v>3579</v>
      </c>
      <c r="B1917" t="s">
        <v>2090</v>
      </c>
      <c r="C1917" t="s">
        <v>2108</v>
      </c>
      <c r="D1917" s="1">
        <v>44140</v>
      </c>
      <c r="E1917" s="1">
        <v>44989</v>
      </c>
      <c r="F1917">
        <v>303</v>
      </c>
      <c r="G1917">
        <v>2</v>
      </c>
      <c r="H1917">
        <v>148.58000000000001</v>
      </c>
      <c r="I1917">
        <v>41.33</v>
      </c>
      <c r="J1917" t="s">
        <v>66</v>
      </c>
      <c r="K1917" t="s">
        <v>20</v>
      </c>
      <c r="L1917" t="s">
        <v>2106</v>
      </c>
      <c r="M1917">
        <v>5</v>
      </c>
      <c r="N1917" t="s">
        <v>165</v>
      </c>
      <c r="O1917" t="s">
        <v>2107</v>
      </c>
    </row>
    <row r="1918" spans="1:15">
      <c r="A1918" t="s">
        <v>3580</v>
      </c>
      <c r="B1918" t="s">
        <v>2090</v>
      </c>
      <c r="C1918" t="s">
        <v>2086</v>
      </c>
      <c r="D1918" s="1">
        <v>44096</v>
      </c>
      <c r="E1918" s="1">
        <v>44964</v>
      </c>
      <c r="F1918">
        <v>328</v>
      </c>
      <c r="G1918">
        <v>3</v>
      </c>
      <c r="H1918">
        <v>384.24</v>
      </c>
      <c r="I1918">
        <v>85.56</v>
      </c>
      <c r="J1918" t="s">
        <v>14</v>
      </c>
      <c r="K1918" t="s">
        <v>16</v>
      </c>
      <c r="L1918" t="s">
        <v>2087</v>
      </c>
      <c r="M1918">
        <v>9</v>
      </c>
      <c r="N1918" t="s">
        <v>165</v>
      </c>
      <c r="O1918" t="s">
        <v>2096</v>
      </c>
    </row>
    <row r="1919" spans="1:15">
      <c r="A1919" t="s">
        <v>3581</v>
      </c>
      <c r="B1919" t="s">
        <v>2113</v>
      </c>
      <c r="C1919" t="s">
        <v>2094</v>
      </c>
      <c r="D1919" s="1">
        <v>43956</v>
      </c>
      <c r="E1919" s="1">
        <v>45228</v>
      </c>
      <c r="F1919">
        <v>64</v>
      </c>
      <c r="G1919">
        <v>12</v>
      </c>
      <c r="H1919">
        <v>253.81</v>
      </c>
      <c r="I1919">
        <v>36.409999999999997</v>
      </c>
      <c r="J1919" t="s">
        <v>14</v>
      </c>
      <c r="K1919" t="s">
        <v>20</v>
      </c>
      <c r="L1919" t="s">
        <v>2087</v>
      </c>
      <c r="M1919">
        <v>7</v>
      </c>
      <c r="N1919" t="s">
        <v>157</v>
      </c>
      <c r="O1919" t="s">
        <v>2096</v>
      </c>
    </row>
    <row r="1920" spans="1:15">
      <c r="A1920" t="s">
        <v>3582</v>
      </c>
      <c r="B1920" t="s">
        <v>2090</v>
      </c>
      <c r="C1920" t="s">
        <v>2100</v>
      </c>
      <c r="D1920" s="1">
        <v>44961</v>
      </c>
      <c r="E1920" s="1">
        <v>45128</v>
      </c>
      <c r="F1920">
        <v>164</v>
      </c>
      <c r="G1920">
        <v>4</v>
      </c>
      <c r="H1920">
        <v>313.19</v>
      </c>
      <c r="I1920">
        <v>50.09</v>
      </c>
      <c r="J1920" t="s">
        <v>14</v>
      </c>
      <c r="K1920" t="s">
        <v>20</v>
      </c>
      <c r="L1920" t="s">
        <v>2087</v>
      </c>
      <c r="M1920">
        <v>8</v>
      </c>
      <c r="N1920" t="s">
        <v>179</v>
      </c>
      <c r="O1920" t="s">
        <v>2088</v>
      </c>
    </row>
    <row r="1921" spans="1:15">
      <c r="A1921" t="s">
        <v>278</v>
      </c>
      <c r="B1921" t="s">
        <v>2099</v>
      </c>
      <c r="C1921" t="s">
        <v>2091</v>
      </c>
      <c r="D1921" s="1">
        <v>44876</v>
      </c>
      <c r="E1921" s="1">
        <v>45265</v>
      </c>
      <c r="F1921">
        <v>27</v>
      </c>
      <c r="G1921">
        <v>2</v>
      </c>
      <c r="H1921">
        <v>128.51</v>
      </c>
      <c r="I1921">
        <v>46.54</v>
      </c>
      <c r="J1921" t="s">
        <v>115</v>
      </c>
      <c r="K1921" t="s">
        <v>16</v>
      </c>
      <c r="L1921" t="s">
        <v>2087</v>
      </c>
      <c r="M1921">
        <v>10</v>
      </c>
      <c r="N1921" t="s">
        <v>165</v>
      </c>
      <c r="O1921" t="s">
        <v>2088</v>
      </c>
    </row>
    <row r="1922" spans="1:15">
      <c r="A1922" t="s">
        <v>1949</v>
      </c>
      <c r="B1922" t="s">
        <v>2093</v>
      </c>
      <c r="C1922" t="s">
        <v>2111</v>
      </c>
      <c r="D1922" s="1">
        <v>43803</v>
      </c>
      <c r="E1922" s="1">
        <v>45201</v>
      </c>
      <c r="F1922">
        <v>91</v>
      </c>
      <c r="G1922">
        <v>2</v>
      </c>
      <c r="H1922">
        <v>178.35</v>
      </c>
      <c r="I1922">
        <v>29.53</v>
      </c>
      <c r="J1922" t="s">
        <v>14</v>
      </c>
      <c r="K1922" t="s">
        <v>20</v>
      </c>
      <c r="L1922" t="s">
        <v>2095</v>
      </c>
      <c r="M1922">
        <v>2</v>
      </c>
      <c r="N1922" t="s">
        <v>157</v>
      </c>
      <c r="O1922" t="s">
        <v>2121</v>
      </c>
    </row>
    <row r="1923" spans="1:15">
      <c r="A1923" t="s">
        <v>3583</v>
      </c>
      <c r="B1923" t="s">
        <v>2097</v>
      </c>
      <c r="C1923" t="s">
        <v>2086</v>
      </c>
      <c r="D1923" s="1">
        <v>44168</v>
      </c>
      <c r="E1923" s="1">
        <v>45145</v>
      </c>
      <c r="F1923">
        <v>147</v>
      </c>
      <c r="G1923">
        <v>3</v>
      </c>
      <c r="H1923">
        <v>433.91</v>
      </c>
      <c r="I1923">
        <v>101</v>
      </c>
      <c r="J1923" t="s">
        <v>66</v>
      </c>
      <c r="K1923" t="s">
        <v>20</v>
      </c>
      <c r="L1923" t="s">
        <v>2087</v>
      </c>
      <c r="M1923">
        <v>7</v>
      </c>
      <c r="N1923" t="s">
        <v>204</v>
      </c>
      <c r="O1923" t="s">
        <v>2109</v>
      </c>
    </row>
    <row r="1924" spans="1:15">
      <c r="A1924" t="s">
        <v>3584</v>
      </c>
      <c r="B1924" t="s">
        <v>2090</v>
      </c>
      <c r="C1924" t="s">
        <v>2091</v>
      </c>
      <c r="D1924" s="1">
        <v>44129</v>
      </c>
      <c r="E1924" s="1">
        <v>45209</v>
      </c>
      <c r="F1924">
        <v>83</v>
      </c>
      <c r="G1924">
        <v>2</v>
      </c>
      <c r="H1924">
        <v>275.45999999999998</v>
      </c>
      <c r="I1924">
        <v>71.94</v>
      </c>
      <c r="J1924" t="s">
        <v>90</v>
      </c>
      <c r="K1924" t="s">
        <v>16</v>
      </c>
      <c r="L1924" t="s">
        <v>2106</v>
      </c>
      <c r="M1924">
        <v>4</v>
      </c>
      <c r="N1924" t="s">
        <v>232</v>
      </c>
      <c r="O1924" t="s">
        <v>2121</v>
      </c>
    </row>
    <row r="1925" spans="1:15">
      <c r="A1925" t="s">
        <v>3585</v>
      </c>
      <c r="B1925" t="s">
        <v>2090</v>
      </c>
      <c r="C1925" t="s">
        <v>2091</v>
      </c>
      <c r="D1925" s="1">
        <v>44197</v>
      </c>
      <c r="E1925" s="1">
        <v>45252</v>
      </c>
      <c r="F1925">
        <v>40</v>
      </c>
      <c r="G1925">
        <v>5</v>
      </c>
      <c r="H1925">
        <v>187.11</v>
      </c>
      <c r="I1925">
        <v>46.35</v>
      </c>
      <c r="J1925" t="s">
        <v>14</v>
      </c>
      <c r="K1925" t="s">
        <v>16</v>
      </c>
      <c r="L1925" t="s">
        <v>2087</v>
      </c>
      <c r="M1925">
        <v>5</v>
      </c>
      <c r="N1925" t="s">
        <v>165</v>
      </c>
      <c r="O1925" t="s">
        <v>2121</v>
      </c>
    </row>
    <row r="1926" spans="1:15">
      <c r="A1926" t="s">
        <v>3586</v>
      </c>
      <c r="B1926" t="s">
        <v>2090</v>
      </c>
      <c r="C1926" t="s">
        <v>2094</v>
      </c>
      <c r="D1926" s="1">
        <v>44741</v>
      </c>
      <c r="E1926" s="1">
        <v>45177</v>
      </c>
      <c r="F1926">
        <v>115</v>
      </c>
      <c r="G1926">
        <v>7</v>
      </c>
      <c r="H1926">
        <v>130.77000000000001</v>
      </c>
      <c r="I1926">
        <v>80.239999999999995</v>
      </c>
      <c r="J1926" t="s">
        <v>115</v>
      </c>
      <c r="K1926" t="s">
        <v>20</v>
      </c>
      <c r="L1926" t="s">
        <v>2087</v>
      </c>
      <c r="M1926">
        <v>4</v>
      </c>
      <c r="N1926" t="s">
        <v>174</v>
      </c>
      <c r="O1926" t="s">
        <v>2096</v>
      </c>
    </row>
    <row r="1927" spans="1:15">
      <c r="A1927" t="s">
        <v>3587</v>
      </c>
      <c r="B1927" t="s">
        <v>2093</v>
      </c>
      <c r="C1927" t="s">
        <v>2100</v>
      </c>
      <c r="D1927" s="1">
        <v>43786</v>
      </c>
      <c r="E1927" s="1">
        <v>45146</v>
      </c>
      <c r="F1927">
        <v>146</v>
      </c>
      <c r="G1927">
        <v>3</v>
      </c>
      <c r="H1927">
        <v>195.02</v>
      </c>
      <c r="I1927">
        <v>43.15</v>
      </c>
      <c r="J1927" t="s">
        <v>66</v>
      </c>
      <c r="K1927" t="s">
        <v>16</v>
      </c>
      <c r="L1927" t="s">
        <v>2106</v>
      </c>
      <c r="M1927">
        <v>10</v>
      </c>
      <c r="N1927" t="s">
        <v>174</v>
      </c>
      <c r="O1927" t="s">
        <v>2088</v>
      </c>
    </row>
    <row r="1928" spans="1:15">
      <c r="A1928" t="s">
        <v>1966</v>
      </c>
      <c r="B1928" t="s">
        <v>2090</v>
      </c>
      <c r="C1928" t="s">
        <v>2100</v>
      </c>
      <c r="D1928" s="1">
        <v>44015</v>
      </c>
      <c r="E1928" s="1">
        <v>45240</v>
      </c>
      <c r="F1928">
        <v>52</v>
      </c>
      <c r="G1928">
        <v>5</v>
      </c>
      <c r="H1928">
        <v>215.81</v>
      </c>
      <c r="I1928">
        <v>66.77</v>
      </c>
      <c r="J1928" t="s">
        <v>66</v>
      </c>
      <c r="K1928" t="s">
        <v>16</v>
      </c>
      <c r="L1928" t="s">
        <v>2095</v>
      </c>
      <c r="M1928">
        <v>5</v>
      </c>
      <c r="N1928" t="s">
        <v>179</v>
      </c>
      <c r="O1928" t="s">
        <v>2109</v>
      </c>
    </row>
    <row r="1929" spans="1:15">
      <c r="A1929" t="s">
        <v>1039</v>
      </c>
      <c r="B1929" t="s">
        <v>2113</v>
      </c>
      <c r="C1929" t="s">
        <v>2091</v>
      </c>
      <c r="D1929" s="1">
        <v>44692</v>
      </c>
      <c r="E1929" s="1">
        <v>45145</v>
      </c>
      <c r="F1929">
        <v>147</v>
      </c>
      <c r="G1929">
        <v>8</v>
      </c>
      <c r="H1929">
        <v>405.69</v>
      </c>
      <c r="I1929">
        <v>52.03</v>
      </c>
      <c r="J1929" t="s">
        <v>14</v>
      </c>
      <c r="K1929" t="s">
        <v>16</v>
      </c>
      <c r="L1929" t="s">
        <v>2106</v>
      </c>
      <c r="M1929">
        <v>3</v>
      </c>
      <c r="N1929" t="s">
        <v>194</v>
      </c>
      <c r="O1929" t="s">
        <v>2088</v>
      </c>
    </row>
    <row r="1930" spans="1:15">
      <c r="A1930" t="s">
        <v>970</v>
      </c>
      <c r="B1930" t="s">
        <v>2097</v>
      </c>
      <c r="C1930" t="s">
        <v>2111</v>
      </c>
      <c r="D1930" s="1">
        <v>43858</v>
      </c>
      <c r="E1930" s="1">
        <v>44946</v>
      </c>
      <c r="F1930">
        <v>346</v>
      </c>
      <c r="G1930">
        <v>3</v>
      </c>
      <c r="H1930">
        <v>692.8</v>
      </c>
      <c r="I1930">
        <v>89.6</v>
      </c>
      <c r="J1930" t="s">
        <v>66</v>
      </c>
      <c r="K1930" t="s">
        <v>20</v>
      </c>
      <c r="L1930" t="s">
        <v>2087</v>
      </c>
      <c r="M1930">
        <v>10</v>
      </c>
      <c r="N1930" t="s">
        <v>165</v>
      </c>
      <c r="O1930" t="s">
        <v>2107</v>
      </c>
    </row>
    <row r="1931" spans="1:15">
      <c r="A1931" t="s">
        <v>3588</v>
      </c>
      <c r="B1931" t="s">
        <v>2097</v>
      </c>
      <c r="C1931" t="s">
        <v>2108</v>
      </c>
      <c r="D1931" s="1">
        <v>45021</v>
      </c>
      <c r="E1931" s="1">
        <v>45204</v>
      </c>
      <c r="F1931">
        <v>88</v>
      </c>
      <c r="G1931">
        <v>7</v>
      </c>
      <c r="H1931">
        <v>243.98</v>
      </c>
      <c r="I1931">
        <v>102.43</v>
      </c>
      <c r="J1931" t="s">
        <v>41</v>
      </c>
      <c r="K1931" t="s">
        <v>16</v>
      </c>
      <c r="L1931" t="s">
        <v>2106</v>
      </c>
      <c r="M1931">
        <v>9</v>
      </c>
      <c r="N1931" t="s">
        <v>157</v>
      </c>
      <c r="O1931" t="s">
        <v>2109</v>
      </c>
    </row>
    <row r="1932" spans="1:15">
      <c r="A1932" t="s">
        <v>3589</v>
      </c>
      <c r="B1932" t="s">
        <v>2099</v>
      </c>
      <c r="C1932" t="s">
        <v>2100</v>
      </c>
      <c r="D1932" s="1">
        <v>44530</v>
      </c>
      <c r="E1932" s="1">
        <v>45057</v>
      </c>
      <c r="F1932">
        <v>235</v>
      </c>
      <c r="G1932">
        <v>2</v>
      </c>
      <c r="H1932">
        <v>91.93</v>
      </c>
      <c r="I1932">
        <v>65.42</v>
      </c>
      <c r="J1932" t="s">
        <v>14</v>
      </c>
      <c r="K1932" t="s">
        <v>16</v>
      </c>
      <c r="L1932" t="s">
        <v>2106</v>
      </c>
      <c r="M1932">
        <v>8</v>
      </c>
      <c r="N1932" t="s">
        <v>174</v>
      </c>
      <c r="O1932" t="s">
        <v>2121</v>
      </c>
    </row>
    <row r="1933" spans="1:15">
      <c r="A1933" t="s">
        <v>3590</v>
      </c>
      <c r="B1933" t="s">
        <v>2085</v>
      </c>
      <c r="C1933" t="s">
        <v>2111</v>
      </c>
      <c r="D1933" s="1">
        <v>44599</v>
      </c>
      <c r="E1933" s="1">
        <v>44929</v>
      </c>
      <c r="F1933">
        <v>363</v>
      </c>
      <c r="G1933">
        <v>37</v>
      </c>
      <c r="H1933">
        <v>1248.76</v>
      </c>
      <c r="I1933">
        <v>282</v>
      </c>
      <c r="J1933" t="s">
        <v>66</v>
      </c>
      <c r="K1933" t="s">
        <v>16</v>
      </c>
      <c r="L1933" t="s">
        <v>2087</v>
      </c>
      <c r="M1933">
        <v>3</v>
      </c>
      <c r="N1933" t="s">
        <v>194</v>
      </c>
      <c r="O1933" t="s">
        <v>2088</v>
      </c>
    </row>
    <row r="1934" spans="1:15">
      <c r="A1934" t="s">
        <v>3591</v>
      </c>
      <c r="B1934" t="s">
        <v>2099</v>
      </c>
      <c r="C1934" t="s">
        <v>2094</v>
      </c>
      <c r="D1934" s="1">
        <v>44174</v>
      </c>
      <c r="E1934" s="1">
        <v>45094</v>
      </c>
      <c r="F1934">
        <v>198</v>
      </c>
      <c r="G1934">
        <v>2</v>
      </c>
      <c r="H1934">
        <v>148.28</v>
      </c>
      <c r="I1934">
        <v>58.88</v>
      </c>
      <c r="J1934" t="s">
        <v>66</v>
      </c>
      <c r="K1934" t="s">
        <v>16</v>
      </c>
      <c r="L1934" t="s">
        <v>2095</v>
      </c>
      <c r="M1934">
        <v>5</v>
      </c>
      <c r="N1934" t="s">
        <v>157</v>
      </c>
      <c r="O1934" t="s">
        <v>2088</v>
      </c>
    </row>
    <row r="1935" spans="1:15">
      <c r="A1935" t="s">
        <v>3592</v>
      </c>
      <c r="B1935" t="s">
        <v>2097</v>
      </c>
      <c r="C1935" t="s">
        <v>2108</v>
      </c>
      <c r="D1935" s="1">
        <v>44458</v>
      </c>
      <c r="E1935" s="1">
        <v>45063</v>
      </c>
      <c r="F1935">
        <v>229</v>
      </c>
      <c r="G1935">
        <v>9</v>
      </c>
      <c r="H1935">
        <v>176.59</v>
      </c>
      <c r="I1935">
        <v>139.05000000000001</v>
      </c>
      <c r="J1935" t="s">
        <v>90</v>
      </c>
      <c r="K1935" t="s">
        <v>20</v>
      </c>
      <c r="L1935" t="s">
        <v>2106</v>
      </c>
      <c r="M1935">
        <v>2</v>
      </c>
      <c r="N1935" t="s">
        <v>204</v>
      </c>
      <c r="O1935" t="s">
        <v>2107</v>
      </c>
    </row>
    <row r="1936" spans="1:15">
      <c r="A1936" t="s">
        <v>3593</v>
      </c>
      <c r="B1936" t="s">
        <v>2085</v>
      </c>
      <c r="C1936" t="s">
        <v>2086</v>
      </c>
      <c r="D1936" s="1">
        <v>44892</v>
      </c>
      <c r="E1936" s="1">
        <v>45080</v>
      </c>
      <c r="F1936">
        <v>212</v>
      </c>
      <c r="G1936">
        <v>32</v>
      </c>
      <c r="H1936">
        <v>1532.07</v>
      </c>
      <c r="I1936">
        <v>141.24</v>
      </c>
      <c r="J1936" t="s">
        <v>115</v>
      </c>
      <c r="K1936" t="s">
        <v>16</v>
      </c>
      <c r="L1936" t="s">
        <v>2095</v>
      </c>
      <c r="M1936">
        <v>9</v>
      </c>
      <c r="N1936" t="s">
        <v>165</v>
      </c>
      <c r="O1936" t="s">
        <v>2107</v>
      </c>
    </row>
    <row r="1937" spans="1:15">
      <c r="A1937" t="s">
        <v>1793</v>
      </c>
      <c r="B1937" t="s">
        <v>2093</v>
      </c>
      <c r="C1937" t="s">
        <v>2108</v>
      </c>
      <c r="D1937" s="1">
        <v>44376</v>
      </c>
      <c r="E1937" s="1">
        <v>45247</v>
      </c>
      <c r="F1937">
        <v>45</v>
      </c>
      <c r="G1937">
        <v>5</v>
      </c>
      <c r="H1937">
        <v>169.57</v>
      </c>
      <c r="I1937">
        <v>40.94</v>
      </c>
      <c r="J1937" t="s">
        <v>41</v>
      </c>
      <c r="K1937" t="s">
        <v>20</v>
      </c>
      <c r="L1937" t="s">
        <v>2087</v>
      </c>
      <c r="M1937">
        <v>0</v>
      </c>
      <c r="N1937" t="s">
        <v>157</v>
      </c>
      <c r="O1937" t="s">
        <v>2096</v>
      </c>
    </row>
    <row r="1938" spans="1:15">
      <c r="A1938" t="s">
        <v>3594</v>
      </c>
      <c r="B1938" t="s">
        <v>2113</v>
      </c>
      <c r="C1938" t="s">
        <v>2091</v>
      </c>
      <c r="D1938" s="1">
        <v>44795</v>
      </c>
      <c r="E1938" s="1">
        <v>45263</v>
      </c>
      <c r="F1938">
        <v>29</v>
      </c>
      <c r="G1938">
        <v>15</v>
      </c>
      <c r="H1938">
        <v>461.33</v>
      </c>
      <c r="I1938">
        <v>72.489999999999995</v>
      </c>
      <c r="J1938" t="s">
        <v>115</v>
      </c>
      <c r="K1938" t="s">
        <v>16</v>
      </c>
      <c r="L1938" t="s">
        <v>2095</v>
      </c>
      <c r="M1938">
        <v>10</v>
      </c>
      <c r="N1938" t="s">
        <v>204</v>
      </c>
      <c r="O1938" t="s">
        <v>2109</v>
      </c>
    </row>
    <row r="1939" spans="1:15">
      <c r="A1939" t="s">
        <v>3595</v>
      </c>
      <c r="B1939" t="s">
        <v>2113</v>
      </c>
      <c r="C1939" t="s">
        <v>2091</v>
      </c>
      <c r="D1939" s="1">
        <v>43791</v>
      </c>
      <c r="E1939" s="1">
        <v>45124</v>
      </c>
      <c r="F1939">
        <v>168</v>
      </c>
      <c r="G1939">
        <v>15</v>
      </c>
      <c r="H1939">
        <v>374.51</v>
      </c>
      <c r="I1939">
        <v>34.47</v>
      </c>
      <c r="J1939" t="s">
        <v>90</v>
      </c>
      <c r="K1939" t="s">
        <v>16</v>
      </c>
      <c r="L1939" t="s">
        <v>2095</v>
      </c>
      <c r="M1939">
        <v>9</v>
      </c>
      <c r="N1939" t="s">
        <v>194</v>
      </c>
      <c r="O1939" t="s">
        <v>2109</v>
      </c>
    </row>
    <row r="1940" spans="1:15">
      <c r="A1940" t="s">
        <v>3596</v>
      </c>
      <c r="B1940" t="s">
        <v>2099</v>
      </c>
      <c r="C1940" t="s">
        <v>2086</v>
      </c>
      <c r="D1940" s="1">
        <v>44379</v>
      </c>
      <c r="E1940" s="1">
        <v>45214</v>
      </c>
      <c r="F1940">
        <v>78</v>
      </c>
      <c r="G1940">
        <v>2</v>
      </c>
      <c r="H1940">
        <v>57.51</v>
      </c>
      <c r="I1940">
        <v>51.63</v>
      </c>
      <c r="J1940" t="s">
        <v>14</v>
      </c>
      <c r="K1940" t="s">
        <v>16</v>
      </c>
      <c r="L1940" t="s">
        <v>2087</v>
      </c>
      <c r="M1940">
        <v>1</v>
      </c>
      <c r="N1940" t="s">
        <v>165</v>
      </c>
      <c r="O1940" t="s">
        <v>2088</v>
      </c>
    </row>
    <row r="1941" spans="1:15">
      <c r="A1941" t="s">
        <v>3597</v>
      </c>
      <c r="B1941" t="s">
        <v>2093</v>
      </c>
      <c r="C1941" t="s">
        <v>2100</v>
      </c>
      <c r="D1941" s="1">
        <v>43598</v>
      </c>
      <c r="E1941" s="1">
        <v>45160</v>
      </c>
      <c r="F1941">
        <v>132</v>
      </c>
      <c r="G1941">
        <v>5</v>
      </c>
      <c r="H1941">
        <v>189.49</v>
      </c>
      <c r="I1941">
        <v>56.43</v>
      </c>
      <c r="J1941" t="s">
        <v>66</v>
      </c>
      <c r="K1941" t="s">
        <v>16</v>
      </c>
      <c r="L1941" t="s">
        <v>2095</v>
      </c>
      <c r="M1941">
        <v>2</v>
      </c>
      <c r="N1941" t="s">
        <v>232</v>
      </c>
      <c r="O1941" t="s">
        <v>2121</v>
      </c>
    </row>
    <row r="1942" spans="1:15">
      <c r="A1942" t="s">
        <v>3598</v>
      </c>
      <c r="B1942" t="s">
        <v>2113</v>
      </c>
      <c r="C1942" t="s">
        <v>2091</v>
      </c>
      <c r="D1942" s="1">
        <v>43804</v>
      </c>
      <c r="E1942" s="1">
        <v>45100</v>
      </c>
      <c r="F1942">
        <v>192</v>
      </c>
      <c r="G1942">
        <v>8</v>
      </c>
      <c r="H1942">
        <v>496.73</v>
      </c>
      <c r="I1942">
        <v>60.2</v>
      </c>
      <c r="J1942" t="s">
        <v>14</v>
      </c>
      <c r="K1942" t="s">
        <v>16</v>
      </c>
      <c r="L1942" t="s">
        <v>2087</v>
      </c>
      <c r="M1942">
        <v>9</v>
      </c>
      <c r="N1942" t="s">
        <v>232</v>
      </c>
      <c r="O1942" t="s">
        <v>2107</v>
      </c>
    </row>
    <row r="1943" spans="1:15">
      <c r="A1943" t="s">
        <v>3599</v>
      </c>
      <c r="B1943" t="s">
        <v>2090</v>
      </c>
      <c r="C1943" t="s">
        <v>2094</v>
      </c>
      <c r="D1943" s="1">
        <v>45064</v>
      </c>
      <c r="E1943" s="1">
        <v>45256</v>
      </c>
      <c r="F1943">
        <v>36</v>
      </c>
      <c r="G1943">
        <v>8</v>
      </c>
      <c r="H1943">
        <v>295.35000000000002</v>
      </c>
      <c r="I1943">
        <v>59.56</v>
      </c>
      <c r="J1943" t="s">
        <v>115</v>
      </c>
      <c r="K1943" t="s">
        <v>16</v>
      </c>
      <c r="L1943" t="s">
        <v>2087</v>
      </c>
      <c r="M1943">
        <v>7</v>
      </c>
      <c r="N1943" t="s">
        <v>204</v>
      </c>
      <c r="O1943" t="s">
        <v>2109</v>
      </c>
    </row>
    <row r="1944" spans="1:15">
      <c r="A1944" t="s">
        <v>3600</v>
      </c>
      <c r="B1944" t="s">
        <v>2113</v>
      </c>
      <c r="C1944" t="s">
        <v>2111</v>
      </c>
      <c r="D1944" s="1">
        <v>43541</v>
      </c>
      <c r="E1944" s="1">
        <v>45173</v>
      </c>
      <c r="F1944">
        <v>119</v>
      </c>
      <c r="G1944">
        <v>17</v>
      </c>
      <c r="H1944">
        <v>490.07</v>
      </c>
      <c r="I1944">
        <v>59.12</v>
      </c>
      <c r="J1944" t="s">
        <v>66</v>
      </c>
      <c r="K1944" t="s">
        <v>16</v>
      </c>
      <c r="L1944" t="s">
        <v>2087</v>
      </c>
      <c r="M1944">
        <v>9</v>
      </c>
      <c r="N1944" t="s">
        <v>194</v>
      </c>
      <c r="O1944" t="s">
        <v>2107</v>
      </c>
    </row>
    <row r="1945" spans="1:15">
      <c r="A1945" t="s">
        <v>3601</v>
      </c>
      <c r="B1945" t="s">
        <v>2093</v>
      </c>
      <c r="C1945" t="s">
        <v>2108</v>
      </c>
      <c r="D1945" s="1">
        <v>44565</v>
      </c>
      <c r="E1945" s="1">
        <v>45168</v>
      </c>
      <c r="F1945">
        <v>124</v>
      </c>
      <c r="G1945">
        <v>3</v>
      </c>
      <c r="H1945">
        <v>67.849999999999994</v>
      </c>
      <c r="I1945">
        <v>65.95</v>
      </c>
      <c r="J1945" t="s">
        <v>90</v>
      </c>
      <c r="K1945" t="s">
        <v>16</v>
      </c>
      <c r="L1945" t="s">
        <v>2087</v>
      </c>
      <c r="M1945">
        <v>6</v>
      </c>
      <c r="N1945" t="s">
        <v>179</v>
      </c>
      <c r="O1945" t="s">
        <v>2088</v>
      </c>
    </row>
    <row r="1946" spans="1:15">
      <c r="A1946" t="s">
        <v>3602</v>
      </c>
      <c r="B1946" t="s">
        <v>2097</v>
      </c>
      <c r="C1946" t="s">
        <v>2111</v>
      </c>
      <c r="D1946" s="1">
        <v>44010</v>
      </c>
      <c r="E1946" s="1">
        <v>45240</v>
      </c>
      <c r="F1946">
        <v>52</v>
      </c>
      <c r="G1946">
        <v>5</v>
      </c>
      <c r="H1946">
        <v>621.85</v>
      </c>
      <c r="I1946">
        <v>133.01</v>
      </c>
      <c r="J1946" t="s">
        <v>90</v>
      </c>
      <c r="K1946" t="s">
        <v>16</v>
      </c>
      <c r="L1946" t="s">
        <v>2106</v>
      </c>
      <c r="M1946">
        <v>3</v>
      </c>
      <c r="N1946" t="s">
        <v>194</v>
      </c>
      <c r="O1946" t="s">
        <v>2096</v>
      </c>
    </row>
    <row r="1947" spans="1:15">
      <c r="A1947" t="s">
        <v>3603</v>
      </c>
      <c r="B1947" t="s">
        <v>2113</v>
      </c>
      <c r="C1947" t="s">
        <v>2108</v>
      </c>
      <c r="D1947" s="1">
        <v>43721</v>
      </c>
      <c r="E1947" s="1">
        <v>44953</v>
      </c>
      <c r="F1947">
        <v>339</v>
      </c>
      <c r="G1947">
        <v>11</v>
      </c>
      <c r="H1947">
        <v>279.97000000000003</v>
      </c>
      <c r="I1947">
        <v>53.19</v>
      </c>
      <c r="J1947" t="s">
        <v>14</v>
      </c>
      <c r="K1947" t="s">
        <v>16</v>
      </c>
      <c r="L1947" t="s">
        <v>2095</v>
      </c>
      <c r="M1947">
        <v>5</v>
      </c>
      <c r="N1947" t="s">
        <v>165</v>
      </c>
      <c r="O1947" t="s">
        <v>2121</v>
      </c>
    </row>
    <row r="1948" spans="1:15">
      <c r="A1948" t="s">
        <v>3604</v>
      </c>
      <c r="B1948" t="s">
        <v>2099</v>
      </c>
      <c r="C1948" t="s">
        <v>2091</v>
      </c>
      <c r="D1948" s="1">
        <v>44724</v>
      </c>
      <c r="E1948" s="1">
        <v>45061</v>
      </c>
      <c r="F1948">
        <v>231</v>
      </c>
      <c r="G1948">
        <v>2</v>
      </c>
      <c r="H1948">
        <v>131.65</v>
      </c>
      <c r="I1948">
        <v>81.319999999999993</v>
      </c>
      <c r="J1948" t="s">
        <v>14</v>
      </c>
      <c r="K1948" t="s">
        <v>20</v>
      </c>
      <c r="L1948" t="s">
        <v>2087</v>
      </c>
      <c r="M1948">
        <v>8</v>
      </c>
      <c r="N1948" t="s">
        <v>204</v>
      </c>
      <c r="O1948" t="s">
        <v>2107</v>
      </c>
    </row>
    <row r="1949" spans="1:15">
      <c r="A1949" t="s">
        <v>3605</v>
      </c>
      <c r="B1949" t="s">
        <v>2097</v>
      </c>
      <c r="C1949" t="s">
        <v>2100</v>
      </c>
      <c r="D1949" s="1">
        <v>44490</v>
      </c>
      <c r="E1949" s="1">
        <v>45099</v>
      </c>
      <c r="F1949">
        <v>193</v>
      </c>
      <c r="G1949">
        <v>8</v>
      </c>
      <c r="H1949">
        <v>762.68</v>
      </c>
      <c r="I1949">
        <v>96.83</v>
      </c>
      <c r="J1949" t="s">
        <v>66</v>
      </c>
      <c r="K1949" t="s">
        <v>16</v>
      </c>
      <c r="L1949" t="s">
        <v>2095</v>
      </c>
      <c r="M1949">
        <v>5</v>
      </c>
      <c r="N1949" t="s">
        <v>194</v>
      </c>
      <c r="O1949" t="s">
        <v>2109</v>
      </c>
    </row>
    <row r="1950" spans="1:15">
      <c r="A1950" t="s">
        <v>3606</v>
      </c>
      <c r="B1950" t="s">
        <v>2113</v>
      </c>
      <c r="C1950" t="s">
        <v>2100</v>
      </c>
      <c r="D1950" s="1">
        <v>44794</v>
      </c>
      <c r="E1950" s="1">
        <v>45118</v>
      </c>
      <c r="F1950">
        <v>174</v>
      </c>
      <c r="G1950">
        <v>8</v>
      </c>
      <c r="H1950">
        <v>296.75</v>
      </c>
      <c r="I1950">
        <v>46.44</v>
      </c>
      <c r="J1950" t="s">
        <v>41</v>
      </c>
      <c r="K1950" t="s">
        <v>20</v>
      </c>
      <c r="L1950" t="s">
        <v>2106</v>
      </c>
      <c r="M1950">
        <v>5</v>
      </c>
      <c r="N1950" t="s">
        <v>157</v>
      </c>
      <c r="O1950" t="s">
        <v>2107</v>
      </c>
    </row>
    <row r="1951" spans="1:15">
      <c r="A1951" t="s">
        <v>704</v>
      </c>
      <c r="B1951" t="s">
        <v>2097</v>
      </c>
      <c r="C1951" t="s">
        <v>2108</v>
      </c>
      <c r="D1951" s="1">
        <v>44597</v>
      </c>
      <c r="E1951" s="1">
        <v>44936</v>
      </c>
      <c r="F1951">
        <v>356</v>
      </c>
      <c r="G1951">
        <v>11</v>
      </c>
      <c r="H1951">
        <v>388.37</v>
      </c>
      <c r="I1951">
        <v>87.29</v>
      </c>
      <c r="J1951" t="s">
        <v>115</v>
      </c>
      <c r="K1951" t="s">
        <v>16</v>
      </c>
      <c r="L1951" t="s">
        <v>2087</v>
      </c>
      <c r="M1951">
        <v>9</v>
      </c>
      <c r="N1951" t="s">
        <v>194</v>
      </c>
      <c r="O1951" t="s">
        <v>2109</v>
      </c>
    </row>
    <row r="1952" spans="1:15">
      <c r="A1952" t="s">
        <v>980</v>
      </c>
      <c r="B1952" t="s">
        <v>2113</v>
      </c>
      <c r="C1952" t="s">
        <v>2094</v>
      </c>
      <c r="D1952" s="1">
        <v>43784</v>
      </c>
      <c r="E1952" s="1">
        <v>45198</v>
      </c>
      <c r="F1952">
        <v>94</v>
      </c>
      <c r="G1952">
        <v>8</v>
      </c>
      <c r="H1952">
        <v>426.81</v>
      </c>
      <c r="I1952">
        <v>50.12</v>
      </c>
      <c r="J1952" t="s">
        <v>14</v>
      </c>
      <c r="K1952" t="s">
        <v>16</v>
      </c>
      <c r="L1952" t="s">
        <v>2087</v>
      </c>
      <c r="M1952">
        <v>2</v>
      </c>
      <c r="N1952" t="s">
        <v>157</v>
      </c>
      <c r="O1952" t="s">
        <v>2107</v>
      </c>
    </row>
    <row r="1953" spans="1:15">
      <c r="A1953" t="s">
        <v>3607</v>
      </c>
      <c r="B1953" t="s">
        <v>2093</v>
      </c>
      <c r="C1953" t="s">
        <v>2094</v>
      </c>
      <c r="D1953" s="1">
        <v>44418</v>
      </c>
      <c r="E1953" s="1">
        <v>44979</v>
      </c>
      <c r="F1953">
        <v>313</v>
      </c>
      <c r="G1953">
        <v>3</v>
      </c>
      <c r="H1953">
        <v>105.49</v>
      </c>
      <c r="I1953">
        <v>38.03</v>
      </c>
      <c r="J1953" t="s">
        <v>90</v>
      </c>
      <c r="K1953" t="s">
        <v>20</v>
      </c>
      <c r="L1953" t="s">
        <v>2087</v>
      </c>
      <c r="M1953">
        <v>10</v>
      </c>
      <c r="N1953" t="s">
        <v>165</v>
      </c>
      <c r="O1953" t="s">
        <v>2096</v>
      </c>
    </row>
    <row r="1954" spans="1:15">
      <c r="A1954" t="s">
        <v>3608</v>
      </c>
      <c r="B1954" t="s">
        <v>2113</v>
      </c>
      <c r="C1954" t="s">
        <v>2091</v>
      </c>
      <c r="D1954" s="1">
        <v>45123</v>
      </c>
      <c r="E1954" s="1">
        <v>45282</v>
      </c>
      <c r="F1954">
        <v>10</v>
      </c>
      <c r="G1954">
        <v>20</v>
      </c>
      <c r="H1954">
        <v>434.72</v>
      </c>
      <c r="I1954">
        <v>54.46</v>
      </c>
      <c r="J1954" t="s">
        <v>66</v>
      </c>
      <c r="K1954" t="s">
        <v>16</v>
      </c>
      <c r="L1954" t="s">
        <v>2106</v>
      </c>
      <c r="M1954">
        <v>5</v>
      </c>
      <c r="N1954" t="s">
        <v>165</v>
      </c>
      <c r="O1954" t="s">
        <v>2121</v>
      </c>
    </row>
    <row r="1955" spans="1:15">
      <c r="A1955" t="s">
        <v>3609</v>
      </c>
      <c r="B1955" t="s">
        <v>2090</v>
      </c>
      <c r="C1955" t="s">
        <v>2094</v>
      </c>
      <c r="D1955" s="1">
        <v>43909</v>
      </c>
      <c r="E1955" s="1">
        <v>45182</v>
      </c>
      <c r="F1955">
        <v>110</v>
      </c>
      <c r="G1955">
        <v>4</v>
      </c>
      <c r="H1955">
        <v>398.3</v>
      </c>
      <c r="I1955">
        <v>81.459999999999994</v>
      </c>
      <c r="J1955" t="s">
        <v>66</v>
      </c>
      <c r="K1955" t="s">
        <v>20</v>
      </c>
      <c r="L1955" t="s">
        <v>2087</v>
      </c>
      <c r="M1955">
        <v>0</v>
      </c>
      <c r="N1955" t="s">
        <v>174</v>
      </c>
      <c r="O1955" t="s">
        <v>2109</v>
      </c>
    </row>
    <row r="1956" spans="1:15">
      <c r="A1956" t="s">
        <v>3610</v>
      </c>
      <c r="B1956" t="s">
        <v>2085</v>
      </c>
      <c r="C1956" t="s">
        <v>2100</v>
      </c>
      <c r="D1956" s="1">
        <v>43505</v>
      </c>
      <c r="E1956" s="1">
        <v>44966</v>
      </c>
      <c r="F1956">
        <v>326</v>
      </c>
      <c r="G1956">
        <v>18</v>
      </c>
      <c r="H1956">
        <v>2138.66</v>
      </c>
      <c r="I1956">
        <v>177.66</v>
      </c>
      <c r="J1956" t="s">
        <v>66</v>
      </c>
      <c r="K1956" t="s">
        <v>20</v>
      </c>
      <c r="L1956" t="s">
        <v>2106</v>
      </c>
      <c r="M1956">
        <v>0</v>
      </c>
      <c r="N1956" t="s">
        <v>165</v>
      </c>
      <c r="O1956" t="s">
        <v>2096</v>
      </c>
    </row>
    <row r="1957" spans="1:15">
      <c r="A1957" t="s">
        <v>3611</v>
      </c>
      <c r="B1957" t="s">
        <v>2085</v>
      </c>
      <c r="C1957" t="s">
        <v>2108</v>
      </c>
      <c r="D1957" s="1">
        <v>44408</v>
      </c>
      <c r="E1957" s="1">
        <v>45220</v>
      </c>
      <c r="F1957">
        <v>72</v>
      </c>
      <c r="G1957">
        <v>26</v>
      </c>
      <c r="H1957">
        <v>2449.35</v>
      </c>
      <c r="I1957">
        <v>288.02</v>
      </c>
      <c r="J1957" t="s">
        <v>66</v>
      </c>
      <c r="K1957" t="s">
        <v>20</v>
      </c>
      <c r="L1957" t="s">
        <v>2095</v>
      </c>
      <c r="M1957">
        <v>7</v>
      </c>
      <c r="N1957" t="s">
        <v>232</v>
      </c>
      <c r="O1957" t="s">
        <v>2109</v>
      </c>
    </row>
    <row r="1958" spans="1:15">
      <c r="A1958" t="s">
        <v>832</v>
      </c>
      <c r="B1958" t="s">
        <v>2093</v>
      </c>
      <c r="C1958" t="s">
        <v>2111</v>
      </c>
      <c r="D1958" s="1">
        <v>44108</v>
      </c>
      <c r="E1958" s="1">
        <v>45275</v>
      </c>
      <c r="F1958">
        <v>17</v>
      </c>
      <c r="G1958">
        <v>5</v>
      </c>
      <c r="H1958">
        <v>60.28</v>
      </c>
      <c r="I1958">
        <v>51.74</v>
      </c>
      <c r="J1958" t="s">
        <v>90</v>
      </c>
      <c r="K1958" t="s">
        <v>20</v>
      </c>
      <c r="L1958" t="s">
        <v>2095</v>
      </c>
      <c r="M1958">
        <v>1</v>
      </c>
      <c r="N1958" t="s">
        <v>165</v>
      </c>
      <c r="O1958" t="s">
        <v>2121</v>
      </c>
    </row>
    <row r="1959" spans="1:15">
      <c r="A1959" t="s">
        <v>3612</v>
      </c>
      <c r="B1959" t="s">
        <v>2090</v>
      </c>
      <c r="C1959" t="s">
        <v>2100</v>
      </c>
      <c r="D1959" s="1">
        <v>45044</v>
      </c>
      <c r="E1959" s="1">
        <v>45226</v>
      </c>
      <c r="F1959">
        <v>66</v>
      </c>
      <c r="G1959">
        <v>8</v>
      </c>
      <c r="H1959">
        <v>329.79</v>
      </c>
      <c r="I1959">
        <v>93.17</v>
      </c>
      <c r="J1959" t="s">
        <v>90</v>
      </c>
      <c r="K1959" t="s">
        <v>16</v>
      </c>
      <c r="L1959" t="s">
        <v>2106</v>
      </c>
      <c r="M1959">
        <v>3</v>
      </c>
      <c r="N1959" t="s">
        <v>194</v>
      </c>
      <c r="O1959" t="s">
        <v>2107</v>
      </c>
    </row>
    <row r="1960" spans="1:15">
      <c r="A1960" t="s">
        <v>627</v>
      </c>
      <c r="B1960" t="s">
        <v>2099</v>
      </c>
      <c r="C1960" t="s">
        <v>2108</v>
      </c>
      <c r="D1960" s="1">
        <v>44845</v>
      </c>
      <c r="E1960" s="1">
        <v>45109</v>
      </c>
      <c r="F1960">
        <v>183</v>
      </c>
      <c r="G1960">
        <v>2</v>
      </c>
      <c r="H1960">
        <v>149.97999999999999</v>
      </c>
      <c r="I1960">
        <v>49.44</v>
      </c>
      <c r="J1960" t="s">
        <v>115</v>
      </c>
      <c r="K1960" t="s">
        <v>20</v>
      </c>
      <c r="L1960" t="s">
        <v>2087</v>
      </c>
      <c r="M1960">
        <v>0</v>
      </c>
      <c r="N1960" t="s">
        <v>204</v>
      </c>
      <c r="O1960" t="s">
        <v>2096</v>
      </c>
    </row>
    <row r="1961" spans="1:15">
      <c r="A1961" t="s">
        <v>3613</v>
      </c>
      <c r="B1961" t="s">
        <v>2099</v>
      </c>
      <c r="C1961" t="s">
        <v>2091</v>
      </c>
      <c r="D1961" s="1">
        <v>44019</v>
      </c>
      <c r="E1961" s="1">
        <v>44970</v>
      </c>
      <c r="F1961">
        <v>322</v>
      </c>
      <c r="G1961">
        <v>1</v>
      </c>
      <c r="H1961">
        <v>37.270000000000003</v>
      </c>
      <c r="I1961">
        <v>63.07</v>
      </c>
      <c r="J1961" t="s">
        <v>41</v>
      </c>
      <c r="K1961" t="s">
        <v>16</v>
      </c>
      <c r="L1961" t="s">
        <v>2095</v>
      </c>
      <c r="M1961">
        <v>3</v>
      </c>
      <c r="N1961" t="s">
        <v>232</v>
      </c>
      <c r="O1961" t="s">
        <v>2096</v>
      </c>
    </row>
    <row r="1962" spans="1:15">
      <c r="A1962" t="s">
        <v>3614</v>
      </c>
      <c r="B1962" t="s">
        <v>2085</v>
      </c>
      <c r="C1962" t="s">
        <v>2091</v>
      </c>
      <c r="D1962" s="1">
        <v>45221</v>
      </c>
      <c r="E1962" s="1">
        <v>45085</v>
      </c>
      <c r="F1962">
        <v>207</v>
      </c>
      <c r="G1962">
        <v>20</v>
      </c>
      <c r="H1962">
        <v>1217.04</v>
      </c>
      <c r="I1962">
        <v>220.72</v>
      </c>
      <c r="J1962" t="s">
        <v>90</v>
      </c>
      <c r="K1962" t="s">
        <v>20</v>
      </c>
      <c r="L1962" t="s">
        <v>2087</v>
      </c>
      <c r="M1962">
        <v>9</v>
      </c>
      <c r="N1962" t="s">
        <v>157</v>
      </c>
      <c r="O1962" t="s">
        <v>2109</v>
      </c>
    </row>
    <row r="1963" spans="1:15">
      <c r="A1963" t="s">
        <v>3615</v>
      </c>
      <c r="B1963" t="s">
        <v>2099</v>
      </c>
      <c r="C1963" t="s">
        <v>2100</v>
      </c>
      <c r="D1963" s="1">
        <v>44955</v>
      </c>
      <c r="E1963" s="1">
        <v>45217</v>
      </c>
      <c r="F1963">
        <v>75</v>
      </c>
      <c r="G1963">
        <v>1</v>
      </c>
      <c r="H1963">
        <v>60.77</v>
      </c>
      <c r="I1963">
        <v>76.98</v>
      </c>
      <c r="J1963" t="s">
        <v>90</v>
      </c>
      <c r="K1963" t="s">
        <v>16</v>
      </c>
      <c r="L1963" t="s">
        <v>2106</v>
      </c>
      <c r="M1963">
        <v>4</v>
      </c>
      <c r="N1963" t="s">
        <v>232</v>
      </c>
      <c r="O1963" t="s">
        <v>2096</v>
      </c>
    </row>
    <row r="1964" spans="1:15">
      <c r="A1964" t="s">
        <v>3616</v>
      </c>
      <c r="B1964" t="s">
        <v>2097</v>
      </c>
      <c r="C1964" t="s">
        <v>2094</v>
      </c>
      <c r="D1964" s="1">
        <v>44845</v>
      </c>
      <c r="E1964" s="1">
        <v>45043</v>
      </c>
      <c r="F1964">
        <v>249</v>
      </c>
      <c r="G1964">
        <v>3</v>
      </c>
      <c r="H1964">
        <v>581.73</v>
      </c>
      <c r="I1964">
        <v>141.41999999999999</v>
      </c>
      <c r="J1964" t="s">
        <v>90</v>
      </c>
      <c r="K1964" t="s">
        <v>16</v>
      </c>
      <c r="L1964" t="s">
        <v>2106</v>
      </c>
      <c r="M1964">
        <v>2</v>
      </c>
      <c r="N1964" t="s">
        <v>204</v>
      </c>
      <c r="O1964" t="s">
        <v>2096</v>
      </c>
    </row>
    <row r="1965" spans="1:15">
      <c r="A1965" t="s">
        <v>3617</v>
      </c>
      <c r="B1965" t="s">
        <v>2090</v>
      </c>
      <c r="C1965" t="s">
        <v>2091</v>
      </c>
      <c r="D1965" s="1">
        <v>44836</v>
      </c>
      <c r="E1965" s="1">
        <v>45139</v>
      </c>
      <c r="F1965">
        <v>153</v>
      </c>
      <c r="G1965">
        <v>3</v>
      </c>
      <c r="H1965">
        <v>391.78</v>
      </c>
      <c r="I1965">
        <v>67.42</v>
      </c>
      <c r="J1965" t="s">
        <v>90</v>
      </c>
      <c r="K1965" t="s">
        <v>20</v>
      </c>
      <c r="L1965" t="s">
        <v>2087</v>
      </c>
      <c r="M1965">
        <v>1</v>
      </c>
      <c r="N1965" t="s">
        <v>157</v>
      </c>
      <c r="O1965" t="s">
        <v>2088</v>
      </c>
    </row>
    <row r="1966" spans="1:15">
      <c r="A1966" t="s">
        <v>3618</v>
      </c>
      <c r="B1966" t="s">
        <v>2090</v>
      </c>
      <c r="C1966" t="s">
        <v>2108</v>
      </c>
      <c r="D1966" s="1">
        <v>43647</v>
      </c>
      <c r="E1966" s="1">
        <v>44991</v>
      </c>
      <c r="F1966">
        <v>301</v>
      </c>
      <c r="G1966">
        <v>5</v>
      </c>
      <c r="H1966">
        <v>217.33</v>
      </c>
      <c r="I1966">
        <v>86.66</v>
      </c>
      <c r="J1966" t="s">
        <v>41</v>
      </c>
      <c r="K1966" t="s">
        <v>16</v>
      </c>
      <c r="L1966" t="s">
        <v>2095</v>
      </c>
      <c r="M1966">
        <v>1</v>
      </c>
      <c r="N1966" t="s">
        <v>194</v>
      </c>
      <c r="O1966" t="s">
        <v>2107</v>
      </c>
    </row>
    <row r="1967" spans="1:15">
      <c r="A1967" t="s">
        <v>3619</v>
      </c>
      <c r="B1967" t="s">
        <v>2113</v>
      </c>
      <c r="C1967" t="s">
        <v>2100</v>
      </c>
      <c r="D1967" s="1">
        <v>43687</v>
      </c>
      <c r="E1967" s="1">
        <v>45226</v>
      </c>
      <c r="F1967">
        <v>66</v>
      </c>
      <c r="G1967">
        <v>10</v>
      </c>
      <c r="H1967">
        <v>502.55</v>
      </c>
      <c r="I1967">
        <v>34.130000000000003</v>
      </c>
      <c r="J1967" t="s">
        <v>115</v>
      </c>
      <c r="K1967" t="s">
        <v>20</v>
      </c>
      <c r="L1967" t="s">
        <v>2095</v>
      </c>
      <c r="M1967">
        <v>5</v>
      </c>
      <c r="N1967" t="s">
        <v>179</v>
      </c>
      <c r="O1967" t="s">
        <v>2088</v>
      </c>
    </row>
    <row r="1968" spans="1:15">
      <c r="A1968" t="s">
        <v>3620</v>
      </c>
      <c r="B1968" t="s">
        <v>2113</v>
      </c>
      <c r="C1968" t="s">
        <v>2108</v>
      </c>
      <c r="D1968" s="1">
        <v>44390</v>
      </c>
      <c r="E1968" s="1">
        <v>45062</v>
      </c>
      <c r="F1968">
        <v>230</v>
      </c>
      <c r="G1968">
        <v>17</v>
      </c>
      <c r="H1968">
        <v>588.37</v>
      </c>
      <c r="I1968">
        <v>67.94</v>
      </c>
      <c r="J1968" t="s">
        <v>66</v>
      </c>
      <c r="K1968" t="s">
        <v>16</v>
      </c>
      <c r="L1968" t="s">
        <v>2087</v>
      </c>
      <c r="M1968">
        <v>3</v>
      </c>
      <c r="N1968" t="s">
        <v>157</v>
      </c>
      <c r="O1968" t="s">
        <v>2121</v>
      </c>
    </row>
    <row r="1969" spans="1:15">
      <c r="A1969" t="s">
        <v>3621</v>
      </c>
      <c r="B1969" t="s">
        <v>2093</v>
      </c>
      <c r="C1969" t="s">
        <v>2111</v>
      </c>
      <c r="D1969" s="1">
        <v>43690</v>
      </c>
      <c r="E1969" s="1">
        <v>45193</v>
      </c>
      <c r="F1969">
        <v>99</v>
      </c>
      <c r="G1969">
        <v>3</v>
      </c>
      <c r="H1969">
        <v>77.63</v>
      </c>
      <c r="I1969">
        <v>75.47</v>
      </c>
      <c r="J1969" t="s">
        <v>115</v>
      </c>
      <c r="K1969" t="s">
        <v>20</v>
      </c>
      <c r="L1969" t="s">
        <v>2106</v>
      </c>
      <c r="M1969">
        <v>5</v>
      </c>
      <c r="N1969" t="s">
        <v>174</v>
      </c>
      <c r="O1969" t="s">
        <v>2107</v>
      </c>
    </row>
    <row r="1970" spans="1:15">
      <c r="A1970" t="s">
        <v>469</v>
      </c>
      <c r="B1970" t="s">
        <v>2099</v>
      </c>
      <c r="C1970" t="s">
        <v>2091</v>
      </c>
      <c r="D1970" s="1">
        <v>44873</v>
      </c>
      <c r="E1970" s="1">
        <v>45100</v>
      </c>
      <c r="F1970">
        <v>192</v>
      </c>
      <c r="G1970">
        <v>2</v>
      </c>
      <c r="H1970">
        <v>44.39</v>
      </c>
      <c r="I1970">
        <v>97.31</v>
      </c>
      <c r="J1970" t="s">
        <v>14</v>
      </c>
      <c r="K1970" t="s">
        <v>16</v>
      </c>
      <c r="L1970" t="s">
        <v>2106</v>
      </c>
      <c r="M1970">
        <v>10</v>
      </c>
      <c r="N1970" t="s">
        <v>165</v>
      </c>
      <c r="O1970" t="s">
        <v>2088</v>
      </c>
    </row>
    <row r="1971" spans="1:15">
      <c r="A1971" t="s">
        <v>3622</v>
      </c>
      <c r="B1971" t="s">
        <v>2085</v>
      </c>
      <c r="C1971" t="s">
        <v>2086</v>
      </c>
      <c r="D1971" s="1">
        <v>44945</v>
      </c>
      <c r="E1971" s="1">
        <v>45146</v>
      </c>
      <c r="F1971">
        <v>146</v>
      </c>
      <c r="G1971">
        <v>34</v>
      </c>
      <c r="H1971">
        <v>2104.85</v>
      </c>
      <c r="I1971">
        <v>188.91</v>
      </c>
      <c r="J1971" t="s">
        <v>66</v>
      </c>
      <c r="K1971" t="s">
        <v>16</v>
      </c>
      <c r="L1971" t="s">
        <v>2106</v>
      </c>
      <c r="M1971">
        <v>4</v>
      </c>
      <c r="N1971" t="s">
        <v>179</v>
      </c>
      <c r="O1971" t="s">
        <v>2109</v>
      </c>
    </row>
    <row r="1972" spans="1:15">
      <c r="A1972" t="s">
        <v>3623</v>
      </c>
      <c r="B1972" t="s">
        <v>2085</v>
      </c>
      <c r="C1972" t="s">
        <v>2094</v>
      </c>
      <c r="D1972" s="1">
        <v>43523</v>
      </c>
      <c r="E1972" s="1">
        <v>44965</v>
      </c>
      <c r="F1972">
        <v>327</v>
      </c>
      <c r="G1972">
        <v>20</v>
      </c>
      <c r="H1972">
        <v>1640.4</v>
      </c>
      <c r="I1972">
        <v>126.92</v>
      </c>
      <c r="J1972" t="s">
        <v>115</v>
      </c>
      <c r="K1972" t="s">
        <v>16</v>
      </c>
      <c r="L1972" t="s">
        <v>2095</v>
      </c>
      <c r="M1972">
        <v>3</v>
      </c>
      <c r="N1972" t="s">
        <v>194</v>
      </c>
      <c r="O1972" t="s">
        <v>2121</v>
      </c>
    </row>
    <row r="1973" spans="1:15">
      <c r="A1973" t="s">
        <v>3624</v>
      </c>
      <c r="B1973" t="s">
        <v>2085</v>
      </c>
      <c r="C1973" t="s">
        <v>2091</v>
      </c>
      <c r="D1973" s="1">
        <v>43812</v>
      </c>
      <c r="E1973" s="1">
        <v>45204</v>
      </c>
      <c r="F1973">
        <v>88</v>
      </c>
      <c r="G1973">
        <v>40</v>
      </c>
      <c r="H1973">
        <v>1014.38</v>
      </c>
      <c r="I1973">
        <v>136.91999999999999</v>
      </c>
      <c r="J1973" t="s">
        <v>90</v>
      </c>
      <c r="K1973" t="s">
        <v>16</v>
      </c>
      <c r="L1973" t="s">
        <v>2095</v>
      </c>
      <c r="M1973">
        <v>0</v>
      </c>
      <c r="N1973" t="s">
        <v>232</v>
      </c>
      <c r="O1973" t="s">
        <v>2109</v>
      </c>
    </row>
    <row r="1974" spans="1:15">
      <c r="A1974" t="s">
        <v>1540</v>
      </c>
      <c r="B1974" t="s">
        <v>2099</v>
      </c>
      <c r="C1974" t="s">
        <v>2111</v>
      </c>
      <c r="D1974" s="1">
        <v>44965</v>
      </c>
      <c r="E1974" s="1">
        <v>45220</v>
      </c>
      <c r="F1974">
        <v>72</v>
      </c>
      <c r="G1974">
        <v>2</v>
      </c>
      <c r="H1974">
        <v>80.930000000000007</v>
      </c>
      <c r="I1974">
        <v>58.63</v>
      </c>
      <c r="J1974" t="s">
        <v>90</v>
      </c>
      <c r="K1974" t="s">
        <v>20</v>
      </c>
      <c r="L1974" t="s">
        <v>2106</v>
      </c>
      <c r="M1974">
        <v>7</v>
      </c>
      <c r="N1974" t="s">
        <v>204</v>
      </c>
      <c r="O1974" t="s">
        <v>2096</v>
      </c>
    </row>
    <row r="1975" spans="1:15">
      <c r="A1975" t="s">
        <v>1024</v>
      </c>
      <c r="B1975" t="s">
        <v>2090</v>
      </c>
      <c r="C1975" t="s">
        <v>2094</v>
      </c>
      <c r="D1975" s="1">
        <v>44982</v>
      </c>
      <c r="E1975" s="1">
        <v>45236</v>
      </c>
      <c r="F1975">
        <v>56</v>
      </c>
      <c r="G1975">
        <v>3</v>
      </c>
      <c r="H1975">
        <v>328.15</v>
      </c>
      <c r="I1975">
        <v>70.180000000000007</v>
      </c>
      <c r="J1975" t="s">
        <v>14</v>
      </c>
      <c r="K1975" t="s">
        <v>16</v>
      </c>
      <c r="L1975" t="s">
        <v>2087</v>
      </c>
      <c r="M1975">
        <v>10</v>
      </c>
      <c r="N1975" t="s">
        <v>204</v>
      </c>
      <c r="O1975" t="s">
        <v>2096</v>
      </c>
    </row>
    <row r="1976" spans="1:15">
      <c r="A1976" t="s">
        <v>3625</v>
      </c>
      <c r="B1976" t="s">
        <v>2093</v>
      </c>
      <c r="C1976" t="s">
        <v>2094</v>
      </c>
      <c r="D1976" s="1">
        <v>43767</v>
      </c>
      <c r="E1976" s="1">
        <v>44948</v>
      </c>
      <c r="F1976">
        <v>344</v>
      </c>
      <c r="G1976">
        <v>4</v>
      </c>
      <c r="H1976">
        <v>61.54</v>
      </c>
      <c r="I1976">
        <v>25.63</v>
      </c>
      <c r="J1976" t="s">
        <v>115</v>
      </c>
      <c r="K1976" t="s">
        <v>20</v>
      </c>
      <c r="L1976" t="s">
        <v>2106</v>
      </c>
      <c r="M1976">
        <v>6</v>
      </c>
      <c r="N1976" t="s">
        <v>232</v>
      </c>
      <c r="O1976" t="s">
        <v>2096</v>
      </c>
    </row>
    <row r="1977" spans="1:15">
      <c r="A1977" t="s">
        <v>3626</v>
      </c>
      <c r="B1977" t="s">
        <v>2093</v>
      </c>
      <c r="C1977" t="s">
        <v>2111</v>
      </c>
      <c r="D1977" s="1">
        <v>44642</v>
      </c>
      <c r="E1977" s="1">
        <v>45040</v>
      </c>
      <c r="F1977">
        <v>252</v>
      </c>
      <c r="G1977">
        <v>3</v>
      </c>
      <c r="H1977">
        <v>47.51</v>
      </c>
      <c r="I1977">
        <v>43.4</v>
      </c>
      <c r="J1977" t="s">
        <v>41</v>
      </c>
      <c r="K1977" t="s">
        <v>20</v>
      </c>
      <c r="L1977" t="s">
        <v>2095</v>
      </c>
      <c r="M1977">
        <v>6</v>
      </c>
      <c r="N1977" t="s">
        <v>179</v>
      </c>
      <c r="O1977" t="s">
        <v>2121</v>
      </c>
    </row>
    <row r="1978" spans="1:15">
      <c r="A1978" t="s">
        <v>3627</v>
      </c>
      <c r="B1978" t="s">
        <v>2093</v>
      </c>
      <c r="C1978" t="s">
        <v>2094</v>
      </c>
      <c r="D1978" s="1">
        <v>44345</v>
      </c>
      <c r="E1978" s="1">
        <v>45166</v>
      </c>
      <c r="F1978">
        <v>126</v>
      </c>
      <c r="G1978">
        <v>3</v>
      </c>
      <c r="H1978">
        <v>165.29</v>
      </c>
      <c r="I1978">
        <v>35.4</v>
      </c>
      <c r="J1978" t="s">
        <v>14</v>
      </c>
      <c r="K1978" t="s">
        <v>20</v>
      </c>
      <c r="L1978" t="s">
        <v>2106</v>
      </c>
      <c r="M1978">
        <v>1</v>
      </c>
      <c r="N1978" t="s">
        <v>204</v>
      </c>
      <c r="O1978" t="s">
        <v>2096</v>
      </c>
    </row>
    <row r="1979" spans="1:15">
      <c r="A1979" t="s">
        <v>761</v>
      </c>
      <c r="B1979" t="s">
        <v>2113</v>
      </c>
      <c r="C1979" t="s">
        <v>2086</v>
      </c>
      <c r="D1979" s="1">
        <v>45072</v>
      </c>
      <c r="E1979" s="1">
        <v>45055</v>
      </c>
      <c r="F1979">
        <v>237</v>
      </c>
      <c r="G1979">
        <v>12</v>
      </c>
      <c r="H1979">
        <v>404.61</v>
      </c>
      <c r="I1979">
        <v>31.02</v>
      </c>
      <c r="J1979" t="s">
        <v>14</v>
      </c>
      <c r="K1979" t="s">
        <v>20</v>
      </c>
      <c r="L1979" t="s">
        <v>2106</v>
      </c>
      <c r="M1979">
        <v>7</v>
      </c>
      <c r="N1979" t="s">
        <v>165</v>
      </c>
      <c r="O1979" t="s">
        <v>2096</v>
      </c>
    </row>
    <row r="1980" spans="1:15">
      <c r="A1980" t="s">
        <v>3628</v>
      </c>
      <c r="B1980" t="s">
        <v>2097</v>
      </c>
      <c r="C1980" t="s">
        <v>2086</v>
      </c>
      <c r="D1980" s="1">
        <v>43700</v>
      </c>
      <c r="E1980" s="1">
        <v>45288</v>
      </c>
      <c r="F1980">
        <v>4</v>
      </c>
      <c r="G1980">
        <v>7</v>
      </c>
      <c r="H1980">
        <v>234.95</v>
      </c>
      <c r="I1980">
        <v>131.44</v>
      </c>
      <c r="J1980" t="s">
        <v>90</v>
      </c>
      <c r="K1980" t="s">
        <v>20</v>
      </c>
      <c r="L1980" t="s">
        <v>2095</v>
      </c>
      <c r="M1980">
        <v>1</v>
      </c>
      <c r="N1980" t="s">
        <v>232</v>
      </c>
      <c r="O1980" t="s">
        <v>2096</v>
      </c>
    </row>
    <row r="1981" spans="1:15">
      <c r="A1981" t="s">
        <v>3629</v>
      </c>
      <c r="B1981" t="s">
        <v>2093</v>
      </c>
      <c r="C1981" t="s">
        <v>2091</v>
      </c>
      <c r="D1981" s="1">
        <v>44279</v>
      </c>
      <c r="E1981" s="1">
        <v>45205</v>
      </c>
      <c r="F1981">
        <v>87</v>
      </c>
      <c r="G1981">
        <v>3</v>
      </c>
      <c r="H1981">
        <v>124.97</v>
      </c>
      <c r="I1981">
        <v>25.99</v>
      </c>
      <c r="J1981" t="s">
        <v>115</v>
      </c>
      <c r="K1981" t="s">
        <v>16</v>
      </c>
      <c r="L1981" t="s">
        <v>2087</v>
      </c>
      <c r="M1981">
        <v>0</v>
      </c>
      <c r="N1981" t="s">
        <v>204</v>
      </c>
      <c r="O1981" t="s">
        <v>2121</v>
      </c>
    </row>
    <row r="1982" spans="1:15">
      <c r="A1982" t="s">
        <v>3630</v>
      </c>
      <c r="B1982" t="s">
        <v>2097</v>
      </c>
      <c r="C1982" t="s">
        <v>2091</v>
      </c>
      <c r="D1982" s="1">
        <v>43603</v>
      </c>
      <c r="E1982" s="1">
        <v>45233</v>
      </c>
      <c r="F1982">
        <v>59</v>
      </c>
      <c r="G1982">
        <v>4</v>
      </c>
      <c r="H1982">
        <v>774.47</v>
      </c>
      <c r="I1982">
        <v>142.22999999999999</v>
      </c>
      <c r="J1982" t="s">
        <v>90</v>
      </c>
      <c r="K1982" t="s">
        <v>20</v>
      </c>
      <c r="L1982" t="s">
        <v>2095</v>
      </c>
      <c r="M1982">
        <v>5</v>
      </c>
      <c r="N1982" t="s">
        <v>157</v>
      </c>
      <c r="O1982" t="s">
        <v>2109</v>
      </c>
    </row>
    <row r="1983" spans="1:15">
      <c r="A1983" t="s">
        <v>3631</v>
      </c>
      <c r="B1983" t="s">
        <v>2085</v>
      </c>
      <c r="C1983" t="s">
        <v>2086</v>
      </c>
      <c r="D1983" s="1">
        <v>44971</v>
      </c>
      <c r="E1983" s="1">
        <v>44939</v>
      </c>
      <c r="F1983">
        <v>353</v>
      </c>
      <c r="G1983">
        <v>16</v>
      </c>
      <c r="H1983">
        <v>1183.31</v>
      </c>
      <c r="I1983">
        <v>184.69</v>
      </c>
      <c r="J1983" t="s">
        <v>115</v>
      </c>
      <c r="K1983" t="s">
        <v>16</v>
      </c>
      <c r="L1983" t="s">
        <v>2087</v>
      </c>
      <c r="M1983">
        <v>4</v>
      </c>
      <c r="N1983" t="s">
        <v>232</v>
      </c>
      <c r="O1983" t="s">
        <v>2096</v>
      </c>
    </row>
    <row r="1984" spans="1:15">
      <c r="A1984" t="s">
        <v>3632</v>
      </c>
      <c r="B1984" t="s">
        <v>2097</v>
      </c>
      <c r="C1984" t="s">
        <v>2086</v>
      </c>
      <c r="D1984" s="1">
        <v>44582</v>
      </c>
      <c r="E1984" s="1">
        <v>45045</v>
      </c>
      <c r="F1984">
        <v>247</v>
      </c>
      <c r="G1984">
        <v>6</v>
      </c>
      <c r="H1984">
        <v>279.33999999999997</v>
      </c>
      <c r="I1984">
        <v>149.37</v>
      </c>
      <c r="J1984" t="s">
        <v>66</v>
      </c>
      <c r="K1984" t="s">
        <v>16</v>
      </c>
      <c r="L1984" t="s">
        <v>2106</v>
      </c>
      <c r="M1984">
        <v>9</v>
      </c>
      <c r="N1984" t="s">
        <v>165</v>
      </c>
      <c r="O1984" t="s">
        <v>2096</v>
      </c>
    </row>
    <row r="1985" spans="1:15">
      <c r="A1985" t="s">
        <v>3633</v>
      </c>
      <c r="B1985" t="s">
        <v>2085</v>
      </c>
      <c r="C1985" t="s">
        <v>2111</v>
      </c>
      <c r="D1985" s="1">
        <v>45111</v>
      </c>
      <c r="E1985" s="1">
        <v>45094</v>
      </c>
      <c r="F1985">
        <v>198</v>
      </c>
      <c r="G1985">
        <v>25</v>
      </c>
      <c r="H1985">
        <v>1596.59</v>
      </c>
      <c r="I1985">
        <v>147.86000000000001</v>
      </c>
      <c r="J1985" t="s">
        <v>90</v>
      </c>
      <c r="K1985" t="s">
        <v>16</v>
      </c>
      <c r="L1985" t="s">
        <v>2087</v>
      </c>
      <c r="M1985">
        <v>4</v>
      </c>
      <c r="N1985" t="s">
        <v>204</v>
      </c>
      <c r="O1985" t="s">
        <v>2088</v>
      </c>
    </row>
    <row r="1986" spans="1:15">
      <c r="A1986" t="s">
        <v>3634</v>
      </c>
      <c r="B1986" t="s">
        <v>2097</v>
      </c>
      <c r="C1986" t="s">
        <v>2094</v>
      </c>
      <c r="D1986" s="1">
        <v>44970</v>
      </c>
      <c r="E1986" s="1">
        <v>44968</v>
      </c>
      <c r="F1986">
        <v>324</v>
      </c>
      <c r="G1986">
        <v>8</v>
      </c>
      <c r="H1986">
        <v>229.38</v>
      </c>
      <c r="I1986">
        <v>137.61000000000001</v>
      </c>
      <c r="J1986" t="s">
        <v>14</v>
      </c>
      <c r="K1986" t="s">
        <v>16</v>
      </c>
      <c r="L1986" t="s">
        <v>2095</v>
      </c>
      <c r="M1986">
        <v>8</v>
      </c>
      <c r="N1986" t="s">
        <v>157</v>
      </c>
      <c r="O1986" t="s">
        <v>2107</v>
      </c>
    </row>
    <row r="1987" spans="1:15">
      <c r="A1987" t="s">
        <v>3635</v>
      </c>
      <c r="B1987" t="s">
        <v>2085</v>
      </c>
      <c r="C1987" t="s">
        <v>2108</v>
      </c>
      <c r="D1987" s="1">
        <v>44766</v>
      </c>
      <c r="E1987" s="1">
        <v>45225</v>
      </c>
      <c r="F1987">
        <v>67</v>
      </c>
      <c r="G1987">
        <v>30</v>
      </c>
      <c r="H1987">
        <v>1526.92</v>
      </c>
      <c r="I1987">
        <v>202.65</v>
      </c>
      <c r="J1987" t="s">
        <v>90</v>
      </c>
      <c r="K1987" t="s">
        <v>20</v>
      </c>
      <c r="L1987" t="s">
        <v>2106</v>
      </c>
      <c r="M1987">
        <v>0</v>
      </c>
      <c r="N1987" t="s">
        <v>157</v>
      </c>
      <c r="O1987" t="s">
        <v>2121</v>
      </c>
    </row>
    <row r="1988" spans="1:15">
      <c r="A1988" t="s">
        <v>3636</v>
      </c>
      <c r="B1988" t="s">
        <v>2090</v>
      </c>
      <c r="C1988" t="s">
        <v>2108</v>
      </c>
      <c r="D1988" s="1">
        <v>43632</v>
      </c>
      <c r="E1988" s="1">
        <v>45175</v>
      </c>
      <c r="F1988">
        <v>117</v>
      </c>
      <c r="G1988">
        <v>5</v>
      </c>
      <c r="H1988">
        <v>111.99</v>
      </c>
      <c r="I1988">
        <v>114.32</v>
      </c>
      <c r="J1988" t="s">
        <v>14</v>
      </c>
      <c r="K1988" t="s">
        <v>16</v>
      </c>
      <c r="L1988" t="s">
        <v>2095</v>
      </c>
      <c r="M1988">
        <v>5</v>
      </c>
      <c r="N1988" t="s">
        <v>204</v>
      </c>
      <c r="O1988" t="s">
        <v>2088</v>
      </c>
    </row>
    <row r="1989" spans="1:15">
      <c r="A1989" t="s">
        <v>3637</v>
      </c>
      <c r="B1989" t="s">
        <v>2099</v>
      </c>
      <c r="C1989" t="s">
        <v>2108</v>
      </c>
      <c r="D1989" s="1">
        <v>43731</v>
      </c>
      <c r="E1989" s="1">
        <v>45056</v>
      </c>
      <c r="F1989">
        <v>236</v>
      </c>
      <c r="G1989">
        <v>1</v>
      </c>
      <c r="H1989">
        <v>136.12</v>
      </c>
      <c r="I1989">
        <v>44.28</v>
      </c>
      <c r="J1989" t="s">
        <v>90</v>
      </c>
      <c r="K1989" t="s">
        <v>16</v>
      </c>
      <c r="L1989" t="s">
        <v>2087</v>
      </c>
      <c r="M1989">
        <v>1</v>
      </c>
      <c r="N1989" t="s">
        <v>204</v>
      </c>
      <c r="O1989" t="s">
        <v>2121</v>
      </c>
    </row>
    <row r="1990" spans="1:15">
      <c r="A1990" t="s">
        <v>3638</v>
      </c>
      <c r="B1990" t="s">
        <v>2090</v>
      </c>
      <c r="C1990" t="s">
        <v>2094</v>
      </c>
      <c r="D1990" s="1">
        <v>44603</v>
      </c>
      <c r="E1990" s="1">
        <v>45229</v>
      </c>
      <c r="F1990">
        <v>63</v>
      </c>
      <c r="G1990">
        <v>8</v>
      </c>
      <c r="H1990">
        <v>154.19</v>
      </c>
      <c r="I1990">
        <v>90.77</v>
      </c>
      <c r="J1990" t="s">
        <v>41</v>
      </c>
      <c r="K1990" t="s">
        <v>16</v>
      </c>
      <c r="L1990" t="s">
        <v>2087</v>
      </c>
      <c r="M1990">
        <v>6</v>
      </c>
      <c r="N1990" t="s">
        <v>232</v>
      </c>
      <c r="O1990" t="s">
        <v>2121</v>
      </c>
    </row>
    <row r="1991" spans="1:15">
      <c r="A1991" t="s">
        <v>3639</v>
      </c>
      <c r="B1991" t="s">
        <v>2085</v>
      </c>
      <c r="C1991" t="s">
        <v>2100</v>
      </c>
      <c r="D1991" s="1">
        <v>44292</v>
      </c>
      <c r="E1991" s="1">
        <v>45161</v>
      </c>
      <c r="F1991">
        <v>131</v>
      </c>
      <c r="G1991">
        <v>36</v>
      </c>
      <c r="H1991">
        <v>2026.18</v>
      </c>
      <c r="I1991">
        <v>252.79</v>
      </c>
      <c r="J1991" t="s">
        <v>90</v>
      </c>
      <c r="K1991" t="s">
        <v>16</v>
      </c>
      <c r="L1991" t="s">
        <v>2095</v>
      </c>
      <c r="M1991">
        <v>6</v>
      </c>
      <c r="N1991" t="s">
        <v>194</v>
      </c>
      <c r="O1991" t="s">
        <v>2107</v>
      </c>
    </row>
    <row r="1992" spans="1:15">
      <c r="A1992" t="s">
        <v>3640</v>
      </c>
      <c r="B1992" t="s">
        <v>2113</v>
      </c>
      <c r="C1992" t="s">
        <v>2108</v>
      </c>
      <c r="D1992" s="1">
        <v>44929</v>
      </c>
      <c r="E1992" s="1">
        <v>45227</v>
      </c>
      <c r="F1992">
        <v>65</v>
      </c>
      <c r="G1992">
        <v>15</v>
      </c>
      <c r="H1992">
        <v>570.87</v>
      </c>
      <c r="I1992">
        <v>62.8</v>
      </c>
      <c r="J1992" t="s">
        <v>90</v>
      </c>
      <c r="K1992" t="s">
        <v>20</v>
      </c>
      <c r="L1992" t="s">
        <v>2106</v>
      </c>
      <c r="M1992">
        <v>10</v>
      </c>
      <c r="N1992" t="s">
        <v>179</v>
      </c>
      <c r="O1992" t="s">
        <v>2107</v>
      </c>
    </row>
    <row r="1993" spans="1:15">
      <c r="A1993" t="s">
        <v>3641</v>
      </c>
      <c r="B1993" t="s">
        <v>2085</v>
      </c>
      <c r="C1993" t="s">
        <v>2091</v>
      </c>
      <c r="D1993" s="1">
        <v>43557</v>
      </c>
      <c r="E1993" s="1">
        <v>45043</v>
      </c>
      <c r="F1993">
        <v>249</v>
      </c>
      <c r="G1993">
        <v>32</v>
      </c>
      <c r="H1993">
        <v>2477.63</v>
      </c>
      <c r="I1993">
        <v>252.06</v>
      </c>
      <c r="J1993" t="s">
        <v>41</v>
      </c>
      <c r="K1993" t="s">
        <v>16</v>
      </c>
      <c r="L1993" t="s">
        <v>2106</v>
      </c>
      <c r="M1993">
        <v>6</v>
      </c>
      <c r="N1993" t="s">
        <v>165</v>
      </c>
      <c r="O1993" t="s">
        <v>2109</v>
      </c>
    </row>
    <row r="1994" spans="1:15">
      <c r="A1994" t="s">
        <v>3642</v>
      </c>
      <c r="B1994" t="s">
        <v>2113</v>
      </c>
      <c r="C1994" t="s">
        <v>2111</v>
      </c>
      <c r="D1994" s="1">
        <v>45244</v>
      </c>
      <c r="E1994" s="1">
        <v>45101</v>
      </c>
      <c r="F1994">
        <v>191</v>
      </c>
      <c r="G1994">
        <v>20</v>
      </c>
      <c r="H1994">
        <v>548.07000000000005</v>
      </c>
      <c r="I1994">
        <v>43.2</v>
      </c>
      <c r="J1994" t="s">
        <v>14</v>
      </c>
      <c r="K1994" t="s">
        <v>16</v>
      </c>
      <c r="L1994" t="s">
        <v>2106</v>
      </c>
      <c r="M1994">
        <v>4</v>
      </c>
      <c r="N1994" t="s">
        <v>232</v>
      </c>
      <c r="O1994" t="s">
        <v>2096</v>
      </c>
    </row>
    <row r="1995" spans="1:15">
      <c r="A1995" t="s">
        <v>3643</v>
      </c>
      <c r="B1995" t="s">
        <v>2090</v>
      </c>
      <c r="C1995" t="s">
        <v>2111</v>
      </c>
      <c r="D1995" s="1">
        <v>44951</v>
      </c>
      <c r="E1995" s="1">
        <v>45038</v>
      </c>
      <c r="F1995">
        <v>254</v>
      </c>
      <c r="G1995">
        <v>4</v>
      </c>
      <c r="H1995">
        <v>304.29000000000002</v>
      </c>
      <c r="I1995">
        <v>118.66</v>
      </c>
      <c r="J1995" t="s">
        <v>115</v>
      </c>
      <c r="K1995" t="s">
        <v>16</v>
      </c>
      <c r="L1995" t="s">
        <v>2087</v>
      </c>
      <c r="M1995">
        <v>6</v>
      </c>
      <c r="N1995" t="s">
        <v>174</v>
      </c>
      <c r="O1995" t="s">
        <v>2121</v>
      </c>
    </row>
    <row r="1996" spans="1:15">
      <c r="A1996" t="s">
        <v>3644</v>
      </c>
      <c r="B1996" t="s">
        <v>2113</v>
      </c>
      <c r="C1996" t="s">
        <v>2094</v>
      </c>
      <c r="D1996" s="1">
        <v>45062</v>
      </c>
      <c r="E1996" s="1">
        <v>45225</v>
      </c>
      <c r="F1996">
        <v>67</v>
      </c>
      <c r="G1996">
        <v>10</v>
      </c>
      <c r="H1996">
        <v>341.82</v>
      </c>
      <c r="I1996">
        <v>52.75</v>
      </c>
      <c r="J1996" t="s">
        <v>115</v>
      </c>
      <c r="K1996" t="s">
        <v>20</v>
      </c>
      <c r="L1996" t="s">
        <v>2087</v>
      </c>
      <c r="M1996">
        <v>7</v>
      </c>
      <c r="N1996" t="s">
        <v>204</v>
      </c>
      <c r="O1996" t="s">
        <v>2096</v>
      </c>
    </row>
    <row r="1997" spans="1:15">
      <c r="A1997" t="s">
        <v>3645</v>
      </c>
      <c r="B1997" t="s">
        <v>2085</v>
      </c>
      <c r="C1997" t="s">
        <v>2100</v>
      </c>
      <c r="D1997" s="1">
        <v>44645</v>
      </c>
      <c r="E1997" s="1">
        <v>45169</v>
      </c>
      <c r="F1997">
        <v>123</v>
      </c>
      <c r="G1997">
        <v>15</v>
      </c>
      <c r="H1997">
        <v>912.69</v>
      </c>
      <c r="I1997">
        <v>290.67</v>
      </c>
      <c r="J1997" t="s">
        <v>66</v>
      </c>
      <c r="K1997" t="s">
        <v>16</v>
      </c>
      <c r="L1997" t="s">
        <v>2087</v>
      </c>
      <c r="M1997">
        <v>4</v>
      </c>
      <c r="N1997" t="s">
        <v>165</v>
      </c>
      <c r="O1997" t="s">
        <v>2121</v>
      </c>
    </row>
    <row r="1998" spans="1:15">
      <c r="A1998" t="s">
        <v>1861</v>
      </c>
      <c r="B1998" t="s">
        <v>2099</v>
      </c>
      <c r="C1998" t="s">
        <v>2091</v>
      </c>
      <c r="D1998" s="1">
        <v>45084</v>
      </c>
      <c r="E1998" s="1">
        <v>45160</v>
      </c>
      <c r="F1998">
        <v>132</v>
      </c>
      <c r="G1998">
        <v>2</v>
      </c>
      <c r="H1998">
        <v>79.97</v>
      </c>
      <c r="I1998">
        <v>60.94</v>
      </c>
      <c r="J1998" t="s">
        <v>41</v>
      </c>
      <c r="K1998" t="s">
        <v>16</v>
      </c>
      <c r="L1998" t="s">
        <v>2106</v>
      </c>
      <c r="M1998">
        <v>9</v>
      </c>
      <c r="N1998" t="s">
        <v>157</v>
      </c>
      <c r="O1998" t="s">
        <v>2121</v>
      </c>
    </row>
    <row r="1999" spans="1:15">
      <c r="A1999" t="s">
        <v>3646</v>
      </c>
      <c r="B1999" t="s">
        <v>2090</v>
      </c>
      <c r="C1999" t="s">
        <v>2086</v>
      </c>
      <c r="D1999" s="1">
        <v>43516</v>
      </c>
      <c r="E1999" s="1">
        <v>45031</v>
      </c>
      <c r="F1999">
        <v>261</v>
      </c>
      <c r="G1999">
        <v>4</v>
      </c>
      <c r="H1999">
        <v>165.88</v>
      </c>
      <c r="I1999">
        <v>119.12</v>
      </c>
      <c r="J1999" t="s">
        <v>14</v>
      </c>
      <c r="K1999" t="s">
        <v>20</v>
      </c>
      <c r="L1999" t="s">
        <v>2106</v>
      </c>
      <c r="M1999">
        <v>4</v>
      </c>
      <c r="N1999" t="s">
        <v>165</v>
      </c>
      <c r="O1999" t="s">
        <v>2109</v>
      </c>
    </row>
    <row r="2000" spans="1:15">
      <c r="A2000" t="s">
        <v>3647</v>
      </c>
      <c r="B2000" t="s">
        <v>2090</v>
      </c>
      <c r="C2000" t="s">
        <v>2100</v>
      </c>
      <c r="D2000" s="1">
        <v>45192</v>
      </c>
      <c r="E2000" s="1">
        <v>45149</v>
      </c>
      <c r="F2000">
        <v>143</v>
      </c>
      <c r="G2000">
        <v>8</v>
      </c>
      <c r="H2000">
        <v>191.64</v>
      </c>
      <c r="I2000">
        <v>73.349999999999994</v>
      </c>
      <c r="J2000" t="s">
        <v>115</v>
      </c>
      <c r="K2000" t="s">
        <v>20</v>
      </c>
      <c r="L2000" t="s">
        <v>2106</v>
      </c>
      <c r="M2000">
        <v>2</v>
      </c>
      <c r="N2000" t="s">
        <v>179</v>
      </c>
      <c r="O2000" t="s">
        <v>2109</v>
      </c>
    </row>
    <row r="2001" spans="1:15">
      <c r="A2001" t="s">
        <v>3648</v>
      </c>
      <c r="B2001" t="s">
        <v>2085</v>
      </c>
      <c r="C2001" t="s">
        <v>2100</v>
      </c>
      <c r="D2001" s="1">
        <v>45067</v>
      </c>
      <c r="E2001" s="1">
        <v>45207</v>
      </c>
      <c r="F2001">
        <v>85</v>
      </c>
      <c r="G2001">
        <v>18</v>
      </c>
      <c r="H2001">
        <v>1942.69</v>
      </c>
      <c r="I2001">
        <v>286.3</v>
      </c>
      <c r="J2001" t="s">
        <v>14</v>
      </c>
      <c r="K2001" t="s">
        <v>20</v>
      </c>
      <c r="L2001" t="s">
        <v>2087</v>
      </c>
      <c r="M2001">
        <v>7</v>
      </c>
      <c r="N2001" t="s">
        <v>204</v>
      </c>
      <c r="O2001" t="s">
        <v>2109</v>
      </c>
    </row>
    <row r="2002" spans="1:15">
      <c r="A2002" t="s">
        <v>688</v>
      </c>
      <c r="B2002" t="s">
        <v>2090</v>
      </c>
      <c r="C2002" t="s">
        <v>2086</v>
      </c>
      <c r="D2002" s="1">
        <v>43886</v>
      </c>
      <c r="E2002" s="1">
        <v>45218</v>
      </c>
      <c r="F2002">
        <v>74</v>
      </c>
      <c r="G2002">
        <v>4</v>
      </c>
      <c r="H2002">
        <v>229.88</v>
      </c>
      <c r="I2002">
        <v>100.55</v>
      </c>
      <c r="J2002" t="s">
        <v>90</v>
      </c>
      <c r="K2002" t="s">
        <v>16</v>
      </c>
      <c r="L2002" t="s">
        <v>2087</v>
      </c>
      <c r="M2002">
        <v>3</v>
      </c>
      <c r="N2002" t="s">
        <v>204</v>
      </c>
      <c r="O2002" t="s">
        <v>2109</v>
      </c>
    </row>
    <row r="2003" spans="1:15">
      <c r="A2003" t="s">
        <v>3649</v>
      </c>
      <c r="B2003" t="s">
        <v>2090</v>
      </c>
      <c r="C2003" t="s">
        <v>2108</v>
      </c>
      <c r="D2003" s="1">
        <v>44375</v>
      </c>
      <c r="E2003" s="1">
        <v>44962</v>
      </c>
      <c r="F2003">
        <v>330</v>
      </c>
      <c r="G2003">
        <v>3</v>
      </c>
      <c r="H2003">
        <v>361.39</v>
      </c>
      <c r="I2003">
        <v>104.63</v>
      </c>
      <c r="J2003" t="s">
        <v>14</v>
      </c>
      <c r="K2003" t="s">
        <v>16</v>
      </c>
      <c r="L2003" t="s">
        <v>2087</v>
      </c>
      <c r="M2003">
        <v>3</v>
      </c>
      <c r="N2003" t="s">
        <v>194</v>
      </c>
      <c r="O2003" t="s">
        <v>2096</v>
      </c>
    </row>
    <row r="2004" spans="1:15">
      <c r="A2004" t="s">
        <v>594</v>
      </c>
      <c r="B2004" t="s">
        <v>2097</v>
      </c>
      <c r="C2004" t="s">
        <v>2100</v>
      </c>
      <c r="D2004" s="1">
        <v>44819</v>
      </c>
      <c r="E2004" s="1">
        <v>44943</v>
      </c>
      <c r="F2004">
        <v>349</v>
      </c>
      <c r="G2004">
        <v>11</v>
      </c>
      <c r="H2004">
        <v>538.1</v>
      </c>
      <c r="I2004">
        <v>67.239999999999995</v>
      </c>
      <c r="J2004" t="s">
        <v>115</v>
      </c>
      <c r="K2004" t="s">
        <v>20</v>
      </c>
      <c r="L2004" t="s">
        <v>2095</v>
      </c>
      <c r="M2004">
        <v>4</v>
      </c>
      <c r="N2004" t="s">
        <v>157</v>
      </c>
      <c r="O2004" t="s">
        <v>2107</v>
      </c>
    </row>
    <row r="2005" spans="1:15">
      <c r="A2005" t="s">
        <v>3650</v>
      </c>
      <c r="B2005" t="s">
        <v>2097</v>
      </c>
      <c r="C2005" t="s">
        <v>2091</v>
      </c>
      <c r="D2005" s="1">
        <v>43572</v>
      </c>
      <c r="E2005" s="1">
        <v>45000</v>
      </c>
      <c r="F2005">
        <v>292</v>
      </c>
      <c r="G2005">
        <v>6</v>
      </c>
      <c r="H2005">
        <v>594.87</v>
      </c>
      <c r="I2005">
        <v>127.63</v>
      </c>
      <c r="J2005" t="s">
        <v>115</v>
      </c>
      <c r="K2005" t="s">
        <v>20</v>
      </c>
      <c r="L2005" t="s">
        <v>2095</v>
      </c>
      <c r="M2005">
        <v>4</v>
      </c>
      <c r="N2005" t="s">
        <v>194</v>
      </c>
      <c r="O2005" t="s">
        <v>2109</v>
      </c>
    </row>
    <row r="2006" spans="1:15">
      <c r="A2006" t="s">
        <v>3651</v>
      </c>
      <c r="B2006" t="s">
        <v>2085</v>
      </c>
      <c r="C2006" t="s">
        <v>2086</v>
      </c>
      <c r="D2006" s="1">
        <v>43522</v>
      </c>
      <c r="E2006" s="1">
        <v>45120</v>
      </c>
      <c r="F2006">
        <v>172</v>
      </c>
      <c r="G2006">
        <v>37</v>
      </c>
      <c r="H2006">
        <v>1682.5</v>
      </c>
      <c r="I2006">
        <v>241.67</v>
      </c>
      <c r="J2006" t="s">
        <v>66</v>
      </c>
      <c r="K2006" t="s">
        <v>20</v>
      </c>
      <c r="L2006" t="s">
        <v>2095</v>
      </c>
      <c r="M2006">
        <v>10</v>
      </c>
      <c r="N2006" t="s">
        <v>174</v>
      </c>
      <c r="O2006" t="s">
        <v>2109</v>
      </c>
    </row>
    <row r="2007" spans="1:15">
      <c r="A2007" t="s">
        <v>3652</v>
      </c>
      <c r="B2007" t="s">
        <v>2090</v>
      </c>
      <c r="C2007" t="s">
        <v>2100</v>
      </c>
      <c r="D2007" s="1">
        <v>44362</v>
      </c>
      <c r="E2007" s="1">
        <v>45202</v>
      </c>
      <c r="F2007">
        <v>90</v>
      </c>
      <c r="G2007">
        <v>4</v>
      </c>
      <c r="H2007">
        <v>289.39999999999998</v>
      </c>
      <c r="I2007">
        <v>55.26</v>
      </c>
      <c r="J2007" t="s">
        <v>66</v>
      </c>
      <c r="K2007" t="s">
        <v>16</v>
      </c>
      <c r="L2007" t="s">
        <v>2106</v>
      </c>
      <c r="M2007">
        <v>4</v>
      </c>
      <c r="N2007" t="s">
        <v>174</v>
      </c>
      <c r="O2007" t="s">
        <v>2107</v>
      </c>
    </row>
    <row r="2008" spans="1:15">
      <c r="A2008" t="s">
        <v>3653</v>
      </c>
      <c r="B2008" t="s">
        <v>2090</v>
      </c>
      <c r="C2008" t="s">
        <v>2100</v>
      </c>
      <c r="D2008" s="1">
        <v>43565</v>
      </c>
      <c r="E2008" s="1">
        <v>44943</v>
      </c>
      <c r="F2008">
        <v>349</v>
      </c>
      <c r="G2008">
        <v>4</v>
      </c>
      <c r="H2008">
        <v>157.58000000000001</v>
      </c>
      <c r="I2008">
        <v>97.23</v>
      </c>
      <c r="J2008" t="s">
        <v>66</v>
      </c>
      <c r="K2008" t="s">
        <v>16</v>
      </c>
      <c r="L2008" t="s">
        <v>2106</v>
      </c>
      <c r="M2008">
        <v>8</v>
      </c>
      <c r="N2008" t="s">
        <v>194</v>
      </c>
      <c r="O2008" t="s">
        <v>2121</v>
      </c>
    </row>
    <row r="2009" spans="1:15">
      <c r="A2009" t="s">
        <v>3654</v>
      </c>
      <c r="B2009" t="s">
        <v>2090</v>
      </c>
      <c r="C2009" t="s">
        <v>2086</v>
      </c>
      <c r="D2009" s="1">
        <v>43684</v>
      </c>
      <c r="E2009" s="1">
        <v>44986</v>
      </c>
      <c r="F2009">
        <v>306</v>
      </c>
      <c r="G2009">
        <v>5</v>
      </c>
      <c r="H2009">
        <v>329.56</v>
      </c>
      <c r="I2009">
        <v>67.25</v>
      </c>
      <c r="J2009" t="s">
        <v>115</v>
      </c>
      <c r="K2009" t="s">
        <v>16</v>
      </c>
      <c r="L2009" t="s">
        <v>2087</v>
      </c>
      <c r="M2009">
        <v>2</v>
      </c>
      <c r="N2009" t="s">
        <v>194</v>
      </c>
      <c r="O2009" t="s">
        <v>2121</v>
      </c>
    </row>
    <row r="2010" spans="1:15">
      <c r="A2010" t="s">
        <v>3655</v>
      </c>
      <c r="B2010" t="s">
        <v>2113</v>
      </c>
      <c r="C2010" t="s">
        <v>2100</v>
      </c>
      <c r="D2010" s="1">
        <v>43973</v>
      </c>
      <c r="E2010" s="1">
        <v>45154</v>
      </c>
      <c r="F2010">
        <v>138</v>
      </c>
      <c r="G2010">
        <v>9</v>
      </c>
      <c r="H2010">
        <v>364.7</v>
      </c>
      <c r="I2010">
        <v>30.32</v>
      </c>
      <c r="J2010" t="s">
        <v>66</v>
      </c>
      <c r="K2010" t="s">
        <v>16</v>
      </c>
      <c r="L2010" t="s">
        <v>2087</v>
      </c>
      <c r="M2010">
        <v>5</v>
      </c>
      <c r="N2010" t="s">
        <v>179</v>
      </c>
      <c r="O2010" t="s">
        <v>2096</v>
      </c>
    </row>
    <row r="2011" spans="1:15">
      <c r="A2011" t="s">
        <v>3656</v>
      </c>
      <c r="B2011" t="s">
        <v>2099</v>
      </c>
      <c r="C2011" t="s">
        <v>2100</v>
      </c>
      <c r="D2011" s="1">
        <v>44380</v>
      </c>
      <c r="E2011" s="1">
        <v>45205</v>
      </c>
      <c r="F2011">
        <v>87</v>
      </c>
      <c r="G2011">
        <v>2</v>
      </c>
      <c r="H2011">
        <v>91.58</v>
      </c>
      <c r="I2011">
        <v>71</v>
      </c>
      <c r="J2011" t="s">
        <v>14</v>
      </c>
      <c r="K2011" t="s">
        <v>20</v>
      </c>
      <c r="L2011" t="s">
        <v>2095</v>
      </c>
      <c r="M2011">
        <v>0</v>
      </c>
      <c r="N2011" t="s">
        <v>157</v>
      </c>
      <c r="O2011" t="s">
        <v>2088</v>
      </c>
    </row>
    <row r="2012" spans="1:15">
      <c r="A2012" t="s">
        <v>3657</v>
      </c>
      <c r="B2012" t="s">
        <v>2097</v>
      </c>
      <c r="C2012" t="s">
        <v>2111</v>
      </c>
      <c r="D2012" s="1">
        <v>44450</v>
      </c>
      <c r="E2012" s="1">
        <v>44944</v>
      </c>
      <c r="F2012">
        <v>348</v>
      </c>
      <c r="G2012">
        <v>5</v>
      </c>
      <c r="H2012">
        <v>229.52</v>
      </c>
      <c r="I2012">
        <v>138.77000000000001</v>
      </c>
      <c r="J2012" t="s">
        <v>115</v>
      </c>
      <c r="K2012" t="s">
        <v>20</v>
      </c>
      <c r="L2012" t="s">
        <v>2087</v>
      </c>
      <c r="M2012">
        <v>8</v>
      </c>
      <c r="N2012" t="s">
        <v>204</v>
      </c>
      <c r="O2012" t="s">
        <v>2109</v>
      </c>
    </row>
    <row r="2013" spans="1:15">
      <c r="A2013" t="s">
        <v>3658</v>
      </c>
      <c r="B2013" t="s">
        <v>2097</v>
      </c>
      <c r="C2013" t="s">
        <v>2091</v>
      </c>
      <c r="D2013" s="1">
        <v>44540</v>
      </c>
      <c r="E2013" s="1">
        <v>45174</v>
      </c>
      <c r="F2013">
        <v>118</v>
      </c>
      <c r="G2013">
        <v>5</v>
      </c>
      <c r="H2013">
        <v>500.96</v>
      </c>
      <c r="I2013">
        <v>97.2</v>
      </c>
      <c r="J2013" t="s">
        <v>115</v>
      </c>
      <c r="K2013" t="s">
        <v>16</v>
      </c>
      <c r="L2013" t="s">
        <v>2095</v>
      </c>
      <c r="M2013">
        <v>1</v>
      </c>
      <c r="N2013" t="s">
        <v>194</v>
      </c>
      <c r="O2013" t="s">
        <v>2107</v>
      </c>
    </row>
    <row r="2014" spans="1:15">
      <c r="A2014" t="s">
        <v>3659</v>
      </c>
      <c r="B2014" t="s">
        <v>2113</v>
      </c>
      <c r="C2014" t="s">
        <v>2100</v>
      </c>
      <c r="D2014" s="1">
        <v>45140</v>
      </c>
      <c r="E2014" s="1">
        <v>44984</v>
      </c>
      <c r="F2014">
        <v>308</v>
      </c>
      <c r="G2014">
        <v>16</v>
      </c>
      <c r="H2014">
        <v>498.6</v>
      </c>
      <c r="I2014">
        <v>38.68</v>
      </c>
      <c r="J2014" t="s">
        <v>115</v>
      </c>
      <c r="K2014" t="s">
        <v>16</v>
      </c>
      <c r="L2014" t="s">
        <v>2087</v>
      </c>
      <c r="M2014">
        <v>4</v>
      </c>
      <c r="N2014" t="s">
        <v>174</v>
      </c>
      <c r="O2014" t="s">
        <v>2109</v>
      </c>
    </row>
    <row r="2015" spans="1:15">
      <c r="A2015" t="s">
        <v>3660</v>
      </c>
      <c r="B2015" t="s">
        <v>2085</v>
      </c>
      <c r="C2015" t="s">
        <v>2111</v>
      </c>
      <c r="D2015" s="1">
        <v>44606</v>
      </c>
      <c r="E2015" s="1">
        <v>45186</v>
      </c>
      <c r="F2015">
        <v>106</v>
      </c>
      <c r="G2015">
        <v>19</v>
      </c>
      <c r="H2015">
        <v>1228.3399999999999</v>
      </c>
      <c r="I2015">
        <v>136.55000000000001</v>
      </c>
      <c r="J2015" t="s">
        <v>90</v>
      </c>
      <c r="K2015" t="s">
        <v>16</v>
      </c>
      <c r="L2015" t="s">
        <v>2095</v>
      </c>
      <c r="M2015">
        <v>5</v>
      </c>
      <c r="N2015" t="s">
        <v>174</v>
      </c>
      <c r="O2015" t="s">
        <v>2096</v>
      </c>
    </row>
    <row r="2016" spans="1:15">
      <c r="A2016" t="s">
        <v>790</v>
      </c>
      <c r="B2016" t="s">
        <v>2097</v>
      </c>
      <c r="C2016" t="s">
        <v>2111</v>
      </c>
      <c r="D2016" s="1">
        <v>43628</v>
      </c>
      <c r="E2016" s="1">
        <v>45003</v>
      </c>
      <c r="F2016">
        <v>289</v>
      </c>
      <c r="G2016">
        <v>11</v>
      </c>
      <c r="H2016">
        <v>466.98</v>
      </c>
      <c r="I2016">
        <v>83.85</v>
      </c>
      <c r="J2016" t="s">
        <v>41</v>
      </c>
      <c r="K2016" t="s">
        <v>20</v>
      </c>
      <c r="L2016" t="s">
        <v>2095</v>
      </c>
      <c r="M2016">
        <v>10</v>
      </c>
      <c r="N2016" t="s">
        <v>179</v>
      </c>
      <c r="O2016" t="s">
        <v>2096</v>
      </c>
    </row>
    <row r="2017" spans="1:15">
      <c r="A2017" t="s">
        <v>2030</v>
      </c>
      <c r="B2017" t="s">
        <v>2085</v>
      </c>
      <c r="C2017" t="s">
        <v>2111</v>
      </c>
      <c r="D2017" s="1">
        <v>44216</v>
      </c>
      <c r="E2017" s="1">
        <v>45066</v>
      </c>
      <c r="F2017">
        <v>226</v>
      </c>
      <c r="G2017">
        <v>35</v>
      </c>
      <c r="H2017">
        <v>2752.38</v>
      </c>
      <c r="I2017">
        <v>172.17</v>
      </c>
      <c r="J2017" t="s">
        <v>90</v>
      </c>
      <c r="K2017" t="s">
        <v>16</v>
      </c>
      <c r="L2017" t="s">
        <v>2106</v>
      </c>
      <c r="M2017">
        <v>7</v>
      </c>
      <c r="N2017" t="s">
        <v>232</v>
      </c>
      <c r="O2017" t="s">
        <v>2107</v>
      </c>
    </row>
    <row r="2018" spans="1:15">
      <c r="A2018" t="s">
        <v>1114</v>
      </c>
      <c r="B2018" t="s">
        <v>2093</v>
      </c>
      <c r="C2018" t="s">
        <v>2091</v>
      </c>
      <c r="D2018" s="1">
        <v>44297</v>
      </c>
      <c r="E2018" s="1">
        <v>45139</v>
      </c>
      <c r="F2018">
        <v>153</v>
      </c>
      <c r="G2018">
        <v>1</v>
      </c>
      <c r="H2018">
        <v>39.44</v>
      </c>
      <c r="I2018">
        <v>73.28</v>
      </c>
      <c r="J2018" t="s">
        <v>90</v>
      </c>
      <c r="K2018" t="s">
        <v>16</v>
      </c>
      <c r="L2018" t="s">
        <v>2106</v>
      </c>
      <c r="M2018">
        <v>0</v>
      </c>
      <c r="N2018" t="s">
        <v>179</v>
      </c>
      <c r="O2018" t="s">
        <v>2096</v>
      </c>
    </row>
    <row r="2019" spans="1:15">
      <c r="A2019" t="s">
        <v>3661</v>
      </c>
      <c r="B2019" t="s">
        <v>2113</v>
      </c>
      <c r="C2019" t="s">
        <v>2094</v>
      </c>
      <c r="D2019" s="1">
        <v>44382</v>
      </c>
      <c r="E2019" s="1">
        <v>45056</v>
      </c>
      <c r="F2019">
        <v>236</v>
      </c>
      <c r="G2019">
        <v>10</v>
      </c>
      <c r="H2019">
        <v>302.88</v>
      </c>
      <c r="I2019">
        <v>64.03</v>
      </c>
      <c r="J2019" t="s">
        <v>41</v>
      </c>
      <c r="K2019" t="s">
        <v>16</v>
      </c>
      <c r="L2019" t="s">
        <v>2095</v>
      </c>
      <c r="M2019">
        <v>6</v>
      </c>
      <c r="N2019" t="s">
        <v>174</v>
      </c>
      <c r="O2019" t="s">
        <v>2109</v>
      </c>
    </row>
    <row r="2020" spans="1:15">
      <c r="A2020" t="s">
        <v>3662</v>
      </c>
      <c r="B2020" t="s">
        <v>2090</v>
      </c>
      <c r="C2020" t="s">
        <v>2091</v>
      </c>
      <c r="D2020" s="1">
        <v>45114</v>
      </c>
      <c r="E2020" s="1">
        <v>45023</v>
      </c>
      <c r="F2020">
        <v>269</v>
      </c>
      <c r="G2020">
        <v>8</v>
      </c>
      <c r="H2020">
        <v>189.33</v>
      </c>
      <c r="I2020">
        <v>98.8</v>
      </c>
      <c r="J2020" t="s">
        <v>14</v>
      </c>
      <c r="K2020" t="s">
        <v>20</v>
      </c>
      <c r="L2020" t="s">
        <v>2087</v>
      </c>
      <c r="M2020">
        <v>8</v>
      </c>
      <c r="N2020" t="s">
        <v>204</v>
      </c>
      <c r="O2020" t="s">
        <v>2107</v>
      </c>
    </row>
    <row r="2021" spans="1:15">
      <c r="A2021" t="s">
        <v>3663</v>
      </c>
      <c r="B2021" t="s">
        <v>2097</v>
      </c>
      <c r="C2021" t="s">
        <v>2100</v>
      </c>
      <c r="D2021" s="1">
        <v>44785</v>
      </c>
      <c r="E2021" s="1">
        <v>44932</v>
      </c>
      <c r="F2021">
        <v>360</v>
      </c>
      <c r="G2021">
        <v>11</v>
      </c>
      <c r="H2021">
        <v>290.51</v>
      </c>
      <c r="I2021">
        <v>103.49</v>
      </c>
      <c r="J2021" t="s">
        <v>14</v>
      </c>
      <c r="K2021" t="s">
        <v>16</v>
      </c>
      <c r="L2021" t="s">
        <v>2087</v>
      </c>
      <c r="M2021">
        <v>5</v>
      </c>
      <c r="N2021" t="s">
        <v>204</v>
      </c>
      <c r="O2021" t="s">
        <v>2088</v>
      </c>
    </row>
    <row r="2022" spans="1:15">
      <c r="A2022" t="s">
        <v>3664</v>
      </c>
      <c r="B2022" t="s">
        <v>2097</v>
      </c>
      <c r="C2022" t="s">
        <v>2086</v>
      </c>
      <c r="D2022" s="1">
        <v>44014</v>
      </c>
      <c r="E2022" s="1">
        <v>45266</v>
      </c>
      <c r="F2022">
        <v>26</v>
      </c>
      <c r="G2022">
        <v>6</v>
      </c>
      <c r="H2022">
        <v>237.48</v>
      </c>
      <c r="I2022">
        <v>98.54</v>
      </c>
      <c r="J2022" t="s">
        <v>66</v>
      </c>
      <c r="K2022" t="s">
        <v>20</v>
      </c>
      <c r="L2022" t="s">
        <v>2106</v>
      </c>
      <c r="M2022">
        <v>1</v>
      </c>
      <c r="N2022" t="s">
        <v>232</v>
      </c>
      <c r="O2022" t="s">
        <v>2109</v>
      </c>
    </row>
    <row r="2023" spans="1:15">
      <c r="A2023" t="s">
        <v>3665</v>
      </c>
      <c r="B2023" t="s">
        <v>2085</v>
      </c>
      <c r="C2023" t="s">
        <v>2100</v>
      </c>
      <c r="D2023" s="1">
        <v>44624</v>
      </c>
      <c r="E2023" s="1">
        <v>45148</v>
      </c>
      <c r="F2023">
        <v>144</v>
      </c>
      <c r="G2023">
        <v>15</v>
      </c>
      <c r="H2023">
        <v>1602.96</v>
      </c>
      <c r="I2023">
        <v>244.47</v>
      </c>
      <c r="J2023" t="s">
        <v>115</v>
      </c>
      <c r="K2023" t="s">
        <v>16</v>
      </c>
      <c r="L2023" t="s">
        <v>2106</v>
      </c>
      <c r="M2023">
        <v>2</v>
      </c>
      <c r="N2023" t="s">
        <v>174</v>
      </c>
      <c r="O2023" t="s">
        <v>2088</v>
      </c>
    </row>
    <row r="2024" spans="1:15">
      <c r="A2024" t="s">
        <v>3666</v>
      </c>
      <c r="B2024" t="s">
        <v>2097</v>
      </c>
      <c r="C2024" t="s">
        <v>2091</v>
      </c>
      <c r="D2024" s="1">
        <v>43710</v>
      </c>
      <c r="E2024" s="1">
        <v>45214</v>
      </c>
      <c r="F2024">
        <v>78</v>
      </c>
      <c r="G2024">
        <v>8</v>
      </c>
      <c r="H2024">
        <v>197.85</v>
      </c>
      <c r="I2024">
        <v>63.07</v>
      </c>
      <c r="J2024" t="s">
        <v>115</v>
      </c>
      <c r="K2024" t="s">
        <v>20</v>
      </c>
      <c r="L2024" t="s">
        <v>2106</v>
      </c>
      <c r="M2024">
        <v>5</v>
      </c>
      <c r="N2024" t="s">
        <v>157</v>
      </c>
      <c r="O2024" t="s">
        <v>2107</v>
      </c>
    </row>
    <row r="2025" spans="1:15">
      <c r="A2025" t="s">
        <v>3667</v>
      </c>
      <c r="B2025" t="s">
        <v>2097</v>
      </c>
      <c r="C2025" t="s">
        <v>2086</v>
      </c>
      <c r="D2025" s="1">
        <v>43473</v>
      </c>
      <c r="E2025" s="1">
        <v>45064</v>
      </c>
      <c r="F2025">
        <v>228</v>
      </c>
      <c r="G2025">
        <v>5</v>
      </c>
      <c r="H2025">
        <v>780.2</v>
      </c>
      <c r="I2025">
        <v>95</v>
      </c>
      <c r="J2025" t="s">
        <v>41</v>
      </c>
      <c r="K2025" t="s">
        <v>16</v>
      </c>
      <c r="L2025" t="s">
        <v>2106</v>
      </c>
      <c r="M2025">
        <v>5</v>
      </c>
      <c r="N2025" t="s">
        <v>232</v>
      </c>
      <c r="O2025" t="s">
        <v>2107</v>
      </c>
    </row>
    <row r="2026" spans="1:15">
      <c r="A2026" t="s">
        <v>1941</v>
      </c>
      <c r="B2026" t="s">
        <v>2090</v>
      </c>
      <c r="C2026" t="s">
        <v>2094</v>
      </c>
      <c r="D2026" s="1">
        <v>44759</v>
      </c>
      <c r="E2026" s="1">
        <v>45117</v>
      </c>
      <c r="F2026">
        <v>175</v>
      </c>
      <c r="G2026">
        <v>2</v>
      </c>
      <c r="H2026">
        <v>189.97</v>
      </c>
      <c r="I2026">
        <v>117.17</v>
      </c>
      <c r="J2026" t="s">
        <v>14</v>
      </c>
      <c r="K2026" t="s">
        <v>16</v>
      </c>
      <c r="L2026" t="s">
        <v>2087</v>
      </c>
      <c r="M2026">
        <v>3</v>
      </c>
      <c r="N2026" t="s">
        <v>179</v>
      </c>
      <c r="O2026" t="s">
        <v>2088</v>
      </c>
    </row>
    <row r="2027" spans="1:15">
      <c r="A2027" t="s">
        <v>3668</v>
      </c>
      <c r="B2027" t="s">
        <v>2093</v>
      </c>
      <c r="C2027" t="s">
        <v>2094</v>
      </c>
      <c r="D2027" s="1">
        <v>43505</v>
      </c>
      <c r="E2027" s="1">
        <v>45165</v>
      </c>
      <c r="F2027">
        <v>127</v>
      </c>
      <c r="G2027">
        <v>4</v>
      </c>
      <c r="H2027">
        <v>44.16</v>
      </c>
      <c r="I2027">
        <v>56.09</v>
      </c>
      <c r="J2027" t="s">
        <v>90</v>
      </c>
      <c r="K2027" t="s">
        <v>16</v>
      </c>
      <c r="L2027" t="s">
        <v>2106</v>
      </c>
      <c r="M2027">
        <v>1</v>
      </c>
      <c r="N2027" t="s">
        <v>179</v>
      </c>
      <c r="O2027" t="s">
        <v>2121</v>
      </c>
    </row>
    <row r="2028" spans="1:15">
      <c r="A2028" t="s">
        <v>818</v>
      </c>
      <c r="B2028" t="s">
        <v>2097</v>
      </c>
      <c r="C2028" t="s">
        <v>2100</v>
      </c>
      <c r="D2028" s="1">
        <v>43953</v>
      </c>
      <c r="E2028" s="1">
        <v>45225</v>
      </c>
      <c r="F2028">
        <v>67</v>
      </c>
      <c r="G2028">
        <v>7</v>
      </c>
      <c r="H2028">
        <v>514.84</v>
      </c>
      <c r="I2028">
        <v>96.77</v>
      </c>
      <c r="J2028" t="s">
        <v>41</v>
      </c>
      <c r="K2028" t="s">
        <v>16</v>
      </c>
      <c r="L2028" t="s">
        <v>2095</v>
      </c>
      <c r="M2028">
        <v>5</v>
      </c>
      <c r="N2028" t="s">
        <v>232</v>
      </c>
      <c r="O2028" t="s">
        <v>2096</v>
      </c>
    </row>
    <row r="2029" spans="1:15">
      <c r="A2029" t="s">
        <v>3669</v>
      </c>
      <c r="B2029" t="s">
        <v>2090</v>
      </c>
      <c r="C2029" t="s">
        <v>2086</v>
      </c>
      <c r="D2029" s="1">
        <v>44081</v>
      </c>
      <c r="E2029" s="1">
        <v>45261</v>
      </c>
      <c r="F2029">
        <v>31</v>
      </c>
      <c r="G2029">
        <v>6</v>
      </c>
      <c r="H2029">
        <v>156.08000000000001</v>
      </c>
      <c r="I2029">
        <v>45.61</v>
      </c>
      <c r="J2029" t="s">
        <v>90</v>
      </c>
      <c r="K2029" t="s">
        <v>20</v>
      </c>
      <c r="L2029" t="s">
        <v>2087</v>
      </c>
      <c r="M2029">
        <v>3</v>
      </c>
      <c r="N2029" t="s">
        <v>179</v>
      </c>
      <c r="O2029" t="s">
        <v>2109</v>
      </c>
    </row>
    <row r="2030" spans="1:15">
      <c r="A2030" t="s">
        <v>3670</v>
      </c>
      <c r="B2030" t="s">
        <v>2093</v>
      </c>
      <c r="C2030" t="s">
        <v>2091</v>
      </c>
      <c r="D2030" s="1">
        <v>43994</v>
      </c>
      <c r="E2030" s="1">
        <v>45079</v>
      </c>
      <c r="F2030">
        <v>213</v>
      </c>
      <c r="G2030">
        <v>4</v>
      </c>
      <c r="H2030">
        <v>111.6</v>
      </c>
      <c r="I2030">
        <v>72.91</v>
      </c>
      <c r="J2030" t="s">
        <v>66</v>
      </c>
      <c r="K2030" t="s">
        <v>16</v>
      </c>
      <c r="L2030" t="s">
        <v>2106</v>
      </c>
      <c r="M2030">
        <v>5</v>
      </c>
      <c r="N2030" t="s">
        <v>179</v>
      </c>
      <c r="O2030" t="s">
        <v>2121</v>
      </c>
    </row>
    <row r="2031" spans="1:15">
      <c r="A2031" t="s">
        <v>288</v>
      </c>
      <c r="B2031" t="s">
        <v>2090</v>
      </c>
      <c r="C2031" t="s">
        <v>2094</v>
      </c>
      <c r="D2031" s="1">
        <v>45241</v>
      </c>
      <c r="E2031" s="1">
        <v>45119</v>
      </c>
      <c r="F2031">
        <v>173</v>
      </c>
      <c r="G2031">
        <v>5</v>
      </c>
      <c r="H2031">
        <v>246.05</v>
      </c>
      <c r="I2031">
        <v>53.18</v>
      </c>
      <c r="J2031" t="s">
        <v>90</v>
      </c>
      <c r="K2031" t="s">
        <v>16</v>
      </c>
      <c r="L2031" t="s">
        <v>2087</v>
      </c>
      <c r="M2031">
        <v>6</v>
      </c>
      <c r="N2031" t="s">
        <v>179</v>
      </c>
      <c r="O2031" t="s">
        <v>2121</v>
      </c>
    </row>
    <row r="2032" spans="1:15">
      <c r="A2032" t="s">
        <v>3671</v>
      </c>
      <c r="B2032" t="s">
        <v>2097</v>
      </c>
      <c r="C2032" t="s">
        <v>2086</v>
      </c>
      <c r="D2032" s="1">
        <v>45175</v>
      </c>
      <c r="E2032" s="1">
        <v>45007</v>
      </c>
      <c r="F2032">
        <v>285</v>
      </c>
      <c r="G2032">
        <v>11</v>
      </c>
      <c r="H2032">
        <v>713.26</v>
      </c>
      <c r="I2032">
        <v>114.76</v>
      </c>
      <c r="J2032" t="s">
        <v>115</v>
      </c>
      <c r="K2032" t="s">
        <v>16</v>
      </c>
      <c r="L2032" t="s">
        <v>2095</v>
      </c>
      <c r="M2032">
        <v>4</v>
      </c>
      <c r="N2032" t="s">
        <v>232</v>
      </c>
      <c r="O2032" t="s">
        <v>2096</v>
      </c>
    </row>
    <row r="2033" spans="1:15">
      <c r="A2033" t="s">
        <v>3672</v>
      </c>
      <c r="B2033" t="s">
        <v>2093</v>
      </c>
      <c r="C2033" t="s">
        <v>2111</v>
      </c>
      <c r="D2033" s="1">
        <v>45235</v>
      </c>
      <c r="E2033" s="1">
        <v>45141</v>
      </c>
      <c r="F2033">
        <v>151</v>
      </c>
      <c r="G2033">
        <v>3</v>
      </c>
      <c r="H2033">
        <v>51.31</v>
      </c>
      <c r="I2033">
        <v>48.25</v>
      </c>
      <c r="J2033" t="s">
        <v>14</v>
      </c>
      <c r="K2033" t="s">
        <v>20</v>
      </c>
      <c r="L2033" t="s">
        <v>2095</v>
      </c>
      <c r="M2033">
        <v>9</v>
      </c>
      <c r="N2033" t="s">
        <v>194</v>
      </c>
      <c r="O2033" t="s">
        <v>2096</v>
      </c>
    </row>
    <row r="2034" spans="1:15">
      <c r="A2034" t="s">
        <v>3673</v>
      </c>
      <c r="B2034" t="s">
        <v>2090</v>
      </c>
      <c r="C2034" t="s">
        <v>2100</v>
      </c>
      <c r="D2034" s="1">
        <v>43933</v>
      </c>
      <c r="E2034" s="1">
        <v>45171</v>
      </c>
      <c r="F2034">
        <v>121</v>
      </c>
      <c r="G2034">
        <v>2</v>
      </c>
      <c r="H2034">
        <v>214.06</v>
      </c>
      <c r="I2034">
        <v>68.349999999999994</v>
      </c>
      <c r="J2034" t="s">
        <v>41</v>
      </c>
      <c r="K2034" t="s">
        <v>16</v>
      </c>
      <c r="L2034" t="s">
        <v>2095</v>
      </c>
      <c r="M2034">
        <v>6</v>
      </c>
      <c r="N2034" t="s">
        <v>204</v>
      </c>
      <c r="O2034" t="s">
        <v>2107</v>
      </c>
    </row>
    <row r="2035" spans="1:15">
      <c r="A2035" t="s">
        <v>3674</v>
      </c>
      <c r="B2035" t="s">
        <v>2097</v>
      </c>
      <c r="C2035" t="s">
        <v>2100</v>
      </c>
      <c r="D2035" s="1">
        <v>43533</v>
      </c>
      <c r="E2035" s="1">
        <v>45040</v>
      </c>
      <c r="F2035">
        <v>252</v>
      </c>
      <c r="G2035">
        <v>8</v>
      </c>
      <c r="H2035">
        <v>320.10000000000002</v>
      </c>
      <c r="I2035">
        <v>65.38</v>
      </c>
      <c r="J2035" t="s">
        <v>115</v>
      </c>
      <c r="K2035" t="s">
        <v>16</v>
      </c>
      <c r="L2035" t="s">
        <v>2095</v>
      </c>
      <c r="M2035">
        <v>9</v>
      </c>
      <c r="N2035" t="s">
        <v>179</v>
      </c>
      <c r="O2035" t="s">
        <v>2096</v>
      </c>
    </row>
    <row r="2036" spans="1:15">
      <c r="A2036" t="s">
        <v>3675</v>
      </c>
      <c r="B2036" t="s">
        <v>2093</v>
      </c>
      <c r="C2036" t="s">
        <v>2108</v>
      </c>
      <c r="D2036" s="1">
        <v>43586</v>
      </c>
      <c r="E2036" s="1">
        <v>44978</v>
      </c>
      <c r="F2036">
        <v>314</v>
      </c>
      <c r="G2036">
        <v>3</v>
      </c>
      <c r="H2036">
        <v>186.9</v>
      </c>
      <c r="I2036">
        <v>57.77</v>
      </c>
      <c r="J2036" t="s">
        <v>66</v>
      </c>
      <c r="K2036" t="s">
        <v>16</v>
      </c>
      <c r="L2036" t="s">
        <v>2087</v>
      </c>
      <c r="M2036">
        <v>3</v>
      </c>
      <c r="N2036" t="s">
        <v>174</v>
      </c>
      <c r="O2036" t="s">
        <v>2096</v>
      </c>
    </row>
    <row r="2037" spans="1:15">
      <c r="A2037" t="s">
        <v>3676</v>
      </c>
      <c r="B2037" t="s">
        <v>2099</v>
      </c>
      <c r="C2037" t="s">
        <v>2100</v>
      </c>
      <c r="D2037" s="1">
        <v>43600</v>
      </c>
      <c r="E2037" s="1">
        <v>45059</v>
      </c>
      <c r="F2037">
        <v>233</v>
      </c>
      <c r="G2037">
        <v>1</v>
      </c>
      <c r="H2037">
        <v>126.55</v>
      </c>
      <c r="I2037">
        <v>51.68</v>
      </c>
      <c r="J2037" t="s">
        <v>66</v>
      </c>
      <c r="K2037" t="s">
        <v>16</v>
      </c>
      <c r="L2037" t="s">
        <v>2106</v>
      </c>
      <c r="M2037">
        <v>0</v>
      </c>
      <c r="N2037" t="s">
        <v>174</v>
      </c>
      <c r="O2037" t="s">
        <v>2096</v>
      </c>
    </row>
    <row r="2038" spans="1:15">
      <c r="A2038" t="s">
        <v>3677</v>
      </c>
      <c r="B2038" t="s">
        <v>2090</v>
      </c>
      <c r="C2038" t="s">
        <v>2094</v>
      </c>
      <c r="D2038" s="1">
        <v>43922</v>
      </c>
      <c r="E2038" s="1">
        <v>45038</v>
      </c>
      <c r="F2038">
        <v>254</v>
      </c>
      <c r="G2038">
        <v>4</v>
      </c>
      <c r="H2038">
        <v>120.28</v>
      </c>
      <c r="I2038">
        <v>88.83</v>
      </c>
      <c r="J2038" t="s">
        <v>115</v>
      </c>
      <c r="K2038" t="s">
        <v>20</v>
      </c>
      <c r="L2038" t="s">
        <v>2106</v>
      </c>
      <c r="M2038">
        <v>4</v>
      </c>
      <c r="N2038" t="s">
        <v>204</v>
      </c>
      <c r="O2038" t="s">
        <v>2121</v>
      </c>
    </row>
    <row r="2039" spans="1:15">
      <c r="A2039" t="s">
        <v>502</v>
      </c>
      <c r="B2039" t="s">
        <v>2097</v>
      </c>
      <c r="C2039" t="s">
        <v>2094</v>
      </c>
      <c r="D2039" s="1">
        <v>45174</v>
      </c>
      <c r="E2039" s="1">
        <v>45258</v>
      </c>
      <c r="F2039">
        <v>34</v>
      </c>
      <c r="G2039">
        <v>5</v>
      </c>
      <c r="H2039">
        <v>523.89</v>
      </c>
      <c r="I2039">
        <v>113.74</v>
      </c>
      <c r="J2039" t="s">
        <v>115</v>
      </c>
      <c r="K2039" t="s">
        <v>16</v>
      </c>
      <c r="L2039" t="s">
        <v>2106</v>
      </c>
      <c r="M2039">
        <v>6</v>
      </c>
      <c r="N2039" t="s">
        <v>165</v>
      </c>
      <c r="O2039" t="s">
        <v>2109</v>
      </c>
    </row>
    <row r="2040" spans="1:15">
      <c r="A2040" t="s">
        <v>3678</v>
      </c>
      <c r="B2040" t="s">
        <v>2099</v>
      </c>
      <c r="C2040" t="s">
        <v>2091</v>
      </c>
      <c r="D2040" s="1">
        <v>44684</v>
      </c>
      <c r="E2040" s="1">
        <v>44937</v>
      </c>
      <c r="F2040">
        <v>355</v>
      </c>
      <c r="G2040">
        <v>1</v>
      </c>
      <c r="H2040">
        <v>147.78</v>
      </c>
      <c r="I2040">
        <v>39.94</v>
      </c>
      <c r="J2040" t="s">
        <v>41</v>
      </c>
      <c r="K2040" t="s">
        <v>16</v>
      </c>
      <c r="L2040" t="s">
        <v>2095</v>
      </c>
      <c r="M2040">
        <v>4</v>
      </c>
      <c r="N2040" t="s">
        <v>204</v>
      </c>
      <c r="O2040" t="s">
        <v>2107</v>
      </c>
    </row>
    <row r="2041" spans="1:15">
      <c r="A2041" t="s">
        <v>3679</v>
      </c>
      <c r="B2041" t="s">
        <v>2099</v>
      </c>
      <c r="C2041" t="s">
        <v>2086</v>
      </c>
      <c r="D2041" s="1">
        <v>43759</v>
      </c>
      <c r="E2041" s="1">
        <v>45236</v>
      </c>
      <c r="F2041">
        <v>56</v>
      </c>
      <c r="G2041">
        <v>2</v>
      </c>
      <c r="H2041">
        <v>21.38</v>
      </c>
      <c r="I2041">
        <v>77.58</v>
      </c>
      <c r="J2041" t="s">
        <v>14</v>
      </c>
      <c r="K2041" t="s">
        <v>20</v>
      </c>
      <c r="L2041" t="s">
        <v>2095</v>
      </c>
      <c r="M2041">
        <v>10</v>
      </c>
      <c r="N2041" t="s">
        <v>174</v>
      </c>
      <c r="O2041" t="s">
        <v>2109</v>
      </c>
    </row>
    <row r="2042" spans="1:15">
      <c r="A2042" t="s">
        <v>3680</v>
      </c>
      <c r="B2042" t="s">
        <v>2113</v>
      </c>
      <c r="C2042" t="s">
        <v>2094</v>
      </c>
      <c r="D2042" s="1">
        <v>44786</v>
      </c>
      <c r="E2042" s="1">
        <v>45086</v>
      </c>
      <c r="F2042">
        <v>206</v>
      </c>
      <c r="G2042">
        <v>19</v>
      </c>
      <c r="H2042">
        <v>303.29000000000002</v>
      </c>
      <c r="I2042">
        <v>73.23</v>
      </c>
      <c r="J2042" t="s">
        <v>41</v>
      </c>
      <c r="K2042" t="s">
        <v>16</v>
      </c>
      <c r="L2042" t="s">
        <v>2106</v>
      </c>
      <c r="M2042">
        <v>7</v>
      </c>
      <c r="N2042" t="s">
        <v>157</v>
      </c>
      <c r="O2042" t="s">
        <v>2121</v>
      </c>
    </row>
    <row r="2043" spans="1:15">
      <c r="A2043" t="s">
        <v>3681</v>
      </c>
      <c r="B2043" t="s">
        <v>2113</v>
      </c>
      <c r="C2043" t="s">
        <v>2108</v>
      </c>
      <c r="D2043" s="1">
        <v>44047</v>
      </c>
      <c r="E2043" s="1">
        <v>45017</v>
      </c>
      <c r="F2043">
        <v>275</v>
      </c>
      <c r="G2043">
        <v>13</v>
      </c>
      <c r="H2043">
        <v>429.33</v>
      </c>
      <c r="I2043">
        <v>32.619999999999997</v>
      </c>
      <c r="J2043" t="s">
        <v>41</v>
      </c>
      <c r="K2043" t="s">
        <v>16</v>
      </c>
      <c r="L2043" t="s">
        <v>2087</v>
      </c>
      <c r="M2043">
        <v>9</v>
      </c>
      <c r="N2043" t="s">
        <v>204</v>
      </c>
      <c r="O2043" t="s">
        <v>2088</v>
      </c>
    </row>
    <row r="2044" spans="1:15">
      <c r="A2044" t="s">
        <v>3682</v>
      </c>
      <c r="B2044" t="s">
        <v>2097</v>
      </c>
      <c r="C2044" t="s">
        <v>2086</v>
      </c>
      <c r="D2044" s="1">
        <v>44210</v>
      </c>
      <c r="E2044" s="1">
        <v>45064</v>
      </c>
      <c r="F2044">
        <v>228</v>
      </c>
      <c r="G2044">
        <v>3</v>
      </c>
      <c r="H2044">
        <v>627.55999999999995</v>
      </c>
      <c r="I2044">
        <v>94.29</v>
      </c>
      <c r="J2044" t="s">
        <v>41</v>
      </c>
      <c r="K2044" t="s">
        <v>20</v>
      </c>
      <c r="L2044" t="s">
        <v>2095</v>
      </c>
      <c r="M2044">
        <v>4</v>
      </c>
      <c r="N2044" t="s">
        <v>157</v>
      </c>
      <c r="O2044" t="s">
        <v>2088</v>
      </c>
    </row>
    <row r="2045" spans="1:15">
      <c r="A2045" t="s">
        <v>3683</v>
      </c>
      <c r="B2045" t="s">
        <v>2099</v>
      </c>
      <c r="C2045" t="s">
        <v>2086</v>
      </c>
      <c r="D2045" s="1">
        <v>44980</v>
      </c>
      <c r="E2045" s="1">
        <v>45270</v>
      </c>
      <c r="F2045">
        <v>22</v>
      </c>
      <c r="G2045">
        <v>1</v>
      </c>
      <c r="H2045">
        <v>56.03</v>
      </c>
      <c r="I2045">
        <v>88.29</v>
      </c>
      <c r="J2045" t="s">
        <v>41</v>
      </c>
      <c r="K2045" t="s">
        <v>20</v>
      </c>
      <c r="L2045" t="s">
        <v>2087</v>
      </c>
      <c r="M2045">
        <v>2</v>
      </c>
      <c r="N2045" t="s">
        <v>232</v>
      </c>
      <c r="O2045" t="s">
        <v>2109</v>
      </c>
    </row>
    <row r="2046" spans="1:15">
      <c r="A2046" t="s">
        <v>3684</v>
      </c>
      <c r="B2046" t="s">
        <v>2090</v>
      </c>
      <c r="C2046" t="s">
        <v>2111</v>
      </c>
      <c r="D2046" s="1">
        <v>43974</v>
      </c>
      <c r="E2046" s="1">
        <v>45188</v>
      </c>
      <c r="F2046">
        <v>104</v>
      </c>
      <c r="G2046">
        <v>7</v>
      </c>
      <c r="H2046">
        <v>151.18</v>
      </c>
      <c r="I2046">
        <v>76.53</v>
      </c>
      <c r="J2046" t="s">
        <v>41</v>
      </c>
      <c r="K2046" t="s">
        <v>16</v>
      </c>
      <c r="L2046" t="s">
        <v>2095</v>
      </c>
      <c r="M2046">
        <v>7</v>
      </c>
      <c r="N2046" t="s">
        <v>157</v>
      </c>
      <c r="O2046" t="s">
        <v>2121</v>
      </c>
    </row>
    <row r="2047" spans="1:15">
      <c r="A2047" t="s">
        <v>3685</v>
      </c>
      <c r="B2047" t="s">
        <v>2113</v>
      </c>
      <c r="C2047" t="s">
        <v>2091</v>
      </c>
      <c r="D2047" s="1">
        <v>43892</v>
      </c>
      <c r="E2047" s="1">
        <v>44952</v>
      </c>
      <c r="F2047">
        <v>340</v>
      </c>
      <c r="G2047">
        <v>12</v>
      </c>
      <c r="H2047">
        <v>414.54</v>
      </c>
      <c r="I2047">
        <v>71.91</v>
      </c>
      <c r="J2047" t="s">
        <v>41</v>
      </c>
      <c r="K2047" t="s">
        <v>16</v>
      </c>
      <c r="L2047" t="s">
        <v>2087</v>
      </c>
      <c r="M2047">
        <v>1</v>
      </c>
      <c r="N2047" t="s">
        <v>179</v>
      </c>
      <c r="O2047" t="s">
        <v>2107</v>
      </c>
    </row>
    <row r="2048" spans="1:15">
      <c r="A2048" t="s">
        <v>3686</v>
      </c>
      <c r="B2048" t="s">
        <v>2097</v>
      </c>
      <c r="C2048" t="s">
        <v>2086</v>
      </c>
      <c r="D2048" s="1">
        <v>43510</v>
      </c>
      <c r="E2048" s="1">
        <v>45251</v>
      </c>
      <c r="F2048">
        <v>41</v>
      </c>
      <c r="G2048">
        <v>7</v>
      </c>
      <c r="H2048">
        <v>642.79999999999995</v>
      </c>
      <c r="I2048">
        <v>143.34</v>
      </c>
      <c r="J2048" t="s">
        <v>115</v>
      </c>
      <c r="K2048" t="s">
        <v>16</v>
      </c>
      <c r="L2048" t="s">
        <v>2095</v>
      </c>
      <c r="M2048">
        <v>7</v>
      </c>
      <c r="N2048" t="s">
        <v>157</v>
      </c>
      <c r="O2048" t="s">
        <v>2096</v>
      </c>
    </row>
    <row r="2049" spans="1:15">
      <c r="A2049" t="s">
        <v>3687</v>
      </c>
      <c r="B2049" t="s">
        <v>2097</v>
      </c>
      <c r="C2049" t="s">
        <v>2111</v>
      </c>
      <c r="D2049" s="1">
        <v>43614</v>
      </c>
      <c r="E2049" s="1">
        <v>45131</v>
      </c>
      <c r="F2049">
        <v>161</v>
      </c>
      <c r="G2049">
        <v>6</v>
      </c>
      <c r="H2049">
        <v>375.45</v>
      </c>
      <c r="I2049">
        <v>82.42</v>
      </c>
      <c r="J2049" t="s">
        <v>41</v>
      </c>
      <c r="K2049" t="s">
        <v>16</v>
      </c>
      <c r="L2049" t="s">
        <v>2095</v>
      </c>
      <c r="M2049">
        <v>5</v>
      </c>
      <c r="N2049" t="s">
        <v>174</v>
      </c>
      <c r="O2049" t="s">
        <v>2096</v>
      </c>
    </row>
    <row r="2050" spans="1:15">
      <c r="A2050" t="s">
        <v>3688</v>
      </c>
      <c r="B2050" t="s">
        <v>2099</v>
      </c>
      <c r="C2050" t="s">
        <v>2111</v>
      </c>
      <c r="D2050" s="1">
        <v>44560</v>
      </c>
      <c r="E2050" s="1">
        <v>45182</v>
      </c>
      <c r="F2050">
        <v>110</v>
      </c>
      <c r="G2050">
        <v>1</v>
      </c>
      <c r="H2050">
        <v>67.53</v>
      </c>
      <c r="I2050">
        <v>48.52</v>
      </c>
      <c r="J2050" t="s">
        <v>115</v>
      </c>
      <c r="K2050" t="s">
        <v>16</v>
      </c>
      <c r="L2050" t="s">
        <v>2106</v>
      </c>
      <c r="M2050">
        <v>0</v>
      </c>
      <c r="N2050" t="s">
        <v>194</v>
      </c>
      <c r="O2050" t="s">
        <v>2107</v>
      </c>
    </row>
    <row r="2051" spans="1:15">
      <c r="A2051" t="s">
        <v>1041</v>
      </c>
      <c r="B2051" t="s">
        <v>2097</v>
      </c>
      <c r="C2051" t="s">
        <v>2086</v>
      </c>
      <c r="D2051" s="1">
        <v>43611</v>
      </c>
      <c r="E2051" s="1">
        <v>44967</v>
      </c>
      <c r="F2051">
        <v>325</v>
      </c>
      <c r="G2051">
        <v>7</v>
      </c>
      <c r="H2051">
        <v>765.1</v>
      </c>
      <c r="I2051">
        <v>89.33</v>
      </c>
      <c r="J2051" t="s">
        <v>115</v>
      </c>
      <c r="K2051" t="s">
        <v>16</v>
      </c>
      <c r="L2051" t="s">
        <v>2087</v>
      </c>
      <c r="M2051">
        <v>5</v>
      </c>
      <c r="N2051" t="s">
        <v>179</v>
      </c>
      <c r="O2051" t="s">
        <v>2096</v>
      </c>
    </row>
    <row r="2052" spans="1:15">
      <c r="A2052" t="s">
        <v>3689</v>
      </c>
      <c r="B2052" t="s">
        <v>2097</v>
      </c>
      <c r="C2052" t="s">
        <v>2086</v>
      </c>
      <c r="D2052" s="1">
        <v>43538</v>
      </c>
      <c r="E2052" s="1">
        <v>45175</v>
      </c>
      <c r="F2052">
        <v>117</v>
      </c>
      <c r="G2052">
        <v>8</v>
      </c>
      <c r="H2052">
        <v>301.17</v>
      </c>
      <c r="I2052">
        <v>130.08000000000001</v>
      </c>
      <c r="J2052" t="s">
        <v>14</v>
      </c>
      <c r="K2052" t="s">
        <v>20</v>
      </c>
      <c r="L2052" t="s">
        <v>2095</v>
      </c>
      <c r="M2052">
        <v>3</v>
      </c>
      <c r="N2052" t="s">
        <v>179</v>
      </c>
      <c r="O2052" t="s">
        <v>2121</v>
      </c>
    </row>
    <row r="2053" spans="1:15">
      <c r="A2053" t="s">
        <v>3690</v>
      </c>
      <c r="B2053" t="s">
        <v>2085</v>
      </c>
      <c r="C2053" t="s">
        <v>2086</v>
      </c>
      <c r="D2053" s="1">
        <v>44876</v>
      </c>
      <c r="E2053" s="1">
        <v>45085</v>
      </c>
      <c r="F2053">
        <v>207</v>
      </c>
      <c r="G2053">
        <v>23</v>
      </c>
      <c r="H2053">
        <v>2374.09</v>
      </c>
      <c r="I2053">
        <v>144.63999999999999</v>
      </c>
      <c r="J2053" t="s">
        <v>66</v>
      </c>
      <c r="K2053" t="s">
        <v>16</v>
      </c>
      <c r="L2053" t="s">
        <v>2106</v>
      </c>
      <c r="M2053">
        <v>7</v>
      </c>
      <c r="N2053" t="s">
        <v>174</v>
      </c>
      <c r="O2053" t="s">
        <v>2121</v>
      </c>
    </row>
    <row r="2054" spans="1:15">
      <c r="A2054" t="s">
        <v>3691</v>
      </c>
      <c r="B2054" t="s">
        <v>2093</v>
      </c>
      <c r="C2054" t="s">
        <v>2100</v>
      </c>
      <c r="D2054" s="1">
        <v>44482</v>
      </c>
      <c r="E2054" s="1">
        <v>44989</v>
      </c>
      <c r="F2054">
        <v>303</v>
      </c>
      <c r="G2054">
        <v>4</v>
      </c>
      <c r="H2054">
        <v>175.91</v>
      </c>
      <c r="I2054">
        <v>38.840000000000003</v>
      </c>
      <c r="J2054" t="s">
        <v>90</v>
      </c>
      <c r="K2054" t="s">
        <v>16</v>
      </c>
      <c r="L2054" t="s">
        <v>2095</v>
      </c>
      <c r="M2054">
        <v>8</v>
      </c>
      <c r="N2054" t="s">
        <v>165</v>
      </c>
      <c r="O2054" t="s">
        <v>2107</v>
      </c>
    </row>
    <row r="2055" spans="1:15">
      <c r="A2055" t="s">
        <v>3692</v>
      </c>
      <c r="B2055" t="s">
        <v>2113</v>
      </c>
      <c r="C2055" t="s">
        <v>2108</v>
      </c>
      <c r="D2055" s="1">
        <v>44347</v>
      </c>
      <c r="E2055" s="1">
        <v>44988</v>
      </c>
      <c r="F2055">
        <v>304</v>
      </c>
      <c r="G2055">
        <v>18</v>
      </c>
      <c r="H2055">
        <v>223.02</v>
      </c>
      <c r="I2055">
        <v>71.989999999999995</v>
      </c>
      <c r="J2055" t="s">
        <v>90</v>
      </c>
      <c r="K2055" t="s">
        <v>16</v>
      </c>
      <c r="L2055" t="s">
        <v>2095</v>
      </c>
      <c r="M2055">
        <v>10</v>
      </c>
      <c r="N2055" t="s">
        <v>165</v>
      </c>
      <c r="O2055" t="s">
        <v>2088</v>
      </c>
    </row>
    <row r="2056" spans="1:15">
      <c r="A2056" t="s">
        <v>3693</v>
      </c>
      <c r="B2056" t="s">
        <v>2093</v>
      </c>
      <c r="C2056" t="s">
        <v>2091</v>
      </c>
      <c r="D2056" s="1">
        <v>43952</v>
      </c>
      <c r="E2056" s="1">
        <v>45088</v>
      </c>
      <c r="F2056">
        <v>204</v>
      </c>
      <c r="G2056">
        <v>3</v>
      </c>
      <c r="H2056">
        <v>181.6</v>
      </c>
      <c r="I2056">
        <v>62.97</v>
      </c>
      <c r="J2056" t="s">
        <v>14</v>
      </c>
      <c r="K2056" t="s">
        <v>16</v>
      </c>
      <c r="L2056" t="s">
        <v>2087</v>
      </c>
      <c r="M2056">
        <v>6</v>
      </c>
      <c r="N2056" t="s">
        <v>174</v>
      </c>
      <c r="O2056" t="s">
        <v>2121</v>
      </c>
    </row>
    <row r="2057" spans="1:15">
      <c r="A2057" t="s">
        <v>3694</v>
      </c>
      <c r="B2057" t="s">
        <v>2085</v>
      </c>
      <c r="C2057" t="s">
        <v>2100</v>
      </c>
      <c r="D2057" s="1">
        <v>44617</v>
      </c>
      <c r="E2057" s="1">
        <v>45264</v>
      </c>
      <c r="F2057">
        <v>28</v>
      </c>
      <c r="G2057">
        <v>21</v>
      </c>
      <c r="H2057">
        <v>1138.45</v>
      </c>
      <c r="I2057">
        <v>162.88</v>
      </c>
      <c r="J2057" t="s">
        <v>115</v>
      </c>
      <c r="K2057" t="s">
        <v>16</v>
      </c>
      <c r="L2057" t="s">
        <v>2106</v>
      </c>
      <c r="M2057">
        <v>10</v>
      </c>
      <c r="N2057" t="s">
        <v>204</v>
      </c>
      <c r="O2057" t="s">
        <v>2088</v>
      </c>
    </row>
    <row r="2058" spans="1:15">
      <c r="A2058" t="s">
        <v>3695</v>
      </c>
      <c r="B2058" t="s">
        <v>2099</v>
      </c>
      <c r="C2058" t="s">
        <v>2108</v>
      </c>
      <c r="D2058" s="1">
        <v>44870</v>
      </c>
      <c r="E2058" s="1">
        <v>45037</v>
      </c>
      <c r="F2058">
        <v>255</v>
      </c>
      <c r="G2058">
        <v>2</v>
      </c>
      <c r="H2058">
        <v>134.04</v>
      </c>
      <c r="I2058">
        <v>44.49</v>
      </c>
      <c r="J2058" t="s">
        <v>90</v>
      </c>
      <c r="K2058" t="s">
        <v>16</v>
      </c>
      <c r="L2058" t="s">
        <v>2106</v>
      </c>
      <c r="M2058">
        <v>0</v>
      </c>
      <c r="N2058" t="s">
        <v>165</v>
      </c>
      <c r="O2058" t="s">
        <v>2088</v>
      </c>
    </row>
    <row r="2059" spans="1:15">
      <c r="A2059" t="s">
        <v>923</v>
      </c>
      <c r="B2059" t="s">
        <v>2085</v>
      </c>
      <c r="C2059" t="s">
        <v>2108</v>
      </c>
      <c r="D2059" s="1">
        <v>45033</v>
      </c>
      <c r="E2059" s="1">
        <v>45140</v>
      </c>
      <c r="F2059">
        <v>152</v>
      </c>
      <c r="G2059">
        <v>15</v>
      </c>
      <c r="H2059">
        <v>897.09</v>
      </c>
      <c r="I2059">
        <v>283.29000000000002</v>
      </c>
      <c r="J2059" t="s">
        <v>14</v>
      </c>
      <c r="K2059" t="s">
        <v>16</v>
      </c>
      <c r="L2059" t="s">
        <v>2106</v>
      </c>
      <c r="M2059">
        <v>3</v>
      </c>
      <c r="N2059" t="s">
        <v>232</v>
      </c>
      <c r="O2059" t="s">
        <v>2107</v>
      </c>
    </row>
    <row r="2060" spans="1:15">
      <c r="A2060" t="s">
        <v>625</v>
      </c>
      <c r="B2060" t="s">
        <v>2099</v>
      </c>
      <c r="C2060" t="s">
        <v>2108</v>
      </c>
      <c r="D2060" s="1">
        <v>44041</v>
      </c>
      <c r="E2060" s="1">
        <v>45127</v>
      </c>
      <c r="F2060">
        <v>165</v>
      </c>
      <c r="G2060">
        <v>1</v>
      </c>
      <c r="H2060">
        <v>89.93</v>
      </c>
      <c r="I2060">
        <v>36.57</v>
      </c>
      <c r="J2060" t="s">
        <v>14</v>
      </c>
      <c r="K2060" t="s">
        <v>16</v>
      </c>
      <c r="L2060" t="s">
        <v>2095</v>
      </c>
      <c r="M2060">
        <v>8</v>
      </c>
      <c r="N2060" t="s">
        <v>232</v>
      </c>
      <c r="O2060" t="s">
        <v>2096</v>
      </c>
    </row>
    <row r="2061" spans="1:15">
      <c r="A2061" t="s">
        <v>467</v>
      </c>
      <c r="B2061" t="s">
        <v>2099</v>
      </c>
      <c r="C2061" t="s">
        <v>2108</v>
      </c>
      <c r="D2061" s="1">
        <v>43647</v>
      </c>
      <c r="E2061" s="1">
        <v>45197</v>
      </c>
      <c r="F2061">
        <v>95</v>
      </c>
      <c r="G2061">
        <v>2</v>
      </c>
      <c r="H2061">
        <v>112</v>
      </c>
      <c r="I2061">
        <v>78.709999999999994</v>
      </c>
      <c r="J2061" t="s">
        <v>66</v>
      </c>
      <c r="K2061" t="s">
        <v>16</v>
      </c>
      <c r="L2061" t="s">
        <v>2106</v>
      </c>
      <c r="M2061">
        <v>0</v>
      </c>
      <c r="N2061" t="s">
        <v>194</v>
      </c>
      <c r="O2061" t="s">
        <v>2096</v>
      </c>
    </row>
    <row r="2062" spans="1:15">
      <c r="A2062" t="s">
        <v>1280</v>
      </c>
      <c r="B2062" t="s">
        <v>2093</v>
      </c>
      <c r="C2062" t="s">
        <v>2086</v>
      </c>
      <c r="D2062" s="1">
        <v>45019</v>
      </c>
      <c r="E2062" s="1">
        <v>45212</v>
      </c>
      <c r="F2062">
        <v>80</v>
      </c>
      <c r="G2062">
        <v>5</v>
      </c>
      <c r="H2062">
        <v>94.91</v>
      </c>
      <c r="I2062">
        <v>79.599999999999994</v>
      </c>
      <c r="J2062" t="s">
        <v>41</v>
      </c>
      <c r="K2062" t="s">
        <v>16</v>
      </c>
      <c r="L2062" t="s">
        <v>2087</v>
      </c>
      <c r="M2062">
        <v>2</v>
      </c>
      <c r="N2062" t="s">
        <v>232</v>
      </c>
      <c r="O2062" t="s">
        <v>2096</v>
      </c>
    </row>
    <row r="2063" spans="1:15">
      <c r="A2063" t="s">
        <v>3696</v>
      </c>
      <c r="B2063" t="s">
        <v>2085</v>
      </c>
      <c r="C2063" t="s">
        <v>2108</v>
      </c>
      <c r="D2063" s="1">
        <v>43786</v>
      </c>
      <c r="E2063" s="1">
        <v>44927</v>
      </c>
      <c r="F2063">
        <v>365</v>
      </c>
      <c r="G2063">
        <v>27</v>
      </c>
      <c r="H2063">
        <v>2888.34</v>
      </c>
      <c r="I2063">
        <v>242.91</v>
      </c>
      <c r="J2063" t="s">
        <v>115</v>
      </c>
      <c r="K2063" t="s">
        <v>16</v>
      </c>
      <c r="L2063" t="s">
        <v>2106</v>
      </c>
      <c r="M2063">
        <v>10</v>
      </c>
      <c r="N2063" t="s">
        <v>179</v>
      </c>
      <c r="O2063" t="s">
        <v>2121</v>
      </c>
    </row>
    <row r="2064" spans="1:15">
      <c r="A2064" t="s">
        <v>3697</v>
      </c>
      <c r="B2064" t="s">
        <v>2099</v>
      </c>
      <c r="C2064" t="s">
        <v>2094</v>
      </c>
      <c r="D2064" s="1">
        <v>44186</v>
      </c>
      <c r="E2064" s="1">
        <v>45142</v>
      </c>
      <c r="F2064">
        <v>150</v>
      </c>
      <c r="G2064">
        <v>1</v>
      </c>
      <c r="H2064">
        <v>102.2</v>
      </c>
      <c r="I2064">
        <v>56.65</v>
      </c>
      <c r="J2064" t="s">
        <v>14</v>
      </c>
      <c r="K2064" t="s">
        <v>16</v>
      </c>
      <c r="L2064" t="s">
        <v>2106</v>
      </c>
      <c r="M2064">
        <v>3</v>
      </c>
      <c r="N2064" t="s">
        <v>165</v>
      </c>
      <c r="O2064" t="s">
        <v>2096</v>
      </c>
    </row>
    <row r="2065" spans="1:15">
      <c r="A2065" t="s">
        <v>3698</v>
      </c>
      <c r="B2065" t="s">
        <v>2090</v>
      </c>
      <c r="C2065" t="s">
        <v>2086</v>
      </c>
      <c r="D2065" s="1">
        <v>44374</v>
      </c>
      <c r="E2065" s="1">
        <v>45193</v>
      </c>
      <c r="F2065">
        <v>99</v>
      </c>
      <c r="G2065">
        <v>3</v>
      </c>
      <c r="H2065">
        <v>95.91</v>
      </c>
      <c r="I2065">
        <v>72.03</v>
      </c>
      <c r="J2065" t="s">
        <v>115</v>
      </c>
      <c r="K2065" t="s">
        <v>20</v>
      </c>
      <c r="L2065" t="s">
        <v>2106</v>
      </c>
      <c r="M2065">
        <v>5</v>
      </c>
      <c r="N2065" t="s">
        <v>174</v>
      </c>
      <c r="O2065" t="s">
        <v>2121</v>
      </c>
    </row>
    <row r="2066" spans="1:15">
      <c r="A2066" t="s">
        <v>3699</v>
      </c>
      <c r="B2066" t="s">
        <v>2113</v>
      </c>
      <c r="C2066" t="s">
        <v>2094</v>
      </c>
      <c r="D2066" s="1">
        <v>44411</v>
      </c>
      <c r="E2066" s="1">
        <v>44967</v>
      </c>
      <c r="F2066">
        <v>325</v>
      </c>
      <c r="G2066">
        <v>14</v>
      </c>
      <c r="H2066">
        <v>403.78</v>
      </c>
      <c r="I2066">
        <v>40.22</v>
      </c>
      <c r="J2066" t="s">
        <v>90</v>
      </c>
      <c r="K2066" t="s">
        <v>16</v>
      </c>
      <c r="L2066" t="s">
        <v>2087</v>
      </c>
      <c r="M2066">
        <v>9</v>
      </c>
      <c r="N2066" t="s">
        <v>174</v>
      </c>
      <c r="O2066" t="s">
        <v>2109</v>
      </c>
    </row>
    <row r="2067" spans="1:15">
      <c r="A2067" t="s">
        <v>3700</v>
      </c>
      <c r="B2067" t="s">
        <v>2099</v>
      </c>
      <c r="C2067" t="s">
        <v>2100</v>
      </c>
      <c r="D2067" s="1">
        <v>44615</v>
      </c>
      <c r="E2067" s="1">
        <v>45099</v>
      </c>
      <c r="F2067">
        <v>193</v>
      </c>
      <c r="G2067">
        <v>2</v>
      </c>
      <c r="H2067">
        <v>78.430000000000007</v>
      </c>
      <c r="I2067">
        <v>25.47</v>
      </c>
      <c r="J2067" t="s">
        <v>14</v>
      </c>
      <c r="K2067" t="s">
        <v>16</v>
      </c>
      <c r="L2067" t="s">
        <v>2087</v>
      </c>
      <c r="M2067">
        <v>4</v>
      </c>
      <c r="N2067" t="s">
        <v>194</v>
      </c>
      <c r="O2067" t="s">
        <v>2109</v>
      </c>
    </row>
    <row r="2068" spans="1:15">
      <c r="A2068" t="s">
        <v>1955</v>
      </c>
      <c r="B2068" t="s">
        <v>2085</v>
      </c>
      <c r="C2068" t="s">
        <v>2091</v>
      </c>
      <c r="D2068" s="1">
        <v>45147</v>
      </c>
      <c r="E2068" s="1">
        <v>45132</v>
      </c>
      <c r="F2068">
        <v>160</v>
      </c>
      <c r="G2068">
        <v>23</v>
      </c>
      <c r="H2068">
        <v>2271.44</v>
      </c>
      <c r="I2068">
        <v>259.12</v>
      </c>
      <c r="J2068" t="s">
        <v>66</v>
      </c>
      <c r="K2068" t="s">
        <v>16</v>
      </c>
      <c r="L2068" t="s">
        <v>2095</v>
      </c>
      <c r="M2068">
        <v>8</v>
      </c>
      <c r="N2068" t="s">
        <v>174</v>
      </c>
      <c r="O2068" t="s">
        <v>2109</v>
      </c>
    </row>
    <row r="2069" spans="1:15">
      <c r="A2069" t="s">
        <v>3701</v>
      </c>
      <c r="B2069" t="s">
        <v>2097</v>
      </c>
      <c r="C2069" t="s">
        <v>2094</v>
      </c>
      <c r="D2069" s="1">
        <v>44181</v>
      </c>
      <c r="E2069" s="1">
        <v>45197</v>
      </c>
      <c r="F2069">
        <v>95</v>
      </c>
      <c r="G2069">
        <v>5</v>
      </c>
      <c r="H2069">
        <v>160.57</v>
      </c>
      <c r="I2069">
        <v>53.24</v>
      </c>
      <c r="J2069" t="s">
        <v>90</v>
      </c>
      <c r="K2069" t="s">
        <v>16</v>
      </c>
      <c r="L2069" t="s">
        <v>2095</v>
      </c>
      <c r="M2069">
        <v>3</v>
      </c>
      <c r="N2069" t="s">
        <v>179</v>
      </c>
      <c r="O2069" t="s">
        <v>2109</v>
      </c>
    </row>
    <row r="2070" spans="1:15">
      <c r="A2070" t="s">
        <v>3702</v>
      </c>
      <c r="B2070" t="s">
        <v>2093</v>
      </c>
      <c r="C2070" t="s">
        <v>2111</v>
      </c>
      <c r="D2070" s="1">
        <v>44852</v>
      </c>
      <c r="E2070" s="1">
        <v>45029</v>
      </c>
      <c r="F2070">
        <v>263</v>
      </c>
      <c r="G2070">
        <v>4</v>
      </c>
      <c r="H2070">
        <v>111.96</v>
      </c>
      <c r="I2070">
        <v>34.520000000000003</v>
      </c>
      <c r="J2070" t="s">
        <v>90</v>
      </c>
      <c r="K2070" t="s">
        <v>16</v>
      </c>
      <c r="L2070" t="s">
        <v>2106</v>
      </c>
      <c r="M2070">
        <v>8</v>
      </c>
      <c r="N2070" t="s">
        <v>204</v>
      </c>
      <c r="O2070" t="s">
        <v>2096</v>
      </c>
    </row>
    <row r="2071" spans="1:15">
      <c r="A2071" t="s">
        <v>3703</v>
      </c>
      <c r="B2071" t="s">
        <v>2090</v>
      </c>
      <c r="C2071" t="s">
        <v>2086</v>
      </c>
      <c r="D2071" s="1">
        <v>44226</v>
      </c>
      <c r="E2071" s="1">
        <v>45071</v>
      </c>
      <c r="F2071">
        <v>221</v>
      </c>
      <c r="G2071">
        <v>8</v>
      </c>
      <c r="H2071">
        <v>131.47999999999999</v>
      </c>
      <c r="I2071">
        <v>73.25</v>
      </c>
      <c r="J2071" t="s">
        <v>90</v>
      </c>
      <c r="K2071" t="s">
        <v>20</v>
      </c>
      <c r="L2071" t="s">
        <v>2095</v>
      </c>
      <c r="M2071">
        <v>0</v>
      </c>
      <c r="N2071" t="s">
        <v>179</v>
      </c>
      <c r="O2071" t="s">
        <v>2096</v>
      </c>
    </row>
    <row r="2072" spans="1:15">
      <c r="A2072" t="s">
        <v>3704</v>
      </c>
      <c r="B2072" t="s">
        <v>2097</v>
      </c>
      <c r="C2072" t="s">
        <v>2094</v>
      </c>
      <c r="D2072" s="1">
        <v>44233</v>
      </c>
      <c r="E2072" s="1">
        <v>45075</v>
      </c>
      <c r="F2072">
        <v>217</v>
      </c>
      <c r="G2072">
        <v>7</v>
      </c>
      <c r="H2072">
        <v>582.11</v>
      </c>
      <c r="I2072">
        <v>63.85</v>
      </c>
      <c r="J2072" t="s">
        <v>66</v>
      </c>
      <c r="K2072" t="s">
        <v>16</v>
      </c>
      <c r="L2072" t="s">
        <v>2106</v>
      </c>
      <c r="M2072">
        <v>0</v>
      </c>
      <c r="N2072" t="s">
        <v>194</v>
      </c>
      <c r="O2072" t="s">
        <v>2121</v>
      </c>
    </row>
    <row r="2073" spans="1:15">
      <c r="A2073" t="s">
        <v>692</v>
      </c>
      <c r="B2073" t="s">
        <v>2090</v>
      </c>
      <c r="C2073" t="s">
        <v>2086</v>
      </c>
      <c r="D2073" s="1">
        <v>43540</v>
      </c>
      <c r="E2073" s="1">
        <v>45267</v>
      </c>
      <c r="F2073">
        <v>25</v>
      </c>
      <c r="G2073">
        <v>2</v>
      </c>
      <c r="H2073">
        <v>242.33</v>
      </c>
      <c r="I2073">
        <v>99.55</v>
      </c>
      <c r="J2073" t="s">
        <v>115</v>
      </c>
      <c r="K2073" t="s">
        <v>20</v>
      </c>
      <c r="L2073" t="s">
        <v>2095</v>
      </c>
      <c r="M2073">
        <v>9</v>
      </c>
      <c r="N2073" t="s">
        <v>179</v>
      </c>
      <c r="O2073" t="s">
        <v>2109</v>
      </c>
    </row>
    <row r="2074" spans="1:15">
      <c r="A2074" t="s">
        <v>1386</v>
      </c>
      <c r="B2074" t="s">
        <v>2099</v>
      </c>
      <c r="C2074" t="s">
        <v>2100</v>
      </c>
      <c r="D2074" s="1">
        <v>43742</v>
      </c>
      <c r="E2074" s="1">
        <v>45085</v>
      </c>
      <c r="F2074">
        <v>207</v>
      </c>
      <c r="G2074">
        <v>2</v>
      </c>
      <c r="H2074">
        <v>50.8</v>
      </c>
      <c r="I2074">
        <v>60.8</v>
      </c>
      <c r="J2074" t="s">
        <v>14</v>
      </c>
      <c r="K2074" t="s">
        <v>16</v>
      </c>
      <c r="L2074" t="s">
        <v>2095</v>
      </c>
      <c r="M2074">
        <v>0</v>
      </c>
      <c r="N2074" t="s">
        <v>157</v>
      </c>
      <c r="O2074" t="s">
        <v>2121</v>
      </c>
    </row>
    <row r="2075" spans="1:15">
      <c r="A2075" t="s">
        <v>3705</v>
      </c>
      <c r="B2075" t="s">
        <v>2097</v>
      </c>
      <c r="C2075" t="s">
        <v>2086</v>
      </c>
      <c r="D2075" s="1">
        <v>43522</v>
      </c>
      <c r="E2075" s="1">
        <v>44942</v>
      </c>
      <c r="F2075">
        <v>350</v>
      </c>
      <c r="G2075">
        <v>11</v>
      </c>
      <c r="H2075">
        <v>292.83999999999997</v>
      </c>
      <c r="I2075">
        <v>117.13</v>
      </c>
      <c r="J2075" t="s">
        <v>14</v>
      </c>
      <c r="K2075" t="s">
        <v>16</v>
      </c>
      <c r="L2075" t="s">
        <v>2095</v>
      </c>
      <c r="M2075">
        <v>5</v>
      </c>
      <c r="N2075" t="s">
        <v>157</v>
      </c>
      <c r="O2075" t="s">
        <v>2088</v>
      </c>
    </row>
    <row r="2076" spans="1:15">
      <c r="A2076" t="s">
        <v>3706</v>
      </c>
      <c r="B2076" t="s">
        <v>2113</v>
      </c>
      <c r="C2076" t="s">
        <v>2111</v>
      </c>
      <c r="D2076" s="1">
        <v>44928</v>
      </c>
      <c r="E2076" s="1">
        <v>45069</v>
      </c>
      <c r="F2076">
        <v>223</v>
      </c>
      <c r="G2076">
        <v>12</v>
      </c>
      <c r="H2076">
        <v>592.96</v>
      </c>
      <c r="I2076">
        <v>54.59</v>
      </c>
      <c r="J2076" t="s">
        <v>90</v>
      </c>
      <c r="K2076" t="s">
        <v>20</v>
      </c>
      <c r="L2076" t="s">
        <v>2106</v>
      </c>
      <c r="M2076">
        <v>10</v>
      </c>
      <c r="N2076" t="s">
        <v>204</v>
      </c>
      <c r="O2076" t="s">
        <v>2121</v>
      </c>
    </row>
    <row r="2077" spans="1:15">
      <c r="A2077" t="s">
        <v>3707</v>
      </c>
      <c r="B2077" t="s">
        <v>2113</v>
      </c>
      <c r="C2077" t="s">
        <v>2108</v>
      </c>
      <c r="D2077" s="1">
        <v>44734</v>
      </c>
      <c r="E2077" s="1">
        <v>45181</v>
      </c>
      <c r="F2077">
        <v>111</v>
      </c>
      <c r="G2077">
        <v>18</v>
      </c>
      <c r="H2077">
        <v>477.3</v>
      </c>
      <c r="I2077">
        <v>37.630000000000003</v>
      </c>
      <c r="J2077" t="s">
        <v>41</v>
      </c>
      <c r="K2077" t="s">
        <v>16</v>
      </c>
      <c r="L2077" t="s">
        <v>2095</v>
      </c>
      <c r="M2077">
        <v>8</v>
      </c>
      <c r="N2077" t="s">
        <v>232</v>
      </c>
      <c r="O2077" t="s">
        <v>2109</v>
      </c>
    </row>
    <row r="2078" spans="1:15">
      <c r="A2078" t="s">
        <v>3708</v>
      </c>
      <c r="B2078" t="s">
        <v>2097</v>
      </c>
      <c r="C2078" t="s">
        <v>2100</v>
      </c>
      <c r="D2078" s="1">
        <v>44136</v>
      </c>
      <c r="E2078" s="1">
        <v>45250</v>
      </c>
      <c r="F2078">
        <v>42</v>
      </c>
      <c r="G2078">
        <v>5</v>
      </c>
      <c r="H2078">
        <v>368.94</v>
      </c>
      <c r="I2078">
        <v>95.23</v>
      </c>
      <c r="J2078" t="s">
        <v>14</v>
      </c>
      <c r="K2078" t="s">
        <v>16</v>
      </c>
      <c r="L2078" t="s">
        <v>2095</v>
      </c>
      <c r="M2078">
        <v>2</v>
      </c>
      <c r="N2078" t="s">
        <v>157</v>
      </c>
      <c r="O2078" t="s">
        <v>2096</v>
      </c>
    </row>
    <row r="2079" spans="1:15">
      <c r="A2079" t="s">
        <v>577</v>
      </c>
      <c r="B2079" t="s">
        <v>2097</v>
      </c>
      <c r="C2079" t="s">
        <v>2108</v>
      </c>
      <c r="D2079" s="1">
        <v>44228</v>
      </c>
      <c r="E2079" s="1">
        <v>45122</v>
      </c>
      <c r="F2079">
        <v>170</v>
      </c>
      <c r="G2079">
        <v>6</v>
      </c>
      <c r="H2079">
        <v>732.82</v>
      </c>
      <c r="I2079">
        <v>78.7</v>
      </c>
      <c r="J2079" t="s">
        <v>90</v>
      </c>
      <c r="K2079" t="s">
        <v>16</v>
      </c>
      <c r="L2079" t="s">
        <v>2095</v>
      </c>
      <c r="M2079">
        <v>2</v>
      </c>
      <c r="N2079" t="s">
        <v>194</v>
      </c>
      <c r="O2079" t="s">
        <v>2096</v>
      </c>
    </row>
    <row r="2080" spans="1:15">
      <c r="A2080" t="s">
        <v>1700</v>
      </c>
      <c r="B2080" t="s">
        <v>2093</v>
      </c>
      <c r="C2080" t="s">
        <v>2111</v>
      </c>
      <c r="D2080" s="1">
        <v>45157</v>
      </c>
      <c r="E2080" s="1">
        <v>45061</v>
      </c>
      <c r="F2080">
        <v>231</v>
      </c>
      <c r="G2080">
        <v>3</v>
      </c>
      <c r="H2080">
        <v>118.17</v>
      </c>
      <c r="I2080">
        <v>64.19</v>
      </c>
      <c r="J2080" t="s">
        <v>115</v>
      </c>
      <c r="K2080" t="s">
        <v>20</v>
      </c>
      <c r="L2080" t="s">
        <v>2095</v>
      </c>
      <c r="M2080">
        <v>8</v>
      </c>
      <c r="N2080" t="s">
        <v>174</v>
      </c>
      <c r="O2080" t="s">
        <v>2121</v>
      </c>
    </row>
    <row r="2081" spans="1:15">
      <c r="A2081" t="s">
        <v>2024</v>
      </c>
      <c r="B2081" t="s">
        <v>2085</v>
      </c>
      <c r="C2081" t="s">
        <v>2091</v>
      </c>
      <c r="D2081" s="1">
        <v>44576</v>
      </c>
      <c r="E2081" s="1">
        <v>44985</v>
      </c>
      <c r="F2081">
        <v>307</v>
      </c>
      <c r="G2081">
        <v>25</v>
      </c>
      <c r="H2081">
        <v>1685.6</v>
      </c>
      <c r="I2081">
        <v>108.69</v>
      </c>
      <c r="J2081" t="s">
        <v>41</v>
      </c>
      <c r="K2081" t="s">
        <v>20</v>
      </c>
      <c r="L2081" t="s">
        <v>2095</v>
      </c>
      <c r="M2081">
        <v>7</v>
      </c>
      <c r="N2081" t="s">
        <v>232</v>
      </c>
      <c r="O2081" t="s">
        <v>2088</v>
      </c>
    </row>
    <row r="2082" spans="1:15">
      <c r="A2082" t="s">
        <v>3709</v>
      </c>
      <c r="B2082" t="s">
        <v>2113</v>
      </c>
      <c r="C2082" t="s">
        <v>2100</v>
      </c>
      <c r="D2082" s="1">
        <v>44661</v>
      </c>
      <c r="E2082" s="1">
        <v>45212</v>
      </c>
      <c r="F2082">
        <v>80</v>
      </c>
      <c r="G2082">
        <v>13</v>
      </c>
      <c r="H2082">
        <v>342.96</v>
      </c>
      <c r="I2082">
        <v>60.71</v>
      </c>
      <c r="J2082" t="s">
        <v>41</v>
      </c>
      <c r="K2082" t="s">
        <v>16</v>
      </c>
      <c r="L2082" t="s">
        <v>2095</v>
      </c>
      <c r="M2082">
        <v>5</v>
      </c>
      <c r="N2082" t="s">
        <v>157</v>
      </c>
      <c r="O2082" t="s">
        <v>2109</v>
      </c>
    </row>
    <row r="2083" spans="1:15">
      <c r="A2083" t="s">
        <v>3710</v>
      </c>
      <c r="B2083" t="s">
        <v>2099</v>
      </c>
      <c r="C2083" t="s">
        <v>2094</v>
      </c>
      <c r="D2083" s="1">
        <v>45218</v>
      </c>
      <c r="E2083" s="1">
        <v>45071</v>
      </c>
      <c r="F2083">
        <v>221</v>
      </c>
      <c r="G2083">
        <v>2</v>
      </c>
      <c r="H2083">
        <v>127.79</v>
      </c>
      <c r="I2083">
        <v>84.83</v>
      </c>
      <c r="J2083" t="s">
        <v>66</v>
      </c>
      <c r="K2083" t="s">
        <v>16</v>
      </c>
      <c r="L2083" t="s">
        <v>2095</v>
      </c>
      <c r="M2083">
        <v>2</v>
      </c>
      <c r="N2083" t="s">
        <v>157</v>
      </c>
      <c r="O2083" t="s">
        <v>2121</v>
      </c>
    </row>
    <row r="2084" spans="1:15">
      <c r="A2084" t="s">
        <v>1263</v>
      </c>
      <c r="B2084" t="s">
        <v>2093</v>
      </c>
      <c r="C2084" t="s">
        <v>2091</v>
      </c>
      <c r="D2084" s="1">
        <v>45178</v>
      </c>
      <c r="E2084" s="1">
        <v>45128</v>
      </c>
      <c r="F2084">
        <v>164</v>
      </c>
      <c r="G2084">
        <v>5</v>
      </c>
      <c r="H2084">
        <v>55.36</v>
      </c>
      <c r="I2084">
        <v>52.2</v>
      </c>
      <c r="J2084" t="s">
        <v>14</v>
      </c>
      <c r="K2084" t="s">
        <v>16</v>
      </c>
      <c r="L2084" t="s">
        <v>2087</v>
      </c>
      <c r="M2084">
        <v>3</v>
      </c>
      <c r="N2084" t="s">
        <v>204</v>
      </c>
      <c r="O2084" t="s">
        <v>2096</v>
      </c>
    </row>
    <row r="2085" spans="1:15">
      <c r="A2085" t="s">
        <v>3711</v>
      </c>
      <c r="B2085" t="s">
        <v>2113</v>
      </c>
      <c r="C2085" t="s">
        <v>2086</v>
      </c>
      <c r="D2085" s="1">
        <v>45181</v>
      </c>
      <c r="E2085" s="1">
        <v>44983</v>
      </c>
      <c r="F2085">
        <v>309</v>
      </c>
      <c r="G2085">
        <v>16</v>
      </c>
      <c r="H2085">
        <v>120.78</v>
      </c>
      <c r="I2085">
        <v>77.150000000000006</v>
      </c>
      <c r="J2085" t="s">
        <v>14</v>
      </c>
      <c r="K2085" t="s">
        <v>20</v>
      </c>
      <c r="L2085" t="s">
        <v>2095</v>
      </c>
      <c r="M2085">
        <v>6</v>
      </c>
      <c r="N2085" t="s">
        <v>165</v>
      </c>
      <c r="O2085" t="s">
        <v>2109</v>
      </c>
    </row>
    <row r="2086" spans="1:15">
      <c r="A2086" t="s">
        <v>299</v>
      </c>
      <c r="B2086" t="s">
        <v>2093</v>
      </c>
      <c r="C2086" t="s">
        <v>2086</v>
      </c>
      <c r="D2086" s="1">
        <v>45079</v>
      </c>
      <c r="E2086" s="1">
        <v>44989</v>
      </c>
      <c r="F2086">
        <v>303</v>
      </c>
      <c r="G2086">
        <v>5</v>
      </c>
      <c r="H2086">
        <v>168.07</v>
      </c>
      <c r="I2086">
        <v>75.209999999999994</v>
      </c>
      <c r="J2086" t="s">
        <v>41</v>
      </c>
      <c r="K2086" t="s">
        <v>20</v>
      </c>
      <c r="L2086" t="s">
        <v>2106</v>
      </c>
      <c r="M2086">
        <v>6</v>
      </c>
      <c r="N2086" t="s">
        <v>174</v>
      </c>
      <c r="O2086" t="s">
        <v>2109</v>
      </c>
    </row>
    <row r="2087" spans="1:15">
      <c r="A2087" t="s">
        <v>3712</v>
      </c>
      <c r="B2087" t="s">
        <v>2085</v>
      </c>
      <c r="C2087" t="s">
        <v>2086</v>
      </c>
      <c r="D2087" s="1">
        <v>45079</v>
      </c>
      <c r="E2087" s="1">
        <v>44974</v>
      </c>
      <c r="F2087">
        <v>318</v>
      </c>
      <c r="G2087">
        <v>12</v>
      </c>
      <c r="H2087">
        <v>1380.13</v>
      </c>
      <c r="I2087">
        <v>286.14</v>
      </c>
      <c r="J2087" t="s">
        <v>115</v>
      </c>
      <c r="K2087" t="s">
        <v>20</v>
      </c>
      <c r="L2087" t="s">
        <v>2095</v>
      </c>
      <c r="M2087">
        <v>1</v>
      </c>
      <c r="N2087" t="s">
        <v>179</v>
      </c>
      <c r="O2087" t="s">
        <v>2088</v>
      </c>
    </row>
    <row r="2088" spans="1:15">
      <c r="A2088" t="s">
        <v>3713</v>
      </c>
      <c r="B2088" t="s">
        <v>2090</v>
      </c>
      <c r="C2088" t="s">
        <v>2108</v>
      </c>
      <c r="D2088" s="1">
        <v>44240</v>
      </c>
      <c r="E2088" s="1">
        <v>45263</v>
      </c>
      <c r="F2088">
        <v>29</v>
      </c>
      <c r="G2088">
        <v>3</v>
      </c>
      <c r="H2088">
        <v>314.76</v>
      </c>
      <c r="I2088">
        <v>107.76</v>
      </c>
      <c r="J2088" t="s">
        <v>115</v>
      </c>
      <c r="K2088" t="s">
        <v>16</v>
      </c>
      <c r="L2088" t="s">
        <v>2087</v>
      </c>
      <c r="M2088">
        <v>7</v>
      </c>
      <c r="N2088" t="s">
        <v>204</v>
      </c>
      <c r="O2088" t="s">
        <v>2088</v>
      </c>
    </row>
    <row r="2089" spans="1:15">
      <c r="A2089" t="s">
        <v>3714</v>
      </c>
      <c r="B2089" t="s">
        <v>2090</v>
      </c>
      <c r="C2089" t="s">
        <v>2094</v>
      </c>
      <c r="D2089" s="1">
        <v>43558</v>
      </c>
      <c r="E2089" s="1">
        <v>45039</v>
      </c>
      <c r="F2089">
        <v>253</v>
      </c>
      <c r="G2089">
        <v>7</v>
      </c>
      <c r="H2089">
        <v>328.66</v>
      </c>
      <c r="I2089">
        <v>63.16</v>
      </c>
      <c r="J2089" t="s">
        <v>14</v>
      </c>
      <c r="K2089" t="s">
        <v>16</v>
      </c>
      <c r="L2089" t="s">
        <v>2095</v>
      </c>
      <c r="M2089">
        <v>3</v>
      </c>
      <c r="N2089" t="s">
        <v>179</v>
      </c>
      <c r="O2089" t="s">
        <v>2096</v>
      </c>
    </row>
    <row r="2090" spans="1:15">
      <c r="A2090" t="s">
        <v>3715</v>
      </c>
      <c r="B2090" t="s">
        <v>2090</v>
      </c>
      <c r="C2090" t="s">
        <v>2108</v>
      </c>
      <c r="D2090" s="1">
        <v>45216</v>
      </c>
      <c r="E2090" s="1">
        <v>45214</v>
      </c>
      <c r="F2090">
        <v>78</v>
      </c>
      <c r="G2090">
        <v>2</v>
      </c>
      <c r="H2090">
        <v>115.48</v>
      </c>
      <c r="I2090">
        <v>108.63</v>
      </c>
      <c r="J2090" t="s">
        <v>14</v>
      </c>
      <c r="K2090" t="s">
        <v>16</v>
      </c>
      <c r="L2090" t="s">
        <v>2095</v>
      </c>
      <c r="M2090">
        <v>5</v>
      </c>
      <c r="N2090" t="s">
        <v>174</v>
      </c>
      <c r="O2090" t="s">
        <v>2107</v>
      </c>
    </row>
    <row r="2091" spans="1:15">
      <c r="A2091" t="s">
        <v>3716</v>
      </c>
      <c r="B2091" t="s">
        <v>2097</v>
      </c>
      <c r="C2091" t="s">
        <v>2111</v>
      </c>
      <c r="D2091" s="1">
        <v>44668</v>
      </c>
      <c r="E2091" s="1">
        <v>45269</v>
      </c>
      <c r="F2091">
        <v>23</v>
      </c>
      <c r="G2091">
        <v>8</v>
      </c>
      <c r="H2091">
        <v>563.52</v>
      </c>
      <c r="I2091">
        <v>94.49</v>
      </c>
      <c r="J2091" t="s">
        <v>66</v>
      </c>
      <c r="K2091" t="s">
        <v>16</v>
      </c>
      <c r="L2091" t="s">
        <v>2087</v>
      </c>
      <c r="M2091">
        <v>0</v>
      </c>
      <c r="N2091" t="s">
        <v>232</v>
      </c>
      <c r="O2091" t="s">
        <v>2121</v>
      </c>
    </row>
    <row r="2092" spans="1:15">
      <c r="A2092" t="s">
        <v>3717</v>
      </c>
      <c r="B2092" t="s">
        <v>2099</v>
      </c>
      <c r="C2092" t="s">
        <v>2100</v>
      </c>
      <c r="D2092" s="1">
        <v>43563</v>
      </c>
      <c r="E2092" s="1">
        <v>45124</v>
      </c>
      <c r="F2092">
        <v>168</v>
      </c>
      <c r="G2092">
        <v>1</v>
      </c>
      <c r="H2092">
        <v>94.43</v>
      </c>
      <c r="I2092">
        <v>41.99</v>
      </c>
      <c r="J2092" t="s">
        <v>14</v>
      </c>
      <c r="K2092" t="s">
        <v>16</v>
      </c>
      <c r="L2092" t="s">
        <v>2106</v>
      </c>
      <c r="M2092">
        <v>8</v>
      </c>
      <c r="N2092" t="s">
        <v>204</v>
      </c>
      <c r="O2092" t="s">
        <v>2088</v>
      </c>
    </row>
    <row r="2093" spans="1:15">
      <c r="A2093" t="s">
        <v>1271</v>
      </c>
      <c r="B2093" t="s">
        <v>2097</v>
      </c>
      <c r="C2093" t="s">
        <v>2100</v>
      </c>
      <c r="D2093" s="1">
        <v>45123</v>
      </c>
      <c r="E2093" s="1">
        <v>45108</v>
      </c>
      <c r="F2093">
        <v>184</v>
      </c>
      <c r="G2093">
        <v>4</v>
      </c>
      <c r="H2093">
        <v>164.16</v>
      </c>
      <c r="I2093">
        <v>60.46</v>
      </c>
      <c r="J2093" t="s">
        <v>66</v>
      </c>
      <c r="K2093" t="s">
        <v>16</v>
      </c>
      <c r="L2093" t="s">
        <v>2087</v>
      </c>
      <c r="M2093">
        <v>2</v>
      </c>
      <c r="N2093" t="s">
        <v>179</v>
      </c>
      <c r="O2093" t="s">
        <v>2107</v>
      </c>
    </row>
    <row r="2094" spans="1:15">
      <c r="A2094" t="s">
        <v>3718</v>
      </c>
      <c r="B2094" t="s">
        <v>2099</v>
      </c>
      <c r="C2094" t="s">
        <v>2100</v>
      </c>
      <c r="D2094" s="1">
        <v>44016</v>
      </c>
      <c r="E2094" s="1">
        <v>44954</v>
      </c>
      <c r="F2094">
        <v>338</v>
      </c>
      <c r="G2094">
        <v>2</v>
      </c>
      <c r="H2094">
        <v>105.98</v>
      </c>
      <c r="I2094">
        <v>57.79</v>
      </c>
      <c r="J2094" t="s">
        <v>66</v>
      </c>
      <c r="K2094" t="s">
        <v>16</v>
      </c>
      <c r="L2094" t="s">
        <v>2095</v>
      </c>
      <c r="M2094">
        <v>3</v>
      </c>
      <c r="N2094" t="s">
        <v>179</v>
      </c>
      <c r="O2094" t="s">
        <v>2109</v>
      </c>
    </row>
    <row r="2095" spans="1:15">
      <c r="A2095" t="s">
        <v>3719</v>
      </c>
      <c r="B2095" t="s">
        <v>2113</v>
      </c>
      <c r="C2095" t="s">
        <v>2111</v>
      </c>
      <c r="D2095" s="1">
        <v>44541</v>
      </c>
      <c r="E2095" s="1">
        <v>45157</v>
      </c>
      <c r="F2095">
        <v>135</v>
      </c>
      <c r="G2095">
        <v>13</v>
      </c>
      <c r="H2095">
        <v>409.12</v>
      </c>
      <c r="I2095">
        <v>59.03</v>
      </c>
      <c r="J2095" t="s">
        <v>115</v>
      </c>
      <c r="K2095" t="s">
        <v>16</v>
      </c>
      <c r="L2095" t="s">
        <v>2095</v>
      </c>
      <c r="M2095">
        <v>9</v>
      </c>
      <c r="N2095" t="s">
        <v>174</v>
      </c>
      <c r="O2095" t="s">
        <v>2107</v>
      </c>
    </row>
    <row r="2096" spans="1:15">
      <c r="A2096" t="s">
        <v>3720</v>
      </c>
      <c r="B2096" t="s">
        <v>2099</v>
      </c>
      <c r="C2096" t="s">
        <v>2111</v>
      </c>
      <c r="D2096" s="1">
        <v>44294</v>
      </c>
      <c r="E2096" s="1">
        <v>45080</v>
      </c>
      <c r="F2096">
        <v>212</v>
      </c>
      <c r="G2096">
        <v>2</v>
      </c>
      <c r="H2096">
        <v>31.57</v>
      </c>
      <c r="I2096">
        <v>85.27</v>
      </c>
      <c r="J2096" t="s">
        <v>14</v>
      </c>
      <c r="K2096" t="s">
        <v>16</v>
      </c>
      <c r="L2096" t="s">
        <v>2095</v>
      </c>
      <c r="M2096">
        <v>3</v>
      </c>
      <c r="N2096" t="s">
        <v>157</v>
      </c>
      <c r="O2096" t="s">
        <v>2109</v>
      </c>
    </row>
    <row r="2097" spans="1:15">
      <c r="A2097" t="s">
        <v>2066</v>
      </c>
      <c r="B2097" t="s">
        <v>2099</v>
      </c>
      <c r="C2097" t="s">
        <v>2111</v>
      </c>
      <c r="D2097" s="1">
        <v>44788</v>
      </c>
      <c r="E2097" s="1">
        <v>45211</v>
      </c>
      <c r="F2097">
        <v>81</v>
      </c>
      <c r="G2097">
        <v>2</v>
      </c>
      <c r="H2097">
        <v>50.39</v>
      </c>
      <c r="I2097">
        <v>25.23</v>
      </c>
      <c r="J2097" t="s">
        <v>66</v>
      </c>
      <c r="K2097" t="s">
        <v>16</v>
      </c>
      <c r="L2097" t="s">
        <v>2087</v>
      </c>
      <c r="M2097">
        <v>3</v>
      </c>
      <c r="N2097" t="s">
        <v>174</v>
      </c>
      <c r="O2097" t="s">
        <v>2096</v>
      </c>
    </row>
    <row r="2098" spans="1:15">
      <c r="A2098" t="s">
        <v>3721</v>
      </c>
      <c r="B2098" t="s">
        <v>2085</v>
      </c>
      <c r="C2098" t="s">
        <v>2094</v>
      </c>
      <c r="D2098" s="1">
        <v>44784</v>
      </c>
      <c r="E2098" s="1">
        <v>45097</v>
      </c>
      <c r="F2098">
        <v>195</v>
      </c>
      <c r="G2098">
        <v>12</v>
      </c>
      <c r="H2098">
        <v>2992.19</v>
      </c>
      <c r="I2098">
        <v>220.51</v>
      </c>
      <c r="J2098" t="s">
        <v>90</v>
      </c>
      <c r="K2098" t="s">
        <v>16</v>
      </c>
      <c r="L2098" t="s">
        <v>2095</v>
      </c>
      <c r="M2098">
        <v>5</v>
      </c>
      <c r="N2098" t="s">
        <v>157</v>
      </c>
      <c r="O2098" t="s">
        <v>2109</v>
      </c>
    </row>
    <row r="2099" spans="1:15">
      <c r="A2099" t="s">
        <v>3722</v>
      </c>
      <c r="B2099" t="s">
        <v>2085</v>
      </c>
      <c r="C2099" t="s">
        <v>2094</v>
      </c>
      <c r="D2099" s="1">
        <v>44041</v>
      </c>
      <c r="E2099" s="1">
        <v>45152</v>
      </c>
      <c r="F2099">
        <v>140</v>
      </c>
      <c r="G2099">
        <v>24</v>
      </c>
      <c r="H2099">
        <v>2848.25</v>
      </c>
      <c r="I2099">
        <v>104.26</v>
      </c>
      <c r="J2099" t="s">
        <v>115</v>
      </c>
      <c r="K2099" t="s">
        <v>16</v>
      </c>
      <c r="L2099" t="s">
        <v>2087</v>
      </c>
      <c r="M2099">
        <v>9</v>
      </c>
      <c r="N2099" t="s">
        <v>194</v>
      </c>
      <c r="O2099" t="s">
        <v>2088</v>
      </c>
    </row>
    <row r="2100" spans="1:15">
      <c r="A2100" t="s">
        <v>3723</v>
      </c>
      <c r="B2100" t="s">
        <v>2099</v>
      </c>
      <c r="C2100" t="s">
        <v>2108</v>
      </c>
      <c r="D2100" s="1">
        <v>44423</v>
      </c>
      <c r="E2100" s="1">
        <v>44933</v>
      </c>
      <c r="F2100">
        <v>359</v>
      </c>
      <c r="G2100">
        <v>2</v>
      </c>
      <c r="H2100">
        <v>86.14</v>
      </c>
      <c r="I2100">
        <v>61.34</v>
      </c>
      <c r="J2100" t="s">
        <v>41</v>
      </c>
      <c r="K2100" t="s">
        <v>16</v>
      </c>
      <c r="L2100" t="s">
        <v>2095</v>
      </c>
      <c r="M2100">
        <v>0</v>
      </c>
      <c r="N2100" t="s">
        <v>174</v>
      </c>
      <c r="O2100" t="s">
        <v>2109</v>
      </c>
    </row>
    <row r="2101" spans="1:15">
      <c r="A2101" t="s">
        <v>1232</v>
      </c>
      <c r="B2101" t="s">
        <v>2099</v>
      </c>
      <c r="C2101" t="s">
        <v>2108</v>
      </c>
      <c r="D2101" s="1">
        <v>45033</v>
      </c>
      <c r="E2101" s="1">
        <v>45040</v>
      </c>
      <c r="F2101">
        <v>252</v>
      </c>
      <c r="G2101">
        <v>1</v>
      </c>
      <c r="H2101">
        <v>117.95</v>
      </c>
      <c r="I2101">
        <v>55.56</v>
      </c>
      <c r="J2101" t="s">
        <v>90</v>
      </c>
      <c r="K2101" t="s">
        <v>16</v>
      </c>
      <c r="L2101" t="s">
        <v>2106</v>
      </c>
      <c r="M2101">
        <v>4</v>
      </c>
      <c r="N2101" t="s">
        <v>232</v>
      </c>
      <c r="O2101" t="s">
        <v>2107</v>
      </c>
    </row>
    <row r="2102" spans="1:15">
      <c r="A2102" t="s">
        <v>3724</v>
      </c>
      <c r="B2102" t="s">
        <v>2097</v>
      </c>
      <c r="C2102" t="s">
        <v>2111</v>
      </c>
      <c r="D2102" s="1">
        <v>43617</v>
      </c>
      <c r="E2102" s="1">
        <v>45153</v>
      </c>
      <c r="F2102">
        <v>139</v>
      </c>
      <c r="G2102">
        <v>3</v>
      </c>
      <c r="H2102">
        <v>438.7</v>
      </c>
      <c r="I2102">
        <v>60.33</v>
      </c>
      <c r="J2102" t="s">
        <v>115</v>
      </c>
      <c r="K2102" t="s">
        <v>20</v>
      </c>
      <c r="L2102" t="s">
        <v>2087</v>
      </c>
      <c r="M2102">
        <v>0</v>
      </c>
      <c r="N2102" t="s">
        <v>174</v>
      </c>
      <c r="O2102" t="s">
        <v>2121</v>
      </c>
    </row>
    <row r="2103" spans="1:15">
      <c r="A2103" t="s">
        <v>3725</v>
      </c>
      <c r="B2103" t="s">
        <v>2090</v>
      </c>
      <c r="C2103" t="s">
        <v>2111</v>
      </c>
      <c r="D2103" s="1">
        <v>44052</v>
      </c>
      <c r="E2103" s="1">
        <v>45077</v>
      </c>
      <c r="F2103">
        <v>215</v>
      </c>
      <c r="G2103">
        <v>2</v>
      </c>
      <c r="H2103">
        <v>134.47</v>
      </c>
      <c r="I2103">
        <v>47.43</v>
      </c>
      <c r="J2103" t="s">
        <v>66</v>
      </c>
      <c r="K2103" t="s">
        <v>16</v>
      </c>
      <c r="L2103" t="s">
        <v>2106</v>
      </c>
      <c r="M2103">
        <v>6</v>
      </c>
      <c r="N2103" t="s">
        <v>204</v>
      </c>
      <c r="O2103" t="s">
        <v>2121</v>
      </c>
    </row>
    <row r="2104" spans="1:15">
      <c r="A2104" t="s">
        <v>3726</v>
      </c>
      <c r="B2104" t="s">
        <v>2097</v>
      </c>
      <c r="C2104" t="s">
        <v>2086</v>
      </c>
      <c r="D2104" s="1">
        <v>44086</v>
      </c>
      <c r="E2104" s="1">
        <v>45266</v>
      </c>
      <c r="F2104">
        <v>26</v>
      </c>
      <c r="G2104">
        <v>6</v>
      </c>
      <c r="H2104">
        <v>301.64</v>
      </c>
      <c r="I2104">
        <v>116.2</v>
      </c>
      <c r="J2104" t="s">
        <v>90</v>
      </c>
      <c r="K2104" t="s">
        <v>20</v>
      </c>
      <c r="L2104" t="s">
        <v>2087</v>
      </c>
      <c r="M2104">
        <v>5</v>
      </c>
      <c r="N2104" t="s">
        <v>157</v>
      </c>
      <c r="O2104" t="s">
        <v>2107</v>
      </c>
    </row>
    <row r="2105" spans="1:15">
      <c r="A2105" t="s">
        <v>903</v>
      </c>
      <c r="B2105" t="s">
        <v>2090</v>
      </c>
      <c r="C2105" t="s">
        <v>2108</v>
      </c>
      <c r="D2105" s="1">
        <v>45142</v>
      </c>
      <c r="E2105" s="1">
        <v>45035</v>
      </c>
      <c r="F2105">
        <v>257</v>
      </c>
      <c r="G2105">
        <v>2</v>
      </c>
      <c r="H2105">
        <v>233.61</v>
      </c>
      <c r="I2105">
        <v>94.38</v>
      </c>
      <c r="J2105" t="s">
        <v>41</v>
      </c>
      <c r="K2105" t="s">
        <v>16</v>
      </c>
      <c r="L2105" t="s">
        <v>2095</v>
      </c>
      <c r="M2105">
        <v>0</v>
      </c>
      <c r="N2105" t="s">
        <v>179</v>
      </c>
      <c r="O2105" t="s">
        <v>2096</v>
      </c>
    </row>
    <row r="2106" spans="1:15">
      <c r="A2106" t="s">
        <v>3727</v>
      </c>
      <c r="B2106" t="s">
        <v>2113</v>
      </c>
      <c r="C2106" t="s">
        <v>2108</v>
      </c>
      <c r="D2106" s="1">
        <v>44178</v>
      </c>
      <c r="E2106" s="1">
        <v>45036</v>
      </c>
      <c r="F2106">
        <v>256</v>
      </c>
      <c r="G2106">
        <v>10</v>
      </c>
      <c r="H2106">
        <v>292.36</v>
      </c>
      <c r="I2106">
        <v>50.21</v>
      </c>
      <c r="J2106" t="s">
        <v>90</v>
      </c>
      <c r="K2106" t="s">
        <v>20</v>
      </c>
      <c r="L2106" t="s">
        <v>2095</v>
      </c>
      <c r="M2106">
        <v>9</v>
      </c>
      <c r="N2106" t="s">
        <v>204</v>
      </c>
      <c r="O2106" t="s">
        <v>2109</v>
      </c>
    </row>
    <row r="2107" spans="1:15">
      <c r="A2107" t="s">
        <v>3728</v>
      </c>
      <c r="B2107" t="s">
        <v>2097</v>
      </c>
      <c r="C2107" t="s">
        <v>2100</v>
      </c>
      <c r="D2107" s="1">
        <v>44629</v>
      </c>
      <c r="E2107" s="1">
        <v>45082</v>
      </c>
      <c r="F2107">
        <v>210</v>
      </c>
      <c r="G2107">
        <v>4</v>
      </c>
      <c r="H2107">
        <v>796.39</v>
      </c>
      <c r="I2107">
        <v>71.650000000000006</v>
      </c>
      <c r="J2107" t="s">
        <v>41</v>
      </c>
      <c r="K2107" t="s">
        <v>16</v>
      </c>
      <c r="L2107" t="s">
        <v>2106</v>
      </c>
      <c r="M2107">
        <v>7</v>
      </c>
      <c r="N2107" t="s">
        <v>165</v>
      </c>
      <c r="O2107" t="s">
        <v>2107</v>
      </c>
    </row>
    <row r="2108" spans="1:15">
      <c r="A2108" t="s">
        <v>3729</v>
      </c>
      <c r="B2108" t="s">
        <v>2097</v>
      </c>
      <c r="C2108" t="s">
        <v>2108</v>
      </c>
      <c r="D2108" s="1">
        <v>44236</v>
      </c>
      <c r="E2108" s="1">
        <v>45095</v>
      </c>
      <c r="F2108">
        <v>197</v>
      </c>
      <c r="G2108">
        <v>11</v>
      </c>
      <c r="H2108">
        <v>684.74</v>
      </c>
      <c r="I2108">
        <v>134.58000000000001</v>
      </c>
      <c r="J2108" t="s">
        <v>41</v>
      </c>
      <c r="K2108" t="s">
        <v>20</v>
      </c>
      <c r="L2108" t="s">
        <v>2095</v>
      </c>
      <c r="M2108">
        <v>7</v>
      </c>
      <c r="N2108" t="s">
        <v>165</v>
      </c>
      <c r="O2108" t="s">
        <v>2109</v>
      </c>
    </row>
    <row r="2109" spans="1:15">
      <c r="A2109" t="s">
        <v>3730</v>
      </c>
      <c r="B2109" t="s">
        <v>2090</v>
      </c>
      <c r="C2109" t="s">
        <v>2094</v>
      </c>
      <c r="D2109" s="1">
        <v>43626</v>
      </c>
      <c r="E2109" s="1">
        <v>45050</v>
      </c>
      <c r="F2109">
        <v>242</v>
      </c>
      <c r="G2109">
        <v>5</v>
      </c>
      <c r="H2109">
        <v>292.41000000000003</v>
      </c>
      <c r="I2109">
        <v>60.86</v>
      </c>
      <c r="J2109" t="s">
        <v>115</v>
      </c>
      <c r="K2109" t="s">
        <v>16</v>
      </c>
      <c r="L2109" t="s">
        <v>2095</v>
      </c>
      <c r="M2109">
        <v>7</v>
      </c>
      <c r="N2109" t="s">
        <v>232</v>
      </c>
      <c r="O2109" t="s">
        <v>2109</v>
      </c>
    </row>
    <row r="2110" spans="1:15">
      <c r="A2110" t="s">
        <v>3731</v>
      </c>
      <c r="B2110" t="s">
        <v>2099</v>
      </c>
      <c r="C2110" t="s">
        <v>2111</v>
      </c>
      <c r="D2110" s="1">
        <v>44611</v>
      </c>
      <c r="E2110" s="1">
        <v>45255</v>
      </c>
      <c r="F2110">
        <v>37</v>
      </c>
      <c r="G2110">
        <v>1</v>
      </c>
      <c r="H2110">
        <v>75.95</v>
      </c>
      <c r="I2110">
        <v>49.22</v>
      </c>
      <c r="J2110" t="s">
        <v>90</v>
      </c>
      <c r="K2110" t="s">
        <v>16</v>
      </c>
      <c r="L2110" t="s">
        <v>2087</v>
      </c>
      <c r="M2110">
        <v>7</v>
      </c>
      <c r="N2110" t="s">
        <v>232</v>
      </c>
      <c r="O2110" t="s">
        <v>2107</v>
      </c>
    </row>
    <row r="2111" spans="1:15">
      <c r="A2111" t="s">
        <v>3732</v>
      </c>
      <c r="B2111" t="s">
        <v>2085</v>
      </c>
      <c r="C2111" t="s">
        <v>2100</v>
      </c>
      <c r="D2111" s="1">
        <v>44160</v>
      </c>
      <c r="E2111" s="1">
        <v>44939</v>
      </c>
      <c r="F2111">
        <v>353</v>
      </c>
      <c r="G2111">
        <v>40</v>
      </c>
      <c r="H2111">
        <v>2377.62</v>
      </c>
      <c r="I2111">
        <v>177.72</v>
      </c>
      <c r="J2111" t="s">
        <v>115</v>
      </c>
      <c r="K2111" t="s">
        <v>20</v>
      </c>
      <c r="L2111" t="s">
        <v>2106</v>
      </c>
      <c r="M2111">
        <v>3</v>
      </c>
      <c r="N2111" t="s">
        <v>194</v>
      </c>
      <c r="O2111" t="s">
        <v>2121</v>
      </c>
    </row>
    <row r="2112" spans="1:15">
      <c r="A2112" t="s">
        <v>617</v>
      </c>
      <c r="B2112" t="s">
        <v>2099</v>
      </c>
      <c r="C2112" t="s">
        <v>2086</v>
      </c>
      <c r="D2112" s="1">
        <v>44561</v>
      </c>
      <c r="E2112" s="1">
        <v>45282</v>
      </c>
      <c r="F2112">
        <v>10</v>
      </c>
      <c r="G2112">
        <v>2</v>
      </c>
      <c r="H2112">
        <v>72.08</v>
      </c>
      <c r="I2112">
        <v>85.57</v>
      </c>
      <c r="J2112" t="s">
        <v>90</v>
      </c>
      <c r="K2112" t="s">
        <v>16</v>
      </c>
      <c r="L2112" t="s">
        <v>2095</v>
      </c>
      <c r="M2112">
        <v>4</v>
      </c>
      <c r="N2112" t="s">
        <v>165</v>
      </c>
      <c r="O2112" t="s">
        <v>2121</v>
      </c>
    </row>
    <row r="2113" spans="1:15">
      <c r="A2113" t="s">
        <v>3733</v>
      </c>
      <c r="B2113" t="s">
        <v>2113</v>
      </c>
      <c r="C2113" t="s">
        <v>2094</v>
      </c>
      <c r="D2113" s="1">
        <v>44693</v>
      </c>
      <c r="E2113" s="1">
        <v>45048</v>
      </c>
      <c r="F2113">
        <v>244</v>
      </c>
      <c r="G2113">
        <v>20</v>
      </c>
      <c r="H2113">
        <v>102.45</v>
      </c>
      <c r="I2113">
        <v>73.7</v>
      </c>
      <c r="J2113" t="s">
        <v>41</v>
      </c>
      <c r="K2113" t="s">
        <v>16</v>
      </c>
      <c r="L2113" t="s">
        <v>2106</v>
      </c>
      <c r="M2113">
        <v>1</v>
      </c>
      <c r="N2113" t="s">
        <v>165</v>
      </c>
      <c r="O2113" t="s">
        <v>2088</v>
      </c>
    </row>
    <row r="2114" spans="1:15">
      <c r="A2114" t="s">
        <v>3734</v>
      </c>
      <c r="B2114" t="s">
        <v>2099</v>
      </c>
      <c r="C2114" t="s">
        <v>2094</v>
      </c>
      <c r="D2114" s="1">
        <v>43775</v>
      </c>
      <c r="E2114" s="1">
        <v>45112</v>
      </c>
      <c r="F2114">
        <v>180</v>
      </c>
      <c r="G2114">
        <v>2</v>
      </c>
      <c r="H2114">
        <v>143.99</v>
      </c>
      <c r="I2114">
        <v>66.66</v>
      </c>
      <c r="J2114" t="s">
        <v>41</v>
      </c>
      <c r="K2114" t="s">
        <v>20</v>
      </c>
      <c r="L2114" t="s">
        <v>2106</v>
      </c>
      <c r="M2114">
        <v>0</v>
      </c>
      <c r="N2114" t="s">
        <v>194</v>
      </c>
      <c r="O2114" t="s">
        <v>2096</v>
      </c>
    </row>
    <row r="2115" spans="1:15">
      <c r="A2115" t="s">
        <v>3735</v>
      </c>
      <c r="B2115" t="s">
        <v>2090</v>
      </c>
      <c r="C2115" t="s">
        <v>2111</v>
      </c>
      <c r="D2115" s="1">
        <v>43564</v>
      </c>
      <c r="E2115" s="1">
        <v>45268</v>
      </c>
      <c r="F2115">
        <v>24</v>
      </c>
      <c r="G2115">
        <v>3</v>
      </c>
      <c r="H2115">
        <v>204.62</v>
      </c>
      <c r="I2115">
        <v>44.29</v>
      </c>
      <c r="J2115" t="s">
        <v>14</v>
      </c>
      <c r="K2115" t="s">
        <v>20</v>
      </c>
      <c r="L2115" t="s">
        <v>2106</v>
      </c>
      <c r="M2115">
        <v>0</v>
      </c>
      <c r="N2115" t="s">
        <v>174</v>
      </c>
      <c r="O2115" t="s">
        <v>2121</v>
      </c>
    </row>
    <row r="2116" spans="1:15">
      <c r="A2116" t="s">
        <v>3736</v>
      </c>
      <c r="B2116" t="s">
        <v>2099</v>
      </c>
      <c r="C2116" t="s">
        <v>2086</v>
      </c>
      <c r="D2116" s="1">
        <v>44407</v>
      </c>
      <c r="E2116" s="1">
        <v>45025</v>
      </c>
      <c r="F2116">
        <v>267</v>
      </c>
      <c r="G2116">
        <v>1</v>
      </c>
      <c r="H2116">
        <v>73.989999999999995</v>
      </c>
      <c r="I2116">
        <v>87.69</v>
      </c>
      <c r="J2116" t="s">
        <v>66</v>
      </c>
      <c r="K2116" t="s">
        <v>16</v>
      </c>
      <c r="L2116" t="s">
        <v>2106</v>
      </c>
      <c r="M2116">
        <v>9</v>
      </c>
      <c r="N2116" t="s">
        <v>165</v>
      </c>
      <c r="O2116" t="s">
        <v>2088</v>
      </c>
    </row>
    <row r="2117" spans="1:15">
      <c r="A2117" t="s">
        <v>3737</v>
      </c>
      <c r="B2117" t="s">
        <v>2085</v>
      </c>
      <c r="C2117" t="s">
        <v>2108</v>
      </c>
      <c r="D2117" s="1">
        <v>43468</v>
      </c>
      <c r="E2117" s="1">
        <v>44951</v>
      </c>
      <c r="F2117">
        <v>341</v>
      </c>
      <c r="G2117">
        <v>16</v>
      </c>
      <c r="H2117">
        <v>2884.63</v>
      </c>
      <c r="I2117">
        <v>271.08</v>
      </c>
      <c r="J2117" t="s">
        <v>115</v>
      </c>
      <c r="K2117" t="s">
        <v>20</v>
      </c>
      <c r="L2117" t="s">
        <v>2095</v>
      </c>
      <c r="M2117">
        <v>10</v>
      </c>
      <c r="N2117" t="s">
        <v>179</v>
      </c>
      <c r="O2117" t="s">
        <v>2107</v>
      </c>
    </row>
    <row r="2118" spans="1:15">
      <c r="A2118" t="s">
        <v>241</v>
      </c>
      <c r="B2118" t="s">
        <v>2090</v>
      </c>
      <c r="C2118" t="s">
        <v>2086</v>
      </c>
      <c r="D2118" s="1">
        <v>45170</v>
      </c>
      <c r="E2118" s="1">
        <v>45220</v>
      </c>
      <c r="F2118">
        <v>72</v>
      </c>
      <c r="G2118">
        <v>8</v>
      </c>
      <c r="H2118">
        <v>176.95</v>
      </c>
      <c r="I2118">
        <v>117.72</v>
      </c>
      <c r="J2118" t="s">
        <v>14</v>
      </c>
      <c r="K2118" t="s">
        <v>20</v>
      </c>
      <c r="L2118" t="s">
        <v>2106</v>
      </c>
      <c r="M2118">
        <v>8</v>
      </c>
      <c r="N2118" t="s">
        <v>179</v>
      </c>
      <c r="O2118" t="s">
        <v>2109</v>
      </c>
    </row>
    <row r="2119" spans="1:15">
      <c r="A2119" t="s">
        <v>1963</v>
      </c>
      <c r="B2119" t="s">
        <v>2099</v>
      </c>
      <c r="C2119" t="s">
        <v>2094</v>
      </c>
      <c r="D2119" s="1">
        <v>43616</v>
      </c>
      <c r="E2119" s="1">
        <v>44958</v>
      </c>
      <c r="F2119">
        <v>334</v>
      </c>
      <c r="G2119">
        <v>1</v>
      </c>
      <c r="H2119">
        <v>45.56</v>
      </c>
      <c r="I2119">
        <v>94.57</v>
      </c>
      <c r="J2119" t="s">
        <v>66</v>
      </c>
      <c r="K2119" t="s">
        <v>20</v>
      </c>
      <c r="L2119" t="s">
        <v>2095</v>
      </c>
      <c r="M2119">
        <v>7</v>
      </c>
      <c r="N2119" t="s">
        <v>165</v>
      </c>
      <c r="O2119" t="s">
        <v>2109</v>
      </c>
    </row>
    <row r="2120" spans="1:15">
      <c r="A2120" t="s">
        <v>3738</v>
      </c>
      <c r="B2120" t="s">
        <v>2093</v>
      </c>
      <c r="C2120" t="s">
        <v>2108</v>
      </c>
      <c r="D2120" s="1">
        <v>44209</v>
      </c>
      <c r="E2120" s="1">
        <v>45089</v>
      </c>
      <c r="F2120">
        <v>203</v>
      </c>
      <c r="G2120">
        <v>2</v>
      </c>
      <c r="H2120">
        <v>136.78</v>
      </c>
      <c r="I2120">
        <v>44.76</v>
      </c>
      <c r="J2120" t="s">
        <v>90</v>
      </c>
      <c r="K2120" t="s">
        <v>16</v>
      </c>
      <c r="L2120" t="s">
        <v>2106</v>
      </c>
      <c r="M2120">
        <v>2</v>
      </c>
      <c r="N2120" t="s">
        <v>157</v>
      </c>
      <c r="O2120" t="s">
        <v>2096</v>
      </c>
    </row>
    <row r="2121" spans="1:15">
      <c r="A2121" t="s">
        <v>3739</v>
      </c>
      <c r="B2121" t="s">
        <v>2090</v>
      </c>
      <c r="C2121" t="s">
        <v>2111</v>
      </c>
      <c r="D2121" s="1">
        <v>44307</v>
      </c>
      <c r="E2121" s="1">
        <v>45036</v>
      </c>
      <c r="F2121">
        <v>256</v>
      </c>
      <c r="G2121">
        <v>6</v>
      </c>
      <c r="H2121">
        <v>123.59</v>
      </c>
      <c r="I2121">
        <v>51.18</v>
      </c>
      <c r="J2121" t="s">
        <v>115</v>
      </c>
      <c r="K2121" t="s">
        <v>20</v>
      </c>
      <c r="L2121" t="s">
        <v>2087</v>
      </c>
      <c r="M2121">
        <v>4</v>
      </c>
      <c r="N2121" t="s">
        <v>174</v>
      </c>
      <c r="O2121" t="s">
        <v>2109</v>
      </c>
    </row>
    <row r="2122" spans="1:15">
      <c r="A2122" t="s">
        <v>3740</v>
      </c>
      <c r="B2122" t="s">
        <v>2099</v>
      </c>
      <c r="C2122" t="s">
        <v>2111</v>
      </c>
      <c r="D2122" s="1">
        <v>44936</v>
      </c>
      <c r="E2122" s="1">
        <v>45041</v>
      </c>
      <c r="F2122">
        <v>251</v>
      </c>
      <c r="G2122">
        <v>1</v>
      </c>
      <c r="H2122">
        <v>102.95</v>
      </c>
      <c r="I2122">
        <v>70.19</v>
      </c>
      <c r="J2122" t="s">
        <v>41</v>
      </c>
      <c r="K2122" t="s">
        <v>16</v>
      </c>
      <c r="L2122" t="s">
        <v>2087</v>
      </c>
      <c r="M2122">
        <v>4</v>
      </c>
      <c r="N2122" t="s">
        <v>179</v>
      </c>
      <c r="O2122" t="s">
        <v>2096</v>
      </c>
    </row>
    <row r="2123" spans="1:15">
      <c r="A2123" t="s">
        <v>3741</v>
      </c>
      <c r="B2123" t="s">
        <v>2093</v>
      </c>
      <c r="C2123" t="s">
        <v>2108</v>
      </c>
      <c r="D2123" s="1">
        <v>43853</v>
      </c>
      <c r="E2123" s="1">
        <v>45089</v>
      </c>
      <c r="F2123">
        <v>203</v>
      </c>
      <c r="G2123">
        <v>4</v>
      </c>
      <c r="H2123">
        <v>133.28</v>
      </c>
      <c r="I2123">
        <v>45.41</v>
      </c>
      <c r="J2123" t="s">
        <v>115</v>
      </c>
      <c r="K2123" t="s">
        <v>20</v>
      </c>
      <c r="L2123" t="s">
        <v>2095</v>
      </c>
      <c r="M2123">
        <v>6</v>
      </c>
      <c r="N2123" t="s">
        <v>179</v>
      </c>
      <c r="O2123" t="s">
        <v>2109</v>
      </c>
    </row>
    <row r="2124" spans="1:15">
      <c r="A2124" t="s">
        <v>3742</v>
      </c>
      <c r="B2124" t="s">
        <v>2099</v>
      </c>
      <c r="C2124" t="s">
        <v>2108</v>
      </c>
      <c r="D2124" s="1">
        <v>43927</v>
      </c>
      <c r="E2124" s="1">
        <v>45222</v>
      </c>
      <c r="F2124">
        <v>70</v>
      </c>
      <c r="G2124">
        <v>2</v>
      </c>
      <c r="H2124">
        <v>21.94</v>
      </c>
      <c r="I2124">
        <v>39.51</v>
      </c>
      <c r="J2124" t="s">
        <v>14</v>
      </c>
      <c r="K2124" t="s">
        <v>20</v>
      </c>
      <c r="L2124" t="s">
        <v>2106</v>
      </c>
      <c r="M2124">
        <v>3</v>
      </c>
      <c r="N2124" t="s">
        <v>165</v>
      </c>
      <c r="O2124" t="s">
        <v>2107</v>
      </c>
    </row>
    <row r="2125" spans="1:15">
      <c r="A2125" t="s">
        <v>3743</v>
      </c>
      <c r="B2125" t="s">
        <v>2113</v>
      </c>
      <c r="C2125" t="s">
        <v>2100</v>
      </c>
      <c r="D2125" s="1">
        <v>44766</v>
      </c>
      <c r="E2125" s="1">
        <v>45132</v>
      </c>
      <c r="F2125">
        <v>160</v>
      </c>
      <c r="G2125">
        <v>9</v>
      </c>
      <c r="H2125">
        <v>494.2</v>
      </c>
      <c r="I2125">
        <v>56.68</v>
      </c>
      <c r="J2125" t="s">
        <v>14</v>
      </c>
      <c r="K2125" t="s">
        <v>16</v>
      </c>
      <c r="L2125" t="s">
        <v>2087</v>
      </c>
      <c r="M2125">
        <v>9</v>
      </c>
      <c r="N2125" t="s">
        <v>157</v>
      </c>
      <c r="O2125" t="s">
        <v>2109</v>
      </c>
    </row>
    <row r="2126" spans="1:15">
      <c r="A2126" t="s">
        <v>3744</v>
      </c>
      <c r="B2126" t="s">
        <v>2090</v>
      </c>
      <c r="C2126" t="s">
        <v>2091</v>
      </c>
      <c r="D2126" s="1">
        <v>44123</v>
      </c>
      <c r="E2126" s="1">
        <v>45011</v>
      </c>
      <c r="F2126">
        <v>281</v>
      </c>
      <c r="G2126">
        <v>4</v>
      </c>
      <c r="H2126">
        <v>273.60000000000002</v>
      </c>
      <c r="I2126">
        <v>89.97</v>
      </c>
      <c r="J2126" t="s">
        <v>66</v>
      </c>
      <c r="K2126" t="s">
        <v>16</v>
      </c>
      <c r="L2126" t="s">
        <v>2106</v>
      </c>
      <c r="M2126">
        <v>6</v>
      </c>
      <c r="N2126" t="s">
        <v>179</v>
      </c>
      <c r="O2126" t="s">
        <v>2121</v>
      </c>
    </row>
    <row r="2127" spans="1:15">
      <c r="A2127" t="s">
        <v>3745</v>
      </c>
      <c r="B2127" t="s">
        <v>2113</v>
      </c>
      <c r="C2127" t="s">
        <v>2100</v>
      </c>
      <c r="D2127" s="1">
        <v>43974</v>
      </c>
      <c r="E2127" s="1">
        <v>45249</v>
      </c>
      <c r="F2127">
        <v>43</v>
      </c>
      <c r="G2127">
        <v>14</v>
      </c>
      <c r="H2127">
        <v>441.9</v>
      </c>
      <c r="I2127">
        <v>43.92</v>
      </c>
      <c r="J2127" t="s">
        <v>115</v>
      </c>
      <c r="K2127" t="s">
        <v>16</v>
      </c>
      <c r="L2127" t="s">
        <v>2106</v>
      </c>
      <c r="M2127">
        <v>1</v>
      </c>
      <c r="N2127" t="s">
        <v>179</v>
      </c>
      <c r="O2127" t="s">
        <v>2096</v>
      </c>
    </row>
    <row r="2128" spans="1:15">
      <c r="A2128" t="s">
        <v>1095</v>
      </c>
      <c r="B2128" t="s">
        <v>2085</v>
      </c>
      <c r="C2128" t="s">
        <v>2094</v>
      </c>
      <c r="D2128" s="1">
        <v>43560</v>
      </c>
      <c r="E2128" s="1">
        <v>45145</v>
      </c>
      <c r="F2128">
        <v>147</v>
      </c>
      <c r="G2128">
        <v>21</v>
      </c>
      <c r="H2128">
        <v>2522.94</v>
      </c>
      <c r="I2128">
        <v>144.51</v>
      </c>
      <c r="J2128" t="s">
        <v>14</v>
      </c>
      <c r="K2128" t="s">
        <v>20</v>
      </c>
      <c r="L2128" t="s">
        <v>2106</v>
      </c>
      <c r="M2128">
        <v>8</v>
      </c>
      <c r="N2128" t="s">
        <v>174</v>
      </c>
      <c r="O2128" t="s">
        <v>2121</v>
      </c>
    </row>
    <row r="2129" spans="1:15">
      <c r="A2129" t="s">
        <v>830</v>
      </c>
      <c r="B2129" t="s">
        <v>2090</v>
      </c>
      <c r="C2129" t="s">
        <v>2094</v>
      </c>
      <c r="D2129" s="1">
        <v>44115</v>
      </c>
      <c r="E2129" s="1">
        <v>45286</v>
      </c>
      <c r="F2129">
        <v>6</v>
      </c>
      <c r="G2129">
        <v>5</v>
      </c>
      <c r="H2129">
        <v>233.25</v>
      </c>
      <c r="I2129">
        <v>107.27</v>
      </c>
      <c r="J2129" t="s">
        <v>115</v>
      </c>
      <c r="K2129" t="s">
        <v>20</v>
      </c>
      <c r="L2129" t="s">
        <v>2106</v>
      </c>
      <c r="M2129">
        <v>0</v>
      </c>
      <c r="N2129" t="s">
        <v>179</v>
      </c>
      <c r="O2129" t="s">
        <v>2109</v>
      </c>
    </row>
    <row r="2130" spans="1:15">
      <c r="A2130" t="s">
        <v>3746</v>
      </c>
      <c r="B2130" t="s">
        <v>2093</v>
      </c>
      <c r="C2130" t="s">
        <v>2091</v>
      </c>
      <c r="D2130" s="1">
        <v>44714</v>
      </c>
      <c r="E2130" s="1">
        <v>44953</v>
      </c>
      <c r="F2130">
        <v>339</v>
      </c>
      <c r="G2130">
        <v>2</v>
      </c>
      <c r="H2130">
        <v>162.6</v>
      </c>
      <c r="I2130">
        <v>51.84</v>
      </c>
      <c r="J2130" t="s">
        <v>66</v>
      </c>
      <c r="K2130" t="s">
        <v>20</v>
      </c>
      <c r="L2130" t="s">
        <v>2095</v>
      </c>
      <c r="M2130">
        <v>2</v>
      </c>
      <c r="N2130" t="s">
        <v>174</v>
      </c>
      <c r="O2130" t="s">
        <v>2121</v>
      </c>
    </row>
    <row r="2131" spans="1:15">
      <c r="A2131" t="s">
        <v>3747</v>
      </c>
      <c r="B2131" t="s">
        <v>2099</v>
      </c>
      <c r="C2131" t="s">
        <v>2100</v>
      </c>
      <c r="D2131" s="1">
        <v>43831</v>
      </c>
      <c r="E2131" s="1">
        <v>45130</v>
      </c>
      <c r="F2131">
        <v>162</v>
      </c>
      <c r="G2131">
        <v>1</v>
      </c>
      <c r="H2131">
        <v>80.84</v>
      </c>
      <c r="I2131">
        <v>29.3</v>
      </c>
      <c r="J2131" t="s">
        <v>14</v>
      </c>
      <c r="K2131" t="s">
        <v>16</v>
      </c>
      <c r="L2131" t="s">
        <v>2095</v>
      </c>
      <c r="M2131">
        <v>3</v>
      </c>
      <c r="N2131" t="s">
        <v>194</v>
      </c>
      <c r="O2131" t="s">
        <v>2088</v>
      </c>
    </row>
    <row r="2132" spans="1:15">
      <c r="A2132" t="s">
        <v>3748</v>
      </c>
      <c r="B2132" t="s">
        <v>2113</v>
      </c>
      <c r="C2132" t="s">
        <v>2094</v>
      </c>
      <c r="D2132" s="1">
        <v>44740</v>
      </c>
      <c r="E2132" s="1">
        <v>45090</v>
      </c>
      <c r="F2132">
        <v>202</v>
      </c>
      <c r="G2132">
        <v>7</v>
      </c>
      <c r="H2132">
        <v>367.59</v>
      </c>
      <c r="I2132">
        <v>30.34</v>
      </c>
      <c r="J2132" t="s">
        <v>115</v>
      </c>
      <c r="K2132" t="s">
        <v>20</v>
      </c>
      <c r="L2132" t="s">
        <v>2106</v>
      </c>
      <c r="M2132">
        <v>7</v>
      </c>
      <c r="N2132" t="s">
        <v>204</v>
      </c>
      <c r="O2132" t="s">
        <v>2107</v>
      </c>
    </row>
    <row r="2133" spans="1:15">
      <c r="A2133" t="s">
        <v>3749</v>
      </c>
      <c r="B2133" t="s">
        <v>2093</v>
      </c>
      <c r="C2133" t="s">
        <v>2094</v>
      </c>
      <c r="D2133" s="1">
        <v>43866</v>
      </c>
      <c r="E2133" s="1">
        <v>45235</v>
      </c>
      <c r="F2133">
        <v>57</v>
      </c>
      <c r="G2133">
        <v>4</v>
      </c>
      <c r="H2133">
        <v>194.93</v>
      </c>
      <c r="I2133">
        <v>67.8</v>
      </c>
      <c r="J2133" t="s">
        <v>90</v>
      </c>
      <c r="K2133" t="s">
        <v>20</v>
      </c>
      <c r="L2133" t="s">
        <v>2087</v>
      </c>
      <c r="M2133">
        <v>5</v>
      </c>
      <c r="N2133" t="s">
        <v>174</v>
      </c>
      <c r="O2133" t="s">
        <v>2088</v>
      </c>
    </row>
    <row r="2134" spans="1:15">
      <c r="A2134" t="s">
        <v>3750</v>
      </c>
      <c r="B2134" t="s">
        <v>2093</v>
      </c>
      <c r="C2134" t="s">
        <v>2111</v>
      </c>
      <c r="D2134" s="1">
        <v>44863</v>
      </c>
      <c r="E2134" s="1">
        <v>44970</v>
      </c>
      <c r="F2134">
        <v>322</v>
      </c>
      <c r="G2134">
        <v>2</v>
      </c>
      <c r="H2134">
        <v>73.33</v>
      </c>
      <c r="I2134">
        <v>47.09</v>
      </c>
      <c r="J2134" t="s">
        <v>14</v>
      </c>
      <c r="K2134" t="s">
        <v>16</v>
      </c>
      <c r="L2134" t="s">
        <v>2106</v>
      </c>
      <c r="M2134">
        <v>3</v>
      </c>
      <c r="N2134" t="s">
        <v>204</v>
      </c>
      <c r="O2134" t="s">
        <v>2109</v>
      </c>
    </row>
    <row r="2135" spans="1:15">
      <c r="A2135" t="s">
        <v>3751</v>
      </c>
      <c r="B2135" t="s">
        <v>2085</v>
      </c>
      <c r="C2135" t="s">
        <v>2108</v>
      </c>
      <c r="D2135" s="1">
        <v>44193</v>
      </c>
      <c r="E2135" s="1">
        <v>45128</v>
      </c>
      <c r="F2135">
        <v>164</v>
      </c>
      <c r="G2135">
        <v>18</v>
      </c>
      <c r="H2135">
        <v>2363.06</v>
      </c>
      <c r="I2135">
        <v>185.14</v>
      </c>
      <c r="J2135" t="s">
        <v>90</v>
      </c>
      <c r="K2135" t="s">
        <v>16</v>
      </c>
      <c r="L2135" t="s">
        <v>2095</v>
      </c>
      <c r="M2135">
        <v>1</v>
      </c>
      <c r="N2135" t="s">
        <v>157</v>
      </c>
      <c r="O2135" t="s">
        <v>2121</v>
      </c>
    </row>
    <row r="2136" spans="1:15">
      <c r="A2136" t="s">
        <v>3752</v>
      </c>
      <c r="B2136" t="s">
        <v>2090</v>
      </c>
      <c r="C2136" t="s">
        <v>2111</v>
      </c>
      <c r="D2136" s="1">
        <v>43891</v>
      </c>
      <c r="E2136" s="1">
        <v>44942</v>
      </c>
      <c r="F2136">
        <v>350</v>
      </c>
      <c r="G2136">
        <v>4</v>
      </c>
      <c r="H2136">
        <v>313.69</v>
      </c>
      <c r="I2136">
        <v>52.83</v>
      </c>
      <c r="J2136" t="s">
        <v>115</v>
      </c>
      <c r="K2136" t="s">
        <v>16</v>
      </c>
      <c r="L2136" t="s">
        <v>2087</v>
      </c>
      <c r="M2136">
        <v>6</v>
      </c>
      <c r="N2136" t="s">
        <v>157</v>
      </c>
      <c r="O2136" t="s">
        <v>2096</v>
      </c>
    </row>
    <row r="2137" spans="1:15">
      <c r="A2137" t="s">
        <v>3753</v>
      </c>
      <c r="B2137" t="s">
        <v>2093</v>
      </c>
      <c r="C2137" t="s">
        <v>2094</v>
      </c>
      <c r="D2137" s="1">
        <v>43806</v>
      </c>
      <c r="E2137" s="1">
        <v>45248</v>
      </c>
      <c r="F2137">
        <v>44</v>
      </c>
      <c r="G2137">
        <v>5</v>
      </c>
      <c r="H2137">
        <v>148.9</v>
      </c>
      <c r="I2137">
        <v>54.68</v>
      </c>
      <c r="J2137" t="s">
        <v>115</v>
      </c>
      <c r="K2137" t="s">
        <v>16</v>
      </c>
      <c r="L2137" t="s">
        <v>2106</v>
      </c>
      <c r="M2137">
        <v>7</v>
      </c>
      <c r="N2137" t="s">
        <v>157</v>
      </c>
      <c r="O2137" t="s">
        <v>2107</v>
      </c>
    </row>
    <row r="2138" spans="1:15">
      <c r="A2138" t="s">
        <v>3754</v>
      </c>
      <c r="B2138" t="s">
        <v>2085</v>
      </c>
      <c r="C2138" t="s">
        <v>2091</v>
      </c>
      <c r="D2138" s="1">
        <v>44534</v>
      </c>
      <c r="E2138" s="1">
        <v>45195</v>
      </c>
      <c r="F2138">
        <v>97</v>
      </c>
      <c r="G2138">
        <v>13</v>
      </c>
      <c r="H2138">
        <v>2753.55</v>
      </c>
      <c r="I2138">
        <v>236.59</v>
      </c>
      <c r="J2138" t="s">
        <v>14</v>
      </c>
      <c r="K2138" t="s">
        <v>16</v>
      </c>
      <c r="L2138" t="s">
        <v>2106</v>
      </c>
      <c r="M2138">
        <v>7</v>
      </c>
      <c r="N2138" t="s">
        <v>157</v>
      </c>
      <c r="O2138" t="s">
        <v>2109</v>
      </c>
    </row>
    <row r="2139" spans="1:15">
      <c r="A2139" t="s">
        <v>3755</v>
      </c>
      <c r="B2139" t="s">
        <v>2113</v>
      </c>
      <c r="C2139" t="s">
        <v>2091</v>
      </c>
      <c r="D2139" s="1">
        <v>43471</v>
      </c>
      <c r="E2139" s="1">
        <v>45168</v>
      </c>
      <c r="F2139">
        <v>124</v>
      </c>
      <c r="G2139">
        <v>14</v>
      </c>
      <c r="H2139">
        <v>372.38</v>
      </c>
      <c r="I2139">
        <v>37.47</v>
      </c>
      <c r="J2139" t="s">
        <v>14</v>
      </c>
      <c r="K2139" t="s">
        <v>16</v>
      </c>
      <c r="L2139" t="s">
        <v>2106</v>
      </c>
      <c r="M2139">
        <v>7</v>
      </c>
      <c r="N2139" t="s">
        <v>179</v>
      </c>
      <c r="O2139" t="s">
        <v>2096</v>
      </c>
    </row>
    <row r="2140" spans="1:15">
      <c r="A2140" t="s">
        <v>3756</v>
      </c>
      <c r="B2140" t="s">
        <v>2090</v>
      </c>
      <c r="C2140" t="s">
        <v>2111</v>
      </c>
      <c r="D2140" s="1">
        <v>45165</v>
      </c>
      <c r="E2140" s="1">
        <v>45271</v>
      </c>
      <c r="F2140">
        <v>21</v>
      </c>
      <c r="G2140">
        <v>4</v>
      </c>
      <c r="H2140">
        <v>124.07</v>
      </c>
      <c r="I2140">
        <v>77.599999999999994</v>
      </c>
      <c r="J2140" t="s">
        <v>90</v>
      </c>
      <c r="K2140" t="s">
        <v>20</v>
      </c>
      <c r="L2140" t="s">
        <v>2106</v>
      </c>
      <c r="M2140">
        <v>2</v>
      </c>
      <c r="N2140" t="s">
        <v>204</v>
      </c>
      <c r="O2140" t="s">
        <v>2088</v>
      </c>
    </row>
    <row r="2141" spans="1:15">
      <c r="A2141" t="s">
        <v>3757</v>
      </c>
      <c r="B2141" t="s">
        <v>2093</v>
      </c>
      <c r="C2141" t="s">
        <v>2111</v>
      </c>
      <c r="D2141" s="1">
        <v>44276</v>
      </c>
      <c r="E2141" s="1">
        <v>45094</v>
      </c>
      <c r="F2141">
        <v>198</v>
      </c>
      <c r="G2141">
        <v>4</v>
      </c>
      <c r="H2141">
        <v>159.55000000000001</v>
      </c>
      <c r="I2141">
        <v>32.56</v>
      </c>
      <c r="J2141" t="s">
        <v>41</v>
      </c>
      <c r="K2141" t="s">
        <v>20</v>
      </c>
      <c r="L2141" t="s">
        <v>2106</v>
      </c>
      <c r="M2141">
        <v>5</v>
      </c>
      <c r="N2141" t="s">
        <v>194</v>
      </c>
      <c r="O2141" t="s">
        <v>2121</v>
      </c>
    </row>
    <row r="2142" spans="1:15">
      <c r="A2142" t="s">
        <v>3758</v>
      </c>
      <c r="B2142" t="s">
        <v>2085</v>
      </c>
      <c r="C2142" t="s">
        <v>2111</v>
      </c>
      <c r="D2142" s="1">
        <v>44210</v>
      </c>
      <c r="E2142" s="1">
        <v>44968</v>
      </c>
      <c r="F2142">
        <v>324</v>
      </c>
      <c r="G2142">
        <v>33</v>
      </c>
      <c r="H2142">
        <v>2360.62</v>
      </c>
      <c r="I2142">
        <v>103.66</v>
      </c>
      <c r="J2142" t="s">
        <v>115</v>
      </c>
      <c r="K2142" t="s">
        <v>16</v>
      </c>
      <c r="L2142" t="s">
        <v>2106</v>
      </c>
      <c r="M2142">
        <v>4</v>
      </c>
      <c r="N2142" t="s">
        <v>165</v>
      </c>
      <c r="O2142" t="s">
        <v>2088</v>
      </c>
    </row>
    <row r="2143" spans="1:15">
      <c r="A2143" t="s">
        <v>1242</v>
      </c>
      <c r="B2143" t="s">
        <v>2113</v>
      </c>
      <c r="C2143" t="s">
        <v>2111</v>
      </c>
      <c r="D2143" s="1">
        <v>43891</v>
      </c>
      <c r="E2143" s="1">
        <v>45280</v>
      </c>
      <c r="F2143">
        <v>12</v>
      </c>
      <c r="G2143">
        <v>9</v>
      </c>
      <c r="H2143">
        <v>164.41</v>
      </c>
      <c r="I2143">
        <v>73.86</v>
      </c>
      <c r="J2143" t="s">
        <v>14</v>
      </c>
      <c r="K2143" t="s">
        <v>16</v>
      </c>
      <c r="L2143" t="s">
        <v>2087</v>
      </c>
      <c r="M2143">
        <v>0</v>
      </c>
      <c r="N2143" t="s">
        <v>204</v>
      </c>
      <c r="O2143" t="s">
        <v>2107</v>
      </c>
    </row>
    <row r="2144" spans="1:15">
      <c r="A2144" t="s">
        <v>1694</v>
      </c>
      <c r="B2144" t="s">
        <v>2097</v>
      </c>
      <c r="C2144" t="s">
        <v>2091</v>
      </c>
      <c r="D2144" s="1">
        <v>44805</v>
      </c>
      <c r="E2144" s="1">
        <v>45197</v>
      </c>
      <c r="F2144">
        <v>95</v>
      </c>
      <c r="G2144">
        <v>6</v>
      </c>
      <c r="H2144">
        <v>359.46</v>
      </c>
      <c r="I2144">
        <v>65.349999999999994</v>
      </c>
      <c r="J2144" t="s">
        <v>14</v>
      </c>
      <c r="K2144" t="s">
        <v>20</v>
      </c>
      <c r="L2144" t="s">
        <v>2095</v>
      </c>
      <c r="M2144">
        <v>10</v>
      </c>
      <c r="N2144" t="s">
        <v>194</v>
      </c>
      <c r="O2144" t="s">
        <v>2107</v>
      </c>
    </row>
    <row r="2145" spans="1:15">
      <c r="A2145" t="s">
        <v>1391</v>
      </c>
      <c r="B2145" t="s">
        <v>2093</v>
      </c>
      <c r="C2145" t="s">
        <v>2086</v>
      </c>
      <c r="D2145" s="1">
        <v>45118</v>
      </c>
      <c r="E2145" s="1">
        <v>45031</v>
      </c>
      <c r="F2145">
        <v>261</v>
      </c>
      <c r="G2145">
        <v>3</v>
      </c>
      <c r="H2145">
        <v>63.57</v>
      </c>
      <c r="I2145">
        <v>47.41</v>
      </c>
      <c r="J2145" t="s">
        <v>14</v>
      </c>
      <c r="K2145" t="s">
        <v>16</v>
      </c>
      <c r="L2145" t="s">
        <v>2106</v>
      </c>
      <c r="M2145">
        <v>2</v>
      </c>
      <c r="N2145" t="s">
        <v>179</v>
      </c>
      <c r="O2145" t="s">
        <v>2088</v>
      </c>
    </row>
    <row r="2146" spans="1:15">
      <c r="A2146" t="s">
        <v>3759</v>
      </c>
      <c r="B2146" t="s">
        <v>2085</v>
      </c>
      <c r="C2146" t="s">
        <v>2091</v>
      </c>
      <c r="D2146" s="1">
        <v>44918</v>
      </c>
      <c r="E2146" s="1">
        <v>45129</v>
      </c>
      <c r="F2146">
        <v>163</v>
      </c>
      <c r="G2146">
        <v>39</v>
      </c>
      <c r="H2146">
        <v>2133.52</v>
      </c>
      <c r="I2146">
        <v>274.24</v>
      </c>
      <c r="J2146" t="s">
        <v>14</v>
      </c>
      <c r="K2146" t="s">
        <v>16</v>
      </c>
      <c r="L2146" t="s">
        <v>2087</v>
      </c>
      <c r="M2146">
        <v>9</v>
      </c>
      <c r="N2146" t="s">
        <v>204</v>
      </c>
      <c r="O2146" t="s">
        <v>2088</v>
      </c>
    </row>
    <row r="2147" spans="1:15">
      <c r="A2147" t="s">
        <v>3760</v>
      </c>
      <c r="B2147" t="s">
        <v>2099</v>
      </c>
      <c r="C2147" t="s">
        <v>2094</v>
      </c>
      <c r="D2147" s="1">
        <v>43468</v>
      </c>
      <c r="E2147" s="1">
        <v>45057</v>
      </c>
      <c r="F2147">
        <v>235</v>
      </c>
      <c r="G2147">
        <v>2</v>
      </c>
      <c r="H2147">
        <v>21.2</v>
      </c>
      <c r="I2147">
        <v>36.51</v>
      </c>
      <c r="J2147" t="s">
        <v>66</v>
      </c>
      <c r="K2147" t="s">
        <v>16</v>
      </c>
      <c r="L2147" t="s">
        <v>2095</v>
      </c>
      <c r="M2147">
        <v>0</v>
      </c>
      <c r="N2147" t="s">
        <v>204</v>
      </c>
      <c r="O2147" t="s">
        <v>2096</v>
      </c>
    </row>
    <row r="2148" spans="1:15">
      <c r="A2148" t="s">
        <v>1332</v>
      </c>
      <c r="B2148" t="s">
        <v>2099</v>
      </c>
      <c r="C2148" t="s">
        <v>2086</v>
      </c>
      <c r="D2148" s="1">
        <v>43528</v>
      </c>
      <c r="E2148" s="1">
        <v>45278</v>
      </c>
      <c r="F2148">
        <v>14</v>
      </c>
      <c r="G2148">
        <v>2</v>
      </c>
      <c r="H2148">
        <v>54.31</v>
      </c>
      <c r="I2148">
        <v>57.14</v>
      </c>
      <c r="J2148" t="s">
        <v>66</v>
      </c>
      <c r="K2148" t="s">
        <v>16</v>
      </c>
      <c r="L2148" t="s">
        <v>2106</v>
      </c>
      <c r="M2148">
        <v>5</v>
      </c>
      <c r="N2148" t="s">
        <v>232</v>
      </c>
      <c r="O2148" t="s">
        <v>2096</v>
      </c>
    </row>
    <row r="2149" spans="1:15">
      <c r="A2149" t="s">
        <v>3761</v>
      </c>
      <c r="B2149" t="s">
        <v>2085</v>
      </c>
      <c r="C2149" t="s">
        <v>2091</v>
      </c>
      <c r="D2149" s="1">
        <v>44299</v>
      </c>
      <c r="E2149" s="1">
        <v>45080</v>
      </c>
      <c r="F2149">
        <v>212</v>
      </c>
      <c r="G2149">
        <v>22</v>
      </c>
      <c r="H2149">
        <v>2403.5100000000002</v>
      </c>
      <c r="I2149">
        <v>119</v>
      </c>
      <c r="J2149" t="s">
        <v>115</v>
      </c>
      <c r="K2149" t="s">
        <v>16</v>
      </c>
      <c r="L2149" t="s">
        <v>2106</v>
      </c>
      <c r="M2149">
        <v>2</v>
      </c>
      <c r="N2149" t="s">
        <v>232</v>
      </c>
      <c r="O2149" t="s">
        <v>2096</v>
      </c>
    </row>
    <row r="2150" spans="1:15">
      <c r="A2150" t="s">
        <v>3762</v>
      </c>
      <c r="B2150" t="s">
        <v>2090</v>
      </c>
      <c r="C2150" t="s">
        <v>2111</v>
      </c>
      <c r="D2150" s="1">
        <v>43478</v>
      </c>
      <c r="E2150" s="1">
        <v>45089</v>
      </c>
      <c r="F2150">
        <v>203</v>
      </c>
      <c r="G2150">
        <v>3</v>
      </c>
      <c r="H2150">
        <v>174.63</v>
      </c>
      <c r="I2150">
        <v>49.52</v>
      </c>
      <c r="J2150" t="s">
        <v>115</v>
      </c>
      <c r="K2150" t="s">
        <v>16</v>
      </c>
      <c r="L2150" t="s">
        <v>2106</v>
      </c>
      <c r="M2150">
        <v>9</v>
      </c>
      <c r="N2150" t="s">
        <v>165</v>
      </c>
      <c r="O2150" t="s">
        <v>2109</v>
      </c>
    </row>
    <row r="2151" spans="1:15">
      <c r="A2151" t="s">
        <v>3763</v>
      </c>
      <c r="B2151" t="s">
        <v>2085</v>
      </c>
      <c r="C2151" t="s">
        <v>2108</v>
      </c>
      <c r="D2151" s="1">
        <v>44141</v>
      </c>
      <c r="E2151" s="1">
        <v>45010</v>
      </c>
      <c r="F2151">
        <v>282</v>
      </c>
      <c r="G2151">
        <v>35</v>
      </c>
      <c r="H2151">
        <v>2381.44</v>
      </c>
      <c r="I2151">
        <v>139.03</v>
      </c>
      <c r="J2151" t="s">
        <v>66</v>
      </c>
      <c r="K2151" t="s">
        <v>16</v>
      </c>
      <c r="L2151" t="s">
        <v>2095</v>
      </c>
      <c r="M2151">
        <v>3</v>
      </c>
      <c r="N2151" t="s">
        <v>165</v>
      </c>
      <c r="O2151" t="s">
        <v>2107</v>
      </c>
    </row>
    <row r="2152" spans="1:15">
      <c r="A2152" t="s">
        <v>3764</v>
      </c>
      <c r="B2152" t="s">
        <v>2097</v>
      </c>
      <c r="C2152" t="s">
        <v>2091</v>
      </c>
      <c r="D2152" s="1">
        <v>45181</v>
      </c>
      <c r="E2152" s="1">
        <v>45207</v>
      </c>
      <c r="F2152">
        <v>85</v>
      </c>
      <c r="G2152">
        <v>11</v>
      </c>
      <c r="H2152">
        <v>758.04</v>
      </c>
      <c r="I2152">
        <v>82.44</v>
      </c>
      <c r="J2152" t="s">
        <v>90</v>
      </c>
      <c r="K2152" t="s">
        <v>20</v>
      </c>
      <c r="L2152" t="s">
        <v>2087</v>
      </c>
      <c r="M2152">
        <v>10</v>
      </c>
      <c r="N2152" t="s">
        <v>194</v>
      </c>
      <c r="O2152" t="s">
        <v>2107</v>
      </c>
    </row>
    <row r="2153" spans="1:15">
      <c r="A2153" t="s">
        <v>3765</v>
      </c>
      <c r="B2153" t="s">
        <v>2113</v>
      </c>
      <c r="C2153" t="s">
        <v>2100</v>
      </c>
      <c r="D2153" s="1">
        <v>45208</v>
      </c>
      <c r="E2153" s="1">
        <v>45083</v>
      </c>
      <c r="F2153">
        <v>209</v>
      </c>
      <c r="G2153">
        <v>13</v>
      </c>
      <c r="H2153">
        <v>470.09</v>
      </c>
      <c r="I2153">
        <v>77.73</v>
      </c>
      <c r="J2153" t="s">
        <v>90</v>
      </c>
      <c r="K2153" t="s">
        <v>16</v>
      </c>
      <c r="L2153" t="s">
        <v>2087</v>
      </c>
      <c r="M2153">
        <v>10</v>
      </c>
      <c r="N2153" t="s">
        <v>157</v>
      </c>
      <c r="O2153" t="s">
        <v>2088</v>
      </c>
    </row>
    <row r="2154" spans="1:15">
      <c r="A2154" t="s">
        <v>3766</v>
      </c>
      <c r="B2154" t="s">
        <v>2113</v>
      </c>
      <c r="C2154" t="s">
        <v>2094</v>
      </c>
      <c r="D2154" s="1">
        <v>44141</v>
      </c>
      <c r="E2154" s="1">
        <v>45008</v>
      </c>
      <c r="F2154">
        <v>284</v>
      </c>
      <c r="G2154">
        <v>6</v>
      </c>
      <c r="H2154">
        <v>485.79</v>
      </c>
      <c r="I2154">
        <v>34.35</v>
      </c>
      <c r="J2154" t="s">
        <v>66</v>
      </c>
      <c r="K2154" t="s">
        <v>20</v>
      </c>
      <c r="L2154" t="s">
        <v>2106</v>
      </c>
      <c r="M2154">
        <v>6</v>
      </c>
      <c r="N2154" t="s">
        <v>179</v>
      </c>
      <c r="O2154" t="s">
        <v>2107</v>
      </c>
    </row>
    <row r="2155" spans="1:15">
      <c r="A2155" t="s">
        <v>3767</v>
      </c>
      <c r="B2155" t="s">
        <v>2099</v>
      </c>
      <c r="C2155" t="s">
        <v>2111</v>
      </c>
      <c r="D2155" s="1">
        <v>43828</v>
      </c>
      <c r="E2155" s="1">
        <v>45132</v>
      </c>
      <c r="F2155">
        <v>160</v>
      </c>
      <c r="G2155">
        <v>2</v>
      </c>
      <c r="H2155">
        <v>111.54</v>
      </c>
      <c r="I2155">
        <v>64.17</v>
      </c>
      <c r="J2155" t="s">
        <v>41</v>
      </c>
      <c r="K2155" t="s">
        <v>16</v>
      </c>
      <c r="L2155" t="s">
        <v>2087</v>
      </c>
      <c r="M2155">
        <v>4</v>
      </c>
      <c r="N2155" t="s">
        <v>232</v>
      </c>
      <c r="O2155" t="s">
        <v>2088</v>
      </c>
    </row>
    <row r="2156" spans="1:15">
      <c r="A2156" t="s">
        <v>3768</v>
      </c>
      <c r="B2156" t="s">
        <v>2085</v>
      </c>
      <c r="C2156" t="s">
        <v>2086</v>
      </c>
      <c r="D2156" s="1">
        <v>44200</v>
      </c>
      <c r="E2156" s="1">
        <v>45200</v>
      </c>
      <c r="F2156">
        <v>92</v>
      </c>
      <c r="G2156">
        <v>19</v>
      </c>
      <c r="H2156">
        <v>843.72</v>
      </c>
      <c r="I2156">
        <v>281.7</v>
      </c>
      <c r="J2156" t="s">
        <v>14</v>
      </c>
      <c r="K2156" t="s">
        <v>20</v>
      </c>
      <c r="L2156" t="s">
        <v>2106</v>
      </c>
      <c r="M2156">
        <v>7</v>
      </c>
      <c r="N2156" t="s">
        <v>174</v>
      </c>
      <c r="O2156" t="s">
        <v>2088</v>
      </c>
    </row>
    <row r="2157" spans="1:15">
      <c r="A2157" t="s">
        <v>3769</v>
      </c>
      <c r="B2157" t="s">
        <v>2099</v>
      </c>
      <c r="C2157" t="s">
        <v>2091</v>
      </c>
      <c r="D2157" s="1">
        <v>44099</v>
      </c>
      <c r="E2157" s="1">
        <v>44994</v>
      </c>
      <c r="F2157">
        <v>298</v>
      </c>
      <c r="G2157">
        <v>1</v>
      </c>
      <c r="H2157">
        <v>123.91</v>
      </c>
      <c r="I2157">
        <v>87.96</v>
      </c>
      <c r="J2157" t="s">
        <v>115</v>
      </c>
      <c r="K2157" t="s">
        <v>16</v>
      </c>
      <c r="L2157" t="s">
        <v>2087</v>
      </c>
      <c r="M2157">
        <v>5</v>
      </c>
      <c r="N2157" t="s">
        <v>165</v>
      </c>
      <c r="O2157" t="s">
        <v>2121</v>
      </c>
    </row>
    <row r="2158" spans="1:15">
      <c r="A2158" t="s">
        <v>3770</v>
      </c>
      <c r="B2158" t="s">
        <v>2093</v>
      </c>
      <c r="C2158" t="s">
        <v>2086</v>
      </c>
      <c r="D2158" s="1">
        <v>44133</v>
      </c>
      <c r="E2158" s="1">
        <v>45107</v>
      </c>
      <c r="F2158">
        <v>185</v>
      </c>
      <c r="G2158">
        <v>3</v>
      </c>
      <c r="H2158">
        <v>131.36000000000001</v>
      </c>
      <c r="I2158">
        <v>30.86</v>
      </c>
      <c r="J2158" t="s">
        <v>90</v>
      </c>
      <c r="K2158" t="s">
        <v>16</v>
      </c>
      <c r="L2158" t="s">
        <v>2087</v>
      </c>
      <c r="M2158">
        <v>7</v>
      </c>
      <c r="N2158" t="s">
        <v>204</v>
      </c>
      <c r="O2158" t="s">
        <v>2088</v>
      </c>
    </row>
    <row r="2159" spans="1:15">
      <c r="A2159" t="s">
        <v>3771</v>
      </c>
      <c r="B2159" t="s">
        <v>2090</v>
      </c>
      <c r="C2159" t="s">
        <v>2086</v>
      </c>
      <c r="D2159" s="1">
        <v>45074</v>
      </c>
      <c r="E2159" s="1">
        <v>45156</v>
      </c>
      <c r="F2159">
        <v>136</v>
      </c>
      <c r="G2159">
        <v>8</v>
      </c>
      <c r="H2159">
        <v>108.24</v>
      </c>
      <c r="I2159">
        <v>94.45</v>
      </c>
      <c r="J2159" t="s">
        <v>115</v>
      </c>
      <c r="K2159" t="s">
        <v>16</v>
      </c>
      <c r="L2159" t="s">
        <v>2095</v>
      </c>
      <c r="M2159">
        <v>4</v>
      </c>
      <c r="N2159" t="s">
        <v>179</v>
      </c>
      <c r="O2159" t="s">
        <v>2121</v>
      </c>
    </row>
    <row r="2160" spans="1:15">
      <c r="A2160" t="s">
        <v>3772</v>
      </c>
      <c r="B2160" t="s">
        <v>2099</v>
      </c>
      <c r="C2160" t="s">
        <v>2108</v>
      </c>
      <c r="D2160" s="1">
        <v>43978</v>
      </c>
      <c r="E2160" s="1">
        <v>45093</v>
      </c>
      <c r="F2160">
        <v>199</v>
      </c>
      <c r="G2160">
        <v>2</v>
      </c>
      <c r="H2160">
        <v>146.30000000000001</v>
      </c>
      <c r="I2160">
        <v>55.37</v>
      </c>
      <c r="J2160" t="s">
        <v>14</v>
      </c>
      <c r="K2160" t="s">
        <v>16</v>
      </c>
      <c r="L2160" t="s">
        <v>2087</v>
      </c>
      <c r="M2160">
        <v>0</v>
      </c>
      <c r="N2160" t="s">
        <v>232</v>
      </c>
      <c r="O2160" t="s">
        <v>2088</v>
      </c>
    </row>
    <row r="2161" spans="1:15">
      <c r="A2161" t="s">
        <v>3773</v>
      </c>
      <c r="B2161" t="s">
        <v>2113</v>
      </c>
      <c r="C2161" t="s">
        <v>2094</v>
      </c>
      <c r="D2161" s="1">
        <v>45015</v>
      </c>
      <c r="E2161" s="1">
        <v>44982</v>
      </c>
      <c r="F2161">
        <v>310</v>
      </c>
      <c r="G2161">
        <v>19</v>
      </c>
      <c r="H2161">
        <v>555.78</v>
      </c>
      <c r="I2161">
        <v>31.95</v>
      </c>
      <c r="J2161" t="s">
        <v>41</v>
      </c>
      <c r="K2161" t="s">
        <v>16</v>
      </c>
      <c r="L2161" t="s">
        <v>2095</v>
      </c>
      <c r="M2161">
        <v>3</v>
      </c>
      <c r="N2161" t="s">
        <v>157</v>
      </c>
      <c r="O2161" t="s">
        <v>2109</v>
      </c>
    </row>
    <row r="2162" spans="1:15">
      <c r="A2162" t="s">
        <v>3774</v>
      </c>
      <c r="B2162" t="s">
        <v>2093</v>
      </c>
      <c r="C2162" t="s">
        <v>2091</v>
      </c>
      <c r="D2162" s="1">
        <v>43481</v>
      </c>
      <c r="E2162" s="1">
        <v>45190</v>
      </c>
      <c r="F2162">
        <v>102</v>
      </c>
      <c r="G2162">
        <v>5</v>
      </c>
      <c r="H2162">
        <v>131.16999999999999</v>
      </c>
      <c r="I2162">
        <v>42.56</v>
      </c>
      <c r="J2162" t="s">
        <v>66</v>
      </c>
      <c r="K2162" t="s">
        <v>16</v>
      </c>
      <c r="L2162" t="s">
        <v>2087</v>
      </c>
      <c r="M2162">
        <v>10</v>
      </c>
      <c r="N2162" t="s">
        <v>165</v>
      </c>
      <c r="O2162" t="s">
        <v>2096</v>
      </c>
    </row>
    <row r="2163" spans="1:15">
      <c r="A2163" t="s">
        <v>3775</v>
      </c>
      <c r="B2163" t="s">
        <v>2097</v>
      </c>
      <c r="C2163" t="s">
        <v>2108</v>
      </c>
      <c r="D2163" s="1">
        <v>44667</v>
      </c>
      <c r="E2163" s="1">
        <v>45243</v>
      </c>
      <c r="F2163">
        <v>49</v>
      </c>
      <c r="G2163">
        <v>11</v>
      </c>
      <c r="H2163">
        <v>563.15</v>
      </c>
      <c r="I2163">
        <v>138.81</v>
      </c>
      <c r="J2163" t="s">
        <v>41</v>
      </c>
      <c r="K2163" t="s">
        <v>16</v>
      </c>
      <c r="L2163" t="s">
        <v>2106</v>
      </c>
      <c r="M2163">
        <v>7</v>
      </c>
      <c r="N2163" t="s">
        <v>194</v>
      </c>
      <c r="O2163" t="s">
        <v>2109</v>
      </c>
    </row>
    <row r="2164" spans="1:15">
      <c r="A2164" t="s">
        <v>3776</v>
      </c>
      <c r="B2164" t="s">
        <v>2085</v>
      </c>
      <c r="C2164" t="s">
        <v>2086</v>
      </c>
      <c r="D2164" s="1">
        <v>45180</v>
      </c>
      <c r="E2164" s="1">
        <v>45219</v>
      </c>
      <c r="F2164">
        <v>73</v>
      </c>
      <c r="G2164">
        <v>35</v>
      </c>
      <c r="H2164">
        <v>1057.03</v>
      </c>
      <c r="I2164">
        <v>149.28</v>
      </c>
      <c r="J2164" t="s">
        <v>90</v>
      </c>
      <c r="K2164" t="s">
        <v>20</v>
      </c>
      <c r="L2164" t="s">
        <v>2106</v>
      </c>
      <c r="M2164">
        <v>2</v>
      </c>
      <c r="N2164" t="s">
        <v>204</v>
      </c>
      <c r="O2164" t="s">
        <v>2096</v>
      </c>
    </row>
    <row r="2165" spans="1:15">
      <c r="A2165" t="s">
        <v>2019</v>
      </c>
      <c r="B2165" t="s">
        <v>2093</v>
      </c>
      <c r="C2165" t="s">
        <v>2091</v>
      </c>
      <c r="D2165" s="1">
        <v>45069</v>
      </c>
      <c r="E2165" s="1">
        <v>45039</v>
      </c>
      <c r="F2165">
        <v>253</v>
      </c>
      <c r="G2165">
        <v>3</v>
      </c>
      <c r="H2165">
        <v>148.31</v>
      </c>
      <c r="I2165">
        <v>76.099999999999994</v>
      </c>
      <c r="J2165" t="s">
        <v>115</v>
      </c>
      <c r="K2165" t="s">
        <v>20</v>
      </c>
      <c r="L2165" t="s">
        <v>2087</v>
      </c>
      <c r="M2165">
        <v>8</v>
      </c>
      <c r="N2165" t="s">
        <v>232</v>
      </c>
      <c r="O2165" t="s">
        <v>2121</v>
      </c>
    </row>
    <row r="2166" spans="1:15">
      <c r="A2166" t="s">
        <v>3777</v>
      </c>
      <c r="B2166" t="s">
        <v>2097</v>
      </c>
      <c r="C2166" t="s">
        <v>2086</v>
      </c>
      <c r="D2166" s="1">
        <v>44614</v>
      </c>
      <c r="E2166" s="1">
        <v>45241</v>
      </c>
      <c r="F2166">
        <v>51</v>
      </c>
      <c r="G2166">
        <v>11</v>
      </c>
      <c r="H2166">
        <v>387.57</v>
      </c>
      <c r="I2166">
        <v>114.27</v>
      </c>
      <c r="J2166" t="s">
        <v>90</v>
      </c>
      <c r="K2166" t="s">
        <v>20</v>
      </c>
      <c r="L2166" t="s">
        <v>2106</v>
      </c>
      <c r="M2166">
        <v>1</v>
      </c>
      <c r="N2166" t="s">
        <v>232</v>
      </c>
      <c r="O2166" t="s">
        <v>2121</v>
      </c>
    </row>
    <row r="2167" spans="1:15">
      <c r="A2167" t="s">
        <v>3778</v>
      </c>
      <c r="B2167" t="s">
        <v>2097</v>
      </c>
      <c r="C2167" t="s">
        <v>2111</v>
      </c>
      <c r="D2167" s="1">
        <v>44923</v>
      </c>
      <c r="E2167" s="1">
        <v>45218</v>
      </c>
      <c r="F2167">
        <v>74</v>
      </c>
      <c r="G2167">
        <v>10</v>
      </c>
      <c r="H2167">
        <v>407.35</v>
      </c>
      <c r="I2167">
        <v>74.27</v>
      </c>
      <c r="J2167" t="s">
        <v>14</v>
      </c>
      <c r="K2167" t="s">
        <v>16</v>
      </c>
      <c r="L2167" t="s">
        <v>2095</v>
      </c>
      <c r="M2167">
        <v>7</v>
      </c>
      <c r="N2167" t="s">
        <v>232</v>
      </c>
      <c r="O2167" t="s">
        <v>2121</v>
      </c>
    </row>
    <row r="2168" spans="1:15">
      <c r="A2168" t="s">
        <v>3779</v>
      </c>
      <c r="B2168" t="s">
        <v>2090</v>
      </c>
      <c r="C2168" t="s">
        <v>2094</v>
      </c>
      <c r="D2168" s="1">
        <v>44956</v>
      </c>
      <c r="E2168" s="1">
        <v>45261</v>
      </c>
      <c r="F2168">
        <v>31</v>
      </c>
      <c r="G2168">
        <v>6</v>
      </c>
      <c r="H2168">
        <v>393.67</v>
      </c>
      <c r="I2168">
        <v>107.97</v>
      </c>
      <c r="J2168" t="s">
        <v>66</v>
      </c>
      <c r="K2168" t="s">
        <v>16</v>
      </c>
      <c r="L2168" t="s">
        <v>2087</v>
      </c>
      <c r="M2168">
        <v>10</v>
      </c>
      <c r="N2168" t="s">
        <v>165</v>
      </c>
      <c r="O2168" t="s">
        <v>2121</v>
      </c>
    </row>
    <row r="2169" spans="1:15">
      <c r="A2169" t="s">
        <v>3780</v>
      </c>
      <c r="B2169" t="s">
        <v>2113</v>
      </c>
      <c r="C2169" t="s">
        <v>2086</v>
      </c>
      <c r="D2169" s="1">
        <v>44391</v>
      </c>
      <c r="E2169" s="1">
        <v>45133</v>
      </c>
      <c r="F2169">
        <v>159</v>
      </c>
      <c r="G2169">
        <v>13</v>
      </c>
      <c r="H2169">
        <v>155.16</v>
      </c>
      <c r="I2169">
        <v>78.150000000000006</v>
      </c>
      <c r="J2169" t="s">
        <v>41</v>
      </c>
      <c r="K2169" t="s">
        <v>20</v>
      </c>
      <c r="L2169" t="s">
        <v>2087</v>
      </c>
      <c r="M2169">
        <v>2</v>
      </c>
      <c r="N2169" t="s">
        <v>204</v>
      </c>
      <c r="O2169" t="s">
        <v>2121</v>
      </c>
    </row>
    <row r="2170" spans="1:15">
      <c r="A2170" t="s">
        <v>3781</v>
      </c>
      <c r="B2170" t="s">
        <v>2113</v>
      </c>
      <c r="C2170" t="s">
        <v>2111</v>
      </c>
      <c r="D2170" s="1">
        <v>44192</v>
      </c>
      <c r="E2170" s="1">
        <v>45217</v>
      </c>
      <c r="F2170">
        <v>75</v>
      </c>
      <c r="G2170">
        <v>12</v>
      </c>
      <c r="H2170">
        <v>248.86</v>
      </c>
      <c r="I2170">
        <v>52.6</v>
      </c>
      <c r="J2170" t="s">
        <v>90</v>
      </c>
      <c r="K2170" t="s">
        <v>16</v>
      </c>
      <c r="L2170" t="s">
        <v>2106</v>
      </c>
      <c r="M2170">
        <v>4</v>
      </c>
      <c r="N2170" t="s">
        <v>157</v>
      </c>
      <c r="O2170" t="s">
        <v>2121</v>
      </c>
    </row>
    <row r="2171" spans="1:15">
      <c r="A2171" t="s">
        <v>3782</v>
      </c>
      <c r="B2171" t="s">
        <v>2090</v>
      </c>
      <c r="C2171" t="s">
        <v>2094</v>
      </c>
      <c r="D2171" s="1">
        <v>44717</v>
      </c>
      <c r="E2171" s="1">
        <v>45191</v>
      </c>
      <c r="F2171">
        <v>101</v>
      </c>
      <c r="G2171">
        <v>7</v>
      </c>
      <c r="H2171">
        <v>374.27</v>
      </c>
      <c r="I2171">
        <v>56.74</v>
      </c>
      <c r="J2171" t="s">
        <v>115</v>
      </c>
      <c r="K2171" t="s">
        <v>20</v>
      </c>
      <c r="L2171" t="s">
        <v>2095</v>
      </c>
      <c r="M2171">
        <v>7</v>
      </c>
      <c r="N2171" t="s">
        <v>179</v>
      </c>
      <c r="O2171" t="s">
        <v>2088</v>
      </c>
    </row>
    <row r="2172" spans="1:15">
      <c r="A2172" t="s">
        <v>3783</v>
      </c>
      <c r="B2172" t="s">
        <v>2093</v>
      </c>
      <c r="C2172" t="s">
        <v>2100</v>
      </c>
      <c r="D2172" s="1">
        <v>45217</v>
      </c>
      <c r="E2172" s="1">
        <v>45087</v>
      </c>
      <c r="F2172">
        <v>205</v>
      </c>
      <c r="G2172">
        <v>5</v>
      </c>
      <c r="H2172">
        <v>194.24</v>
      </c>
      <c r="I2172">
        <v>41.83</v>
      </c>
      <c r="J2172" t="s">
        <v>115</v>
      </c>
      <c r="K2172" t="s">
        <v>16</v>
      </c>
      <c r="L2172" t="s">
        <v>2106</v>
      </c>
      <c r="M2172">
        <v>7</v>
      </c>
      <c r="N2172" t="s">
        <v>194</v>
      </c>
      <c r="O2172" t="s">
        <v>2109</v>
      </c>
    </row>
    <row r="2173" spans="1:15">
      <c r="A2173" t="s">
        <v>3784</v>
      </c>
      <c r="B2173" t="s">
        <v>2093</v>
      </c>
      <c r="C2173" t="s">
        <v>2094</v>
      </c>
      <c r="D2173" s="1">
        <v>44099</v>
      </c>
      <c r="E2173" s="1">
        <v>45038</v>
      </c>
      <c r="F2173">
        <v>254</v>
      </c>
      <c r="G2173">
        <v>5</v>
      </c>
      <c r="H2173">
        <v>42.25</v>
      </c>
      <c r="I2173">
        <v>48.62</v>
      </c>
      <c r="J2173" t="s">
        <v>14</v>
      </c>
      <c r="K2173" t="s">
        <v>16</v>
      </c>
      <c r="L2173" t="s">
        <v>2106</v>
      </c>
      <c r="M2173">
        <v>3</v>
      </c>
      <c r="N2173" t="s">
        <v>174</v>
      </c>
      <c r="O2173" t="s">
        <v>2109</v>
      </c>
    </row>
    <row r="2174" spans="1:15">
      <c r="A2174" t="s">
        <v>1120</v>
      </c>
      <c r="B2174" t="s">
        <v>2093</v>
      </c>
      <c r="C2174" t="s">
        <v>2111</v>
      </c>
      <c r="D2174" s="1">
        <v>44419</v>
      </c>
      <c r="E2174" s="1">
        <v>45125</v>
      </c>
      <c r="F2174">
        <v>167</v>
      </c>
      <c r="G2174">
        <v>1</v>
      </c>
      <c r="H2174">
        <v>167.08</v>
      </c>
      <c r="I2174">
        <v>70.41</v>
      </c>
      <c r="J2174" t="s">
        <v>41</v>
      </c>
      <c r="K2174" t="s">
        <v>16</v>
      </c>
      <c r="L2174" t="s">
        <v>2106</v>
      </c>
      <c r="M2174">
        <v>0</v>
      </c>
      <c r="N2174" t="s">
        <v>165</v>
      </c>
      <c r="O2174" t="s">
        <v>2096</v>
      </c>
    </row>
    <row r="2175" spans="1:15">
      <c r="A2175" t="s">
        <v>385</v>
      </c>
      <c r="B2175" t="s">
        <v>2099</v>
      </c>
      <c r="C2175" t="s">
        <v>2108</v>
      </c>
      <c r="D2175" s="1">
        <v>43856</v>
      </c>
      <c r="E2175" s="1">
        <v>45028</v>
      </c>
      <c r="F2175">
        <v>264</v>
      </c>
      <c r="G2175">
        <v>1</v>
      </c>
      <c r="H2175">
        <v>70.430000000000007</v>
      </c>
      <c r="I2175">
        <v>32.54</v>
      </c>
      <c r="J2175" t="s">
        <v>115</v>
      </c>
      <c r="K2175" t="s">
        <v>16</v>
      </c>
      <c r="L2175" t="s">
        <v>2087</v>
      </c>
      <c r="M2175">
        <v>0</v>
      </c>
      <c r="N2175" t="s">
        <v>157</v>
      </c>
      <c r="O2175" t="s">
        <v>2107</v>
      </c>
    </row>
    <row r="2176" spans="1:15">
      <c r="A2176" t="s">
        <v>3785</v>
      </c>
      <c r="B2176" t="s">
        <v>2099</v>
      </c>
      <c r="C2176" t="s">
        <v>2108</v>
      </c>
      <c r="D2176" s="1">
        <v>44862</v>
      </c>
      <c r="E2176" s="1">
        <v>44949</v>
      </c>
      <c r="F2176">
        <v>343</v>
      </c>
      <c r="G2176">
        <v>2</v>
      </c>
      <c r="H2176">
        <v>36.89</v>
      </c>
      <c r="I2176">
        <v>64.349999999999994</v>
      </c>
      <c r="J2176" t="s">
        <v>41</v>
      </c>
      <c r="K2176" t="s">
        <v>16</v>
      </c>
      <c r="L2176" t="s">
        <v>2095</v>
      </c>
      <c r="M2176">
        <v>2</v>
      </c>
      <c r="N2176" t="s">
        <v>179</v>
      </c>
      <c r="O2176" t="s">
        <v>2109</v>
      </c>
    </row>
    <row r="2177" spans="1:15">
      <c r="A2177" t="s">
        <v>3786</v>
      </c>
      <c r="B2177" t="s">
        <v>2113</v>
      </c>
      <c r="C2177" t="s">
        <v>2108</v>
      </c>
      <c r="D2177" s="1">
        <v>44888</v>
      </c>
      <c r="E2177" s="1">
        <v>45270</v>
      </c>
      <c r="F2177">
        <v>22</v>
      </c>
      <c r="G2177">
        <v>11</v>
      </c>
      <c r="H2177">
        <v>179.31</v>
      </c>
      <c r="I2177">
        <v>41.89</v>
      </c>
      <c r="J2177" t="s">
        <v>66</v>
      </c>
      <c r="K2177" t="s">
        <v>16</v>
      </c>
      <c r="L2177" t="s">
        <v>2087</v>
      </c>
      <c r="M2177">
        <v>9</v>
      </c>
      <c r="N2177" t="s">
        <v>204</v>
      </c>
      <c r="O2177" t="s">
        <v>2107</v>
      </c>
    </row>
    <row r="2178" spans="1:15">
      <c r="A2178" t="s">
        <v>3787</v>
      </c>
      <c r="B2178" t="s">
        <v>2113</v>
      </c>
      <c r="C2178" t="s">
        <v>2100</v>
      </c>
      <c r="D2178" s="1">
        <v>43969</v>
      </c>
      <c r="E2178" s="1">
        <v>45064</v>
      </c>
      <c r="F2178">
        <v>228</v>
      </c>
      <c r="G2178">
        <v>6</v>
      </c>
      <c r="H2178">
        <v>194.19</v>
      </c>
      <c r="I2178">
        <v>78.430000000000007</v>
      </c>
      <c r="J2178" t="s">
        <v>90</v>
      </c>
      <c r="K2178" t="s">
        <v>16</v>
      </c>
      <c r="L2178" t="s">
        <v>2087</v>
      </c>
      <c r="M2178">
        <v>6</v>
      </c>
      <c r="N2178" t="s">
        <v>179</v>
      </c>
      <c r="O2178" t="s">
        <v>2088</v>
      </c>
    </row>
    <row r="2179" spans="1:15">
      <c r="A2179" t="s">
        <v>1402</v>
      </c>
      <c r="B2179" t="s">
        <v>2113</v>
      </c>
      <c r="C2179" t="s">
        <v>2094</v>
      </c>
      <c r="D2179" s="1">
        <v>44108</v>
      </c>
      <c r="E2179" s="1">
        <v>45115</v>
      </c>
      <c r="F2179">
        <v>177</v>
      </c>
      <c r="G2179">
        <v>6</v>
      </c>
      <c r="H2179">
        <v>392.58</v>
      </c>
      <c r="I2179">
        <v>65.52</v>
      </c>
      <c r="J2179" t="s">
        <v>90</v>
      </c>
      <c r="K2179" t="s">
        <v>16</v>
      </c>
      <c r="L2179" t="s">
        <v>2095</v>
      </c>
      <c r="M2179">
        <v>0</v>
      </c>
      <c r="N2179" t="s">
        <v>174</v>
      </c>
      <c r="O2179" t="s">
        <v>2109</v>
      </c>
    </row>
    <row r="2180" spans="1:15">
      <c r="A2180" t="s">
        <v>3788</v>
      </c>
      <c r="B2180" t="s">
        <v>2085</v>
      </c>
      <c r="C2180" t="s">
        <v>2094</v>
      </c>
      <c r="D2180" s="1">
        <v>44099</v>
      </c>
      <c r="E2180" s="1">
        <v>45062</v>
      </c>
      <c r="F2180">
        <v>230</v>
      </c>
      <c r="G2180">
        <v>27</v>
      </c>
      <c r="H2180">
        <v>1353.25</v>
      </c>
      <c r="I2180">
        <v>138.91</v>
      </c>
      <c r="J2180" t="s">
        <v>115</v>
      </c>
      <c r="K2180" t="s">
        <v>16</v>
      </c>
      <c r="L2180" t="s">
        <v>2087</v>
      </c>
      <c r="M2180">
        <v>6</v>
      </c>
      <c r="N2180" t="s">
        <v>174</v>
      </c>
      <c r="O2180" t="s">
        <v>2107</v>
      </c>
    </row>
    <row r="2181" spans="1:15">
      <c r="A2181" t="s">
        <v>3789</v>
      </c>
      <c r="B2181" t="s">
        <v>2085</v>
      </c>
      <c r="C2181" t="s">
        <v>2108</v>
      </c>
      <c r="D2181" s="1">
        <v>44688</v>
      </c>
      <c r="E2181" s="1">
        <v>44974</v>
      </c>
      <c r="F2181">
        <v>318</v>
      </c>
      <c r="G2181">
        <v>29</v>
      </c>
      <c r="H2181">
        <v>2040.18</v>
      </c>
      <c r="I2181">
        <v>285.43</v>
      </c>
      <c r="J2181" t="s">
        <v>41</v>
      </c>
      <c r="K2181" t="s">
        <v>16</v>
      </c>
      <c r="L2181" t="s">
        <v>2106</v>
      </c>
      <c r="M2181">
        <v>0</v>
      </c>
      <c r="N2181" t="s">
        <v>179</v>
      </c>
      <c r="O2181" t="s">
        <v>2109</v>
      </c>
    </row>
    <row r="2182" spans="1:15">
      <c r="A2182" t="s">
        <v>3790</v>
      </c>
      <c r="B2182" t="s">
        <v>2113</v>
      </c>
      <c r="C2182" t="s">
        <v>2091</v>
      </c>
      <c r="D2182" s="1">
        <v>43781</v>
      </c>
      <c r="E2182" s="1">
        <v>45013</v>
      </c>
      <c r="F2182">
        <v>279</v>
      </c>
      <c r="G2182">
        <v>5</v>
      </c>
      <c r="H2182">
        <v>318.8</v>
      </c>
      <c r="I2182">
        <v>50.26</v>
      </c>
      <c r="J2182" t="s">
        <v>115</v>
      </c>
      <c r="K2182" t="s">
        <v>20</v>
      </c>
      <c r="L2182" t="s">
        <v>2095</v>
      </c>
      <c r="M2182">
        <v>10</v>
      </c>
      <c r="N2182" t="s">
        <v>165</v>
      </c>
      <c r="O2182" t="s">
        <v>2096</v>
      </c>
    </row>
    <row r="2183" spans="1:15">
      <c r="A2183" t="s">
        <v>3791</v>
      </c>
      <c r="B2183" t="s">
        <v>2113</v>
      </c>
      <c r="C2183" t="s">
        <v>2091</v>
      </c>
      <c r="D2183" s="1">
        <v>44889</v>
      </c>
      <c r="E2183" s="1">
        <v>45107</v>
      </c>
      <c r="F2183">
        <v>185</v>
      </c>
      <c r="G2183">
        <v>17</v>
      </c>
      <c r="H2183">
        <v>248.02</v>
      </c>
      <c r="I2183">
        <v>50.96</v>
      </c>
      <c r="J2183" t="s">
        <v>14</v>
      </c>
      <c r="K2183" t="s">
        <v>16</v>
      </c>
      <c r="L2183" t="s">
        <v>2087</v>
      </c>
      <c r="M2183">
        <v>5</v>
      </c>
      <c r="N2183" t="s">
        <v>194</v>
      </c>
      <c r="O2183" t="s">
        <v>2121</v>
      </c>
    </row>
    <row r="2184" spans="1:15">
      <c r="A2184" t="s">
        <v>1584</v>
      </c>
      <c r="B2184" t="s">
        <v>2090</v>
      </c>
      <c r="C2184" t="s">
        <v>2094</v>
      </c>
      <c r="D2184" s="1">
        <v>43900</v>
      </c>
      <c r="E2184" s="1">
        <v>45288</v>
      </c>
      <c r="F2184">
        <v>4</v>
      </c>
      <c r="G2184">
        <v>4</v>
      </c>
      <c r="H2184">
        <v>96.34</v>
      </c>
      <c r="I2184">
        <v>117.56</v>
      </c>
      <c r="J2184" t="s">
        <v>90</v>
      </c>
      <c r="K2184" t="s">
        <v>16</v>
      </c>
      <c r="L2184" t="s">
        <v>2087</v>
      </c>
      <c r="M2184">
        <v>7</v>
      </c>
      <c r="N2184" t="s">
        <v>204</v>
      </c>
      <c r="O2184" t="s">
        <v>2088</v>
      </c>
    </row>
    <row r="2185" spans="1:15">
      <c r="A2185" t="s">
        <v>3792</v>
      </c>
      <c r="B2185" t="s">
        <v>2090</v>
      </c>
      <c r="C2185" t="s">
        <v>2108</v>
      </c>
      <c r="D2185" s="1">
        <v>43909</v>
      </c>
      <c r="E2185" s="1">
        <v>45045</v>
      </c>
      <c r="F2185">
        <v>247</v>
      </c>
      <c r="G2185">
        <v>8</v>
      </c>
      <c r="H2185">
        <v>295.08999999999997</v>
      </c>
      <c r="I2185">
        <v>113.83</v>
      </c>
      <c r="J2185" t="s">
        <v>41</v>
      </c>
      <c r="K2185" t="s">
        <v>16</v>
      </c>
      <c r="L2185" t="s">
        <v>2087</v>
      </c>
      <c r="M2185">
        <v>3</v>
      </c>
      <c r="N2185" t="s">
        <v>232</v>
      </c>
      <c r="O2185" t="s">
        <v>2088</v>
      </c>
    </row>
    <row r="2186" spans="1:15">
      <c r="A2186" t="s">
        <v>3793</v>
      </c>
      <c r="B2186" t="s">
        <v>2085</v>
      </c>
      <c r="C2186" t="s">
        <v>2091</v>
      </c>
      <c r="D2186" s="1">
        <v>43525</v>
      </c>
      <c r="E2186" s="1">
        <v>45193</v>
      </c>
      <c r="F2186">
        <v>99</v>
      </c>
      <c r="G2186">
        <v>20</v>
      </c>
      <c r="H2186">
        <v>2292.42</v>
      </c>
      <c r="I2186">
        <v>182.21</v>
      </c>
      <c r="J2186" t="s">
        <v>41</v>
      </c>
      <c r="K2186" t="s">
        <v>16</v>
      </c>
      <c r="L2186" t="s">
        <v>2106</v>
      </c>
      <c r="M2186">
        <v>6</v>
      </c>
      <c r="N2186" t="s">
        <v>165</v>
      </c>
      <c r="O2186" t="s">
        <v>2107</v>
      </c>
    </row>
    <row r="2187" spans="1:15">
      <c r="A2187" t="s">
        <v>3794</v>
      </c>
      <c r="B2187" t="s">
        <v>2099</v>
      </c>
      <c r="C2187" t="s">
        <v>2086</v>
      </c>
      <c r="D2187" s="1">
        <v>43772</v>
      </c>
      <c r="E2187" s="1">
        <v>44958</v>
      </c>
      <c r="F2187">
        <v>334</v>
      </c>
      <c r="G2187">
        <v>1</v>
      </c>
      <c r="H2187">
        <v>43.89</v>
      </c>
      <c r="I2187">
        <v>74.849999999999994</v>
      </c>
      <c r="J2187" t="s">
        <v>90</v>
      </c>
      <c r="K2187" t="s">
        <v>16</v>
      </c>
      <c r="L2187" t="s">
        <v>2087</v>
      </c>
      <c r="M2187">
        <v>10</v>
      </c>
      <c r="N2187" t="s">
        <v>174</v>
      </c>
      <c r="O2187" t="s">
        <v>2109</v>
      </c>
    </row>
    <row r="2188" spans="1:15">
      <c r="A2188" t="s">
        <v>3795</v>
      </c>
      <c r="B2188" t="s">
        <v>2085</v>
      </c>
      <c r="C2188" t="s">
        <v>2111</v>
      </c>
      <c r="D2188" s="1">
        <v>44783</v>
      </c>
      <c r="E2188" s="1">
        <v>45163</v>
      </c>
      <c r="F2188">
        <v>129</v>
      </c>
      <c r="G2188">
        <v>26</v>
      </c>
      <c r="H2188">
        <v>2501.17</v>
      </c>
      <c r="I2188">
        <v>107.43</v>
      </c>
      <c r="J2188" t="s">
        <v>14</v>
      </c>
      <c r="K2188" t="s">
        <v>16</v>
      </c>
      <c r="L2188" t="s">
        <v>2106</v>
      </c>
      <c r="M2188">
        <v>1</v>
      </c>
      <c r="N2188" t="s">
        <v>157</v>
      </c>
      <c r="O2188" t="s">
        <v>2096</v>
      </c>
    </row>
    <row r="2189" spans="1:15">
      <c r="A2189" t="s">
        <v>3796</v>
      </c>
      <c r="B2189" t="s">
        <v>2085</v>
      </c>
      <c r="C2189" t="s">
        <v>2111</v>
      </c>
      <c r="D2189" s="1">
        <v>44099</v>
      </c>
      <c r="E2189" s="1">
        <v>45240</v>
      </c>
      <c r="F2189">
        <v>52</v>
      </c>
      <c r="G2189">
        <v>18</v>
      </c>
      <c r="H2189">
        <v>2084.84</v>
      </c>
      <c r="I2189">
        <v>141.76</v>
      </c>
      <c r="J2189" t="s">
        <v>90</v>
      </c>
      <c r="K2189" t="s">
        <v>16</v>
      </c>
      <c r="L2189" t="s">
        <v>2106</v>
      </c>
      <c r="M2189">
        <v>7</v>
      </c>
      <c r="N2189" t="s">
        <v>157</v>
      </c>
      <c r="O2189" t="s">
        <v>2096</v>
      </c>
    </row>
    <row r="2190" spans="1:15">
      <c r="A2190" t="s">
        <v>3797</v>
      </c>
      <c r="B2190" t="s">
        <v>2099</v>
      </c>
      <c r="C2190" t="s">
        <v>2091</v>
      </c>
      <c r="D2190" s="1">
        <v>43862</v>
      </c>
      <c r="E2190" s="1">
        <v>45278</v>
      </c>
      <c r="F2190">
        <v>14</v>
      </c>
      <c r="G2190">
        <v>1</v>
      </c>
      <c r="H2190">
        <v>114.66</v>
      </c>
      <c r="I2190">
        <v>64.099999999999994</v>
      </c>
      <c r="J2190" t="s">
        <v>41</v>
      </c>
      <c r="K2190" t="s">
        <v>20</v>
      </c>
      <c r="L2190" t="s">
        <v>2106</v>
      </c>
      <c r="M2190">
        <v>10</v>
      </c>
      <c r="N2190" t="s">
        <v>179</v>
      </c>
      <c r="O2190" t="s">
        <v>2096</v>
      </c>
    </row>
    <row r="2191" spans="1:15">
      <c r="A2191" t="s">
        <v>3798</v>
      </c>
      <c r="B2191" t="s">
        <v>2093</v>
      </c>
      <c r="C2191" t="s">
        <v>2086</v>
      </c>
      <c r="D2191" s="1">
        <v>45069</v>
      </c>
      <c r="E2191" s="1">
        <v>45259</v>
      </c>
      <c r="F2191">
        <v>33</v>
      </c>
      <c r="G2191">
        <v>5</v>
      </c>
      <c r="H2191">
        <v>56.78</v>
      </c>
      <c r="I2191">
        <v>75.19</v>
      </c>
      <c r="J2191" t="s">
        <v>41</v>
      </c>
      <c r="K2191" t="s">
        <v>16</v>
      </c>
      <c r="L2191" t="s">
        <v>2095</v>
      </c>
      <c r="M2191">
        <v>5</v>
      </c>
      <c r="N2191" t="s">
        <v>157</v>
      </c>
      <c r="O2191" t="s">
        <v>2096</v>
      </c>
    </row>
    <row r="2192" spans="1:15">
      <c r="A2192" t="s">
        <v>3799</v>
      </c>
      <c r="B2192" t="s">
        <v>2099</v>
      </c>
      <c r="C2192" t="s">
        <v>2086</v>
      </c>
      <c r="D2192" s="1">
        <v>43552</v>
      </c>
      <c r="E2192" s="1">
        <v>44955</v>
      </c>
      <c r="F2192">
        <v>337</v>
      </c>
      <c r="G2192">
        <v>1</v>
      </c>
      <c r="H2192">
        <v>40.75</v>
      </c>
      <c r="I2192">
        <v>93.57</v>
      </c>
      <c r="J2192" t="s">
        <v>41</v>
      </c>
      <c r="K2192" t="s">
        <v>16</v>
      </c>
      <c r="L2192" t="s">
        <v>2106</v>
      </c>
      <c r="M2192">
        <v>3</v>
      </c>
      <c r="N2192" t="s">
        <v>165</v>
      </c>
      <c r="O2192" t="s">
        <v>2109</v>
      </c>
    </row>
    <row r="2193" spans="1:15">
      <c r="A2193" t="s">
        <v>3800</v>
      </c>
      <c r="B2193" t="s">
        <v>2099</v>
      </c>
      <c r="C2193" t="s">
        <v>2086</v>
      </c>
      <c r="D2193" s="1">
        <v>44112</v>
      </c>
      <c r="E2193" s="1">
        <v>45073</v>
      </c>
      <c r="F2193">
        <v>219</v>
      </c>
      <c r="G2193">
        <v>2</v>
      </c>
      <c r="H2193">
        <v>43.64</v>
      </c>
      <c r="I2193">
        <v>82.35</v>
      </c>
      <c r="J2193" t="s">
        <v>115</v>
      </c>
      <c r="K2193" t="s">
        <v>16</v>
      </c>
      <c r="L2193" t="s">
        <v>2087</v>
      </c>
      <c r="M2193">
        <v>8</v>
      </c>
      <c r="N2193" t="s">
        <v>232</v>
      </c>
      <c r="O2193" t="s">
        <v>2109</v>
      </c>
    </row>
    <row r="2194" spans="1:15">
      <c r="A2194" t="s">
        <v>3801</v>
      </c>
      <c r="B2194" t="s">
        <v>2097</v>
      </c>
      <c r="C2194" t="s">
        <v>2091</v>
      </c>
      <c r="D2194" s="1">
        <v>43862</v>
      </c>
      <c r="E2194" s="1">
        <v>45004</v>
      </c>
      <c r="F2194">
        <v>288</v>
      </c>
      <c r="G2194">
        <v>11</v>
      </c>
      <c r="H2194">
        <v>756.8</v>
      </c>
      <c r="I2194">
        <v>56.21</v>
      </c>
      <c r="J2194" t="s">
        <v>115</v>
      </c>
      <c r="K2194" t="s">
        <v>20</v>
      </c>
      <c r="L2194" t="s">
        <v>2106</v>
      </c>
      <c r="M2194">
        <v>0</v>
      </c>
      <c r="N2194" t="s">
        <v>174</v>
      </c>
      <c r="O2194" t="s">
        <v>2107</v>
      </c>
    </row>
    <row r="2195" spans="1:15">
      <c r="A2195" t="s">
        <v>3802</v>
      </c>
      <c r="B2195" t="s">
        <v>2099</v>
      </c>
      <c r="C2195" t="s">
        <v>2094</v>
      </c>
      <c r="D2195" s="1">
        <v>44907</v>
      </c>
      <c r="E2195" s="1">
        <v>45141</v>
      </c>
      <c r="F2195">
        <v>151</v>
      </c>
      <c r="G2195">
        <v>1</v>
      </c>
      <c r="H2195">
        <v>137.19999999999999</v>
      </c>
      <c r="I2195">
        <v>40.69</v>
      </c>
      <c r="J2195" t="s">
        <v>115</v>
      </c>
      <c r="K2195" t="s">
        <v>20</v>
      </c>
      <c r="L2195" t="s">
        <v>2087</v>
      </c>
      <c r="M2195">
        <v>2</v>
      </c>
      <c r="N2195" t="s">
        <v>165</v>
      </c>
      <c r="O2195" t="s">
        <v>2121</v>
      </c>
    </row>
    <row r="2196" spans="1:15">
      <c r="A2196" t="s">
        <v>696</v>
      </c>
      <c r="B2196" t="s">
        <v>2099</v>
      </c>
      <c r="C2196" t="s">
        <v>2111</v>
      </c>
      <c r="D2196" s="1">
        <v>45142</v>
      </c>
      <c r="E2196" s="1">
        <v>45281</v>
      </c>
      <c r="F2196">
        <v>11</v>
      </c>
      <c r="G2196">
        <v>2</v>
      </c>
      <c r="H2196">
        <v>21.71</v>
      </c>
      <c r="I2196">
        <v>65.430000000000007</v>
      </c>
      <c r="J2196" t="s">
        <v>90</v>
      </c>
      <c r="K2196" t="s">
        <v>16</v>
      </c>
      <c r="L2196" t="s">
        <v>2087</v>
      </c>
      <c r="M2196">
        <v>2</v>
      </c>
      <c r="N2196" t="s">
        <v>165</v>
      </c>
      <c r="O2196" t="s">
        <v>2121</v>
      </c>
    </row>
    <row r="2197" spans="1:15">
      <c r="A2197" t="s">
        <v>3803</v>
      </c>
      <c r="B2197" t="s">
        <v>2113</v>
      </c>
      <c r="C2197" t="s">
        <v>2108</v>
      </c>
      <c r="D2197" s="1">
        <v>44592</v>
      </c>
      <c r="E2197" s="1">
        <v>45165</v>
      </c>
      <c r="F2197">
        <v>127</v>
      </c>
      <c r="G2197">
        <v>10</v>
      </c>
      <c r="H2197">
        <v>280.89</v>
      </c>
      <c r="I2197">
        <v>40.880000000000003</v>
      </c>
      <c r="J2197" t="s">
        <v>66</v>
      </c>
      <c r="K2197" t="s">
        <v>16</v>
      </c>
      <c r="L2197" t="s">
        <v>2087</v>
      </c>
      <c r="M2197">
        <v>8</v>
      </c>
      <c r="N2197" t="s">
        <v>232</v>
      </c>
      <c r="O2197" t="s">
        <v>2121</v>
      </c>
    </row>
    <row r="2198" spans="1:15">
      <c r="A2198" t="s">
        <v>3804</v>
      </c>
      <c r="B2198" t="s">
        <v>2085</v>
      </c>
      <c r="C2198" t="s">
        <v>2100</v>
      </c>
      <c r="D2198" s="1">
        <v>44707</v>
      </c>
      <c r="E2198" s="1">
        <v>45066</v>
      </c>
      <c r="F2198">
        <v>226</v>
      </c>
      <c r="G2198">
        <v>26</v>
      </c>
      <c r="H2198">
        <v>807.93</v>
      </c>
      <c r="I2198">
        <v>239.38</v>
      </c>
      <c r="J2198" t="s">
        <v>66</v>
      </c>
      <c r="K2198" t="s">
        <v>16</v>
      </c>
      <c r="L2198" t="s">
        <v>2087</v>
      </c>
      <c r="M2198">
        <v>7</v>
      </c>
      <c r="N2198" t="s">
        <v>179</v>
      </c>
      <c r="O2198" t="s">
        <v>2096</v>
      </c>
    </row>
    <row r="2199" spans="1:15">
      <c r="A2199" t="s">
        <v>351</v>
      </c>
      <c r="B2199" t="s">
        <v>2099</v>
      </c>
      <c r="C2199" t="s">
        <v>2100</v>
      </c>
      <c r="D2199" s="1">
        <v>44490</v>
      </c>
      <c r="E2199" s="1">
        <v>45237</v>
      </c>
      <c r="F2199">
        <v>55</v>
      </c>
      <c r="G2199">
        <v>1</v>
      </c>
      <c r="H2199">
        <v>38.5</v>
      </c>
      <c r="I2199">
        <v>69.19</v>
      </c>
      <c r="J2199" t="s">
        <v>41</v>
      </c>
      <c r="K2199" t="s">
        <v>20</v>
      </c>
      <c r="L2199" t="s">
        <v>2087</v>
      </c>
      <c r="M2199">
        <v>2</v>
      </c>
      <c r="N2199" t="s">
        <v>204</v>
      </c>
      <c r="O2199" t="s">
        <v>2088</v>
      </c>
    </row>
    <row r="2200" spans="1:15">
      <c r="A2200" t="s">
        <v>3805</v>
      </c>
      <c r="B2200" t="s">
        <v>2085</v>
      </c>
      <c r="C2200" t="s">
        <v>2108</v>
      </c>
      <c r="D2200" s="1">
        <v>43766</v>
      </c>
      <c r="E2200" s="1">
        <v>45132</v>
      </c>
      <c r="F2200">
        <v>160</v>
      </c>
      <c r="G2200">
        <v>37</v>
      </c>
      <c r="H2200">
        <v>2117.23</v>
      </c>
      <c r="I2200">
        <v>202.53</v>
      </c>
      <c r="J2200" t="s">
        <v>14</v>
      </c>
      <c r="K2200" t="s">
        <v>20</v>
      </c>
      <c r="L2200" t="s">
        <v>2106</v>
      </c>
      <c r="M2200">
        <v>6</v>
      </c>
      <c r="N2200" t="s">
        <v>194</v>
      </c>
      <c r="O2200" t="s">
        <v>2096</v>
      </c>
    </row>
    <row r="2201" spans="1:15">
      <c r="A2201" t="s">
        <v>1154</v>
      </c>
      <c r="B2201" t="s">
        <v>2099</v>
      </c>
      <c r="C2201" t="s">
        <v>2108</v>
      </c>
      <c r="D2201" s="1">
        <v>44475</v>
      </c>
      <c r="E2201" s="1">
        <v>44965</v>
      </c>
      <c r="F2201">
        <v>327</v>
      </c>
      <c r="G2201">
        <v>1</v>
      </c>
      <c r="H2201">
        <v>20.170000000000002</v>
      </c>
      <c r="I2201">
        <v>35.67</v>
      </c>
      <c r="J2201" t="s">
        <v>115</v>
      </c>
      <c r="K2201" t="s">
        <v>16</v>
      </c>
      <c r="L2201" t="s">
        <v>2095</v>
      </c>
      <c r="M2201">
        <v>5</v>
      </c>
      <c r="N2201" t="s">
        <v>204</v>
      </c>
      <c r="O2201" t="s">
        <v>2109</v>
      </c>
    </row>
    <row r="2202" spans="1:15">
      <c r="A2202" t="s">
        <v>646</v>
      </c>
      <c r="B2202" t="s">
        <v>2090</v>
      </c>
      <c r="C2202" t="s">
        <v>2100</v>
      </c>
      <c r="D2202" s="1">
        <v>44879</v>
      </c>
      <c r="E2202" s="1">
        <v>45255</v>
      </c>
      <c r="F2202">
        <v>37</v>
      </c>
      <c r="G2202">
        <v>6</v>
      </c>
      <c r="H2202">
        <v>83.38</v>
      </c>
      <c r="I2202">
        <v>56.1</v>
      </c>
      <c r="J2202" t="s">
        <v>90</v>
      </c>
      <c r="K2202" t="s">
        <v>16</v>
      </c>
      <c r="L2202" t="s">
        <v>2087</v>
      </c>
      <c r="M2202">
        <v>9</v>
      </c>
      <c r="N2202" t="s">
        <v>179</v>
      </c>
      <c r="O2202" t="s">
        <v>2121</v>
      </c>
    </row>
    <row r="2203" spans="1:15">
      <c r="A2203" t="s">
        <v>3806</v>
      </c>
      <c r="B2203" t="s">
        <v>2093</v>
      </c>
      <c r="C2203" t="s">
        <v>2091</v>
      </c>
      <c r="D2203" s="1">
        <v>43856</v>
      </c>
      <c r="E2203" s="1">
        <v>44990</v>
      </c>
      <c r="F2203">
        <v>302</v>
      </c>
      <c r="G2203">
        <v>1</v>
      </c>
      <c r="H2203">
        <v>54.54</v>
      </c>
      <c r="I2203">
        <v>54.96</v>
      </c>
      <c r="J2203" t="s">
        <v>66</v>
      </c>
      <c r="K2203" t="s">
        <v>16</v>
      </c>
      <c r="L2203" t="s">
        <v>2106</v>
      </c>
      <c r="M2203">
        <v>10</v>
      </c>
      <c r="N2203" t="s">
        <v>194</v>
      </c>
      <c r="O2203" t="s">
        <v>2107</v>
      </c>
    </row>
    <row r="2204" spans="1:15">
      <c r="A2204" t="s">
        <v>3807</v>
      </c>
      <c r="B2204" t="s">
        <v>2113</v>
      </c>
      <c r="C2204" t="s">
        <v>2086</v>
      </c>
      <c r="D2204" s="1">
        <v>43502</v>
      </c>
      <c r="E2204" s="1">
        <v>44970</v>
      </c>
      <c r="F2204">
        <v>322</v>
      </c>
      <c r="G2204">
        <v>13</v>
      </c>
      <c r="H2204">
        <v>141.6</v>
      </c>
      <c r="I2204">
        <v>49.95</v>
      </c>
      <c r="J2204" t="s">
        <v>115</v>
      </c>
      <c r="K2204" t="s">
        <v>16</v>
      </c>
      <c r="L2204" t="s">
        <v>2106</v>
      </c>
      <c r="M2204">
        <v>8</v>
      </c>
      <c r="N2204" t="s">
        <v>165</v>
      </c>
      <c r="O2204" t="s">
        <v>2121</v>
      </c>
    </row>
    <row r="2205" spans="1:15">
      <c r="A2205" t="s">
        <v>3808</v>
      </c>
      <c r="B2205" t="s">
        <v>2090</v>
      </c>
      <c r="C2205" t="s">
        <v>2100</v>
      </c>
      <c r="D2205" s="1">
        <v>44904</v>
      </c>
      <c r="E2205" s="1">
        <v>44987</v>
      </c>
      <c r="F2205">
        <v>305</v>
      </c>
      <c r="G2205">
        <v>2</v>
      </c>
      <c r="H2205">
        <v>247.14</v>
      </c>
      <c r="I2205">
        <v>40.22</v>
      </c>
      <c r="J2205" t="s">
        <v>14</v>
      </c>
      <c r="K2205" t="s">
        <v>20</v>
      </c>
      <c r="L2205" t="s">
        <v>2106</v>
      </c>
      <c r="M2205">
        <v>10</v>
      </c>
      <c r="N2205" t="s">
        <v>204</v>
      </c>
      <c r="O2205" t="s">
        <v>2109</v>
      </c>
    </row>
    <row r="2206" spans="1:15">
      <c r="A2206" t="s">
        <v>203</v>
      </c>
      <c r="B2206" t="s">
        <v>2085</v>
      </c>
      <c r="C2206" t="s">
        <v>2108</v>
      </c>
      <c r="D2206" s="1">
        <v>44794</v>
      </c>
      <c r="E2206" s="1">
        <v>44979</v>
      </c>
      <c r="F2206">
        <v>313</v>
      </c>
      <c r="G2206">
        <v>23</v>
      </c>
      <c r="H2206">
        <v>1175.21</v>
      </c>
      <c r="I2206">
        <v>195.91</v>
      </c>
      <c r="J2206" t="s">
        <v>14</v>
      </c>
      <c r="K2206" t="s">
        <v>16</v>
      </c>
      <c r="L2206" t="s">
        <v>2087</v>
      </c>
      <c r="M2206">
        <v>0</v>
      </c>
      <c r="N2206" t="s">
        <v>194</v>
      </c>
      <c r="O2206" t="s">
        <v>2107</v>
      </c>
    </row>
    <row r="2207" spans="1:15">
      <c r="A2207" t="s">
        <v>3809</v>
      </c>
      <c r="B2207" t="s">
        <v>2097</v>
      </c>
      <c r="C2207" t="s">
        <v>2086</v>
      </c>
      <c r="D2207" s="1">
        <v>44965</v>
      </c>
      <c r="E2207" s="1">
        <v>45153</v>
      </c>
      <c r="F2207">
        <v>139</v>
      </c>
      <c r="G2207">
        <v>9</v>
      </c>
      <c r="H2207">
        <v>783.78</v>
      </c>
      <c r="I2207">
        <v>107.9</v>
      </c>
      <c r="J2207" t="s">
        <v>90</v>
      </c>
      <c r="K2207" t="s">
        <v>16</v>
      </c>
      <c r="L2207" t="s">
        <v>2106</v>
      </c>
      <c r="M2207">
        <v>2</v>
      </c>
      <c r="N2207" t="s">
        <v>165</v>
      </c>
      <c r="O2207" t="s">
        <v>2121</v>
      </c>
    </row>
    <row r="2208" spans="1:15">
      <c r="A2208" t="s">
        <v>3810</v>
      </c>
      <c r="B2208" t="s">
        <v>2099</v>
      </c>
      <c r="C2208" t="s">
        <v>2111</v>
      </c>
      <c r="D2208" s="1">
        <v>43603</v>
      </c>
      <c r="E2208" s="1">
        <v>44973</v>
      </c>
      <c r="F2208">
        <v>319</v>
      </c>
      <c r="G2208">
        <v>1</v>
      </c>
      <c r="H2208">
        <v>107.06</v>
      </c>
      <c r="I2208">
        <v>46.2</v>
      </c>
      <c r="J2208" t="s">
        <v>115</v>
      </c>
      <c r="K2208" t="s">
        <v>16</v>
      </c>
      <c r="L2208" t="s">
        <v>2095</v>
      </c>
      <c r="M2208">
        <v>10</v>
      </c>
      <c r="N2208" t="s">
        <v>204</v>
      </c>
      <c r="O2208" t="s">
        <v>2096</v>
      </c>
    </row>
    <row r="2209" spans="1:15">
      <c r="A2209" t="s">
        <v>3811</v>
      </c>
      <c r="B2209" t="s">
        <v>2085</v>
      </c>
      <c r="C2209" t="s">
        <v>2111</v>
      </c>
      <c r="D2209" s="1">
        <v>44953</v>
      </c>
      <c r="E2209" s="1">
        <v>45017</v>
      </c>
      <c r="F2209">
        <v>275</v>
      </c>
      <c r="G2209">
        <v>27</v>
      </c>
      <c r="H2209">
        <v>2021.59</v>
      </c>
      <c r="I2209">
        <v>172.42</v>
      </c>
      <c r="J2209" t="s">
        <v>66</v>
      </c>
      <c r="K2209" t="s">
        <v>16</v>
      </c>
      <c r="L2209" t="s">
        <v>2095</v>
      </c>
      <c r="M2209">
        <v>5</v>
      </c>
      <c r="N2209" t="s">
        <v>165</v>
      </c>
      <c r="O2209" t="s">
        <v>2121</v>
      </c>
    </row>
    <row r="2210" spans="1:15">
      <c r="A2210" t="s">
        <v>3812</v>
      </c>
      <c r="B2210" t="s">
        <v>2090</v>
      </c>
      <c r="C2210" t="s">
        <v>2108</v>
      </c>
      <c r="D2210" s="1">
        <v>44749</v>
      </c>
      <c r="E2210" s="1">
        <v>45044</v>
      </c>
      <c r="F2210">
        <v>248</v>
      </c>
      <c r="G2210">
        <v>5</v>
      </c>
      <c r="H2210">
        <v>132.31</v>
      </c>
      <c r="I2210">
        <v>101.01</v>
      </c>
      <c r="J2210" t="s">
        <v>115</v>
      </c>
      <c r="K2210" t="s">
        <v>16</v>
      </c>
      <c r="L2210" t="s">
        <v>2095</v>
      </c>
      <c r="M2210">
        <v>1</v>
      </c>
      <c r="N2210" t="s">
        <v>174</v>
      </c>
      <c r="O2210" t="s">
        <v>2107</v>
      </c>
    </row>
    <row r="2211" spans="1:15">
      <c r="A2211" t="s">
        <v>3813</v>
      </c>
      <c r="B2211" t="s">
        <v>2090</v>
      </c>
      <c r="C2211" t="s">
        <v>2094</v>
      </c>
      <c r="D2211" s="1">
        <v>44701</v>
      </c>
      <c r="E2211" s="1">
        <v>45169</v>
      </c>
      <c r="F2211">
        <v>123</v>
      </c>
      <c r="G2211">
        <v>5</v>
      </c>
      <c r="H2211">
        <v>196.63</v>
      </c>
      <c r="I2211">
        <v>89.95</v>
      </c>
      <c r="J2211" t="s">
        <v>90</v>
      </c>
      <c r="K2211" t="s">
        <v>20</v>
      </c>
      <c r="L2211" t="s">
        <v>2106</v>
      </c>
      <c r="M2211">
        <v>10</v>
      </c>
      <c r="N2211" t="s">
        <v>165</v>
      </c>
      <c r="O2211" t="s">
        <v>2121</v>
      </c>
    </row>
    <row r="2212" spans="1:15">
      <c r="A2212" t="s">
        <v>3814</v>
      </c>
      <c r="B2212" t="s">
        <v>2093</v>
      </c>
      <c r="C2212" t="s">
        <v>2108</v>
      </c>
      <c r="D2212" s="1">
        <v>44684</v>
      </c>
      <c r="E2212" s="1">
        <v>45158</v>
      </c>
      <c r="F2212">
        <v>134</v>
      </c>
      <c r="G2212">
        <v>2</v>
      </c>
      <c r="H2212">
        <v>177.59</v>
      </c>
      <c r="I2212">
        <v>45.34</v>
      </c>
      <c r="J2212" t="s">
        <v>66</v>
      </c>
      <c r="K2212" t="s">
        <v>16</v>
      </c>
      <c r="L2212" t="s">
        <v>2095</v>
      </c>
      <c r="M2212">
        <v>5</v>
      </c>
      <c r="N2212" t="s">
        <v>157</v>
      </c>
      <c r="O2212" t="s">
        <v>2109</v>
      </c>
    </row>
    <row r="2213" spans="1:15">
      <c r="A2213" t="s">
        <v>3815</v>
      </c>
      <c r="B2213" t="s">
        <v>2093</v>
      </c>
      <c r="C2213" t="s">
        <v>2111</v>
      </c>
      <c r="D2213" s="1">
        <v>44794</v>
      </c>
      <c r="E2213" s="1">
        <v>45011</v>
      </c>
      <c r="F2213">
        <v>281</v>
      </c>
      <c r="G2213">
        <v>5</v>
      </c>
      <c r="H2213">
        <v>159.80000000000001</v>
      </c>
      <c r="I2213">
        <v>35.47</v>
      </c>
      <c r="J2213" t="s">
        <v>66</v>
      </c>
      <c r="K2213" t="s">
        <v>16</v>
      </c>
      <c r="L2213" t="s">
        <v>2087</v>
      </c>
      <c r="M2213">
        <v>4</v>
      </c>
      <c r="N2213" t="s">
        <v>174</v>
      </c>
      <c r="O2213" t="s">
        <v>2121</v>
      </c>
    </row>
    <row r="2214" spans="1:15">
      <c r="A2214" t="s">
        <v>3816</v>
      </c>
      <c r="B2214" t="s">
        <v>2093</v>
      </c>
      <c r="C2214" t="s">
        <v>2094</v>
      </c>
      <c r="D2214" s="1">
        <v>45090</v>
      </c>
      <c r="E2214" s="1">
        <v>45275</v>
      </c>
      <c r="F2214">
        <v>17</v>
      </c>
      <c r="G2214">
        <v>2</v>
      </c>
      <c r="H2214">
        <v>104.94</v>
      </c>
      <c r="I2214">
        <v>22.36</v>
      </c>
      <c r="J2214" t="s">
        <v>14</v>
      </c>
      <c r="K2214" t="s">
        <v>16</v>
      </c>
      <c r="L2214" t="s">
        <v>2095</v>
      </c>
      <c r="M2214">
        <v>7</v>
      </c>
      <c r="N2214" t="s">
        <v>179</v>
      </c>
      <c r="O2214" t="s">
        <v>2088</v>
      </c>
    </row>
    <row r="2215" spans="1:15">
      <c r="A2215" t="s">
        <v>3817</v>
      </c>
      <c r="B2215" t="s">
        <v>2097</v>
      </c>
      <c r="C2215" t="s">
        <v>2108</v>
      </c>
      <c r="D2215" s="1">
        <v>44275</v>
      </c>
      <c r="E2215" s="1">
        <v>45220</v>
      </c>
      <c r="F2215">
        <v>72</v>
      </c>
      <c r="G2215">
        <v>10</v>
      </c>
      <c r="H2215">
        <v>663.12</v>
      </c>
      <c r="I2215">
        <v>129.62</v>
      </c>
      <c r="J2215" t="s">
        <v>115</v>
      </c>
      <c r="K2215" t="s">
        <v>16</v>
      </c>
      <c r="L2215" t="s">
        <v>2087</v>
      </c>
      <c r="M2215">
        <v>8</v>
      </c>
      <c r="N2215" t="s">
        <v>174</v>
      </c>
      <c r="O2215" t="s">
        <v>2109</v>
      </c>
    </row>
    <row r="2216" spans="1:15">
      <c r="A2216" t="s">
        <v>1569</v>
      </c>
      <c r="B2216" t="s">
        <v>2085</v>
      </c>
      <c r="C2216" t="s">
        <v>2100</v>
      </c>
      <c r="D2216" s="1">
        <v>45036</v>
      </c>
      <c r="E2216" s="1">
        <v>44972</v>
      </c>
      <c r="F2216">
        <v>320</v>
      </c>
      <c r="G2216">
        <v>38</v>
      </c>
      <c r="H2216">
        <v>1966.43</v>
      </c>
      <c r="I2216">
        <v>168.7</v>
      </c>
      <c r="J2216" t="s">
        <v>66</v>
      </c>
      <c r="K2216" t="s">
        <v>20</v>
      </c>
      <c r="L2216" t="s">
        <v>2106</v>
      </c>
      <c r="M2216">
        <v>0</v>
      </c>
      <c r="N2216" t="s">
        <v>179</v>
      </c>
      <c r="O2216" t="s">
        <v>2121</v>
      </c>
    </row>
    <row r="2217" spans="1:15">
      <c r="A2217" t="s">
        <v>3818</v>
      </c>
      <c r="B2217" t="s">
        <v>2090</v>
      </c>
      <c r="C2217" t="s">
        <v>2094</v>
      </c>
      <c r="D2217" s="1">
        <v>44508</v>
      </c>
      <c r="E2217" s="1">
        <v>44967</v>
      </c>
      <c r="F2217">
        <v>325</v>
      </c>
      <c r="G2217">
        <v>4</v>
      </c>
      <c r="H2217">
        <v>276.92</v>
      </c>
      <c r="I2217">
        <v>71.28</v>
      </c>
      <c r="J2217" t="s">
        <v>66</v>
      </c>
      <c r="K2217" t="s">
        <v>20</v>
      </c>
      <c r="L2217" t="s">
        <v>2106</v>
      </c>
      <c r="M2217">
        <v>0</v>
      </c>
      <c r="N2217" t="s">
        <v>232</v>
      </c>
      <c r="O2217" t="s">
        <v>2096</v>
      </c>
    </row>
    <row r="2218" spans="1:15">
      <c r="A2218" t="s">
        <v>3819</v>
      </c>
      <c r="B2218" t="s">
        <v>2097</v>
      </c>
      <c r="C2218" t="s">
        <v>2108</v>
      </c>
      <c r="D2218" s="1">
        <v>44970</v>
      </c>
      <c r="E2218" s="1">
        <v>44950</v>
      </c>
      <c r="F2218">
        <v>342</v>
      </c>
      <c r="G2218">
        <v>8</v>
      </c>
      <c r="H2218">
        <v>477.16</v>
      </c>
      <c r="I2218">
        <v>67.09</v>
      </c>
      <c r="J2218" t="s">
        <v>66</v>
      </c>
      <c r="K2218" t="s">
        <v>16</v>
      </c>
      <c r="L2218" t="s">
        <v>2087</v>
      </c>
      <c r="M2218">
        <v>4</v>
      </c>
      <c r="N2218" t="s">
        <v>194</v>
      </c>
      <c r="O2218" t="s">
        <v>2096</v>
      </c>
    </row>
    <row r="2219" spans="1:15">
      <c r="A2219" t="s">
        <v>3820</v>
      </c>
      <c r="B2219" t="s">
        <v>2090</v>
      </c>
      <c r="C2219" t="s">
        <v>2094</v>
      </c>
      <c r="D2219" s="1">
        <v>43840</v>
      </c>
      <c r="E2219" s="1">
        <v>45059</v>
      </c>
      <c r="F2219">
        <v>233</v>
      </c>
      <c r="G2219">
        <v>6</v>
      </c>
      <c r="H2219">
        <v>264.82</v>
      </c>
      <c r="I2219">
        <v>74.94</v>
      </c>
      <c r="J2219" t="s">
        <v>41</v>
      </c>
      <c r="K2219" t="s">
        <v>16</v>
      </c>
      <c r="L2219" t="s">
        <v>2095</v>
      </c>
      <c r="M2219">
        <v>7</v>
      </c>
      <c r="N2219" t="s">
        <v>165</v>
      </c>
      <c r="O2219" t="s">
        <v>2088</v>
      </c>
    </row>
    <row r="2220" spans="1:15">
      <c r="A2220" t="s">
        <v>3821</v>
      </c>
      <c r="B2220" t="s">
        <v>2085</v>
      </c>
      <c r="C2220" t="s">
        <v>2086</v>
      </c>
      <c r="D2220" s="1">
        <v>43582</v>
      </c>
      <c r="E2220" s="1">
        <v>45285</v>
      </c>
      <c r="F2220">
        <v>7</v>
      </c>
      <c r="G2220">
        <v>15</v>
      </c>
      <c r="H2220">
        <v>2783</v>
      </c>
      <c r="I2220">
        <v>118.11</v>
      </c>
      <c r="J2220" t="s">
        <v>66</v>
      </c>
      <c r="K2220" t="s">
        <v>20</v>
      </c>
      <c r="L2220" t="s">
        <v>2095</v>
      </c>
      <c r="M2220">
        <v>8</v>
      </c>
      <c r="N2220" t="s">
        <v>194</v>
      </c>
      <c r="O2220" t="s">
        <v>2109</v>
      </c>
    </row>
    <row r="2221" spans="1:15">
      <c r="A2221" t="s">
        <v>3822</v>
      </c>
      <c r="B2221" t="s">
        <v>2093</v>
      </c>
      <c r="C2221" t="s">
        <v>2086</v>
      </c>
      <c r="D2221" s="1">
        <v>44834</v>
      </c>
      <c r="E2221" s="1">
        <v>45091</v>
      </c>
      <c r="F2221">
        <v>201</v>
      </c>
      <c r="G2221">
        <v>4</v>
      </c>
      <c r="H2221">
        <v>182.5</v>
      </c>
      <c r="I2221">
        <v>56.58</v>
      </c>
      <c r="J2221" t="s">
        <v>41</v>
      </c>
      <c r="K2221" t="s">
        <v>16</v>
      </c>
      <c r="L2221" t="s">
        <v>2095</v>
      </c>
      <c r="M2221">
        <v>3</v>
      </c>
      <c r="N2221" t="s">
        <v>194</v>
      </c>
      <c r="O2221" t="s">
        <v>2088</v>
      </c>
    </row>
    <row r="2222" spans="1:15">
      <c r="A2222" t="s">
        <v>932</v>
      </c>
      <c r="B2222" t="s">
        <v>2099</v>
      </c>
      <c r="C2222" t="s">
        <v>2100</v>
      </c>
      <c r="D2222" s="1">
        <v>45142</v>
      </c>
      <c r="E2222" s="1">
        <v>45264</v>
      </c>
      <c r="F2222">
        <v>28</v>
      </c>
      <c r="G2222">
        <v>1</v>
      </c>
      <c r="H2222">
        <v>85.01</v>
      </c>
      <c r="I2222">
        <v>36.770000000000003</v>
      </c>
      <c r="J2222" t="s">
        <v>41</v>
      </c>
      <c r="K2222" t="s">
        <v>20</v>
      </c>
      <c r="L2222" t="s">
        <v>2087</v>
      </c>
      <c r="M2222">
        <v>8</v>
      </c>
      <c r="N2222" t="s">
        <v>174</v>
      </c>
      <c r="O2222" t="s">
        <v>2096</v>
      </c>
    </row>
    <row r="2223" spans="1:15">
      <c r="A2223" t="s">
        <v>3823</v>
      </c>
      <c r="B2223" t="s">
        <v>2097</v>
      </c>
      <c r="C2223" t="s">
        <v>2086</v>
      </c>
      <c r="D2223" s="1">
        <v>43783</v>
      </c>
      <c r="E2223" s="1">
        <v>45104</v>
      </c>
      <c r="F2223">
        <v>188</v>
      </c>
      <c r="G2223">
        <v>5</v>
      </c>
      <c r="H2223">
        <v>576.82000000000005</v>
      </c>
      <c r="I2223">
        <v>91.86</v>
      </c>
      <c r="J2223" t="s">
        <v>90</v>
      </c>
      <c r="K2223" t="s">
        <v>20</v>
      </c>
      <c r="L2223" t="s">
        <v>2095</v>
      </c>
      <c r="M2223">
        <v>0</v>
      </c>
      <c r="N2223" t="s">
        <v>194</v>
      </c>
      <c r="O2223" t="s">
        <v>2121</v>
      </c>
    </row>
    <row r="2224" spans="1:15">
      <c r="A2224" t="s">
        <v>3824</v>
      </c>
      <c r="B2224" t="s">
        <v>2113</v>
      </c>
      <c r="C2224" t="s">
        <v>2111</v>
      </c>
      <c r="D2224" s="1">
        <v>44457</v>
      </c>
      <c r="E2224" s="1">
        <v>45207</v>
      </c>
      <c r="F2224">
        <v>85</v>
      </c>
      <c r="G2224">
        <v>10</v>
      </c>
      <c r="H2224">
        <v>511.32</v>
      </c>
      <c r="I2224">
        <v>55.85</v>
      </c>
      <c r="J2224" t="s">
        <v>115</v>
      </c>
      <c r="K2224" t="s">
        <v>16</v>
      </c>
      <c r="L2224" t="s">
        <v>2095</v>
      </c>
      <c r="M2224">
        <v>4</v>
      </c>
      <c r="N2224" t="s">
        <v>204</v>
      </c>
      <c r="O2224" t="s">
        <v>2121</v>
      </c>
    </row>
    <row r="2225" spans="1:15">
      <c r="A2225" t="s">
        <v>3825</v>
      </c>
      <c r="B2225" t="s">
        <v>2090</v>
      </c>
      <c r="C2225" t="s">
        <v>2094</v>
      </c>
      <c r="D2225" s="1">
        <v>44257</v>
      </c>
      <c r="E2225" s="1">
        <v>44929</v>
      </c>
      <c r="F2225">
        <v>363</v>
      </c>
      <c r="G2225">
        <v>7</v>
      </c>
      <c r="H2225">
        <v>252.75</v>
      </c>
      <c r="I2225">
        <v>75.75</v>
      </c>
      <c r="J2225" t="s">
        <v>41</v>
      </c>
      <c r="K2225" t="s">
        <v>20</v>
      </c>
      <c r="L2225" t="s">
        <v>2095</v>
      </c>
      <c r="M2225">
        <v>7</v>
      </c>
      <c r="N2225" t="s">
        <v>174</v>
      </c>
      <c r="O2225" t="s">
        <v>2109</v>
      </c>
    </row>
    <row r="2226" spans="1:15">
      <c r="A2226" t="s">
        <v>3826</v>
      </c>
      <c r="B2226" t="s">
        <v>2093</v>
      </c>
      <c r="C2226" t="s">
        <v>2111</v>
      </c>
      <c r="D2226" s="1">
        <v>45092</v>
      </c>
      <c r="E2226" s="1">
        <v>45019</v>
      </c>
      <c r="F2226">
        <v>273</v>
      </c>
      <c r="G2226">
        <v>5</v>
      </c>
      <c r="H2226">
        <v>186.2</v>
      </c>
      <c r="I2226">
        <v>60.93</v>
      </c>
      <c r="J2226" t="s">
        <v>66</v>
      </c>
      <c r="K2226" t="s">
        <v>16</v>
      </c>
      <c r="L2226" t="s">
        <v>2095</v>
      </c>
      <c r="M2226">
        <v>7</v>
      </c>
      <c r="N2226" t="s">
        <v>157</v>
      </c>
      <c r="O2226" t="s">
        <v>2109</v>
      </c>
    </row>
    <row r="2227" spans="1:15">
      <c r="A2227" t="s">
        <v>3827</v>
      </c>
      <c r="B2227" t="s">
        <v>2113</v>
      </c>
      <c r="C2227" t="s">
        <v>2091</v>
      </c>
      <c r="D2227" s="1">
        <v>43761</v>
      </c>
      <c r="E2227" s="1">
        <v>45245</v>
      </c>
      <c r="F2227">
        <v>47</v>
      </c>
      <c r="G2227">
        <v>6</v>
      </c>
      <c r="H2227">
        <v>504.34</v>
      </c>
      <c r="I2227">
        <v>47.21</v>
      </c>
      <c r="J2227" t="s">
        <v>90</v>
      </c>
      <c r="K2227" t="s">
        <v>16</v>
      </c>
      <c r="L2227" t="s">
        <v>2087</v>
      </c>
      <c r="M2227">
        <v>9</v>
      </c>
      <c r="N2227" t="s">
        <v>232</v>
      </c>
      <c r="O2227" t="s">
        <v>2088</v>
      </c>
    </row>
    <row r="2228" spans="1:15">
      <c r="A2228" t="s">
        <v>3828</v>
      </c>
      <c r="B2228" t="s">
        <v>2093</v>
      </c>
      <c r="C2228" t="s">
        <v>2100</v>
      </c>
      <c r="D2228" s="1">
        <v>44540</v>
      </c>
      <c r="E2228" s="1">
        <v>45163</v>
      </c>
      <c r="F2228">
        <v>129</v>
      </c>
      <c r="G2228">
        <v>5</v>
      </c>
      <c r="H2228">
        <v>107.35</v>
      </c>
      <c r="I2228">
        <v>79.59</v>
      </c>
      <c r="J2228" t="s">
        <v>66</v>
      </c>
      <c r="K2228" t="s">
        <v>16</v>
      </c>
      <c r="L2228" t="s">
        <v>2087</v>
      </c>
      <c r="M2228">
        <v>5</v>
      </c>
      <c r="N2228" t="s">
        <v>232</v>
      </c>
      <c r="O2228" t="s">
        <v>2121</v>
      </c>
    </row>
    <row r="2229" spans="1:15">
      <c r="A2229" t="s">
        <v>3829</v>
      </c>
      <c r="B2229" t="s">
        <v>2099</v>
      </c>
      <c r="C2229" t="s">
        <v>2086</v>
      </c>
      <c r="D2229" s="1">
        <v>43474</v>
      </c>
      <c r="E2229" s="1">
        <v>44986</v>
      </c>
      <c r="F2229">
        <v>306</v>
      </c>
      <c r="G2229">
        <v>2</v>
      </c>
      <c r="H2229">
        <v>145.63999999999999</v>
      </c>
      <c r="I2229">
        <v>38.85</v>
      </c>
      <c r="J2229" t="s">
        <v>41</v>
      </c>
      <c r="K2229" t="s">
        <v>20</v>
      </c>
      <c r="L2229" t="s">
        <v>2106</v>
      </c>
      <c r="M2229">
        <v>3</v>
      </c>
      <c r="N2229" t="s">
        <v>204</v>
      </c>
      <c r="O2229" t="s">
        <v>2096</v>
      </c>
    </row>
    <row r="2230" spans="1:15">
      <c r="A2230" t="s">
        <v>3830</v>
      </c>
      <c r="B2230" t="s">
        <v>2093</v>
      </c>
      <c r="C2230" t="s">
        <v>2094</v>
      </c>
      <c r="D2230" s="1">
        <v>44890</v>
      </c>
      <c r="E2230" s="1">
        <v>45159</v>
      </c>
      <c r="F2230">
        <v>133</v>
      </c>
      <c r="G2230">
        <v>3</v>
      </c>
      <c r="H2230">
        <v>193.64</v>
      </c>
      <c r="I2230">
        <v>46.1</v>
      </c>
      <c r="J2230" t="s">
        <v>14</v>
      </c>
      <c r="K2230" t="s">
        <v>20</v>
      </c>
      <c r="L2230" t="s">
        <v>2106</v>
      </c>
      <c r="M2230">
        <v>3</v>
      </c>
      <c r="N2230" t="s">
        <v>194</v>
      </c>
      <c r="O2230" t="s">
        <v>2109</v>
      </c>
    </row>
    <row r="2231" spans="1:15">
      <c r="A2231" t="s">
        <v>3831</v>
      </c>
      <c r="B2231" t="s">
        <v>2097</v>
      </c>
      <c r="C2231" t="s">
        <v>2086</v>
      </c>
      <c r="D2231" s="1">
        <v>45186</v>
      </c>
      <c r="E2231" s="1">
        <v>45069</v>
      </c>
      <c r="F2231">
        <v>223</v>
      </c>
      <c r="G2231">
        <v>11</v>
      </c>
      <c r="H2231">
        <v>541.83000000000004</v>
      </c>
      <c r="I2231">
        <v>61.09</v>
      </c>
      <c r="J2231" t="s">
        <v>66</v>
      </c>
      <c r="K2231" t="s">
        <v>16</v>
      </c>
      <c r="L2231" t="s">
        <v>2087</v>
      </c>
      <c r="M2231">
        <v>9</v>
      </c>
      <c r="N2231" t="s">
        <v>157</v>
      </c>
      <c r="O2231" t="s">
        <v>2109</v>
      </c>
    </row>
    <row r="2232" spans="1:15">
      <c r="A2232" t="s">
        <v>3832</v>
      </c>
      <c r="B2232" t="s">
        <v>2093</v>
      </c>
      <c r="C2232" t="s">
        <v>2100</v>
      </c>
      <c r="D2232" s="1">
        <v>43609</v>
      </c>
      <c r="E2232" s="1">
        <v>45111</v>
      </c>
      <c r="F2232">
        <v>181</v>
      </c>
      <c r="G2232">
        <v>3</v>
      </c>
      <c r="H2232">
        <v>99.21</v>
      </c>
      <c r="I2232">
        <v>75.27</v>
      </c>
      <c r="J2232" t="s">
        <v>115</v>
      </c>
      <c r="K2232" t="s">
        <v>16</v>
      </c>
      <c r="L2232" t="s">
        <v>2095</v>
      </c>
      <c r="M2232">
        <v>2</v>
      </c>
      <c r="N2232" t="s">
        <v>165</v>
      </c>
      <c r="O2232" t="s">
        <v>2107</v>
      </c>
    </row>
    <row r="2233" spans="1:15">
      <c r="A2233" t="s">
        <v>3833</v>
      </c>
      <c r="B2233" t="s">
        <v>2085</v>
      </c>
      <c r="C2233" t="s">
        <v>2094</v>
      </c>
      <c r="D2233" s="1">
        <v>44152</v>
      </c>
      <c r="E2233" s="1">
        <v>45241</v>
      </c>
      <c r="F2233">
        <v>51</v>
      </c>
      <c r="G2233">
        <v>37</v>
      </c>
      <c r="H2233">
        <v>1823.73</v>
      </c>
      <c r="I2233">
        <v>231.45</v>
      </c>
      <c r="J2233" t="s">
        <v>115</v>
      </c>
      <c r="K2233" t="s">
        <v>16</v>
      </c>
      <c r="L2233" t="s">
        <v>2087</v>
      </c>
      <c r="M2233">
        <v>3</v>
      </c>
      <c r="N2233" t="s">
        <v>174</v>
      </c>
      <c r="O2233" t="s">
        <v>2109</v>
      </c>
    </row>
    <row r="2234" spans="1:15">
      <c r="A2234" t="s">
        <v>3834</v>
      </c>
      <c r="B2234" t="s">
        <v>2085</v>
      </c>
      <c r="C2234" t="s">
        <v>2091</v>
      </c>
      <c r="D2234" s="1">
        <v>44079</v>
      </c>
      <c r="E2234" s="1">
        <v>45050</v>
      </c>
      <c r="F2234">
        <v>242</v>
      </c>
      <c r="G2234">
        <v>16</v>
      </c>
      <c r="H2234">
        <v>2354.42</v>
      </c>
      <c r="I2234">
        <v>189.9</v>
      </c>
      <c r="J2234" t="s">
        <v>14</v>
      </c>
      <c r="K2234" t="s">
        <v>16</v>
      </c>
      <c r="L2234" t="s">
        <v>2087</v>
      </c>
      <c r="M2234">
        <v>10</v>
      </c>
      <c r="N2234" t="s">
        <v>157</v>
      </c>
      <c r="O2234" t="s">
        <v>2109</v>
      </c>
    </row>
    <row r="2235" spans="1:15">
      <c r="A2235" t="s">
        <v>3835</v>
      </c>
      <c r="B2235" t="s">
        <v>2085</v>
      </c>
      <c r="C2235" t="s">
        <v>2100</v>
      </c>
      <c r="D2235" s="1">
        <v>44048</v>
      </c>
      <c r="E2235" s="1">
        <v>45079</v>
      </c>
      <c r="F2235">
        <v>213</v>
      </c>
      <c r="G2235">
        <v>29</v>
      </c>
      <c r="H2235">
        <v>1710.48</v>
      </c>
      <c r="I2235">
        <v>229.74</v>
      </c>
      <c r="J2235" t="s">
        <v>66</v>
      </c>
      <c r="K2235" t="s">
        <v>16</v>
      </c>
      <c r="L2235" t="s">
        <v>2095</v>
      </c>
      <c r="M2235">
        <v>1</v>
      </c>
      <c r="N2235" t="s">
        <v>179</v>
      </c>
      <c r="O2235" t="s">
        <v>2096</v>
      </c>
    </row>
    <row r="2236" spans="1:15">
      <c r="A2236" t="s">
        <v>3836</v>
      </c>
      <c r="B2236" t="s">
        <v>2097</v>
      </c>
      <c r="C2236" t="s">
        <v>2091</v>
      </c>
      <c r="D2236" s="1">
        <v>44472</v>
      </c>
      <c r="E2236" s="1">
        <v>45205</v>
      </c>
      <c r="F2236">
        <v>87</v>
      </c>
      <c r="G2236">
        <v>4</v>
      </c>
      <c r="H2236">
        <v>286.31</v>
      </c>
      <c r="I2236">
        <v>119.85</v>
      </c>
      <c r="J2236" t="s">
        <v>115</v>
      </c>
      <c r="K2236" t="s">
        <v>16</v>
      </c>
      <c r="L2236" t="s">
        <v>2106</v>
      </c>
      <c r="M2236">
        <v>0</v>
      </c>
      <c r="N2236" t="s">
        <v>204</v>
      </c>
      <c r="O2236" t="s">
        <v>2109</v>
      </c>
    </row>
    <row r="2237" spans="1:15">
      <c r="A2237" t="s">
        <v>3837</v>
      </c>
      <c r="B2237" t="s">
        <v>2085</v>
      </c>
      <c r="C2237" t="s">
        <v>2094</v>
      </c>
      <c r="D2237" s="1">
        <v>44741</v>
      </c>
      <c r="E2237" s="1">
        <v>45188</v>
      </c>
      <c r="F2237">
        <v>104</v>
      </c>
      <c r="G2237">
        <v>22</v>
      </c>
      <c r="H2237">
        <v>2333.3000000000002</v>
      </c>
      <c r="I2237">
        <v>159.76</v>
      </c>
      <c r="J2237" t="s">
        <v>115</v>
      </c>
      <c r="K2237" t="s">
        <v>16</v>
      </c>
      <c r="L2237" t="s">
        <v>2087</v>
      </c>
      <c r="M2237">
        <v>3</v>
      </c>
      <c r="N2237" t="s">
        <v>194</v>
      </c>
      <c r="O2237" t="s">
        <v>2109</v>
      </c>
    </row>
    <row r="2238" spans="1:15">
      <c r="A2238" t="s">
        <v>3838</v>
      </c>
      <c r="B2238" t="s">
        <v>2113</v>
      </c>
      <c r="C2238" t="s">
        <v>2086</v>
      </c>
      <c r="D2238" s="1">
        <v>43804</v>
      </c>
      <c r="E2238" s="1">
        <v>45248</v>
      </c>
      <c r="F2238">
        <v>44</v>
      </c>
      <c r="G2238">
        <v>14</v>
      </c>
      <c r="H2238">
        <v>139.94999999999999</v>
      </c>
      <c r="I2238">
        <v>76.5</v>
      </c>
      <c r="J2238" t="s">
        <v>115</v>
      </c>
      <c r="K2238" t="s">
        <v>16</v>
      </c>
      <c r="L2238" t="s">
        <v>2087</v>
      </c>
      <c r="M2238">
        <v>2</v>
      </c>
      <c r="N2238" t="s">
        <v>174</v>
      </c>
      <c r="O2238" t="s">
        <v>2107</v>
      </c>
    </row>
    <row r="2239" spans="1:15">
      <c r="A2239" t="s">
        <v>591</v>
      </c>
      <c r="B2239" t="s">
        <v>2093</v>
      </c>
      <c r="C2239" t="s">
        <v>2094</v>
      </c>
      <c r="D2239" s="1">
        <v>44662</v>
      </c>
      <c r="E2239" s="1">
        <v>44948</v>
      </c>
      <c r="F2239">
        <v>344</v>
      </c>
      <c r="G2239">
        <v>5</v>
      </c>
      <c r="H2239">
        <v>149.83000000000001</v>
      </c>
      <c r="I2239">
        <v>42.87</v>
      </c>
      <c r="J2239" t="s">
        <v>115</v>
      </c>
      <c r="K2239" t="s">
        <v>16</v>
      </c>
      <c r="L2239" t="s">
        <v>2087</v>
      </c>
      <c r="M2239">
        <v>9</v>
      </c>
      <c r="N2239" t="s">
        <v>165</v>
      </c>
      <c r="O2239" t="s">
        <v>2088</v>
      </c>
    </row>
    <row r="2240" spans="1:15">
      <c r="A2240" t="s">
        <v>3839</v>
      </c>
      <c r="B2240" t="s">
        <v>2090</v>
      </c>
      <c r="C2240" t="s">
        <v>2086</v>
      </c>
      <c r="D2240" s="1">
        <v>43786</v>
      </c>
      <c r="E2240" s="1">
        <v>45281</v>
      </c>
      <c r="F2240">
        <v>11</v>
      </c>
      <c r="G2240">
        <v>8</v>
      </c>
      <c r="H2240">
        <v>179.25</v>
      </c>
      <c r="I2240">
        <v>82.95</v>
      </c>
      <c r="J2240" t="s">
        <v>66</v>
      </c>
      <c r="K2240" t="s">
        <v>16</v>
      </c>
      <c r="L2240" t="s">
        <v>2095</v>
      </c>
      <c r="M2240">
        <v>5</v>
      </c>
      <c r="N2240" t="s">
        <v>157</v>
      </c>
      <c r="O2240" t="s">
        <v>2096</v>
      </c>
    </row>
    <row r="2241" spans="1:15">
      <c r="A2241" t="s">
        <v>3840</v>
      </c>
      <c r="B2241" t="s">
        <v>2097</v>
      </c>
      <c r="C2241" t="s">
        <v>2086</v>
      </c>
      <c r="D2241" s="1">
        <v>43809</v>
      </c>
      <c r="E2241" s="1">
        <v>45242</v>
      </c>
      <c r="F2241">
        <v>50</v>
      </c>
      <c r="G2241">
        <v>4</v>
      </c>
      <c r="H2241">
        <v>585.4</v>
      </c>
      <c r="I2241">
        <v>133.97</v>
      </c>
      <c r="J2241" t="s">
        <v>115</v>
      </c>
      <c r="K2241" t="s">
        <v>16</v>
      </c>
      <c r="L2241" t="s">
        <v>2095</v>
      </c>
      <c r="M2241">
        <v>2</v>
      </c>
      <c r="N2241" t="s">
        <v>157</v>
      </c>
      <c r="O2241" t="s">
        <v>2107</v>
      </c>
    </row>
    <row r="2242" spans="1:15">
      <c r="A2242" t="s">
        <v>3841</v>
      </c>
      <c r="B2242" t="s">
        <v>2085</v>
      </c>
      <c r="C2242" t="s">
        <v>2094</v>
      </c>
      <c r="D2242" s="1">
        <v>44537</v>
      </c>
      <c r="E2242" s="1">
        <v>45150</v>
      </c>
      <c r="F2242">
        <v>142</v>
      </c>
      <c r="G2242">
        <v>18</v>
      </c>
      <c r="H2242">
        <v>2708.41</v>
      </c>
      <c r="I2242">
        <v>288.93</v>
      </c>
      <c r="J2242" t="s">
        <v>41</v>
      </c>
      <c r="K2242" t="s">
        <v>16</v>
      </c>
      <c r="L2242" t="s">
        <v>2106</v>
      </c>
      <c r="M2242">
        <v>7</v>
      </c>
      <c r="N2242" t="s">
        <v>232</v>
      </c>
      <c r="O2242" t="s">
        <v>2109</v>
      </c>
    </row>
    <row r="2243" spans="1:15">
      <c r="A2243" t="s">
        <v>3842</v>
      </c>
      <c r="B2243" t="s">
        <v>2097</v>
      </c>
      <c r="C2243" t="s">
        <v>2091</v>
      </c>
      <c r="D2243" s="1">
        <v>45058</v>
      </c>
      <c r="E2243" s="1">
        <v>45100</v>
      </c>
      <c r="F2243">
        <v>192</v>
      </c>
      <c r="G2243">
        <v>9</v>
      </c>
      <c r="H2243">
        <v>764.08</v>
      </c>
      <c r="I2243">
        <v>120.24</v>
      </c>
      <c r="J2243" t="s">
        <v>90</v>
      </c>
      <c r="K2243" t="s">
        <v>16</v>
      </c>
      <c r="L2243" t="s">
        <v>2106</v>
      </c>
      <c r="M2243">
        <v>7</v>
      </c>
      <c r="N2243" t="s">
        <v>165</v>
      </c>
      <c r="O2243" t="s">
        <v>2109</v>
      </c>
    </row>
    <row r="2244" spans="1:15">
      <c r="A2244" t="s">
        <v>3843</v>
      </c>
      <c r="B2244" t="s">
        <v>2085</v>
      </c>
      <c r="C2244" t="s">
        <v>2086</v>
      </c>
      <c r="D2244" s="1">
        <v>44455</v>
      </c>
      <c r="E2244" s="1">
        <v>45156</v>
      </c>
      <c r="F2244">
        <v>136</v>
      </c>
      <c r="G2244">
        <v>35</v>
      </c>
      <c r="H2244">
        <v>1335.04</v>
      </c>
      <c r="I2244">
        <v>101.26</v>
      </c>
      <c r="J2244" t="s">
        <v>41</v>
      </c>
      <c r="K2244" t="s">
        <v>16</v>
      </c>
      <c r="L2244" t="s">
        <v>2087</v>
      </c>
      <c r="M2244">
        <v>1</v>
      </c>
      <c r="N2244" t="s">
        <v>165</v>
      </c>
      <c r="O2244" t="s">
        <v>2096</v>
      </c>
    </row>
    <row r="2245" spans="1:15">
      <c r="A2245" t="s">
        <v>3844</v>
      </c>
      <c r="B2245" t="s">
        <v>2099</v>
      </c>
      <c r="C2245" t="s">
        <v>2108</v>
      </c>
      <c r="D2245" s="1">
        <v>43920</v>
      </c>
      <c r="E2245" s="1">
        <v>45063</v>
      </c>
      <c r="F2245">
        <v>229</v>
      </c>
      <c r="G2245">
        <v>1</v>
      </c>
      <c r="H2245">
        <v>106.56</v>
      </c>
      <c r="I2245">
        <v>38.200000000000003</v>
      </c>
      <c r="J2245" t="s">
        <v>66</v>
      </c>
      <c r="K2245" t="s">
        <v>20</v>
      </c>
      <c r="L2245" t="s">
        <v>2106</v>
      </c>
      <c r="M2245">
        <v>5</v>
      </c>
      <c r="N2245" t="s">
        <v>204</v>
      </c>
      <c r="O2245" t="s">
        <v>2107</v>
      </c>
    </row>
    <row r="2246" spans="1:15">
      <c r="A2246" t="s">
        <v>3845</v>
      </c>
      <c r="B2246" t="s">
        <v>2113</v>
      </c>
      <c r="C2246" t="s">
        <v>2100</v>
      </c>
      <c r="D2246" s="1">
        <v>43730</v>
      </c>
      <c r="E2246" s="1">
        <v>45158</v>
      </c>
      <c r="F2246">
        <v>134</v>
      </c>
      <c r="G2246">
        <v>18</v>
      </c>
      <c r="H2246">
        <v>186.74</v>
      </c>
      <c r="I2246">
        <v>77.7</v>
      </c>
      <c r="J2246" t="s">
        <v>14</v>
      </c>
      <c r="K2246" t="s">
        <v>16</v>
      </c>
      <c r="L2246" t="s">
        <v>2087</v>
      </c>
      <c r="M2246">
        <v>5</v>
      </c>
      <c r="N2246" t="s">
        <v>157</v>
      </c>
      <c r="O2246" t="s">
        <v>2121</v>
      </c>
    </row>
    <row r="2247" spans="1:15">
      <c r="A2247" t="s">
        <v>1435</v>
      </c>
      <c r="B2247" t="s">
        <v>2090</v>
      </c>
      <c r="C2247" t="s">
        <v>2100</v>
      </c>
      <c r="D2247" s="1">
        <v>43590</v>
      </c>
      <c r="E2247" s="1">
        <v>44991</v>
      </c>
      <c r="F2247">
        <v>301</v>
      </c>
      <c r="G2247">
        <v>4</v>
      </c>
      <c r="H2247">
        <v>305.83</v>
      </c>
      <c r="I2247">
        <v>77.59</v>
      </c>
      <c r="J2247" t="s">
        <v>41</v>
      </c>
      <c r="K2247" t="s">
        <v>20</v>
      </c>
      <c r="L2247" t="s">
        <v>2106</v>
      </c>
      <c r="M2247">
        <v>10</v>
      </c>
      <c r="N2247" t="s">
        <v>179</v>
      </c>
      <c r="O2247" t="s">
        <v>2107</v>
      </c>
    </row>
    <row r="2248" spans="1:15">
      <c r="A2248" t="s">
        <v>3846</v>
      </c>
      <c r="B2248" t="s">
        <v>2097</v>
      </c>
      <c r="C2248" t="s">
        <v>2094</v>
      </c>
      <c r="D2248" s="1">
        <v>44383</v>
      </c>
      <c r="E2248" s="1">
        <v>44938</v>
      </c>
      <c r="F2248">
        <v>354</v>
      </c>
      <c r="G2248">
        <v>11</v>
      </c>
      <c r="H2248">
        <v>373.85</v>
      </c>
      <c r="I2248">
        <v>142.44999999999999</v>
      </c>
      <c r="J2248" t="s">
        <v>41</v>
      </c>
      <c r="K2248" t="s">
        <v>16</v>
      </c>
      <c r="L2248" t="s">
        <v>2095</v>
      </c>
      <c r="M2248">
        <v>2</v>
      </c>
      <c r="N2248" t="s">
        <v>194</v>
      </c>
      <c r="O2248" t="s">
        <v>2121</v>
      </c>
    </row>
    <row r="2249" spans="1:15">
      <c r="A2249" t="s">
        <v>3847</v>
      </c>
      <c r="B2249" t="s">
        <v>2113</v>
      </c>
      <c r="C2249" t="s">
        <v>2108</v>
      </c>
      <c r="D2249" s="1">
        <v>44953</v>
      </c>
      <c r="E2249" s="1">
        <v>45285</v>
      </c>
      <c r="F2249">
        <v>7</v>
      </c>
      <c r="G2249">
        <v>14</v>
      </c>
      <c r="H2249">
        <v>554.12</v>
      </c>
      <c r="I2249">
        <v>56.06</v>
      </c>
      <c r="J2249" t="s">
        <v>41</v>
      </c>
      <c r="K2249" t="s">
        <v>20</v>
      </c>
      <c r="L2249" t="s">
        <v>2087</v>
      </c>
      <c r="M2249">
        <v>7</v>
      </c>
      <c r="N2249" t="s">
        <v>165</v>
      </c>
      <c r="O2249" t="s">
        <v>2096</v>
      </c>
    </row>
    <row r="2250" spans="1:15">
      <c r="A2250" t="s">
        <v>3848</v>
      </c>
      <c r="B2250" t="s">
        <v>2113</v>
      </c>
      <c r="C2250" t="s">
        <v>2111</v>
      </c>
      <c r="D2250" s="1">
        <v>44608</v>
      </c>
      <c r="E2250" s="1">
        <v>45202</v>
      </c>
      <c r="F2250">
        <v>90</v>
      </c>
      <c r="G2250">
        <v>8</v>
      </c>
      <c r="H2250">
        <v>152</v>
      </c>
      <c r="I2250">
        <v>53.83</v>
      </c>
      <c r="J2250" t="s">
        <v>66</v>
      </c>
      <c r="K2250" t="s">
        <v>20</v>
      </c>
      <c r="L2250" t="s">
        <v>2087</v>
      </c>
      <c r="M2250">
        <v>10</v>
      </c>
      <c r="N2250" t="s">
        <v>179</v>
      </c>
      <c r="O2250" t="s">
        <v>2121</v>
      </c>
    </row>
    <row r="2251" spans="1:15">
      <c r="A2251" t="s">
        <v>293</v>
      </c>
      <c r="B2251" t="s">
        <v>2099</v>
      </c>
      <c r="C2251" t="s">
        <v>2100</v>
      </c>
      <c r="D2251" s="1">
        <v>45077</v>
      </c>
      <c r="E2251" s="1">
        <v>45102</v>
      </c>
      <c r="F2251">
        <v>190</v>
      </c>
      <c r="G2251">
        <v>2</v>
      </c>
      <c r="H2251">
        <v>50.27</v>
      </c>
      <c r="I2251">
        <v>51.28</v>
      </c>
      <c r="J2251" t="s">
        <v>115</v>
      </c>
      <c r="K2251" t="s">
        <v>16</v>
      </c>
      <c r="L2251" t="s">
        <v>2087</v>
      </c>
      <c r="M2251">
        <v>4</v>
      </c>
      <c r="N2251" t="s">
        <v>232</v>
      </c>
      <c r="O2251" t="s">
        <v>2121</v>
      </c>
    </row>
    <row r="2252" spans="1:15">
      <c r="A2252" t="s">
        <v>3849</v>
      </c>
      <c r="B2252" t="s">
        <v>2093</v>
      </c>
      <c r="C2252" t="s">
        <v>2091</v>
      </c>
      <c r="D2252" s="1">
        <v>43849</v>
      </c>
      <c r="E2252" s="1">
        <v>45291</v>
      </c>
      <c r="F2252">
        <v>1</v>
      </c>
      <c r="G2252">
        <v>4</v>
      </c>
      <c r="H2252">
        <v>114.91</v>
      </c>
      <c r="I2252">
        <v>33.700000000000003</v>
      </c>
      <c r="J2252" t="s">
        <v>115</v>
      </c>
      <c r="K2252" t="s">
        <v>16</v>
      </c>
      <c r="L2252" t="s">
        <v>2106</v>
      </c>
      <c r="M2252">
        <v>2</v>
      </c>
      <c r="N2252" t="s">
        <v>194</v>
      </c>
      <c r="O2252" t="s">
        <v>2088</v>
      </c>
    </row>
    <row r="2253" spans="1:15">
      <c r="A2253" t="s">
        <v>3850</v>
      </c>
      <c r="B2253" t="s">
        <v>2090</v>
      </c>
      <c r="C2253" t="s">
        <v>2111</v>
      </c>
      <c r="D2253" s="1">
        <v>44878</v>
      </c>
      <c r="E2253" s="1">
        <v>45151</v>
      </c>
      <c r="F2253">
        <v>141</v>
      </c>
      <c r="G2253">
        <v>4</v>
      </c>
      <c r="H2253">
        <v>192.72</v>
      </c>
      <c r="I2253">
        <v>77.22</v>
      </c>
      <c r="J2253" t="s">
        <v>14</v>
      </c>
      <c r="K2253" t="s">
        <v>20</v>
      </c>
      <c r="L2253" t="s">
        <v>2087</v>
      </c>
      <c r="M2253">
        <v>2</v>
      </c>
      <c r="N2253" t="s">
        <v>157</v>
      </c>
      <c r="O2253" t="s">
        <v>2088</v>
      </c>
    </row>
    <row r="2254" spans="1:15">
      <c r="A2254" t="s">
        <v>1408</v>
      </c>
      <c r="B2254" t="s">
        <v>2113</v>
      </c>
      <c r="C2254" t="s">
        <v>2091</v>
      </c>
      <c r="D2254" s="1">
        <v>45190</v>
      </c>
      <c r="E2254" s="1">
        <v>45069</v>
      </c>
      <c r="F2254">
        <v>223</v>
      </c>
      <c r="G2254">
        <v>15</v>
      </c>
      <c r="H2254">
        <v>391.34</v>
      </c>
      <c r="I2254">
        <v>59.64</v>
      </c>
      <c r="J2254" t="s">
        <v>90</v>
      </c>
      <c r="K2254" t="s">
        <v>16</v>
      </c>
      <c r="L2254" t="s">
        <v>2095</v>
      </c>
      <c r="M2254">
        <v>7</v>
      </c>
      <c r="N2254" t="s">
        <v>204</v>
      </c>
      <c r="O2254" t="s">
        <v>2096</v>
      </c>
    </row>
    <row r="2255" spans="1:15">
      <c r="A2255" t="s">
        <v>1410</v>
      </c>
      <c r="B2255" t="s">
        <v>2093</v>
      </c>
      <c r="C2255" t="s">
        <v>2108</v>
      </c>
      <c r="D2255" s="1">
        <v>43640</v>
      </c>
      <c r="E2255" s="1">
        <v>44992</v>
      </c>
      <c r="F2255">
        <v>300</v>
      </c>
      <c r="G2255">
        <v>5</v>
      </c>
      <c r="H2255">
        <v>131.09</v>
      </c>
      <c r="I2255">
        <v>32.380000000000003</v>
      </c>
      <c r="J2255" t="s">
        <v>14</v>
      </c>
      <c r="K2255" t="s">
        <v>16</v>
      </c>
      <c r="L2255" t="s">
        <v>2095</v>
      </c>
      <c r="M2255">
        <v>9</v>
      </c>
      <c r="N2255" t="s">
        <v>232</v>
      </c>
      <c r="O2255" t="s">
        <v>2096</v>
      </c>
    </row>
    <row r="2256" spans="1:15">
      <c r="A2256" t="s">
        <v>1100</v>
      </c>
      <c r="B2256" t="s">
        <v>2093</v>
      </c>
      <c r="C2256" t="s">
        <v>2100</v>
      </c>
      <c r="D2256" s="1">
        <v>44487</v>
      </c>
      <c r="E2256" s="1">
        <v>44973</v>
      </c>
      <c r="F2256">
        <v>319</v>
      </c>
      <c r="G2256">
        <v>1</v>
      </c>
      <c r="H2256">
        <v>71.03</v>
      </c>
      <c r="I2256">
        <v>76.72</v>
      </c>
      <c r="J2256" t="s">
        <v>41</v>
      </c>
      <c r="K2256" t="s">
        <v>20</v>
      </c>
      <c r="L2256" t="s">
        <v>2095</v>
      </c>
      <c r="M2256">
        <v>3</v>
      </c>
      <c r="N2256" t="s">
        <v>194</v>
      </c>
      <c r="O2256" t="s">
        <v>2109</v>
      </c>
    </row>
    <row r="2257" spans="1:15">
      <c r="A2257" t="s">
        <v>3851</v>
      </c>
      <c r="B2257" t="s">
        <v>2090</v>
      </c>
      <c r="C2257" t="s">
        <v>2111</v>
      </c>
      <c r="D2257" s="1">
        <v>44588</v>
      </c>
      <c r="E2257" s="1">
        <v>44965</v>
      </c>
      <c r="F2257">
        <v>327</v>
      </c>
      <c r="G2257">
        <v>6</v>
      </c>
      <c r="H2257">
        <v>97.07</v>
      </c>
      <c r="I2257">
        <v>111.29</v>
      </c>
      <c r="J2257" t="s">
        <v>115</v>
      </c>
      <c r="K2257" t="s">
        <v>20</v>
      </c>
      <c r="L2257" t="s">
        <v>2095</v>
      </c>
      <c r="M2257">
        <v>1</v>
      </c>
      <c r="N2257" t="s">
        <v>194</v>
      </c>
      <c r="O2257" t="s">
        <v>2107</v>
      </c>
    </row>
    <row r="2258" spans="1:15">
      <c r="A2258" t="s">
        <v>3852</v>
      </c>
      <c r="B2258" t="s">
        <v>2097</v>
      </c>
      <c r="C2258" t="s">
        <v>2100</v>
      </c>
      <c r="D2258" s="1">
        <v>44133</v>
      </c>
      <c r="E2258" s="1">
        <v>45133</v>
      </c>
      <c r="F2258">
        <v>159</v>
      </c>
      <c r="G2258">
        <v>10</v>
      </c>
      <c r="H2258">
        <v>332.13</v>
      </c>
      <c r="I2258">
        <v>130.81</v>
      </c>
      <c r="J2258" t="s">
        <v>14</v>
      </c>
      <c r="K2258" t="s">
        <v>16</v>
      </c>
      <c r="L2258" t="s">
        <v>2106</v>
      </c>
      <c r="M2258">
        <v>10</v>
      </c>
      <c r="N2258" t="s">
        <v>204</v>
      </c>
      <c r="O2258" t="s">
        <v>2109</v>
      </c>
    </row>
    <row r="2259" spans="1:15">
      <c r="A2259" t="s">
        <v>3853</v>
      </c>
      <c r="B2259" t="s">
        <v>2097</v>
      </c>
      <c r="C2259" t="s">
        <v>2094</v>
      </c>
      <c r="D2259" s="1">
        <v>44118</v>
      </c>
      <c r="E2259" s="1">
        <v>45122</v>
      </c>
      <c r="F2259">
        <v>170</v>
      </c>
      <c r="G2259">
        <v>11</v>
      </c>
      <c r="H2259">
        <v>648.52</v>
      </c>
      <c r="I2259">
        <v>57.09</v>
      </c>
      <c r="J2259" t="s">
        <v>115</v>
      </c>
      <c r="K2259" t="s">
        <v>16</v>
      </c>
      <c r="L2259" t="s">
        <v>2106</v>
      </c>
      <c r="M2259">
        <v>9</v>
      </c>
      <c r="N2259" t="s">
        <v>194</v>
      </c>
      <c r="O2259" t="s">
        <v>2109</v>
      </c>
    </row>
    <row r="2260" spans="1:15">
      <c r="A2260" t="s">
        <v>3854</v>
      </c>
      <c r="B2260" t="s">
        <v>2093</v>
      </c>
      <c r="C2260" t="s">
        <v>2086</v>
      </c>
      <c r="D2260" s="1">
        <v>44479</v>
      </c>
      <c r="E2260" s="1">
        <v>45101</v>
      </c>
      <c r="F2260">
        <v>191</v>
      </c>
      <c r="G2260">
        <v>5</v>
      </c>
      <c r="H2260">
        <v>143.52000000000001</v>
      </c>
      <c r="I2260">
        <v>37.75</v>
      </c>
      <c r="J2260" t="s">
        <v>66</v>
      </c>
      <c r="K2260" t="s">
        <v>20</v>
      </c>
      <c r="L2260" t="s">
        <v>2106</v>
      </c>
      <c r="M2260">
        <v>5</v>
      </c>
      <c r="N2260" t="s">
        <v>194</v>
      </c>
      <c r="O2260" t="s">
        <v>2096</v>
      </c>
    </row>
    <row r="2261" spans="1:15">
      <c r="A2261" t="s">
        <v>3855</v>
      </c>
      <c r="B2261" t="s">
        <v>2113</v>
      </c>
      <c r="C2261" t="s">
        <v>2091</v>
      </c>
      <c r="D2261" s="1">
        <v>44754</v>
      </c>
      <c r="E2261" s="1">
        <v>45125</v>
      </c>
      <c r="F2261">
        <v>167</v>
      </c>
      <c r="G2261">
        <v>15</v>
      </c>
      <c r="H2261">
        <v>548.28</v>
      </c>
      <c r="I2261">
        <v>42</v>
      </c>
      <c r="J2261" t="s">
        <v>115</v>
      </c>
      <c r="K2261" t="s">
        <v>20</v>
      </c>
      <c r="L2261" t="s">
        <v>2106</v>
      </c>
      <c r="M2261">
        <v>1</v>
      </c>
      <c r="N2261" t="s">
        <v>204</v>
      </c>
      <c r="O2261" t="s">
        <v>2096</v>
      </c>
    </row>
    <row r="2262" spans="1:15">
      <c r="A2262" t="s">
        <v>307</v>
      </c>
      <c r="B2262" t="s">
        <v>2113</v>
      </c>
      <c r="C2262" t="s">
        <v>2086</v>
      </c>
      <c r="D2262" s="1">
        <v>44052</v>
      </c>
      <c r="E2262" s="1">
        <v>44965</v>
      </c>
      <c r="F2262">
        <v>327</v>
      </c>
      <c r="G2262">
        <v>16</v>
      </c>
      <c r="H2262">
        <v>537.66999999999996</v>
      </c>
      <c r="I2262">
        <v>77.849999999999994</v>
      </c>
      <c r="J2262" t="s">
        <v>41</v>
      </c>
      <c r="K2262" t="s">
        <v>20</v>
      </c>
      <c r="L2262" t="s">
        <v>2087</v>
      </c>
      <c r="M2262">
        <v>2</v>
      </c>
      <c r="N2262" t="s">
        <v>165</v>
      </c>
      <c r="O2262" t="s">
        <v>2121</v>
      </c>
    </row>
    <row r="2263" spans="1:15">
      <c r="A2263" t="s">
        <v>676</v>
      </c>
      <c r="B2263" t="s">
        <v>2097</v>
      </c>
      <c r="C2263" t="s">
        <v>2086</v>
      </c>
      <c r="D2263" s="1">
        <v>44394</v>
      </c>
      <c r="E2263" s="1">
        <v>45269</v>
      </c>
      <c r="F2263">
        <v>23</v>
      </c>
      <c r="G2263">
        <v>8</v>
      </c>
      <c r="H2263">
        <v>243.22</v>
      </c>
      <c r="I2263">
        <v>143.30000000000001</v>
      </c>
      <c r="J2263" t="s">
        <v>115</v>
      </c>
      <c r="K2263" t="s">
        <v>16</v>
      </c>
      <c r="L2263" t="s">
        <v>2095</v>
      </c>
      <c r="M2263">
        <v>6</v>
      </c>
      <c r="N2263" t="s">
        <v>165</v>
      </c>
      <c r="O2263" t="s">
        <v>2121</v>
      </c>
    </row>
    <row r="2264" spans="1:15">
      <c r="A2264" t="s">
        <v>3856</v>
      </c>
      <c r="B2264" t="s">
        <v>2085</v>
      </c>
      <c r="C2264" t="s">
        <v>2094</v>
      </c>
      <c r="D2264" s="1">
        <v>43844</v>
      </c>
      <c r="E2264" s="1">
        <v>44974</v>
      </c>
      <c r="F2264">
        <v>318</v>
      </c>
      <c r="G2264">
        <v>39</v>
      </c>
      <c r="H2264">
        <v>947.62</v>
      </c>
      <c r="I2264">
        <v>225.83</v>
      </c>
      <c r="J2264" t="s">
        <v>66</v>
      </c>
      <c r="K2264" t="s">
        <v>16</v>
      </c>
      <c r="L2264" t="s">
        <v>2087</v>
      </c>
      <c r="M2264">
        <v>4</v>
      </c>
      <c r="N2264" t="s">
        <v>194</v>
      </c>
      <c r="O2264" t="s">
        <v>2107</v>
      </c>
    </row>
    <row r="2265" spans="1:15">
      <c r="A2265" t="s">
        <v>3857</v>
      </c>
      <c r="B2265" t="s">
        <v>2085</v>
      </c>
      <c r="C2265" t="s">
        <v>2100</v>
      </c>
      <c r="D2265" s="1">
        <v>44827</v>
      </c>
      <c r="E2265" s="1">
        <v>44996</v>
      </c>
      <c r="F2265">
        <v>296</v>
      </c>
      <c r="G2265">
        <v>37</v>
      </c>
      <c r="H2265">
        <v>1249.92</v>
      </c>
      <c r="I2265">
        <v>257.89999999999998</v>
      </c>
      <c r="J2265" t="s">
        <v>90</v>
      </c>
      <c r="K2265" t="s">
        <v>20</v>
      </c>
      <c r="L2265" t="s">
        <v>2087</v>
      </c>
      <c r="M2265">
        <v>7</v>
      </c>
      <c r="N2265" t="s">
        <v>157</v>
      </c>
      <c r="O2265" t="s">
        <v>2096</v>
      </c>
    </row>
    <row r="2266" spans="1:15">
      <c r="A2266" t="s">
        <v>3858</v>
      </c>
      <c r="B2266" t="s">
        <v>2090</v>
      </c>
      <c r="C2266" t="s">
        <v>2108</v>
      </c>
      <c r="D2266" s="1">
        <v>43582</v>
      </c>
      <c r="E2266" s="1">
        <v>45023</v>
      </c>
      <c r="F2266">
        <v>269</v>
      </c>
      <c r="G2266">
        <v>7</v>
      </c>
      <c r="H2266">
        <v>327.88</v>
      </c>
      <c r="I2266">
        <v>51.32</v>
      </c>
      <c r="J2266" t="s">
        <v>66</v>
      </c>
      <c r="K2266" t="s">
        <v>20</v>
      </c>
      <c r="L2266" t="s">
        <v>2095</v>
      </c>
      <c r="M2266">
        <v>2</v>
      </c>
      <c r="N2266" t="s">
        <v>165</v>
      </c>
      <c r="O2266" t="s">
        <v>2096</v>
      </c>
    </row>
    <row r="2267" spans="1:15">
      <c r="A2267" t="s">
        <v>3859</v>
      </c>
      <c r="B2267" t="s">
        <v>2097</v>
      </c>
      <c r="C2267" t="s">
        <v>2091</v>
      </c>
      <c r="D2267" s="1">
        <v>44974</v>
      </c>
      <c r="E2267" s="1">
        <v>45286</v>
      </c>
      <c r="F2267">
        <v>6</v>
      </c>
      <c r="G2267">
        <v>7</v>
      </c>
      <c r="H2267">
        <v>720.73</v>
      </c>
      <c r="I2267">
        <v>78.569999999999993</v>
      </c>
      <c r="J2267" t="s">
        <v>115</v>
      </c>
      <c r="K2267" t="s">
        <v>16</v>
      </c>
      <c r="L2267" t="s">
        <v>2087</v>
      </c>
      <c r="M2267">
        <v>3</v>
      </c>
      <c r="N2267" t="s">
        <v>194</v>
      </c>
      <c r="O2267" t="s">
        <v>2096</v>
      </c>
    </row>
    <row r="2268" spans="1:15">
      <c r="A2268" t="s">
        <v>682</v>
      </c>
      <c r="B2268" t="s">
        <v>2090</v>
      </c>
      <c r="C2268" t="s">
        <v>2111</v>
      </c>
      <c r="D2268" s="1">
        <v>43647</v>
      </c>
      <c r="E2268" s="1">
        <v>45209</v>
      </c>
      <c r="F2268">
        <v>83</v>
      </c>
      <c r="G2268">
        <v>4</v>
      </c>
      <c r="H2268">
        <v>108.88</v>
      </c>
      <c r="I2268">
        <v>103.78</v>
      </c>
      <c r="J2268" t="s">
        <v>66</v>
      </c>
      <c r="K2268" t="s">
        <v>20</v>
      </c>
      <c r="L2268" t="s">
        <v>2106</v>
      </c>
      <c r="M2268">
        <v>2</v>
      </c>
      <c r="N2268" t="s">
        <v>194</v>
      </c>
      <c r="O2268" t="s">
        <v>2109</v>
      </c>
    </row>
    <row r="2269" spans="1:15">
      <c r="A2269" t="s">
        <v>2058</v>
      </c>
      <c r="B2269" t="s">
        <v>2090</v>
      </c>
      <c r="C2269" t="s">
        <v>2100</v>
      </c>
      <c r="D2269" s="1">
        <v>43521</v>
      </c>
      <c r="E2269" s="1">
        <v>45071</v>
      </c>
      <c r="F2269">
        <v>221</v>
      </c>
      <c r="G2269">
        <v>4</v>
      </c>
      <c r="H2269">
        <v>266.56</v>
      </c>
      <c r="I2269">
        <v>44.89</v>
      </c>
      <c r="J2269" t="s">
        <v>115</v>
      </c>
      <c r="K2269" t="s">
        <v>16</v>
      </c>
      <c r="L2269" t="s">
        <v>2095</v>
      </c>
      <c r="M2269">
        <v>2</v>
      </c>
      <c r="N2269" t="s">
        <v>179</v>
      </c>
      <c r="O2269" t="s">
        <v>2107</v>
      </c>
    </row>
    <row r="2270" spans="1:15">
      <c r="A2270" t="s">
        <v>3860</v>
      </c>
      <c r="B2270" t="s">
        <v>2097</v>
      </c>
      <c r="C2270" t="s">
        <v>2111</v>
      </c>
      <c r="D2270" s="1">
        <v>44599</v>
      </c>
      <c r="E2270" s="1">
        <v>45231</v>
      </c>
      <c r="F2270">
        <v>61</v>
      </c>
      <c r="G2270">
        <v>8</v>
      </c>
      <c r="H2270">
        <v>346.62</v>
      </c>
      <c r="I2270">
        <v>50.82</v>
      </c>
      <c r="J2270" t="s">
        <v>14</v>
      </c>
      <c r="K2270" t="s">
        <v>16</v>
      </c>
      <c r="L2270" t="s">
        <v>2087</v>
      </c>
      <c r="M2270">
        <v>3</v>
      </c>
      <c r="N2270" t="s">
        <v>194</v>
      </c>
      <c r="O2270" t="s">
        <v>2088</v>
      </c>
    </row>
    <row r="2271" spans="1:15">
      <c r="A2271" t="s">
        <v>3861</v>
      </c>
      <c r="B2271" t="s">
        <v>2093</v>
      </c>
      <c r="C2271" t="s">
        <v>2086</v>
      </c>
      <c r="D2271" s="1">
        <v>44696</v>
      </c>
      <c r="E2271" s="1">
        <v>45278</v>
      </c>
      <c r="F2271">
        <v>14</v>
      </c>
      <c r="G2271">
        <v>3</v>
      </c>
      <c r="H2271">
        <v>110.41</v>
      </c>
      <c r="I2271">
        <v>32.130000000000003</v>
      </c>
      <c r="J2271" t="s">
        <v>90</v>
      </c>
      <c r="K2271" t="s">
        <v>20</v>
      </c>
      <c r="L2271" t="s">
        <v>2095</v>
      </c>
      <c r="M2271">
        <v>7</v>
      </c>
      <c r="N2271" t="s">
        <v>204</v>
      </c>
      <c r="O2271" t="s">
        <v>2088</v>
      </c>
    </row>
    <row r="2272" spans="1:15">
      <c r="A2272" t="s">
        <v>3862</v>
      </c>
      <c r="B2272" t="s">
        <v>2099</v>
      </c>
      <c r="C2272" t="s">
        <v>2111</v>
      </c>
      <c r="D2272" s="1">
        <v>45144</v>
      </c>
      <c r="E2272" s="1">
        <v>44992</v>
      </c>
      <c r="F2272">
        <v>300</v>
      </c>
      <c r="G2272">
        <v>1</v>
      </c>
      <c r="H2272">
        <v>44.13</v>
      </c>
      <c r="I2272">
        <v>39.14</v>
      </c>
      <c r="J2272" t="s">
        <v>14</v>
      </c>
      <c r="K2272" t="s">
        <v>16</v>
      </c>
      <c r="L2272" t="s">
        <v>2095</v>
      </c>
      <c r="M2272">
        <v>2</v>
      </c>
      <c r="N2272" t="s">
        <v>232</v>
      </c>
      <c r="O2272" t="s">
        <v>2096</v>
      </c>
    </row>
    <row r="2273" spans="1:15">
      <c r="A2273" t="s">
        <v>3863</v>
      </c>
      <c r="B2273" t="s">
        <v>2093</v>
      </c>
      <c r="C2273" t="s">
        <v>2094</v>
      </c>
      <c r="D2273" s="1">
        <v>43546</v>
      </c>
      <c r="E2273" s="1">
        <v>44974</v>
      </c>
      <c r="F2273">
        <v>318</v>
      </c>
      <c r="G2273">
        <v>2</v>
      </c>
      <c r="H2273">
        <v>115.43</v>
      </c>
      <c r="I2273">
        <v>79.64</v>
      </c>
      <c r="J2273" t="s">
        <v>115</v>
      </c>
      <c r="K2273" t="s">
        <v>16</v>
      </c>
      <c r="L2273" t="s">
        <v>2106</v>
      </c>
      <c r="M2273">
        <v>0</v>
      </c>
      <c r="N2273" t="s">
        <v>157</v>
      </c>
      <c r="O2273" t="s">
        <v>2088</v>
      </c>
    </row>
    <row r="2274" spans="1:15">
      <c r="A2274" t="s">
        <v>3864</v>
      </c>
      <c r="B2274" t="s">
        <v>2090</v>
      </c>
      <c r="C2274" t="s">
        <v>2111</v>
      </c>
      <c r="D2274" s="1">
        <v>44547</v>
      </c>
      <c r="E2274" s="1">
        <v>45291</v>
      </c>
      <c r="F2274">
        <v>1</v>
      </c>
      <c r="G2274">
        <v>6</v>
      </c>
      <c r="H2274">
        <v>96.24</v>
      </c>
      <c r="I2274">
        <v>83.6</v>
      </c>
      <c r="J2274" t="s">
        <v>115</v>
      </c>
      <c r="K2274" t="s">
        <v>16</v>
      </c>
      <c r="L2274" t="s">
        <v>2106</v>
      </c>
      <c r="M2274">
        <v>6</v>
      </c>
      <c r="N2274" t="s">
        <v>194</v>
      </c>
      <c r="O2274" t="s">
        <v>2121</v>
      </c>
    </row>
    <row r="2275" spans="1:15">
      <c r="A2275" t="s">
        <v>3865</v>
      </c>
      <c r="B2275" t="s">
        <v>2097</v>
      </c>
      <c r="C2275" t="s">
        <v>2086</v>
      </c>
      <c r="D2275" s="1">
        <v>44850</v>
      </c>
      <c r="E2275" s="1">
        <v>45221</v>
      </c>
      <c r="F2275">
        <v>71</v>
      </c>
      <c r="G2275">
        <v>6</v>
      </c>
      <c r="H2275">
        <v>226.06</v>
      </c>
      <c r="I2275">
        <v>107.23</v>
      </c>
      <c r="J2275" t="s">
        <v>14</v>
      </c>
      <c r="K2275" t="s">
        <v>20</v>
      </c>
      <c r="L2275" t="s">
        <v>2095</v>
      </c>
      <c r="M2275">
        <v>1</v>
      </c>
      <c r="N2275" t="s">
        <v>165</v>
      </c>
      <c r="O2275" t="s">
        <v>2107</v>
      </c>
    </row>
    <row r="2276" spans="1:15">
      <c r="A2276" t="s">
        <v>3866</v>
      </c>
      <c r="B2276" t="s">
        <v>2097</v>
      </c>
      <c r="C2276" t="s">
        <v>2091</v>
      </c>
      <c r="D2276" s="1">
        <v>45138</v>
      </c>
      <c r="E2276" s="1">
        <v>45283</v>
      </c>
      <c r="F2276">
        <v>9</v>
      </c>
      <c r="G2276">
        <v>8</v>
      </c>
      <c r="H2276">
        <v>405.16</v>
      </c>
      <c r="I2276">
        <v>106.16</v>
      </c>
      <c r="J2276" t="s">
        <v>14</v>
      </c>
      <c r="K2276" t="s">
        <v>16</v>
      </c>
      <c r="L2276" t="s">
        <v>2095</v>
      </c>
      <c r="M2276">
        <v>3</v>
      </c>
      <c r="N2276" t="s">
        <v>179</v>
      </c>
      <c r="O2276" t="s">
        <v>2109</v>
      </c>
    </row>
    <row r="2277" spans="1:15">
      <c r="A2277" t="s">
        <v>3867</v>
      </c>
      <c r="B2277" t="s">
        <v>2093</v>
      </c>
      <c r="C2277" t="s">
        <v>2111</v>
      </c>
      <c r="D2277" s="1">
        <v>44923</v>
      </c>
      <c r="E2277" s="1">
        <v>45283</v>
      </c>
      <c r="F2277">
        <v>9</v>
      </c>
      <c r="G2277">
        <v>4</v>
      </c>
      <c r="H2277">
        <v>113.14</v>
      </c>
      <c r="I2277">
        <v>79.5</v>
      </c>
      <c r="J2277" t="s">
        <v>90</v>
      </c>
      <c r="K2277" t="s">
        <v>16</v>
      </c>
      <c r="L2277" t="s">
        <v>2095</v>
      </c>
      <c r="M2277">
        <v>10</v>
      </c>
      <c r="N2277" t="s">
        <v>157</v>
      </c>
      <c r="O2277" t="s">
        <v>2088</v>
      </c>
    </row>
    <row r="2278" spans="1:15">
      <c r="A2278" t="s">
        <v>1787</v>
      </c>
      <c r="B2278" t="s">
        <v>2090</v>
      </c>
      <c r="C2278" t="s">
        <v>2094</v>
      </c>
      <c r="D2278" s="1">
        <v>45090</v>
      </c>
      <c r="E2278" s="1">
        <v>45172</v>
      </c>
      <c r="F2278">
        <v>120</v>
      </c>
      <c r="G2278">
        <v>2</v>
      </c>
      <c r="H2278">
        <v>277.88</v>
      </c>
      <c r="I2278">
        <v>111.03</v>
      </c>
      <c r="J2278" t="s">
        <v>14</v>
      </c>
      <c r="K2278" t="s">
        <v>16</v>
      </c>
      <c r="L2278" t="s">
        <v>2095</v>
      </c>
      <c r="M2278">
        <v>1</v>
      </c>
      <c r="N2278" t="s">
        <v>157</v>
      </c>
      <c r="O2278" t="s">
        <v>2107</v>
      </c>
    </row>
    <row r="2279" spans="1:15">
      <c r="A2279" t="s">
        <v>905</v>
      </c>
      <c r="B2279" t="s">
        <v>2097</v>
      </c>
      <c r="C2279" t="s">
        <v>2086</v>
      </c>
      <c r="D2279" s="1">
        <v>44023</v>
      </c>
      <c r="E2279" s="1">
        <v>45061</v>
      </c>
      <c r="F2279">
        <v>231</v>
      </c>
      <c r="G2279">
        <v>3</v>
      </c>
      <c r="H2279">
        <v>646.24</v>
      </c>
      <c r="I2279">
        <v>148.61000000000001</v>
      </c>
      <c r="J2279" t="s">
        <v>66</v>
      </c>
      <c r="K2279" t="s">
        <v>16</v>
      </c>
      <c r="L2279" t="s">
        <v>2095</v>
      </c>
      <c r="M2279">
        <v>7</v>
      </c>
      <c r="N2279" t="s">
        <v>174</v>
      </c>
      <c r="O2279" t="s">
        <v>2121</v>
      </c>
    </row>
    <row r="2280" spans="1:15">
      <c r="A2280" t="s">
        <v>3868</v>
      </c>
      <c r="B2280" t="s">
        <v>2090</v>
      </c>
      <c r="C2280" t="s">
        <v>2100</v>
      </c>
      <c r="D2280" s="1">
        <v>45158</v>
      </c>
      <c r="E2280" s="1">
        <v>45180</v>
      </c>
      <c r="F2280">
        <v>112</v>
      </c>
      <c r="G2280">
        <v>5</v>
      </c>
      <c r="H2280">
        <v>326.38</v>
      </c>
      <c r="I2280">
        <v>67.599999999999994</v>
      </c>
      <c r="J2280" t="s">
        <v>66</v>
      </c>
      <c r="K2280" t="s">
        <v>20</v>
      </c>
      <c r="L2280" t="s">
        <v>2095</v>
      </c>
      <c r="M2280">
        <v>5</v>
      </c>
      <c r="N2280" t="s">
        <v>165</v>
      </c>
      <c r="O2280" t="s">
        <v>2109</v>
      </c>
    </row>
    <row r="2281" spans="1:15">
      <c r="A2281" t="s">
        <v>3869</v>
      </c>
      <c r="B2281" t="s">
        <v>2097</v>
      </c>
      <c r="C2281" t="s">
        <v>2111</v>
      </c>
      <c r="D2281" s="1">
        <v>44994</v>
      </c>
      <c r="E2281" s="1">
        <v>45033</v>
      </c>
      <c r="F2281">
        <v>259</v>
      </c>
      <c r="G2281">
        <v>6</v>
      </c>
      <c r="H2281">
        <v>198.91</v>
      </c>
      <c r="I2281">
        <v>87.73</v>
      </c>
      <c r="J2281" t="s">
        <v>90</v>
      </c>
      <c r="K2281" t="s">
        <v>16</v>
      </c>
      <c r="L2281" t="s">
        <v>2095</v>
      </c>
      <c r="M2281">
        <v>10</v>
      </c>
      <c r="N2281" t="s">
        <v>204</v>
      </c>
      <c r="O2281" t="s">
        <v>2088</v>
      </c>
    </row>
    <row r="2282" spans="1:15">
      <c r="A2282" t="s">
        <v>3870</v>
      </c>
      <c r="B2282" t="s">
        <v>2093</v>
      </c>
      <c r="C2282" t="s">
        <v>2094</v>
      </c>
      <c r="D2282" s="1">
        <v>44841</v>
      </c>
      <c r="E2282" s="1">
        <v>44955</v>
      </c>
      <c r="F2282">
        <v>337</v>
      </c>
      <c r="G2282">
        <v>1</v>
      </c>
      <c r="H2282">
        <v>45.78</v>
      </c>
      <c r="I2282">
        <v>78.349999999999994</v>
      </c>
      <c r="J2282" t="s">
        <v>90</v>
      </c>
      <c r="K2282" t="s">
        <v>16</v>
      </c>
      <c r="L2282" t="s">
        <v>2095</v>
      </c>
      <c r="M2282">
        <v>9</v>
      </c>
      <c r="N2282" t="s">
        <v>232</v>
      </c>
      <c r="O2282" t="s">
        <v>2109</v>
      </c>
    </row>
    <row r="2283" spans="1:15">
      <c r="A2283" t="s">
        <v>3871</v>
      </c>
      <c r="B2283" t="s">
        <v>2097</v>
      </c>
      <c r="C2283" t="s">
        <v>2094</v>
      </c>
      <c r="D2283" s="1">
        <v>43512</v>
      </c>
      <c r="E2283" s="1">
        <v>44933</v>
      </c>
      <c r="F2283">
        <v>359</v>
      </c>
      <c r="G2283">
        <v>3</v>
      </c>
      <c r="H2283">
        <v>425.94</v>
      </c>
      <c r="I2283">
        <v>136.96</v>
      </c>
      <c r="J2283" t="s">
        <v>115</v>
      </c>
      <c r="K2283" t="s">
        <v>20</v>
      </c>
      <c r="L2283" t="s">
        <v>2087</v>
      </c>
      <c r="M2283">
        <v>6</v>
      </c>
      <c r="N2283" t="s">
        <v>232</v>
      </c>
      <c r="O2283" t="s">
        <v>2109</v>
      </c>
    </row>
    <row r="2284" spans="1:15">
      <c r="A2284" t="s">
        <v>1833</v>
      </c>
      <c r="B2284" t="s">
        <v>2099</v>
      </c>
      <c r="C2284" t="s">
        <v>2091</v>
      </c>
      <c r="D2284" s="1">
        <v>45034</v>
      </c>
      <c r="E2284" s="1">
        <v>45053</v>
      </c>
      <c r="F2284">
        <v>239</v>
      </c>
      <c r="G2284">
        <v>1</v>
      </c>
      <c r="H2284">
        <v>131.97</v>
      </c>
      <c r="I2284">
        <v>30.95</v>
      </c>
      <c r="J2284" t="s">
        <v>90</v>
      </c>
      <c r="K2284" t="s">
        <v>16</v>
      </c>
      <c r="L2284" t="s">
        <v>2095</v>
      </c>
      <c r="M2284">
        <v>7</v>
      </c>
      <c r="N2284" t="s">
        <v>174</v>
      </c>
      <c r="O2284" t="s">
        <v>2121</v>
      </c>
    </row>
    <row r="2285" spans="1:15">
      <c r="A2285" t="s">
        <v>3872</v>
      </c>
      <c r="B2285" t="s">
        <v>2090</v>
      </c>
      <c r="C2285" t="s">
        <v>2094</v>
      </c>
      <c r="D2285" s="1">
        <v>44480</v>
      </c>
      <c r="E2285" s="1">
        <v>44960</v>
      </c>
      <c r="F2285">
        <v>332</v>
      </c>
      <c r="G2285">
        <v>8</v>
      </c>
      <c r="H2285">
        <v>82.85</v>
      </c>
      <c r="I2285">
        <v>42.11</v>
      </c>
      <c r="J2285" t="s">
        <v>14</v>
      </c>
      <c r="K2285" t="s">
        <v>20</v>
      </c>
      <c r="L2285" t="s">
        <v>2087</v>
      </c>
      <c r="M2285">
        <v>3</v>
      </c>
      <c r="N2285" t="s">
        <v>157</v>
      </c>
      <c r="O2285" t="s">
        <v>2107</v>
      </c>
    </row>
    <row r="2286" spans="1:15">
      <c r="A2286" t="s">
        <v>1491</v>
      </c>
      <c r="B2286" t="s">
        <v>2097</v>
      </c>
      <c r="C2286" t="s">
        <v>2094</v>
      </c>
      <c r="D2286" s="1">
        <v>45007</v>
      </c>
      <c r="E2286" s="1">
        <v>45134</v>
      </c>
      <c r="F2286">
        <v>158</v>
      </c>
      <c r="G2286">
        <v>7</v>
      </c>
      <c r="H2286">
        <v>290.07</v>
      </c>
      <c r="I2286">
        <v>53.06</v>
      </c>
      <c r="J2286" t="s">
        <v>115</v>
      </c>
      <c r="K2286" t="s">
        <v>16</v>
      </c>
      <c r="L2286" t="s">
        <v>2087</v>
      </c>
      <c r="M2286">
        <v>4</v>
      </c>
      <c r="N2286" t="s">
        <v>165</v>
      </c>
      <c r="O2286" t="s">
        <v>2088</v>
      </c>
    </row>
    <row r="2287" spans="1:15">
      <c r="A2287" t="s">
        <v>264</v>
      </c>
      <c r="B2287" t="s">
        <v>2093</v>
      </c>
      <c r="C2287" t="s">
        <v>2091</v>
      </c>
      <c r="D2287" s="1">
        <v>44799</v>
      </c>
      <c r="E2287" s="1">
        <v>45014</v>
      </c>
      <c r="F2287">
        <v>278</v>
      </c>
      <c r="G2287">
        <v>5</v>
      </c>
      <c r="H2287">
        <v>123.85</v>
      </c>
      <c r="I2287">
        <v>57.38</v>
      </c>
      <c r="J2287" t="s">
        <v>90</v>
      </c>
      <c r="K2287" t="s">
        <v>16</v>
      </c>
      <c r="L2287" t="s">
        <v>2106</v>
      </c>
      <c r="M2287">
        <v>0</v>
      </c>
      <c r="N2287" t="s">
        <v>179</v>
      </c>
      <c r="O2287" t="s">
        <v>2088</v>
      </c>
    </row>
    <row r="2288" spans="1:15">
      <c r="A2288" t="s">
        <v>3873</v>
      </c>
      <c r="B2288" t="s">
        <v>2099</v>
      </c>
      <c r="C2288" t="s">
        <v>2108</v>
      </c>
      <c r="D2288" s="1">
        <v>44131</v>
      </c>
      <c r="E2288" s="1">
        <v>45204</v>
      </c>
      <c r="F2288">
        <v>88</v>
      </c>
      <c r="G2288">
        <v>1</v>
      </c>
      <c r="H2288">
        <v>38.479999999999997</v>
      </c>
      <c r="I2288">
        <v>88.07</v>
      </c>
      <c r="J2288" t="s">
        <v>41</v>
      </c>
      <c r="K2288" t="s">
        <v>20</v>
      </c>
      <c r="L2288" t="s">
        <v>2087</v>
      </c>
      <c r="M2288">
        <v>8</v>
      </c>
      <c r="N2288" t="s">
        <v>194</v>
      </c>
      <c r="O2288" t="s">
        <v>2121</v>
      </c>
    </row>
    <row r="2289" spans="1:15">
      <c r="A2289" t="s">
        <v>1378</v>
      </c>
      <c r="B2289" t="s">
        <v>2113</v>
      </c>
      <c r="C2289" t="s">
        <v>2086</v>
      </c>
      <c r="D2289" s="1">
        <v>44736</v>
      </c>
      <c r="E2289" s="1">
        <v>44985</v>
      </c>
      <c r="F2289">
        <v>307</v>
      </c>
      <c r="G2289">
        <v>15</v>
      </c>
      <c r="H2289">
        <v>599.47</v>
      </c>
      <c r="I2289">
        <v>35.630000000000003</v>
      </c>
      <c r="J2289" t="s">
        <v>90</v>
      </c>
      <c r="K2289" t="s">
        <v>16</v>
      </c>
      <c r="L2289" t="s">
        <v>2095</v>
      </c>
      <c r="M2289">
        <v>4</v>
      </c>
      <c r="N2289" t="s">
        <v>232</v>
      </c>
      <c r="O2289" t="s">
        <v>2107</v>
      </c>
    </row>
    <row r="2290" spans="1:15">
      <c r="A2290" t="s">
        <v>1737</v>
      </c>
      <c r="B2290" t="s">
        <v>2097</v>
      </c>
      <c r="C2290" t="s">
        <v>2108</v>
      </c>
      <c r="D2290" s="1">
        <v>43888</v>
      </c>
      <c r="E2290" s="1">
        <v>45207</v>
      </c>
      <c r="F2290">
        <v>85</v>
      </c>
      <c r="G2290">
        <v>9</v>
      </c>
      <c r="H2290">
        <v>472.15</v>
      </c>
      <c r="I2290">
        <v>106.08</v>
      </c>
      <c r="J2290" t="s">
        <v>90</v>
      </c>
      <c r="K2290" t="s">
        <v>16</v>
      </c>
      <c r="L2290" t="s">
        <v>2087</v>
      </c>
      <c r="M2290">
        <v>9</v>
      </c>
      <c r="N2290" t="s">
        <v>179</v>
      </c>
      <c r="O2290" t="s">
        <v>2107</v>
      </c>
    </row>
    <row r="2291" spans="1:15">
      <c r="A2291" t="s">
        <v>3874</v>
      </c>
      <c r="B2291" t="s">
        <v>2097</v>
      </c>
      <c r="C2291" t="s">
        <v>2100</v>
      </c>
      <c r="D2291" s="1">
        <v>44889</v>
      </c>
      <c r="E2291" s="1">
        <v>45047</v>
      </c>
      <c r="F2291">
        <v>245</v>
      </c>
      <c r="G2291">
        <v>6</v>
      </c>
      <c r="H2291">
        <v>495.73</v>
      </c>
      <c r="I2291">
        <v>53.25</v>
      </c>
      <c r="J2291" t="s">
        <v>66</v>
      </c>
      <c r="K2291" t="s">
        <v>16</v>
      </c>
      <c r="L2291" t="s">
        <v>2087</v>
      </c>
      <c r="M2291">
        <v>8</v>
      </c>
      <c r="N2291" t="s">
        <v>194</v>
      </c>
      <c r="O2291" t="s">
        <v>2109</v>
      </c>
    </row>
    <row r="2292" spans="1:15">
      <c r="A2292" t="s">
        <v>1259</v>
      </c>
      <c r="B2292" t="s">
        <v>2099</v>
      </c>
      <c r="C2292" t="s">
        <v>2111</v>
      </c>
      <c r="D2292" s="1">
        <v>44923</v>
      </c>
      <c r="E2292" s="1">
        <v>45063</v>
      </c>
      <c r="F2292">
        <v>229</v>
      </c>
      <c r="G2292">
        <v>2</v>
      </c>
      <c r="H2292">
        <v>87.24</v>
      </c>
      <c r="I2292">
        <v>79.040000000000006</v>
      </c>
      <c r="J2292" t="s">
        <v>90</v>
      </c>
      <c r="K2292" t="s">
        <v>16</v>
      </c>
      <c r="L2292" t="s">
        <v>2087</v>
      </c>
      <c r="M2292">
        <v>1</v>
      </c>
      <c r="N2292" t="s">
        <v>157</v>
      </c>
      <c r="O2292" t="s">
        <v>2096</v>
      </c>
    </row>
    <row r="2293" spans="1:15">
      <c r="A2293" t="s">
        <v>3875</v>
      </c>
      <c r="B2293" t="s">
        <v>2099</v>
      </c>
      <c r="C2293" t="s">
        <v>2100</v>
      </c>
      <c r="D2293" s="1">
        <v>43811</v>
      </c>
      <c r="E2293" s="1">
        <v>45221</v>
      </c>
      <c r="F2293">
        <v>71</v>
      </c>
      <c r="G2293">
        <v>1</v>
      </c>
      <c r="H2293">
        <v>33.729999999999997</v>
      </c>
      <c r="I2293">
        <v>46.63</v>
      </c>
      <c r="J2293" t="s">
        <v>90</v>
      </c>
      <c r="K2293" t="s">
        <v>16</v>
      </c>
      <c r="L2293" t="s">
        <v>2095</v>
      </c>
      <c r="M2293">
        <v>1</v>
      </c>
      <c r="N2293" t="s">
        <v>194</v>
      </c>
      <c r="O2293" t="s">
        <v>2121</v>
      </c>
    </row>
    <row r="2294" spans="1:15">
      <c r="A2294" t="s">
        <v>1565</v>
      </c>
      <c r="B2294" t="s">
        <v>2090</v>
      </c>
      <c r="C2294" t="s">
        <v>2094</v>
      </c>
      <c r="D2294" s="1">
        <v>45000</v>
      </c>
      <c r="E2294" s="1">
        <v>45064</v>
      </c>
      <c r="F2294">
        <v>228</v>
      </c>
      <c r="G2294">
        <v>4</v>
      </c>
      <c r="H2294">
        <v>81.56</v>
      </c>
      <c r="I2294">
        <v>48.28</v>
      </c>
      <c r="J2294" t="s">
        <v>14</v>
      </c>
      <c r="K2294" t="s">
        <v>16</v>
      </c>
      <c r="L2294" t="s">
        <v>2087</v>
      </c>
      <c r="M2294">
        <v>2</v>
      </c>
      <c r="N2294" t="s">
        <v>232</v>
      </c>
      <c r="O2294" t="s">
        <v>2096</v>
      </c>
    </row>
    <row r="2295" spans="1:15">
      <c r="A2295" t="s">
        <v>3876</v>
      </c>
      <c r="B2295" t="s">
        <v>2093</v>
      </c>
      <c r="C2295" t="s">
        <v>2100</v>
      </c>
      <c r="D2295" s="1">
        <v>43606</v>
      </c>
      <c r="E2295" s="1">
        <v>44964</v>
      </c>
      <c r="F2295">
        <v>328</v>
      </c>
      <c r="G2295">
        <v>3</v>
      </c>
      <c r="H2295">
        <v>150.93</v>
      </c>
      <c r="I2295">
        <v>62.18</v>
      </c>
      <c r="J2295" t="s">
        <v>115</v>
      </c>
      <c r="K2295" t="s">
        <v>16</v>
      </c>
      <c r="L2295" t="s">
        <v>2095</v>
      </c>
      <c r="M2295">
        <v>1</v>
      </c>
      <c r="N2295" t="s">
        <v>194</v>
      </c>
      <c r="O2295" t="s">
        <v>2109</v>
      </c>
    </row>
    <row r="2296" spans="1:15">
      <c r="A2296" t="s">
        <v>3877</v>
      </c>
      <c r="B2296" t="s">
        <v>2085</v>
      </c>
      <c r="C2296" t="s">
        <v>2086</v>
      </c>
      <c r="D2296" s="1">
        <v>43648</v>
      </c>
      <c r="E2296" s="1">
        <v>45191</v>
      </c>
      <c r="F2296">
        <v>101</v>
      </c>
      <c r="G2296">
        <v>39</v>
      </c>
      <c r="H2296">
        <v>1236.1400000000001</v>
      </c>
      <c r="I2296">
        <v>175.01</v>
      </c>
      <c r="J2296" t="s">
        <v>41</v>
      </c>
      <c r="K2296" t="s">
        <v>16</v>
      </c>
      <c r="L2296" t="s">
        <v>2106</v>
      </c>
      <c r="M2296">
        <v>0</v>
      </c>
      <c r="N2296" t="s">
        <v>179</v>
      </c>
      <c r="O2296" t="s">
        <v>2121</v>
      </c>
    </row>
    <row r="2297" spans="1:15">
      <c r="A2297" t="s">
        <v>3878</v>
      </c>
      <c r="B2297" t="s">
        <v>2113</v>
      </c>
      <c r="C2297" t="s">
        <v>2091</v>
      </c>
      <c r="D2297" s="1">
        <v>44184</v>
      </c>
      <c r="E2297" s="1">
        <v>45059</v>
      </c>
      <c r="F2297">
        <v>233</v>
      </c>
      <c r="G2297">
        <v>15</v>
      </c>
      <c r="H2297">
        <v>454.64</v>
      </c>
      <c r="I2297">
        <v>43.48</v>
      </c>
      <c r="J2297" t="s">
        <v>90</v>
      </c>
      <c r="K2297" t="s">
        <v>20</v>
      </c>
      <c r="L2297" t="s">
        <v>2095</v>
      </c>
      <c r="M2297">
        <v>6</v>
      </c>
      <c r="N2297" t="s">
        <v>232</v>
      </c>
      <c r="O2297" t="s">
        <v>2121</v>
      </c>
    </row>
    <row r="2298" spans="1:15">
      <c r="A2298" t="s">
        <v>3879</v>
      </c>
      <c r="B2298" t="s">
        <v>2097</v>
      </c>
      <c r="C2298" t="s">
        <v>2091</v>
      </c>
      <c r="D2298" s="1">
        <v>45118</v>
      </c>
      <c r="E2298" s="1">
        <v>44940</v>
      </c>
      <c r="F2298">
        <v>352</v>
      </c>
      <c r="G2298">
        <v>10</v>
      </c>
      <c r="H2298">
        <v>443.85</v>
      </c>
      <c r="I2298">
        <v>148.86000000000001</v>
      </c>
      <c r="J2298" t="s">
        <v>66</v>
      </c>
      <c r="K2298" t="s">
        <v>20</v>
      </c>
      <c r="L2298" t="s">
        <v>2087</v>
      </c>
      <c r="M2298">
        <v>10</v>
      </c>
      <c r="N2298" t="s">
        <v>165</v>
      </c>
      <c r="O2298" t="s">
        <v>2121</v>
      </c>
    </row>
    <row r="2299" spans="1:15">
      <c r="A2299" t="s">
        <v>3880</v>
      </c>
      <c r="B2299" t="s">
        <v>2113</v>
      </c>
      <c r="C2299" t="s">
        <v>2111</v>
      </c>
      <c r="D2299" s="1">
        <v>44306</v>
      </c>
      <c r="E2299" s="1">
        <v>45144</v>
      </c>
      <c r="F2299">
        <v>148</v>
      </c>
      <c r="G2299">
        <v>15</v>
      </c>
      <c r="H2299">
        <v>523.79999999999995</v>
      </c>
      <c r="I2299">
        <v>47.71</v>
      </c>
      <c r="J2299" t="s">
        <v>14</v>
      </c>
      <c r="K2299" t="s">
        <v>16</v>
      </c>
      <c r="L2299" t="s">
        <v>2095</v>
      </c>
      <c r="M2299">
        <v>1</v>
      </c>
      <c r="N2299" t="s">
        <v>174</v>
      </c>
      <c r="O2299" t="s">
        <v>2088</v>
      </c>
    </row>
    <row r="2300" spans="1:15">
      <c r="A2300" t="s">
        <v>3881</v>
      </c>
      <c r="B2300" t="s">
        <v>2099</v>
      </c>
      <c r="C2300" t="s">
        <v>2100</v>
      </c>
      <c r="D2300" s="1">
        <v>43917</v>
      </c>
      <c r="E2300" s="1">
        <v>45194</v>
      </c>
      <c r="F2300">
        <v>98</v>
      </c>
      <c r="G2300">
        <v>1</v>
      </c>
      <c r="H2300">
        <v>39.78</v>
      </c>
      <c r="I2300">
        <v>82.03</v>
      </c>
      <c r="J2300" t="s">
        <v>115</v>
      </c>
      <c r="K2300" t="s">
        <v>16</v>
      </c>
      <c r="L2300" t="s">
        <v>2087</v>
      </c>
      <c r="M2300">
        <v>10</v>
      </c>
      <c r="N2300" t="s">
        <v>157</v>
      </c>
      <c r="O2300" t="s">
        <v>2096</v>
      </c>
    </row>
    <row r="2301" spans="1:15">
      <c r="A2301" t="s">
        <v>3882</v>
      </c>
      <c r="B2301" t="s">
        <v>2093</v>
      </c>
      <c r="C2301" t="s">
        <v>2091</v>
      </c>
      <c r="D2301" s="1">
        <v>44265</v>
      </c>
      <c r="E2301" s="1">
        <v>45198</v>
      </c>
      <c r="F2301">
        <v>94</v>
      </c>
      <c r="G2301">
        <v>4</v>
      </c>
      <c r="H2301">
        <v>156.44</v>
      </c>
      <c r="I2301">
        <v>68.180000000000007</v>
      </c>
      <c r="J2301" t="s">
        <v>115</v>
      </c>
      <c r="K2301" t="s">
        <v>16</v>
      </c>
      <c r="L2301" t="s">
        <v>2106</v>
      </c>
      <c r="M2301">
        <v>0</v>
      </c>
      <c r="N2301" t="s">
        <v>232</v>
      </c>
      <c r="O2301" t="s">
        <v>2121</v>
      </c>
    </row>
    <row r="2302" spans="1:15">
      <c r="A2302" t="s">
        <v>3883</v>
      </c>
      <c r="B2302" t="s">
        <v>2093</v>
      </c>
      <c r="C2302" t="s">
        <v>2111</v>
      </c>
      <c r="D2302" s="1">
        <v>43862</v>
      </c>
      <c r="E2302" s="1">
        <v>45059</v>
      </c>
      <c r="F2302">
        <v>233</v>
      </c>
      <c r="G2302">
        <v>4</v>
      </c>
      <c r="H2302">
        <v>33.65</v>
      </c>
      <c r="I2302">
        <v>67.400000000000006</v>
      </c>
      <c r="J2302" t="s">
        <v>115</v>
      </c>
      <c r="K2302" t="s">
        <v>20</v>
      </c>
      <c r="L2302" t="s">
        <v>2095</v>
      </c>
      <c r="M2302">
        <v>6</v>
      </c>
      <c r="N2302" t="s">
        <v>165</v>
      </c>
      <c r="O2302" t="s">
        <v>2121</v>
      </c>
    </row>
    <row r="2303" spans="1:15">
      <c r="A2303" t="s">
        <v>3884</v>
      </c>
      <c r="B2303" t="s">
        <v>2085</v>
      </c>
      <c r="C2303" t="s">
        <v>2094</v>
      </c>
      <c r="D2303" s="1">
        <v>45111</v>
      </c>
      <c r="E2303" s="1">
        <v>45281</v>
      </c>
      <c r="F2303">
        <v>11</v>
      </c>
      <c r="G2303">
        <v>29</v>
      </c>
      <c r="H2303">
        <v>1049.7</v>
      </c>
      <c r="I2303">
        <v>137.80000000000001</v>
      </c>
      <c r="J2303" t="s">
        <v>14</v>
      </c>
      <c r="K2303" t="s">
        <v>16</v>
      </c>
      <c r="L2303" t="s">
        <v>2087</v>
      </c>
      <c r="M2303">
        <v>8</v>
      </c>
      <c r="N2303" t="s">
        <v>165</v>
      </c>
      <c r="O2303" t="s">
        <v>2121</v>
      </c>
    </row>
    <row r="2304" spans="1:15">
      <c r="A2304" t="s">
        <v>3885</v>
      </c>
      <c r="B2304" t="s">
        <v>2090</v>
      </c>
      <c r="C2304" t="s">
        <v>2111</v>
      </c>
      <c r="D2304" s="1">
        <v>44436</v>
      </c>
      <c r="E2304" s="1">
        <v>45164</v>
      </c>
      <c r="F2304">
        <v>128</v>
      </c>
      <c r="G2304">
        <v>4</v>
      </c>
      <c r="H2304">
        <v>140.41999999999999</v>
      </c>
      <c r="I2304">
        <v>99.64</v>
      </c>
      <c r="J2304" t="s">
        <v>14</v>
      </c>
      <c r="K2304" t="s">
        <v>20</v>
      </c>
      <c r="L2304" t="s">
        <v>2087</v>
      </c>
      <c r="M2304">
        <v>2</v>
      </c>
      <c r="N2304" t="s">
        <v>179</v>
      </c>
      <c r="O2304" t="s">
        <v>2109</v>
      </c>
    </row>
    <row r="2305" spans="1:15">
      <c r="A2305" t="s">
        <v>3886</v>
      </c>
      <c r="B2305" t="s">
        <v>2090</v>
      </c>
      <c r="C2305" t="s">
        <v>2111</v>
      </c>
      <c r="D2305" s="1">
        <v>45260</v>
      </c>
      <c r="E2305" s="1">
        <v>45290</v>
      </c>
      <c r="F2305">
        <v>2</v>
      </c>
      <c r="G2305">
        <v>4</v>
      </c>
      <c r="H2305">
        <v>308.01</v>
      </c>
      <c r="I2305">
        <v>86.11</v>
      </c>
      <c r="J2305" t="s">
        <v>66</v>
      </c>
      <c r="K2305" t="s">
        <v>16</v>
      </c>
      <c r="L2305" t="s">
        <v>2106</v>
      </c>
      <c r="M2305">
        <v>5</v>
      </c>
      <c r="N2305" t="s">
        <v>194</v>
      </c>
      <c r="O2305" t="s">
        <v>2121</v>
      </c>
    </row>
    <row r="2306" spans="1:15">
      <c r="A2306" t="s">
        <v>1529</v>
      </c>
      <c r="B2306" t="s">
        <v>2090</v>
      </c>
      <c r="C2306" t="s">
        <v>2111</v>
      </c>
      <c r="D2306" s="1">
        <v>44067</v>
      </c>
      <c r="E2306" s="1">
        <v>44997</v>
      </c>
      <c r="F2306">
        <v>295</v>
      </c>
      <c r="G2306">
        <v>7</v>
      </c>
      <c r="H2306">
        <v>203.9</v>
      </c>
      <c r="I2306">
        <v>86.09</v>
      </c>
      <c r="J2306" t="s">
        <v>90</v>
      </c>
      <c r="K2306" t="s">
        <v>20</v>
      </c>
      <c r="L2306" t="s">
        <v>2106</v>
      </c>
      <c r="M2306">
        <v>5</v>
      </c>
      <c r="N2306" t="s">
        <v>179</v>
      </c>
      <c r="O2306" t="s">
        <v>2109</v>
      </c>
    </row>
    <row r="2307" spans="1:15">
      <c r="A2307" t="s">
        <v>3887</v>
      </c>
      <c r="B2307" t="s">
        <v>2097</v>
      </c>
      <c r="C2307" t="s">
        <v>2100</v>
      </c>
      <c r="D2307" s="1">
        <v>43490</v>
      </c>
      <c r="E2307" s="1">
        <v>44984</v>
      </c>
      <c r="F2307">
        <v>308</v>
      </c>
      <c r="G2307">
        <v>10</v>
      </c>
      <c r="H2307">
        <v>372.82</v>
      </c>
      <c r="I2307">
        <v>100.05</v>
      </c>
      <c r="J2307" t="s">
        <v>14</v>
      </c>
      <c r="K2307" t="s">
        <v>20</v>
      </c>
      <c r="L2307" t="s">
        <v>2087</v>
      </c>
      <c r="M2307">
        <v>3</v>
      </c>
      <c r="N2307" t="s">
        <v>194</v>
      </c>
      <c r="O2307" t="s">
        <v>2121</v>
      </c>
    </row>
    <row r="2308" spans="1:15">
      <c r="A2308" t="s">
        <v>3888</v>
      </c>
      <c r="B2308" t="s">
        <v>2099</v>
      </c>
      <c r="C2308" t="s">
        <v>2094</v>
      </c>
      <c r="D2308" s="1">
        <v>43843</v>
      </c>
      <c r="E2308" s="1">
        <v>45046</v>
      </c>
      <c r="F2308">
        <v>246</v>
      </c>
      <c r="G2308">
        <v>2</v>
      </c>
      <c r="H2308">
        <v>110.63</v>
      </c>
      <c r="I2308">
        <v>45.51</v>
      </c>
      <c r="J2308" t="s">
        <v>14</v>
      </c>
      <c r="K2308" t="s">
        <v>16</v>
      </c>
      <c r="L2308" t="s">
        <v>2106</v>
      </c>
      <c r="M2308">
        <v>3</v>
      </c>
      <c r="N2308" t="s">
        <v>232</v>
      </c>
      <c r="O2308" t="s">
        <v>2107</v>
      </c>
    </row>
    <row r="2309" spans="1:15">
      <c r="A2309" t="s">
        <v>835</v>
      </c>
      <c r="B2309" t="s">
        <v>2097</v>
      </c>
      <c r="C2309" t="s">
        <v>2108</v>
      </c>
      <c r="D2309" s="1">
        <v>44707</v>
      </c>
      <c r="E2309" s="1">
        <v>45176</v>
      </c>
      <c r="F2309">
        <v>116</v>
      </c>
      <c r="G2309">
        <v>9</v>
      </c>
      <c r="H2309">
        <v>331.02</v>
      </c>
      <c r="I2309">
        <v>123.23</v>
      </c>
      <c r="J2309" t="s">
        <v>14</v>
      </c>
      <c r="K2309" t="s">
        <v>20</v>
      </c>
      <c r="L2309" t="s">
        <v>2106</v>
      </c>
      <c r="M2309">
        <v>0</v>
      </c>
      <c r="N2309" t="s">
        <v>174</v>
      </c>
      <c r="O2309" t="s">
        <v>2096</v>
      </c>
    </row>
    <row r="2310" spans="1:15">
      <c r="A2310" t="s">
        <v>3889</v>
      </c>
      <c r="B2310" t="s">
        <v>2099</v>
      </c>
      <c r="C2310" t="s">
        <v>2108</v>
      </c>
      <c r="D2310" s="1">
        <v>43677</v>
      </c>
      <c r="E2310" s="1">
        <v>44991</v>
      </c>
      <c r="F2310">
        <v>301</v>
      </c>
      <c r="G2310">
        <v>1</v>
      </c>
      <c r="H2310">
        <v>80.47</v>
      </c>
      <c r="I2310">
        <v>97.28</v>
      </c>
      <c r="J2310" t="s">
        <v>115</v>
      </c>
      <c r="K2310" t="s">
        <v>16</v>
      </c>
      <c r="L2310" t="s">
        <v>2106</v>
      </c>
      <c r="M2310">
        <v>10</v>
      </c>
      <c r="N2310" t="s">
        <v>194</v>
      </c>
      <c r="O2310" t="s">
        <v>2109</v>
      </c>
    </row>
    <row r="2311" spans="1:15">
      <c r="A2311" t="s">
        <v>3890</v>
      </c>
      <c r="B2311" t="s">
        <v>2099</v>
      </c>
      <c r="C2311" t="s">
        <v>2086</v>
      </c>
      <c r="D2311" s="1">
        <v>45219</v>
      </c>
      <c r="E2311" s="1">
        <v>45065</v>
      </c>
      <c r="F2311">
        <v>227</v>
      </c>
      <c r="G2311">
        <v>1</v>
      </c>
      <c r="H2311">
        <v>115.9</v>
      </c>
      <c r="I2311">
        <v>39.15</v>
      </c>
      <c r="J2311" t="s">
        <v>66</v>
      </c>
      <c r="K2311" t="s">
        <v>20</v>
      </c>
      <c r="L2311" t="s">
        <v>2087</v>
      </c>
      <c r="M2311">
        <v>1</v>
      </c>
      <c r="N2311" t="s">
        <v>165</v>
      </c>
      <c r="O2311" t="s">
        <v>2121</v>
      </c>
    </row>
    <row r="2312" spans="1:15">
      <c r="A2312" t="s">
        <v>3891</v>
      </c>
      <c r="B2312" t="s">
        <v>2097</v>
      </c>
      <c r="C2312" t="s">
        <v>2091</v>
      </c>
      <c r="D2312" s="1">
        <v>43772</v>
      </c>
      <c r="E2312" s="1">
        <v>45204</v>
      </c>
      <c r="F2312">
        <v>88</v>
      </c>
      <c r="G2312">
        <v>6</v>
      </c>
      <c r="H2312">
        <v>353.7</v>
      </c>
      <c r="I2312">
        <v>85.06</v>
      </c>
      <c r="J2312" t="s">
        <v>41</v>
      </c>
      <c r="K2312" t="s">
        <v>16</v>
      </c>
      <c r="L2312" t="s">
        <v>2095</v>
      </c>
      <c r="M2312">
        <v>10</v>
      </c>
      <c r="N2312" t="s">
        <v>232</v>
      </c>
      <c r="O2312" t="s">
        <v>2109</v>
      </c>
    </row>
    <row r="2313" spans="1:15">
      <c r="A2313" t="s">
        <v>208</v>
      </c>
      <c r="B2313" t="s">
        <v>2093</v>
      </c>
      <c r="C2313" t="s">
        <v>2111</v>
      </c>
      <c r="D2313" s="1">
        <v>44641</v>
      </c>
      <c r="E2313" s="1">
        <v>45211</v>
      </c>
      <c r="F2313">
        <v>81</v>
      </c>
      <c r="G2313">
        <v>3</v>
      </c>
      <c r="H2313">
        <v>176.11</v>
      </c>
      <c r="I2313">
        <v>59.51</v>
      </c>
      <c r="J2313" t="s">
        <v>41</v>
      </c>
      <c r="K2313" t="s">
        <v>16</v>
      </c>
      <c r="L2313" t="s">
        <v>2095</v>
      </c>
      <c r="M2313">
        <v>6</v>
      </c>
      <c r="N2313" t="s">
        <v>194</v>
      </c>
      <c r="O2313" t="s">
        <v>2109</v>
      </c>
    </row>
    <row r="2314" spans="1:15">
      <c r="A2314" t="s">
        <v>3892</v>
      </c>
      <c r="B2314" t="s">
        <v>2113</v>
      </c>
      <c r="C2314" t="s">
        <v>2094</v>
      </c>
      <c r="D2314" s="1">
        <v>45161</v>
      </c>
      <c r="E2314" s="1">
        <v>44969</v>
      </c>
      <c r="F2314">
        <v>323</v>
      </c>
      <c r="G2314">
        <v>19</v>
      </c>
      <c r="H2314">
        <v>575.29</v>
      </c>
      <c r="I2314">
        <v>53.62</v>
      </c>
      <c r="J2314" t="s">
        <v>115</v>
      </c>
      <c r="K2314" t="s">
        <v>20</v>
      </c>
      <c r="L2314" t="s">
        <v>2095</v>
      </c>
      <c r="M2314">
        <v>1</v>
      </c>
      <c r="N2314" t="s">
        <v>179</v>
      </c>
      <c r="O2314" t="s">
        <v>2088</v>
      </c>
    </row>
    <row r="2315" spans="1:15">
      <c r="A2315" t="s">
        <v>3893</v>
      </c>
      <c r="B2315" t="s">
        <v>2099</v>
      </c>
      <c r="C2315" t="s">
        <v>2111</v>
      </c>
      <c r="D2315" s="1">
        <v>44683</v>
      </c>
      <c r="E2315" s="1">
        <v>45069</v>
      </c>
      <c r="F2315">
        <v>223</v>
      </c>
      <c r="G2315">
        <v>1</v>
      </c>
      <c r="H2315">
        <v>107.77</v>
      </c>
      <c r="I2315">
        <v>61.74</v>
      </c>
      <c r="J2315" t="s">
        <v>14</v>
      </c>
      <c r="K2315" t="s">
        <v>16</v>
      </c>
      <c r="L2315" t="s">
        <v>2106</v>
      </c>
      <c r="M2315">
        <v>9</v>
      </c>
      <c r="N2315" t="s">
        <v>174</v>
      </c>
      <c r="O2315" t="s">
        <v>2096</v>
      </c>
    </row>
    <row r="2316" spans="1:15">
      <c r="A2316" t="s">
        <v>3894</v>
      </c>
      <c r="B2316" t="s">
        <v>2099</v>
      </c>
      <c r="C2316" t="s">
        <v>2100</v>
      </c>
      <c r="D2316" s="1">
        <v>43993</v>
      </c>
      <c r="E2316" s="1">
        <v>45057</v>
      </c>
      <c r="F2316">
        <v>235</v>
      </c>
      <c r="G2316">
        <v>1</v>
      </c>
      <c r="H2316">
        <v>29.89</v>
      </c>
      <c r="I2316">
        <v>94.64</v>
      </c>
      <c r="J2316" t="s">
        <v>14</v>
      </c>
      <c r="K2316" t="s">
        <v>16</v>
      </c>
      <c r="L2316" t="s">
        <v>2106</v>
      </c>
      <c r="M2316">
        <v>8</v>
      </c>
      <c r="N2316" t="s">
        <v>157</v>
      </c>
      <c r="O2316" t="s">
        <v>2096</v>
      </c>
    </row>
    <row r="2317" spans="1:15">
      <c r="A2317" t="s">
        <v>3895</v>
      </c>
      <c r="B2317" t="s">
        <v>2090</v>
      </c>
      <c r="C2317" t="s">
        <v>2100</v>
      </c>
      <c r="D2317" s="1">
        <v>44964</v>
      </c>
      <c r="E2317" s="1">
        <v>45081</v>
      </c>
      <c r="F2317">
        <v>211</v>
      </c>
      <c r="G2317">
        <v>5</v>
      </c>
      <c r="H2317">
        <v>196.24</v>
      </c>
      <c r="I2317">
        <v>64.27</v>
      </c>
      <c r="J2317" t="s">
        <v>41</v>
      </c>
      <c r="K2317" t="s">
        <v>20</v>
      </c>
      <c r="L2317" t="s">
        <v>2106</v>
      </c>
      <c r="M2317">
        <v>8</v>
      </c>
      <c r="N2317" t="s">
        <v>232</v>
      </c>
      <c r="O2317" t="s">
        <v>2121</v>
      </c>
    </row>
    <row r="2318" spans="1:15">
      <c r="A2318" t="s">
        <v>794</v>
      </c>
      <c r="B2318" t="s">
        <v>2093</v>
      </c>
      <c r="C2318" t="s">
        <v>2094</v>
      </c>
      <c r="D2318" s="1">
        <v>44836</v>
      </c>
      <c r="E2318" s="1">
        <v>45174</v>
      </c>
      <c r="F2318">
        <v>118</v>
      </c>
      <c r="G2318">
        <v>2</v>
      </c>
      <c r="H2318">
        <v>71</v>
      </c>
      <c r="I2318">
        <v>80</v>
      </c>
      <c r="J2318" t="s">
        <v>115</v>
      </c>
      <c r="K2318" t="s">
        <v>20</v>
      </c>
      <c r="L2318" t="s">
        <v>2106</v>
      </c>
      <c r="M2318">
        <v>7</v>
      </c>
      <c r="N2318" t="s">
        <v>204</v>
      </c>
      <c r="O2318" t="s">
        <v>2096</v>
      </c>
    </row>
    <row r="2319" spans="1:15">
      <c r="A2319" t="s">
        <v>3896</v>
      </c>
      <c r="B2319" t="s">
        <v>2085</v>
      </c>
      <c r="C2319" t="s">
        <v>2094</v>
      </c>
      <c r="D2319" s="1">
        <v>44761</v>
      </c>
      <c r="E2319" s="1">
        <v>45002</v>
      </c>
      <c r="F2319">
        <v>290</v>
      </c>
      <c r="G2319">
        <v>27</v>
      </c>
      <c r="H2319">
        <v>2032.7</v>
      </c>
      <c r="I2319">
        <v>277.47000000000003</v>
      </c>
      <c r="J2319" t="s">
        <v>41</v>
      </c>
      <c r="K2319" t="s">
        <v>16</v>
      </c>
      <c r="L2319" t="s">
        <v>2087</v>
      </c>
      <c r="M2319">
        <v>1</v>
      </c>
      <c r="N2319" t="s">
        <v>157</v>
      </c>
      <c r="O2319" t="s">
        <v>2096</v>
      </c>
    </row>
    <row r="2320" spans="1:15">
      <c r="A2320" t="s">
        <v>337</v>
      </c>
      <c r="B2320" t="s">
        <v>2093</v>
      </c>
      <c r="C2320" t="s">
        <v>2100</v>
      </c>
      <c r="D2320" s="1">
        <v>43800</v>
      </c>
      <c r="E2320" s="1">
        <v>45011</v>
      </c>
      <c r="F2320">
        <v>281</v>
      </c>
      <c r="G2320">
        <v>5</v>
      </c>
      <c r="H2320">
        <v>170.81</v>
      </c>
      <c r="I2320">
        <v>53.04</v>
      </c>
      <c r="J2320" t="s">
        <v>90</v>
      </c>
      <c r="K2320" t="s">
        <v>20</v>
      </c>
      <c r="L2320" t="s">
        <v>2106</v>
      </c>
      <c r="M2320">
        <v>0</v>
      </c>
      <c r="N2320" t="s">
        <v>232</v>
      </c>
      <c r="O2320" t="s">
        <v>2109</v>
      </c>
    </row>
    <row r="2321" spans="1:15">
      <c r="A2321" t="s">
        <v>3897</v>
      </c>
      <c r="B2321" t="s">
        <v>2093</v>
      </c>
      <c r="C2321" t="s">
        <v>2094</v>
      </c>
      <c r="D2321" s="1">
        <v>44574</v>
      </c>
      <c r="E2321" s="1">
        <v>45147</v>
      </c>
      <c r="F2321">
        <v>145</v>
      </c>
      <c r="G2321">
        <v>4</v>
      </c>
      <c r="H2321">
        <v>100.03</v>
      </c>
      <c r="I2321">
        <v>21.17</v>
      </c>
      <c r="J2321" t="s">
        <v>41</v>
      </c>
      <c r="K2321" t="s">
        <v>20</v>
      </c>
      <c r="L2321" t="s">
        <v>2095</v>
      </c>
      <c r="M2321">
        <v>9</v>
      </c>
      <c r="N2321" t="s">
        <v>165</v>
      </c>
      <c r="O2321" t="s">
        <v>2121</v>
      </c>
    </row>
    <row r="2322" spans="1:15">
      <c r="A2322" t="s">
        <v>1884</v>
      </c>
      <c r="B2322" t="s">
        <v>2099</v>
      </c>
      <c r="C2322" t="s">
        <v>2086</v>
      </c>
      <c r="D2322" s="1">
        <v>45156</v>
      </c>
      <c r="E2322" s="1">
        <v>45269</v>
      </c>
      <c r="F2322">
        <v>23</v>
      </c>
      <c r="G2322">
        <v>1</v>
      </c>
      <c r="H2322">
        <v>73.28</v>
      </c>
      <c r="I2322">
        <v>52.2</v>
      </c>
      <c r="J2322" t="s">
        <v>41</v>
      </c>
      <c r="K2322" t="s">
        <v>16</v>
      </c>
      <c r="L2322" t="s">
        <v>2106</v>
      </c>
      <c r="M2322">
        <v>0</v>
      </c>
      <c r="N2322" t="s">
        <v>179</v>
      </c>
      <c r="O2322" t="s">
        <v>2096</v>
      </c>
    </row>
    <row r="2323" spans="1:15">
      <c r="A2323" t="s">
        <v>3898</v>
      </c>
      <c r="B2323" t="s">
        <v>2097</v>
      </c>
      <c r="C2323" t="s">
        <v>2100</v>
      </c>
      <c r="D2323" s="1">
        <v>44681</v>
      </c>
      <c r="E2323" s="1">
        <v>44937</v>
      </c>
      <c r="F2323">
        <v>355</v>
      </c>
      <c r="G2323">
        <v>10</v>
      </c>
      <c r="H2323">
        <v>156.26</v>
      </c>
      <c r="I2323">
        <v>125.7</v>
      </c>
      <c r="J2323" t="s">
        <v>14</v>
      </c>
      <c r="K2323" t="s">
        <v>16</v>
      </c>
      <c r="L2323" t="s">
        <v>2087</v>
      </c>
      <c r="M2323">
        <v>8</v>
      </c>
      <c r="N2323" t="s">
        <v>179</v>
      </c>
      <c r="O2323" t="s">
        <v>2096</v>
      </c>
    </row>
    <row r="2324" spans="1:15">
      <c r="A2324" t="s">
        <v>3899</v>
      </c>
      <c r="B2324" t="s">
        <v>2090</v>
      </c>
      <c r="C2324" t="s">
        <v>2100</v>
      </c>
      <c r="D2324" s="1">
        <v>44927</v>
      </c>
      <c r="E2324" s="1">
        <v>45287</v>
      </c>
      <c r="F2324">
        <v>5</v>
      </c>
      <c r="G2324">
        <v>7</v>
      </c>
      <c r="H2324">
        <v>243.88</v>
      </c>
      <c r="I2324">
        <v>98.65</v>
      </c>
      <c r="J2324" t="s">
        <v>115</v>
      </c>
      <c r="K2324" t="s">
        <v>16</v>
      </c>
      <c r="L2324" t="s">
        <v>2095</v>
      </c>
      <c r="M2324">
        <v>0</v>
      </c>
      <c r="N2324" t="s">
        <v>204</v>
      </c>
      <c r="O2324" t="s">
        <v>2096</v>
      </c>
    </row>
    <row r="2325" spans="1:15">
      <c r="A2325" t="s">
        <v>1588</v>
      </c>
      <c r="B2325" t="s">
        <v>2090</v>
      </c>
      <c r="C2325" t="s">
        <v>2108</v>
      </c>
      <c r="D2325" s="1">
        <v>44682</v>
      </c>
      <c r="E2325" s="1">
        <v>45006</v>
      </c>
      <c r="F2325">
        <v>286</v>
      </c>
      <c r="G2325">
        <v>6</v>
      </c>
      <c r="H2325">
        <v>155.07</v>
      </c>
      <c r="I2325">
        <v>80.37</v>
      </c>
      <c r="J2325" t="s">
        <v>90</v>
      </c>
      <c r="K2325" t="s">
        <v>16</v>
      </c>
      <c r="L2325" t="s">
        <v>2106</v>
      </c>
      <c r="M2325">
        <v>4</v>
      </c>
      <c r="N2325" t="s">
        <v>232</v>
      </c>
      <c r="O2325" t="s">
        <v>2109</v>
      </c>
    </row>
    <row r="2326" spans="1:15">
      <c r="A2326" t="s">
        <v>3900</v>
      </c>
      <c r="B2326" t="s">
        <v>2099</v>
      </c>
      <c r="C2326" t="s">
        <v>2094</v>
      </c>
      <c r="D2326" s="1">
        <v>45211</v>
      </c>
      <c r="E2326" s="1">
        <v>45170</v>
      </c>
      <c r="F2326">
        <v>122</v>
      </c>
      <c r="G2326">
        <v>1</v>
      </c>
      <c r="H2326">
        <v>100.04</v>
      </c>
      <c r="I2326">
        <v>47.81</v>
      </c>
      <c r="J2326" t="s">
        <v>66</v>
      </c>
      <c r="K2326" t="s">
        <v>16</v>
      </c>
      <c r="L2326" t="s">
        <v>2087</v>
      </c>
      <c r="M2326">
        <v>5</v>
      </c>
      <c r="N2326" t="s">
        <v>204</v>
      </c>
      <c r="O2326" t="s">
        <v>2107</v>
      </c>
    </row>
    <row r="2327" spans="1:15">
      <c r="A2327" t="s">
        <v>3901</v>
      </c>
      <c r="B2327" t="s">
        <v>2099</v>
      </c>
      <c r="C2327" t="s">
        <v>2086</v>
      </c>
      <c r="D2327" s="1">
        <v>43649</v>
      </c>
      <c r="E2327" s="1">
        <v>45233</v>
      </c>
      <c r="F2327">
        <v>59</v>
      </c>
      <c r="G2327">
        <v>2</v>
      </c>
      <c r="H2327">
        <v>71.37</v>
      </c>
      <c r="I2327">
        <v>74.16</v>
      </c>
      <c r="J2327" t="s">
        <v>41</v>
      </c>
      <c r="K2327" t="s">
        <v>20</v>
      </c>
      <c r="L2327" t="s">
        <v>2095</v>
      </c>
      <c r="M2327">
        <v>7</v>
      </c>
      <c r="N2327" t="s">
        <v>232</v>
      </c>
      <c r="O2327" t="s">
        <v>2121</v>
      </c>
    </row>
    <row r="2328" spans="1:15">
      <c r="A2328" t="s">
        <v>3902</v>
      </c>
      <c r="B2328" t="s">
        <v>2099</v>
      </c>
      <c r="C2328" t="s">
        <v>2091</v>
      </c>
      <c r="D2328" s="1">
        <v>45117</v>
      </c>
      <c r="E2328" s="1">
        <v>44947</v>
      </c>
      <c r="F2328">
        <v>345</v>
      </c>
      <c r="G2328">
        <v>2</v>
      </c>
      <c r="H2328">
        <v>95.06</v>
      </c>
      <c r="I2328">
        <v>20.28</v>
      </c>
      <c r="J2328" t="s">
        <v>66</v>
      </c>
      <c r="K2328" t="s">
        <v>16</v>
      </c>
      <c r="L2328" t="s">
        <v>2095</v>
      </c>
      <c r="M2328">
        <v>2</v>
      </c>
      <c r="N2328" t="s">
        <v>174</v>
      </c>
      <c r="O2328" t="s">
        <v>2107</v>
      </c>
    </row>
    <row r="2329" spans="1:15">
      <c r="A2329" t="s">
        <v>3903</v>
      </c>
      <c r="B2329" t="s">
        <v>2099</v>
      </c>
      <c r="C2329" t="s">
        <v>2091</v>
      </c>
      <c r="D2329" s="1">
        <v>43928</v>
      </c>
      <c r="E2329" s="1">
        <v>44956</v>
      </c>
      <c r="F2329">
        <v>336</v>
      </c>
      <c r="G2329">
        <v>1</v>
      </c>
      <c r="H2329">
        <v>71.64</v>
      </c>
      <c r="I2329">
        <v>99.34</v>
      </c>
      <c r="J2329" t="s">
        <v>41</v>
      </c>
      <c r="K2329" t="s">
        <v>20</v>
      </c>
      <c r="L2329" t="s">
        <v>2087</v>
      </c>
      <c r="M2329">
        <v>10</v>
      </c>
      <c r="N2329" t="s">
        <v>194</v>
      </c>
      <c r="O2329" t="s">
        <v>2121</v>
      </c>
    </row>
    <row r="2330" spans="1:15">
      <c r="A2330" t="s">
        <v>3904</v>
      </c>
      <c r="B2330" t="s">
        <v>2097</v>
      </c>
      <c r="C2330" t="s">
        <v>2108</v>
      </c>
      <c r="D2330" s="1">
        <v>43486</v>
      </c>
      <c r="E2330" s="1">
        <v>45240</v>
      </c>
      <c r="F2330">
        <v>52</v>
      </c>
      <c r="G2330">
        <v>8</v>
      </c>
      <c r="H2330">
        <v>769.09</v>
      </c>
      <c r="I2330">
        <v>72.27</v>
      </c>
      <c r="J2330" t="s">
        <v>14</v>
      </c>
      <c r="K2330" t="s">
        <v>16</v>
      </c>
      <c r="L2330" t="s">
        <v>2087</v>
      </c>
      <c r="M2330">
        <v>0</v>
      </c>
      <c r="N2330" t="s">
        <v>165</v>
      </c>
      <c r="O2330" t="s">
        <v>2109</v>
      </c>
    </row>
    <row r="2331" spans="1:15">
      <c r="A2331" t="s">
        <v>3905</v>
      </c>
      <c r="B2331" t="s">
        <v>2097</v>
      </c>
      <c r="C2331" t="s">
        <v>2091</v>
      </c>
      <c r="D2331" s="1">
        <v>43766</v>
      </c>
      <c r="E2331" s="1">
        <v>45258</v>
      </c>
      <c r="F2331">
        <v>34</v>
      </c>
      <c r="G2331">
        <v>8</v>
      </c>
      <c r="H2331">
        <v>206.25</v>
      </c>
      <c r="I2331">
        <v>101.49</v>
      </c>
      <c r="J2331" t="s">
        <v>66</v>
      </c>
      <c r="K2331" t="s">
        <v>16</v>
      </c>
      <c r="L2331" t="s">
        <v>2087</v>
      </c>
      <c r="M2331">
        <v>7</v>
      </c>
      <c r="N2331" t="s">
        <v>194</v>
      </c>
      <c r="O2331" t="s">
        <v>2096</v>
      </c>
    </row>
    <row r="2332" spans="1:15">
      <c r="A2332" t="s">
        <v>3906</v>
      </c>
      <c r="B2332" t="s">
        <v>2097</v>
      </c>
      <c r="C2332" t="s">
        <v>2086</v>
      </c>
      <c r="D2332" s="1">
        <v>45022</v>
      </c>
      <c r="E2332" s="1">
        <v>45251</v>
      </c>
      <c r="F2332">
        <v>41</v>
      </c>
      <c r="G2332">
        <v>8</v>
      </c>
      <c r="H2332">
        <v>610.26</v>
      </c>
      <c r="I2332">
        <v>70.010000000000005</v>
      </c>
      <c r="J2332" t="s">
        <v>115</v>
      </c>
      <c r="K2332" t="s">
        <v>16</v>
      </c>
      <c r="L2332" t="s">
        <v>2095</v>
      </c>
      <c r="M2332">
        <v>5</v>
      </c>
      <c r="N2332" t="s">
        <v>179</v>
      </c>
      <c r="O2332" t="s">
        <v>2107</v>
      </c>
    </row>
    <row r="2333" spans="1:15">
      <c r="A2333" t="s">
        <v>3907</v>
      </c>
      <c r="B2333" t="s">
        <v>2099</v>
      </c>
      <c r="C2333" t="s">
        <v>2100</v>
      </c>
      <c r="D2333" s="1">
        <v>43744</v>
      </c>
      <c r="E2333" s="1">
        <v>45179</v>
      </c>
      <c r="F2333">
        <v>113</v>
      </c>
      <c r="G2333">
        <v>2</v>
      </c>
      <c r="H2333">
        <v>98.06</v>
      </c>
      <c r="I2333">
        <v>36.71</v>
      </c>
      <c r="J2333" t="s">
        <v>41</v>
      </c>
      <c r="K2333" t="s">
        <v>16</v>
      </c>
      <c r="L2333" t="s">
        <v>2087</v>
      </c>
      <c r="M2333">
        <v>2</v>
      </c>
      <c r="N2333" t="s">
        <v>157</v>
      </c>
      <c r="O2333" t="s">
        <v>2088</v>
      </c>
    </row>
    <row r="2334" spans="1:15">
      <c r="A2334" t="s">
        <v>3908</v>
      </c>
      <c r="B2334" t="s">
        <v>2113</v>
      </c>
      <c r="C2334" t="s">
        <v>2100</v>
      </c>
      <c r="D2334" s="1">
        <v>44530</v>
      </c>
      <c r="E2334" s="1">
        <v>45045</v>
      </c>
      <c r="F2334">
        <v>247</v>
      </c>
      <c r="G2334">
        <v>17</v>
      </c>
      <c r="H2334">
        <v>179.67</v>
      </c>
      <c r="I2334">
        <v>77.319999999999993</v>
      </c>
      <c r="J2334" t="s">
        <v>41</v>
      </c>
      <c r="K2334" t="s">
        <v>16</v>
      </c>
      <c r="L2334" t="s">
        <v>2087</v>
      </c>
      <c r="M2334">
        <v>10</v>
      </c>
      <c r="N2334" t="s">
        <v>157</v>
      </c>
      <c r="O2334" t="s">
        <v>2107</v>
      </c>
    </row>
    <row r="2335" spans="1:15">
      <c r="A2335" t="s">
        <v>3909</v>
      </c>
      <c r="B2335" t="s">
        <v>2113</v>
      </c>
      <c r="C2335" t="s">
        <v>2108</v>
      </c>
      <c r="D2335" s="1">
        <v>43935</v>
      </c>
      <c r="E2335" s="1">
        <v>45168</v>
      </c>
      <c r="F2335">
        <v>124</v>
      </c>
      <c r="G2335">
        <v>11</v>
      </c>
      <c r="H2335">
        <v>151</v>
      </c>
      <c r="I2335">
        <v>41.65</v>
      </c>
      <c r="J2335" t="s">
        <v>14</v>
      </c>
      <c r="K2335" t="s">
        <v>16</v>
      </c>
      <c r="L2335" t="s">
        <v>2106</v>
      </c>
      <c r="M2335">
        <v>9</v>
      </c>
      <c r="N2335" t="s">
        <v>194</v>
      </c>
      <c r="O2335" t="s">
        <v>2107</v>
      </c>
    </row>
    <row r="2336" spans="1:15">
      <c r="A2336" t="s">
        <v>236</v>
      </c>
      <c r="B2336" t="s">
        <v>2093</v>
      </c>
      <c r="C2336" t="s">
        <v>2111</v>
      </c>
      <c r="D2336" s="1">
        <v>43884</v>
      </c>
      <c r="E2336" s="1">
        <v>45155</v>
      </c>
      <c r="F2336">
        <v>137</v>
      </c>
      <c r="G2336">
        <v>2</v>
      </c>
      <c r="H2336">
        <v>72.67</v>
      </c>
      <c r="I2336">
        <v>73.77</v>
      </c>
      <c r="J2336" t="s">
        <v>66</v>
      </c>
      <c r="K2336" t="s">
        <v>16</v>
      </c>
      <c r="L2336" t="s">
        <v>2095</v>
      </c>
      <c r="M2336">
        <v>3</v>
      </c>
      <c r="N2336" t="s">
        <v>179</v>
      </c>
      <c r="O2336" t="s">
        <v>2107</v>
      </c>
    </row>
    <row r="2337" spans="1:15">
      <c r="A2337" t="s">
        <v>804</v>
      </c>
      <c r="B2337" t="s">
        <v>2093</v>
      </c>
      <c r="C2337" t="s">
        <v>2091</v>
      </c>
      <c r="D2337" s="1">
        <v>45126</v>
      </c>
      <c r="E2337" s="1">
        <v>45190</v>
      </c>
      <c r="F2337">
        <v>102</v>
      </c>
      <c r="G2337">
        <v>1</v>
      </c>
      <c r="H2337">
        <v>137.47999999999999</v>
      </c>
      <c r="I2337">
        <v>52.24</v>
      </c>
      <c r="J2337" t="s">
        <v>115</v>
      </c>
      <c r="K2337" t="s">
        <v>16</v>
      </c>
      <c r="L2337" t="s">
        <v>2087</v>
      </c>
      <c r="M2337">
        <v>6</v>
      </c>
      <c r="N2337" t="s">
        <v>165</v>
      </c>
      <c r="O2337" t="s">
        <v>2096</v>
      </c>
    </row>
    <row r="2338" spans="1:15">
      <c r="A2338" t="s">
        <v>3910</v>
      </c>
      <c r="B2338" t="s">
        <v>2097</v>
      </c>
      <c r="C2338" t="s">
        <v>2094</v>
      </c>
      <c r="D2338" s="1">
        <v>44747</v>
      </c>
      <c r="E2338" s="1">
        <v>44933</v>
      </c>
      <c r="F2338">
        <v>359</v>
      </c>
      <c r="G2338">
        <v>8</v>
      </c>
      <c r="H2338">
        <v>569.69000000000005</v>
      </c>
      <c r="I2338">
        <v>139.09</v>
      </c>
      <c r="J2338" t="s">
        <v>90</v>
      </c>
      <c r="K2338" t="s">
        <v>16</v>
      </c>
      <c r="L2338" t="s">
        <v>2087</v>
      </c>
      <c r="M2338">
        <v>1</v>
      </c>
      <c r="N2338" t="s">
        <v>232</v>
      </c>
      <c r="O2338" t="s">
        <v>2088</v>
      </c>
    </row>
    <row r="2339" spans="1:15">
      <c r="A2339" t="s">
        <v>3911</v>
      </c>
      <c r="B2339" t="s">
        <v>2093</v>
      </c>
      <c r="C2339" t="s">
        <v>2100</v>
      </c>
      <c r="D2339" s="1">
        <v>43698</v>
      </c>
      <c r="E2339" s="1">
        <v>45171</v>
      </c>
      <c r="F2339">
        <v>121</v>
      </c>
      <c r="G2339">
        <v>3</v>
      </c>
      <c r="H2339">
        <v>157.97</v>
      </c>
      <c r="I2339">
        <v>61.22</v>
      </c>
      <c r="J2339" t="s">
        <v>115</v>
      </c>
      <c r="K2339" t="s">
        <v>20</v>
      </c>
      <c r="L2339" t="s">
        <v>2087</v>
      </c>
      <c r="M2339">
        <v>8</v>
      </c>
      <c r="N2339" t="s">
        <v>174</v>
      </c>
      <c r="O2339" t="s">
        <v>2109</v>
      </c>
    </row>
    <row r="2340" spans="1:15">
      <c r="A2340" t="s">
        <v>1905</v>
      </c>
      <c r="B2340" t="s">
        <v>2113</v>
      </c>
      <c r="C2340" t="s">
        <v>2091</v>
      </c>
      <c r="D2340" s="1">
        <v>44085</v>
      </c>
      <c r="E2340" s="1">
        <v>45280</v>
      </c>
      <c r="F2340">
        <v>12</v>
      </c>
      <c r="G2340">
        <v>16</v>
      </c>
      <c r="H2340">
        <v>522.08000000000004</v>
      </c>
      <c r="I2340">
        <v>47.83</v>
      </c>
      <c r="J2340" t="s">
        <v>14</v>
      </c>
      <c r="K2340" t="s">
        <v>16</v>
      </c>
      <c r="L2340" t="s">
        <v>2087</v>
      </c>
      <c r="M2340">
        <v>10</v>
      </c>
      <c r="N2340" t="s">
        <v>165</v>
      </c>
      <c r="O2340" t="s">
        <v>2088</v>
      </c>
    </row>
    <row r="2341" spans="1:15">
      <c r="A2341" t="s">
        <v>3912</v>
      </c>
      <c r="B2341" t="s">
        <v>2097</v>
      </c>
      <c r="C2341" t="s">
        <v>2094</v>
      </c>
      <c r="D2341" s="1">
        <v>44058</v>
      </c>
      <c r="E2341" s="1">
        <v>44942</v>
      </c>
      <c r="F2341">
        <v>350</v>
      </c>
      <c r="G2341">
        <v>10</v>
      </c>
      <c r="H2341">
        <v>553.47</v>
      </c>
      <c r="I2341">
        <v>65.73</v>
      </c>
      <c r="J2341" t="s">
        <v>41</v>
      </c>
      <c r="K2341" t="s">
        <v>20</v>
      </c>
      <c r="L2341" t="s">
        <v>2095</v>
      </c>
      <c r="M2341">
        <v>10</v>
      </c>
      <c r="N2341" t="s">
        <v>179</v>
      </c>
      <c r="O2341" t="s">
        <v>2109</v>
      </c>
    </row>
    <row r="2342" spans="1:15">
      <c r="A2342" t="s">
        <v>3913</v>
      </c>
      <c r="B2342" t="s">
        <v>2097</v>
      </c>
      <c r="C2342" t="s">
        <v>2108</v>
      </c>
      <c r="D2342" s="1">
        <v>43884</v>
      </c>
      <c r="E2342" s="1">
        <v>45061</v>
      </c>
      <c r="F2342">
        <v>231</v>
      </c>
      <c r="G2342">
        <v>9</v>
      </c>
      <c r="H2342">
        <v>489.56</v>
      </c>
      <c r="I2342">
        <v>86.27</v>
      </c>
      <c r="J2342" t="s">
        <v>41</v>
      </c>
      <c r="K2342" t="s">
        <v>20</v>
      </c>
      <c r="L2342" t="s">
        <v>2106</v>
      </c>
      <c r="M2342">
        <v>3</v>
      </c>
      <c r="N2342" t="s">
        <v>165</v>
      </c>
      <c r="O2342" t="s">
        <v>2088</v>
      </c>
    </row>
    <row r="2343" spans="1:15">
      <c r="A2343" t="s">
        <v>3914</v>
      </c>
      <c r="B2343" t="s">
        <v>2085</v>
      </c>
      <c r="C2343" t="s">
        <v>2108</v>
      </c>
      <c r="D2343" s="1">
        <v>44709</v>
      </c>
      <c r="E2343" s="1">
        <v>45166</v>
      </c>
      <c r="F2343">
        <v>126</v>
      </c>
      <c r="G2343">
        <v>19</v>
      </c>
      <c r="H2343">
        <v>2127.11</v>
      </c>
      <c r="I2343">
        <v>222.72</v>
      </c>
      <c r="J2343" t="s">
        <v>115</v>
      </c>
      <c r="K2343" t="s">
        <v>16</v>
      </c>
      <c r="L2343" t="s">
        <v>2106</v>
      </c>
      <c r="M2343">
        <v>3</v>
      </c>
      <c r="N2343" t="s">
        <v>174</v>
      </c>
      <c r="O2343" t="s">
        <v>2121</v>
      </c>
    </row>
    <row r="2344" spans="1:15">
      <c r="A2344" t="s">
        <v>3915</v>
      </c>
      <c r="B2344" t="s">
        <v>2085</v>
      </c>
      <c r="C2344" t="s">
        <v>2108</v>
      </c>
      <c r="D2344" s="1">
        <v>44232</v>
      </c>
      <c r="E2344" s="1">
        <v>45224</v>
      </c>
      <c r="F2344">
        <v>68</v>
      </c>
      <c r="G2344">
        <v>19</v>
      </c>
      <c r="H2344">
        <v>1162.96</v>
      </c>
      <c r="I2344">
        <v>218.77</v>
      </c>
      <c r="J2344" t="s">
        <v>90</v>
      </c>
      <c r="K2344" t="s">
        <v>16</v>
      </c>
      <c r="L2344" t="s">
        <v>2087</v>
      </c>
      <c r="M2344">
        <v>1</v>
      </c>
      <c r="N2344" t="s">
        <v>165</v>
      </c>
      <c r="O2344" t="s">
        <v>2096</v>
      </c>
    </row>
    <row r="2345" spans="1:15">
      <c r="A2345" t="s">
        <v>3916</v>
      </c>
      <c r="B2345" t="s">
        <v>2097</v>
      </c>
      <c r="C2345" t="s">
        <v>2086</v>
      </c>
      <c r="D2345" s="1">
        <v>45261</v>
      </c>
      <c r="E2345" s="1">
        <v>45259</v>
      </c>
      <c r="F2345">
        <v>33</v>
      </c>
      <c r="G2345">
        <v>8</v>
      </c>
      <c r="H2345">
        <v>157.59</v>
      </c>
      <c r="I2345">
        <v>93.59</v>
      </c>
      <c r="J2345" t="s">
        <v>90</v>
      </c>
      <c r="K2345" t="s">
        <v>20</v>
      </c>
      <c r="L2345" t="s">
        <v>2106</v>
      </c>
      <c r="M2345">
        <v>0</v>
      </c>
      <c r="N2345" t="s">
        <v>204</v>
      </c>
      <c r="O2345" t="s">
        <v>2109</v>
      </c>
    </row>
    <row r="2346" spans="1:15">
      <c r="A2346" t="s">
        <v>3917</v>
      </c>
      <c r="B2346" t="s">
        <v>2097</v>
      </c>
      <c r="C2346" t="s">
        <v>2086</v>
      </c>
      <c r="D2346" s="1">
        <v>45249</v>
      </c>
      <c r="E2346" s="1">
        <v>45079</v>
      </c>
      <c r="F2346">
        <v>213</v>
      </c>
      <c r="G2346">
        <v>7</v>
      </c>
      <c r="H2346">
        <v>471.24</v>
      </c>
      <c r="I2346">
        <v>97.1</v>
      </c>
      <c r="J2346" t="s">
        <v>115</v>
      </c>
      <c r="K2346" t="s">
        <v>20</v>
      </c>
      <c r="L2346" t="s">
        <v>2106</v>
      </c>
      <c r="M2346">
        <v>6</v>
      </c>
      <c r="N2346" t="s">
        <v>157</v>
      </c>
      <c r="O2346" t="s">
        <v>2107</v>
      </c>
    </row>
    <row r="2347" spans="1:15">
      <c r="A2347" t="s">
        <v>3918</v>
      </c>
      <c r="B2347" t="s">
        <v>2090</v>
      </c>
      <c r="C2347" t="s">
        <v>2091</v>
      </c>
      <c r="D2347" s="1">
        <v>44962</v>
      </c>
      <c r="E2347" s="1">
        <v>44927</v>
      </c>
      <c r="F2347">
        <v>365</v>
      </c>
      <c r="G2347">
        <v>6</v>
      </c>
      <c r="H2347">
        <v>194.68</v>
      </c>
      <c r="I2347">
        <v>89.25</v>
      </c>
      <c r="J2347" t="s">
        <v>115</v>
      </c>
      <c r="K2347" t="s">
        <v>16</v>
      </c>
      <c r="L2347" t="s">
        <v>2095</v>
      </c>
      <c r="M2347">
        <v>4</v>
      </c>
      <c r="N2347" t="s">
        <v>157</v>
      </c>
      <c r="O2347" t="s">
        <v>2109</v>
      </c>
    </row>
    <row r="2348" spans="1:15">
      <c r="A2348" t="s">
        <v>1622</v>
      </c>
      <c r="B2348" t="s">
        <v>2099</v>
      </c>
      <c r="C2348" t="s">
        <v>2091</v>
      </c>
      <c r="D2348" s="1">
        <v>44625</v>
      </c>
      <c r="E2348" s="1">
        <v>45132</v>
      </c>
      <c r="F2348">
        <v>160</v>
      </c>
      <c r="G2348">
        <v>1</v>
      </c>
      <c r="H2348">
        <v>39.85</v>
      </c>
      <c r="I2348">
        <v>46.02</v>
      </c>
      <c r="J2348" t="s">
        <v>90</v>
      </c>
      <c r="K2348" t="s">
        <v>16</v>
      </c>
      <c r="L2348" t="s">
        <v>2095</v>
      </c>
      <c r="M2348">
        <v>9</v>
      </c>
      <c r="N2348" t="s">
        <v>165</v>
      </c>
      <c r="O2348" t="s">
        <v>2109</v>
      </c>
    </row>
    <row r="2349" spans="1:15">
      <c r="A2349" t="s">
        <v>3919</v>
      </c>
      <c r="B2349" t="s">
        <v>2097</v>
      </c>
      <c r="C2349" t="s">
        <v>2091</v>
      </c>
      <c r="D2349" s="1">
        <v>44057</v>
      </c>
      <c r="E2349" s="1">
        <v>44930</v>
      </c>
      <c r="F2349">
        <v>362</v>
      </c>
      <c r="G2349">
        <v>7</v>
      </c>
      <c r="H2349">
        <v>549.80999999999995</v>
      </c>
      <c r="I2349">
        <v>141.69999999999999</v>
      </c>
      <c r="J2349" t="s">
        <v>115</v>
      </c>
      <c r="K2349" t="s">
        <v>20</v>
      </c>
      <c r="L2349" t="s">
        <v>2087</v>
      </c>
      <c r="M2349">
        <v>5</v>
      </c>
      <c r="N2349" t="s">
        <v>179</v>
      </c>
      <c r="O2349" t="s">
        <v>2121</v>
      </c>
    </row>
    <row r="2350" spans="1:15">
      <c r="A2350" t="s">
        <v>596</v>
      </c>
      <c r="B2350" t="s">
        <v>2099</v>
      </c>
      <c r="C2350" t="s">
        <v>2111</v>
      </c>
      <c r="D2350" s="1">
        <v>44219</v>
      </c>
      <c r="E2350" s="1">
        <v>45028</v>
      </c>
      <c r="F2350">
        <v>264</v>
      </c>
      <c r="G2350">
        <v>2</v>
      </c>
      <c r="H2350">
        <v>76.61</v>
      </c>
      <c r="I2350">
        <v>73</v>
      </c>
      <c r="J2350" t="s">
        <v>90</v>
      </c>
      <c r="K2350" t="s">
        <v>16</v>
      </c>
      <c r="L2350" t="s">
        <v>2106</v>
      </c>
      <c r="M2350">
        <v>7</v>
      </c>
      <c r="N2350" t="s">
        <v>157</v>
      </c>
      <c r="O2350" t="s">
        <v>2096</v>
      </c>
    </row>
    <row r="2351" spans="1:15">
      <c r="A2351" t="s">
        <v>3920</v>
      </c>
      <c r="B2351" t="s">
        <v>2085</v>
      </c>
      <c r="C2351" t="s">
        <v>2108</v>
      </c>
      <c r="D2351" s="1">
        <v>44822</v>
      </c>
      <c r="E2351" s="1">
        <v>45001</v>
      </c>
      <c r="F2351">
        <v>291</v>
      </c>
      <c r="G2351">
        <v>16</v>
      </c>
      <c r="H2351">
        <v>2424.33</v>
      </c>
      <c r="I2351">
        <v>118.21</v>
      </c>
      <c r="J2351" t="s">
        <v>90</v>
      </c>
      <c r="K2351" t="s">
        <v>16</v>
      </c>
      <c r="L2351" t="s">
        <v>2087</v>
      </c>
      <c r="M2351">
        <v>10</v>
      </c>
      <c r="N2351" t="s">
        <v>204</v>
      </c>
      <c r="O2351" t="s">
        <v>2107</v>
      </c>
    </row>
    <row r="2352" spans="1:15">
      <c r="A2352" t="s">
        <v>516</v>
      </c>
      <c r="B2352" t="s">
        <v>2093</v>
      </c>
      <c r="C2352" t="s">
        <v>2091</v>
      </c>
      <c r="D2352" s="1">
        <v>45093</v>
      </c>
      <c r="E2352" s="1">
        <v>45163</v>
      </c>
      <c r="F2352">
        <v>129</v>
      </c>
      <c r="G2352">
        <v>2</v>
      </c>
      <c r="H2352">
        <v>89.66</v>
      </c>
      <c r="I2352">
        <v>43.43</v>
      </c>
      <c r="J2352" t="s">
        <v>41</v>
      </c>
      <c r="K2352" t="s">
        <v>16</v>
      </c>
      <c r="L2352" t="s">
        <v>2106</v>
      </c>
      <c r="M2352">
        <v>3</v>
      </c>
      <c r="N2352" t="s">
        <v>194</v>
      </c>
      <c r="O2352" t="s">
        <v>2088</v>
      </c>
    </row>
    <row r="2353" spans="1:15">
      <c r="A2353" t="s">
        <v>258</v>
      </c>
      <c r="B2353" t="s">
        <v>2099</v>
      </c>
      <c r="C2353" t="s">
        <v>2108</v>
      </c>
      <c r="D2353" s="1">
        <v>43599</v>
      </c>
      <c r="E2353" s="1">
        <v>45145</v>
      </c>
      <c r="F2353">
        <v>147</v>
      </c>
      <c r="G2353">
        <v>2</v>
      </c>
      <c r="H2353">
        <v>93.36</v>
      </c>
      <c r="I2353">
        <v>67.87</v>
      </c>
      <c r="J2353" t="s">
        <v>90</v>
      </c>
      <c r="K2353" t="s">
        <v>16</v>
      </c>
      <c r="L2353" t="s">
        <v>2095</v>
      </c>
      <c r="M2353">
        <v>9</v>
      </c>
      <c r="N2353" t="s">
        <v>174</v>
      </c>
      <c r="O2353" t="s">
        <v>2096</v>
      </c>
    </row>
    <row r="2354" spans="1:15">
      <c r="A2354" t="s">
        <v>3921</v>
      </c>
      <c r="B2354" t="s">
        <v>2090</v>
      </c>
      <c r="C2354" t="s">
        <v>2108</v>
      </c>
      <c r="D2354" s="1">
        <v>44277</v>
      </c>
      <c r="E2354" s="1">
        <v>44938</v>
      </c>
      <c r="F2354">
        <v>354</v>
      </c>
      <c r="G2354">
        <v>2</v>
      </c>
      <c r="H2354">
        <v>176.76</v>
      </c>
      <c r="I2354">
        <v>81.55</v>
      </c>
      <c r="J2354" t="s">
        <v>90</v>
      </c>
      <c r="K2354" t="s">
        <v>16</v>
      </c>
      <c r="L2354" t="s">
        <v>2106</v>
      </c>
      <c r="M2354">
        <v>2</v>
      </c>
      <c r="N2354" t="s">
        <v>204</v>
      </c>
      <c r="O2354" t="s">
        <v>2121</v>
      </c>
    </row>
    <row r="2355" spans="1:15">
      <c r="A2355" t="s">
        <v>3922</v>
      </c>
      <c r="B2355" t="s">
        <v>2113</v>
      </c>
      <c r="C2355" t="s">
        <v>2108</v>
      </c>
      <c r="D2355" s="1">
        <v>44635</v>
      </c>
      <c r="E2355" s="1">
        <v>45248</v>
      </c>
      <c r="F2355">
        <v>44</v>
      </c>
      <c r="G2355">
        <v>19</v>
      </c>
      <c r="H2355">
        <v>486.77</v>
      </c>
      <c r="I2355">
        <v>57.88</v>
      </c>
      <c r="J2355" t="s">
        <v>41</v>
      </c>
      <c r="K2355" t="s">
        <v>20</v>
      </c>
      <c r="L2355" t="s">
        <v>2087</v>
      </c>
      <c r="M2355">
        <v>8</v>
      </c>
      <c r="N2355" t="s">
        <v>194</v>
      </c>
      <c r="O2355" t="s">
        <v>2088</v>
      </c>
    </row>
    <row r="2356" spans="1:15">
      <c r="A2356" t="s">
        <v>335</v>
      </c>
      <c r="B2356" t="s">
        <v>2113</v>
      </c>
      <c r="C2356" t="s">
        <v>2086</v>
      </c>
      <c r="D2356" s="1">
        <v>45094</v>
      </c>
      <c r="E2356" s="1">
        <v>44956</v>
      </c>
      <c r="F2356">
        <v>336</v>
      </c>
      <c r="G2356">
        <v>13</v>
      </c>
      <c r="H2356">
        <v>145.68</v>
      </c>
      <c r="I2356">
        <v>79.59</v>
      </c>
      <c r="J2356" t="s">
        <v>14</v>
      </c>
      <c r="K2356" t="s">
        <v>20</v>
      </c>
      <c r="L2356" t="s">
        <v>2095</v>
      </c>
      <c r="M2356">
        <v>7</v>
      </c>
      <c r="N2356" t="s">
        <v>174</v>
      </c>
      <c r="O2356" t="s">
        <v>2109</v>
      </c>
    </row>
    <row r="2357" spans="1:15">
      <c r="A2357" t="s">
        <v>3923</v>
      </c>
      <c r="B2357" t="s">
        <v>2113</v>
      </c>
      <c r="C2357" t="s">
        <v>2094</v>
      </c>
      <c r="D2357" s="1">
        <v>43495</v>
      </c>
      <c r="E2357" s="1">
        <v>45073</v>
      </c>
      <c r="F2357">
        <v>219</v>
      </c>
      <c r="G2357">
        <v>16</v>
      </c>
      <c r="H2357">
        <v>419.25</v>
      </c>
      <c r="I2357">
        <v>57.96</v>
      </c>
      <c r="J2357" t="s">
        <v>90</v>
      </c>
      <c r="K2357" t="s">
        <v>16</v>
      </c>
      <c r="L2357" t="s">
        <v>2106</v>
      </c>
      <c r="M2357">
        <v>4</v>
      </c>
      <c r="N2357" t="s">
        <v>204</v>
      </c>
      <c r="O2357" t="s">
        <v>2109</v>
      </c>
    </row>
    <row r="2358" spans="1:15">
      <c r="A2358" t="s">
        <v>3924</v>
      </c>
      <c r="B2358" t="s">
        <v>2090</v>
      </c>
      <c r="C2358" t="s">
        <v>2108</v>
      </c>
      <c r="D2358" s="1">
        <v>45089</v>
      </c>
      <c r="E2358" s="1">
        <v>45036</v>
      </c>
      <c r="F2358">
        <v>256</v>
      </c>
      <c r="G2358">
        <v>8</v>
      </c>
      <c r="H2358">
        <v>176.05</v>
      </c>
      <c r="I2358">
        <v>113.13</v>
      </c>
      <c r="J2358" t="s">
        <v>41</v>
      </c>
      <c r="K2358" t="s">
        <v>20</v>
      </c>
      <c r="L2358" t="s">
        <v>2087</v>
      </c>
      <c r="M2358">
        <v>8</v>
      </c>
      <c r="N2358" t="s">
        <v>174</v>
      </c>
      <c r="O2358" t="s">
        <v>2121</v>
      </c>
    </row>
    <row r="2359" spans="1:15">
      <c r="A2359" t="s">
        <v>3925</v>
      </c>
      <c r="B2359" t="s">
        <v>2097</v>
      </c>
      <c r="C2359" t="s">
        <v>2100</v>
      </c>
      <c r="D2359" s="1">
        <v>44145</v>
      </c>
      <c r="E2359" s="1">
        <v>45126</v>
      </c>
      <c r="F2359">
        <v>166</v>
      </c>
      <c r="G2359">
        <v>11</v>
      </c>
      <c r="H2359">
        <v>763.2</v>
      </c>
      <c r="I2359">
        <v>53</v>
      </c>
      <c r="J2359" t="s">
        <v>66</v>
      </c>
      <c r="K2359" t="s">
        <v>16</v>
      </c>
      <c r="L2359" t="s">
        <v>2106</v>
      </c>
      <c r="M2359">
        <v>3</v>
      </c>
      <c r="N2359" t="s">
        <v>204</v>
      </c>
      <c r="O2359" t="s">
        <v>2088</v>
      </c>
    </row>
    <row r="2360" spans="1:15">
      <c r="A2360" t="s">
        <v>3926</v>
      </c>
      <c r="B2360" t="s">
        <v>2113</v>
      </c>
      <c r="C2360" t="s">
        <v>2086</v>
      </c>
      <c r="D2360" s="1">
        <v>45009</v>
      </c>
      <c r="E2360" s="1">
        <v>45203</v>
      </c>
      <c r="F2360">
        <v>89</v>
      </c>
      <c r="G2360">
        <v>19</v>
      </c>
      <c r="H2360">
        <v>321.27</v>
      </c>
      <c r="I2360">
        <v>59.67</v>
      </c>
      <c r="J2360" t="s">
        <v>41</v>
      </c>
      <c r="K2360" t="s">
        <v>16</v>
      </c>
      <c r="L2360" t="s">
        <v>2087</v>
      </c>
      <c r="M2360">
        <v>3</v>
      </c>
      <c r="N2360" t="s">
        <v>179</v>
      </c>
      <c r="O2360" t="s">
        <v>2121</v>
      </c>
    </row>
    <row r="2361" spans="1:15">
      <c r="A2361" t="s">
        <v>3927</v>
      </c>
      <c r="B2361" t="s">
        <v>2113</v>
      </c>
      <c r="C2361" t="s">
        <v>2091</v>
      </c>
      <c r="D2361" s="1">
        <v>44119</v>
      </c>
      <c r="E2361" s="1">
        <v>45243</v>
      </c>
      <c r="F2361">
        <v>49</v>
      </c>
      <c r="G2361">
        <v>6</v>
      </c>
      <c r="H2361">
        <v>403.12</v>
      </c>
      <c r="I2361">
        <v>50.16</v>
      </c>
      <c r="J2361" t="s">
        <v>115</v>
      </c>
      <c r="K2361" t="s">
        <v>16</v>
      </c>
      <c r="L2361" t="s">
        <v>2087</v>
      </c>
      <c r="M2361">
        <v>2</v>
      </c>
      <c r="N2361" t="s">
        <v>165</v>
      </c>
      <c r="O2361" t="s">
        <v>2121</v>
      </c>
    </row>
    <row r="2362" spans="1:15">
      <c r="A2362" t="s">
        <v>1612</v>
      </c>
      <c r="B2362" t="s">
        <v>2085</v>
      </c>
      <c r="C2362" t="s">
        <v>2086</v>
      </c>
      <c r="D2362" s="1">
        <v>44634</v>
      </c>
      <c r="E2362" s="1">
        <v>45257</v>
      </c>
      <c r="F2362">
        <v>35</v>
      </c>
      <c r="G2362">
        <v>16</v>
      </c>
      <c r="H2362">
        <v>1327.44</v>
      </c>
      <c r="I2362">
        <v>202.3</v>
      </c>
      <c r="J2362" t="s">
        <v>90</v>
      </c>
      <c r="K2362" t="s">
        <v>16</v>
      </c>
      <c r="L2362" t="s">
        <v>2087</v>
      </c>
      <c r="M2362">
        <v>9</v>
      </c>
      <c r="N2362" t="s">
        <v>165</v>
      </c>
      <c r="O2362" t="s">
        <v>2107</v>
      </c>
    </row>
    <row r="2363" spans="1:15">
      <c r="A2363" t="s">
        <v>1406</v>
      </c>
      <c r="B2363" t="s">
        <v>2113</v>
      </c>
      <c r="C2363" t="s">
        <v>2086</v>
      </c>
      <c r="D2363" s="1">
        <v>44199</v>
      </c>
      <c r="E2363" s="1">
        <v>45055</v>
      </c>
      <c r="F2363">
        <v>237</v>
      </c>
      <c r="G2363">
        <v>12</v>
      </c>
      <c r="H2363">
        <v>249.09</v>
      </c>
      <c r="I2363">
        <v>73.739999999999995</v>
      </c>
      <c r="J2363" t="s">
        <v>90</v>
      </c>
      <c r="K2363" t="s">
        <v>20</v>
      </c>
      <c r="L2363" t="s">
        <v>2087</v>
      </c>
      <c r="M2363">
        <v>2</v>
      </c>
      <c r="N2363" t="s">
        <v>174</v>
      </c>
      <c r="O2363" t="s">
        <v>2107</v>
      </c>
    </row>
    <row r="2364" spans="1:15">
      <c r="A2364" t="s">
        <v>3928</v>
      </c>
      <c r="B2364" t="s">
        <v>2085</v>
      </c>
      <c r="C2364" t="s">
        <v>2100</v>
      </c>
      <c r="D2364" s="1">
        <v>43947</v>
      </c>
      <c r="E2364" s="1">
        <v>45185</v>
      </c>
      <c r="F2364">
        <v>107</v>
      </c>
      <c r="G2364">
        <v>33</v>
      </c>
      <c r="H2364">
        <v>1582.47</v>
      </c>
      <c r="I2364">
        <v>106.44</v>
      </c>
      <c r="J2364" t="s">
        <v>14</v>
      </c>
      <c r="K2364" t="s">
        <v>16</v>
      </c>
      <c r="L2364" t="s">
        <v>2106</v>
      </c>
      <c r="M2364">
        <v>8</v>
      </c>
      <c r="N2364" t="s">
        <v>174</v>
      </c>
      <c r="O2364" t="s">
        <v>2107</v>
      </c>
    </row>
    <row r="2365" spans="1:15">
      <c r="A2365" t="s">
        <v>3929</v>
      </c>
      <c r="B2365" t="s">
        <v>2113</v>
      </c>
      <c r="C2365" t="s">
        <v>2094</v>
      </c>
      <c r="D2365" s="1">
        <v>44340</v>
      </c>
      <c r="E2365" s="1">
        <v>44927</v>
      </c>
      <c r="F2365">
        <v>365</v>
      </c>
      <c r="G2365">
        <v>14</v>
      </c>
      <c r="H2365">
        <v>309.8</v>
      </c>
      <c r="I2365">
        <v>44.54</v>
      </c>
      <c r="J2365" t="s">
        <v>115</v>
      </c>
      <c r="K2365" t="s">
        <v>16</v>
      </c>
      <c r="L2365" t="s">
        <v>2095</v>
      </c>
      <c r="M2365">
        <v>7</v>
      </c>
      <c r="N2365" t="s">
        <v>204</v>
      </c>
      <c r="O2365" t="s">
        <v>2121</v>
      </c>
    </row>
    <row r="2366" spans="1:15">
      <c r="A2366" t="s">
        <v>3930</v>
      </c>
      <c r="B2366" t="s">
        <v>2099</v>
      </c>
      <c r="C2366" t="s">
        <v>2108</v>
      </c>
      <c r="D2366" s="1">
        <v>44659</v>
      </c>
      <c r="E2366" s="1">
        <v>44989</v>
      </c>
      <c r="F2366">
        <v>303</v>
      </c>
      <c r="G2366">
        <v>2</v>
      </c>
      <c r="H2366">
        <v>79.739999999999995</v>
      </c>
      <c r="I2366">
        <v>78.77</v>
      </c>
      <c r="J2366" t="s">
        <v>14</v>
      </c>
      <c r="K2366" t="s">
        <v>16</v>
      </c>
      <c r="L2366" t="s">
        <v>2095</v>
      </c>
      <c r="M2366">
        <v>2</v>
      </c>
      <c r="N2366" t="s">
        <v>157</v>
      </c>
      <c r="O2366" t="s">
        <v>2096</v>
      </c>
    </row>
    <row r="2367" spans="1:15">
      <c r="A2367" t="s">
        <v>3931</v>
      </c>
      <c r="B2367" t="s">
        <v>2113</v>
      </c>
      <c r="C2367" t="s">
        <v>2100</v>
      </c>
      <c r="D2367" s="1">
        <v>44642</v>
      </c>
      <c r="E2367" s="1">
        <v>45275</v>
      </c>
      <c r="F2367">
        <v>17</v>
      </c>
      <c r="G2367">
        <v>6</v>
      </c>
      <c r="H2367">
        <v>592.51</v>
      </c>
      <c r="I2367">
        <v>41.89</v>
      </c>
      <c r="J2367" t="s">
        <v>66</v>
      </c>
      <c r="K2367" t="s">
        <v>16</v>
      </c>
      <c r="L2367" t="s">
        <v>2106</v>
      </c>
      <c r="M2367">
        <v>6</v>
      </c>
      <c r="N2367" t="s">
        <v>165</v>
      </c>
      <c r="O2367" t="s">
        <v>2088</v>
      </c>
    </row>
    <row r="2368" spans="1:15">
      <c r="A2368" t="s">
        <v>3932</v>
      </c>
      <c r="B2368" t="s">
        <v>2093</v>
      </c>
      <c r="C2368" t="s">
        <v>2094</v>
      </c>
      <c r="D2368" s="1">
        <v>43556</v>
      </c>
      <c r="E2368" s="1">
        <v>44948</v>
      </c>
      <c r="F2368">
        <v>344</v>
      </c>
      <c r="G2368">
        <v>1</v>
      </c>
      <c r="H2368">
        <v>138.54</v>
      </c>
      <c r="I2368">
        <v>74.180000000000007</v>
      </c>
      <c r="J2368" t="s">
        <v>14</v>
      </c>
      <c r="K2368" t="s">
        <v>16</v>
      </c>
      <c r="L2368" t="s">
        <v>2106</v>
      </c>
      <c r="M2368">
        <v>9</v>
      </c>
      <c r="N2368" t="s">
        <v>157</v>
      </c>
      <c r="O2368" t="s">
        <v>2107</v>
      </c>
    </row>
    <row r="2369" spans="1:15">
      <c r="A2369" t="s">
        <v>397</v>
      </c>
      <c r="B2369" t="s">
        <v>2097</v>
      </c>
      <c r="C2369" t="s">
        <v>2100</v>
      </c>
      <c r="D2369" s="1">
        <v>44929</v>
      </c>
      <c r="E2369" s="1">
        <v>45265</v>
      </c>
      <c r="F2369">
        <v>27</v>
      </c>
      <c r="G2369">
        <v>8</v>
      </c>
      <c r="H2369">
        <v>235.16</v>
      </c>
      <c r="I2369">
        <v>104.38</v>
      </c>
      <c r="J2369" t="s">
        <v>14</v>
      </c>
      <c r="K2369" t="s">
        <v>16</v>
      </c>
      <c r="L2369" t="s">
        <v>2095</v>
      </c>
      <c r="M2369">
        <v>8</v>
      </c>
      <c r="N2369" t="s">
        <v>194</v>
      </c>
      <c r="O2369" t="s">
        <v>2121</v>
      </c>
    </row>
    <row r="2370" spans="1:15">
      <c r="A2370" t="s">
        <v>3933</v>
      </c>
      <c r="B2370" t="s">
        <v>2093</v>
      </c>
      <c r="C2370" t="s">
        <v>2100</v>
      </c>
      <c r="D2370" s="1">
        <v>44666</v>
      </c>
      <c r="E2370" s="1">
        <v>45100</v>
      </c>
      <c r="F2370">
        <v>192</v>
      </c>
      <c r="G2370">
        <v>1</v>
      </c>
      <c r="H2370">
        <v>160.29</v>
      </c>
      <c r="I2370">
        <v>21.55</v>
      </c>
      <c r="J2370" t="s">
        <v>41</v>
      </c>
      <c r="K2370" t="s">
        <v>20</v>
      </c>
      <c r="L2370" t="s">
        <v>2095</v>
      </c>
      <c r="M2370">
        <v>1</v>
      </c>
      <c r="N2370" t="s">
        <v>174</v>
      </c>
      <c r="O2370" t="s">
        <v>2096</v>
      </c>
    </row>
    <row r="2371" spans="1:15">
      <c r="A2371" t="s">
        <v>3934</v>
      </c>
      <c r="B2371" t="s">
        <v>2097</v>
      </c>
      <c r="C2371" t="s">
        <v>2111</v>
      </c>
      <c r="D2371" s="1">
        <v>43659</v>
      </c>
      <c r="E2371" s="1">
        <v>45204</v>
      </c>
      <c r="F2371">
        <v>88</v>
      </c>
      <c r="G2371">
        <v>7</v>
      </c>
      <c r="H2371">
        <v>676.92</v>
      </c>
      <c r="I2371">
        <v>135.62</v>
      </c>
      <c r="J2371" t="s">
        <v>66</v>
      </c>
      <c r="K2371" t="s">
        <v>20</v>
      </c>
      <c r="L2371" t="s">
        <v>2095</v>
      </c>
      <c r="M2371">
        <v>6</v>
      </c>
      <c r="N2371" t="s">
        <v>165</v>
      </c>
      <c r="O2371" t="s">
        <v>2096</v>
      </c>
    </row>
    <row r="2372" spans="1:15">
      <c r="A2372" t="s">
        <v>3935</v>
      </c>
      <c r="B2372" t="s">
        <v>2090</v>
      </c>
      <c r="C2372" t="s">
        <v>2100</v>
      </c>
      <c r="D2372" s="1">
        <v>43703</v>
      </c>
      <c r="E2372" s="1">
        <v>45024</v>
      </c>
      <c r="F2372">
        <v>268</v>
      </c>
      <c r="G2372">
        <v>4</v>
      </c>
      <c r="H2372">
        <v>274.43</v>
      </c>
      <c r="I2372">
        <v>101.66</v>
      </c>
      <c r="J2372" t="s">
        <v>66</v>
      </c>
      <c r="K2372" t="s">
        <v>16</v>
      </c>
      <c r="L2372" t="s">
        <v>2087</v>
      </c>
      <c r="M2372">
        <v>5</v>
      </c>
      <c r="N2372" t="s">
        <v>174</v>
      </c>
      <c r="O2372" t="s">
        <v>2088</v>
      </c>
    </row>
    <row r="2373" spans="1:15">
      <c r="A2373" t="s">
        <v>3936</v>
      </c>
      <c r="B2373" t="s">
        <v>2085</v>
      </c>
      <c r="C2373" t="s">
        <v>2100</v>
      </c>
      <c r="D2373" s="1">
        <v>43921</v>
      </c>
      <c r="E2373" s="1">
        <v>45222</v>
      </c>
      <c r="F2373">
        <v>70</v>
      </c>
      <c r="G2373">
        <v>33</v>
      </c>
      <c r="H2373">
        <v>2588.5500000000002</v>
      </c>
      <c r="I2373">
        <v>262.11</v>
      </c>
      <c r="J2373" t="s">
        <v>115</v>
      </c>
      <c r="K2373" t="s">
        <v>16</v>
      </c>
      <c r="L2373" t="s">
        <v>2095</v>
      </c>
      <c r="M2373">
        <v>8</v>
      </c>
      <c r="N2373" t="s">
        <v>204</v>
      </c>
      <c r="O2373" t="s">
        <v>2109</v>
      </c>
    </row>
    <row r="2374" spans="1:15">
      <c r="A2374" t="s">
        <v>3937</v>
      </c>
      <c r="B2374" t="s">
        <v>2085</v>
      </c>
      <c r="C2374" t="s">
        <v>2091</v>
      </c>
      <c r="D2374" s="1">
        <v>44103</v>
      </c>
      <c r="E2374" s="1">
        <v>45239</v>
      </c>
      <c r="F2374">
        <v>53</v>
      </c>
      <c r="G2374">
        <v>27</v>
      </c>
      <c r="H2374">
        <v>817.13</v>
      </c>
      <c r="I2374">
        <v>102.29</v>
      </c>
      <c r="J2374" t="s">
        <v>115</v>
      </c>
      <c r="K2374" t="s">
        <v>16</v>
      </c>
      <c r="L2374" t="s">
        <v>2106</v>
      </c>
      <c r="M2374">
        <v>2</v>
      </c>
      <c r="N2374" t="s">
        <v>179</v>
      </c>
      <c r="O2374" t="s">
        <v>2088</v>
      </c>
    </row>
    <row r="2375" spans="1:15">
      <c r="A2375" t="s">
        <v>3938</v>
      </c>
      <c r="B2375" t="s">
        <v>2093</v>
      </c>
      <c r="C2375" t="s">
        <v>2086</v>
      </c>
      <c r="D2375" s="1">
        <v>44903</v>
      </c>
      <c r="E2375" s="1">
        <v>44978</v>
      </c>
      <c r="F2375">
        <v>314</v>
      </c>
      <c r="G2375">
        <v>3</v>
      </c>
      <c r="H2375">
        <v>32.94</v>
      </c>
      <c r="I2375">
        <v>75.099999999999994</v>
      </c>
      <c r="J2375" t="s">
        <v>90</v>
      </c>
      <c r="K2375" t="s">
        <v>16</v>
      </c>
      <c r="L2375" t="s">
        <v>2095</v>
      </c>
      <c r="M2375">
        <v>9</v>
      </c>
      <c r="N2375" t="s">
        <v>157</v>
      </c>
      <c r="O2375" t="s">
        <v>2107</v>
      </c>
    </row>
    <row r="2376" spans="1:15">
      <c r="A2376" t="s">
        <v>3939</v>
      </c>
      <c r="B2376" t="s">
        <v>2097</v>
      </c>
      <c r="C2376" t="s">
        <v>2091</v>
      </c>
      <c r="D2376" s="1">
        <v>44188</v>
      </c>
      <c r="E2376" s="1">
        <v>45010</v>
      </c>
      <c r="F2376">
        <v>282</v>
      </c>
      <c r="G2376">
        <v>4</v>
      </c>
      <c r="H2376">
        <v>645.55999999999995</v>
      </c>
      <c r="I2376">
        <v>77.94</v>
      </c>
      <c r="J2376" t="s">
        <v>14</v>
      </c>
      <c r="K2376" t="s">
        <v>20</v>
      </c>
      <c r="L2376" t="s">
        <v>2087</v>
      </c>
      <c r="M2376">
        <v>0</v>
      </c>
      <c r="N2376" t="s">
        <v>165</v>
      </c>
      <c r="O2376" t="s">
        <v>2096</v>
      </c>
    </row>
    <row r="2377" spans="1:15">
      <c r="A2377" t="s">
        <v>305</v>
      </c>
      <c r="B2377" t="s">
        <v>2097</v>
      </c>
      <c r="C2377" t="s">
        <v>2094</v>
      </c>
      <c r="D2377" s="1">
        <v>44430</v>
      </c>
      <c r="E2377" s="1">
        <v>45180</v>
      </c>
      <c r="F2377">
        <v>112</v>
      </c>
      <c r="G2377">
        <v>10</v>
      </c>
      <c r="H2377">
        <v>717.31</v>
      </c>
      <c r="I2377">
        <v>57.3</v>
      </c>
      <c r="J2377" t="s">
        <v>115</v>
      </c>
      <c r="K2377" t="s">
        <v>20</v>
      </c>
      <c r="L2377" t="s">
        <v>2087</v>
      </c>
      <c r="M2377">
        <v>6</v>
      </c>
      <c r="N2377" t="s">
        <v>157</v>
      </c>
      <c r="O2377" t="s">
        <v>2109</v>
      </c>
    </row>
    <row r="2378" spans="1:15">
      <c r="A2378" t="s">
        <v>3940</v>
      </c>
      <c r="B2378" t="s">
        <v>2113</v>
      </c>
      <c r="C2378" t="s">
        <v>2100</v>
      </c>
      <c r="D2378" s="1">
        <v>44880</v>
      </c>
      <c r="E2378" s="1">
        <v>45019</v>
      </c>
      <c r="F2378">
        <v>273</v>
      </c>
      <c r="G2378">
        <v>5</v>
      </c>
      <c r="H2378">
        <v>294.33</v>
      </c>
      <c r="I2378">
        <v>35.31</v>
      </c>
      <c r="J2378" t="s">
        <v>41</v>
      </c>
      <c r="K2378" t="s">
        <v>20</v>
      </c>
      <c r="L2378" t="s">
        <v>2095</v>
      </c>
      <c r="M2378">
        <v>10</v>
      </c>
      <c r="N2378" t="s">
        <v>157</v>
      </c>
      <c r="O2378" t="s">
        <v>2096</v>
      </c>
    </row>
    <row r="2379" spans="1:15">
      <c r="A2379" t="s">
        <v>3941</v>
      </c>
      <c r="B2379" t="s">
        <v>2099</v>
      </c>
      <c r="C2379" t="s">
        <v>2111</v>
      </c>
      <c r="D2379" s="1">
        <v>44470</v>
      </c>
      <c r="E2379" s="1">
        <v>45271</v>
      </c>
      <c r="F2379">
        <v>21</v>
      </c>
      <c r="G2379">
        <v>2</v>
      </c>
      <c r="H2379">
        <v>142.62</v>
      </c>
      <c r="I2379">
        <v>54.35</v>
      </c>
      <c r="J2379" t="s">
        <v>41</v>
      </c>
      <c r="K2379" t="s">
        <v>16</v>
      </c>
      <c r="L2379" t="s">
        <v>2095</v>
      </c>
      <c r="M2379">
        <v>8</v>
      </c>
      <c r="N2379" t="s">
        <v>204</v>
      </c>
      <c r="O2379" t="s">
        <v>2096</v>
      </c>
    </row>
    <row r="2380" spans="1:15">
      <c r="A2380" t="s">
        <v>3942</v>
      </c>
      <c r="B2380" t="s">
        <v>2093</v>
      </c>
      <c r="C2380" t="s">
        <v>2108</v>
      </c>
      <c r="D2380" s="1">
        <v>44832</v>
      </c>
      <c r="E2380" s="1">
        <v>44994</v>
      </c>
      <c r="F2380">
        <v>298</v>
      </c>
      <c r="G2380">
        <v>1</v>
      </c>
      <c r="H2380">
        <v>122.15</v>
      </c>
      <c r="I2380">
        <v>73.95</v>
      </c>
      <c r="J2380" t="s">
        <v>41</v>
      </c>
      <c r="K2380" t="s">
        <v>20</v>
      </c>
      <c r="L2380" t="s">
        <v>2106</v>
      </c>
      <c r="M2380">
        <v>9</v>
      </c>
      <c r="N2380" t="s">
        <v>157</v>
      </c>
      <c r="O2380" t="s">
        <v>2107</v>
      </c>
    </row>
    <row r="2381" spans="1:15">
      <c r="A2381" t="s">
        <v>3943</v>
      </c>
      <c r="B2381" t="s">
        <v>2085</v>
      </c>
      <c r="C2381" t="s">
        <v>2100</v>
      </c>
      <c r="D2381" s="1">
        <v>44992</v>
      </c>
      <c r="E2381" s="1">
        <v>45187</v>
      </c>
      <c r="F2381">
        <v>105</v>
      </c>
      <c r="G2381">
        <v>17</v>
      </c>
      <c r="H2381">
        <v>1514</v>
      </c>
      <c r="I2381">
        <v>216.74</v>
      </c>
      <c r="J2381" t="s">
        <v>115</v>
      </c>
      <c r="K2381" t="s">
        <v>20</v>
      </c>
      <c r="L2381" t="s">
        <v>2095</v>
      </c>
      <c r="M2381">
        <v>0</v>
      </c>
      <c r="N2381" t="s">
        <v>204</v>
      </c>
      <c r="O2381" t="s">
        <v>2107</v>
      </c>
    </row>
    <row r="2382" spans="1:15">
      <c r="A2382" t="s">
        <v>3944</v>
      </c>
      <c r="B2382" t="s">
        <v>2097</v>
      </c>
      <c r="C2382" t="s">
        <v>2100</v>
      </c>
      <c r="D2382" s="1">
        <v>44164</v>
      </c>
      <c r="E2382" s="1">
        <v>45234</v>
      </c>
      <c r="F2382">
        <v>58</v>
      </c>
      <c r="G2382">
        <v>4</v>
      </c>
      <c r="H2382">
        <v>663.96</v>
      </c>
      <c r="I2382">
        <v>131.6</v>
      </c>
      <c r="J2382" t="s">
        <v>115</v>
      </c>
      <c r="K2382" t="s">
        <v>20</v>
      </c>
      <c r="L2382" t="s">
        <v>2106</v>
      </c>
      <c r="M2382">
        <v>8</v>
      </c>
      <c r="N2382" t="s">
        <v>165</v>
      </c>
      <c r="O2382" t="s">
        <v>2088</v>
      </c>
    </row>
    <row r="2383" spans="1:15">
      <c r="A2383" t="s">
        <v>3945</v>
      </c>
      <c r="B2383" t="s">
        <v>2085</v>
      </c>
      <c r="C2383" t="s">
        <v>2111</v>
      </c>
      <c r="D2383" s="1">
        <v>44258</v>
      </c>
      <c r="E2383" s="1">
        <v>45251</v>
      </c>
      <c r="F2383">
        <v>41</v>
      </c>
      <c r="G2383">
        <v>39</v>
      </c>
      <c r="H2383">
        <v>844.36</v>
      </c>
      <c r="I2383">
        <v>216.54</v>
      </c>
      <c r="J2383" t="s">
        <v>115</v>
      </c>
      <c r="K2383" t="s">
        <v>16</v>
      </c>
      <c r="L2383" t="s">
        <v>2106</v>
      </c>
      <c r="M2383">
        <v>0</v>
      </c>
      <c r="N2383" t="s">
        <v>194</v>
      </c>
      <c r="O2383" t="s">
        <v>2121</v>
      </c>
    </row>
    <row r="2384" spans="1:15">
      <c r="A2384" t="s">
        <v>3946</v>
      </c>
      <c r="B2384" t="s">
        <v>2085</v>
      </c>
      <c r="C2384" t="s">
        <v>2091</v>
      </c>
      <c r="D2384" s="1">
        <v>45011</v>
      </c>
      <c r="E2384" s="1">
        <v>44952</v>
      </c>
      <c r="F2384">
        <v>340</v>
      </c>
      <c r="G2384">
        <v>23</v>
      </c>
      <c r="H2384">
        <v>1159.21</v>
      </c>
      <c r="I2384">
        <v>113.02</v>
      </c>
      <c r="J2384" t="s">
        <v>90</v>
      </c>
      <c r="K2384" t="s">
        <v>16</v>
      </c>
      <c r="L2384" t="s">
        <v>2106</v>
      </c>
      <c r="M2384">
        <v>1</v>
      </c>
      <c r="N2384" t="s">
        <v>204</v>
      </c>
      <c r="O2384" t="s">
        <v>2121</v>
      </c>
    </row>
    <row r="2385" spans="1:15">
      <c r="A2385" t="s">
        <v>3947</v>
      </c>
      <c r="B2385" t="s">
        <v>2085</v>
      </c>
      <c r="C2385" t="s">
        <v>2108</v>
      </c>
      <c r="D2385" s="1">
        <v>43984</v>
      </c>
      <c r="E2385" s="1">
        <v>45057</v>
      </c>
      <c r="F2385">
        <v>235</v>
      </c>
      <c r="G2385">
        <v>34</v>
      </c>
      <c r="H2385">
        <v>2757.9</v>
      </c>
      <c r="I2385">
        <v>253.74</v>
      </c>
      <c r="J2385" t="s">
        <v>90</v>
      </c>
      <c r="K2385" t="s">
        <v>16</v>
      </c>
      <c r="L2385" t="s">
        <v>2106</v>
      </c>
      <c r="M2385">
        <v>1</v>
      </c>
      <c r="N2385" t="s">
        <v>165</v>
      </c>
      <c r="O2385" t="s">
        <v>2088</v>
      </c>
    </row>
    <row r="2386" spans="1:15">
      <c r="A2386" t="s">
        <v>3948</v>
      </c>
      <c r="B2386" t="s">
        <v>2099</v>
      </c>
      <c r="C2386" t="s">
        <v>2094</v>
      </c>
      <c r="D2386" s="1">
        <v>44596</v>
      </c>
      <c r="E2386" s="1">
        <v>45047</v>
      </c>
      <c r="F2386">
        <v>245</v>
      </c>
      <c r="G2386">
        <v>1</v>
      </c>
      <c r="H2386">
        <v>53.37</v>
      </c>
      <c r="I2386">
        <v>84.36</v>
      </c>
      <c r="J2386" t="s">
        <v>90</v>
      </c>
      <c r="K2386" t="s">
        <v>20</v>
      </c>
      <c r="L2386" t="s">
        <v>2087</v>
      </c>
      <c r="M2386">
        <v>4</v>
      </c>
      <c r="N2386" t="s">
        <v>194</v>
      </c>
      <c r="O2386" t="s">
        <v>2088</v>
      </c>
    </row>
    <row r="2387" spans="1:15">
      <c r="A2387" t="s">
        <v>3949</v>
      </c>
      <c r="B2387" t="s">
        <v>2113</v>
      </c>
      <c r="C2387" t="s">
        <v>2086</v>
      </c>
      <c r="D2387" s="1">
        <v>44858</v>
      </c>
      <c r="E2387" s="1">
        <v>45097</v>
      </c>
      <c r="F2387">
        <v>195</v>
      </c>
      <c r="G2387">
        <v>5</v>
      </c>
      <c r="H2387">
        <v>510.11</v>
      </c>
      <c r="I2387">
        <v>30.58</v>
      </c>
      <c r="J2387" t="s">
        <v>14</v>
      </c>
      <c r="K2387" t="s">
        <v>16</v>
      </c>
      <c r="L2387" t="s">
        <v>2095</v>
      </c>
      <c r="M2387">
        <v>7</v>
      </c>
      <c r="N2387" t="s">
        <v>194</v>
      </c>
      <c r="O2387" t="s">
        <v>2121</v>
      </c>
    </row>
    <row r="2388" spans="1:15">
      <c r="A2388" t="s">
        <v>3950</v>
      </c>
      <c r="B2388" t="s">
        <v>2099</v>
      </c>
      <c r="C2388" t="s">
        <v>2086</v>
      </c>
      <c r="D2388" s="1">
        <v>44732</v>
      </c>
      <c r="E2388" s="1">
        <v>45253</v>
      </c>
      <c r="F2388">
        <v>39</v>
      </c>
      <c r="G2388">
        <v>2</v>
      </c>
      <c r="H2388">
        <v>97.24</v>
      </c>
      <c r="I2388">
        <v>37.64</v>
      </c>
      <c r="J2388" t="s">
        <v>66</v>
      </c>
      <c r="K2388" t="s">
        <v>20</v>
      </c>
      <c r="L2388" t="s">
        <v>2106</v>
      </c>
      <c r="M2388">
        <v>0</v>
      </c>
      <c r="N2388" t="s">
        <v>204</v>
      </c>
      <c r="O2388" t="s">
        <v>2121</v>
      </c>
    </row>
    <row r="2389" spans="1:15">
      <c r="A2389" t="s">
        <v>3951</v>
      </c>
      <c r="B2389" t="s">
        <v>2097</v>
      </c>
      <c r="C2389" t="s">
        <v>2111</v>
      </c>
      <c r="D2389" s="1">
        <v>44733</v>
      </c>
      <c r="E2389" s="1">
        <v>45263</v>
      </c>
      <c r="F2389">
        <v>29</v>
      </c>
      <c r="G2389">
        <v>7</v>
      </c>
      <c r="H2389">
        <v>200.81</v>
      </c>
      <c r="I2389">
        <v>64.31</v>
      </c>
      <c r="J2389" t="s">
        <v>66</v>
      </c>
      <c r="K2389" t="s">
        <v>20</v>
      </c>
      <c r="L2389" t="s">
        <v>2087</v>
      </c>
      <c r="M2389">
        <v>7</v>
      </c>
      <c r="N2389" t="s">
        <v>179</v>
      </c>
      <c r="O2389" t="s">
        <v>2109</v>
      </c>
    </row>
    <row r="2390" spans="1:15">
      <c r="A2390" t="s">
        <v>3952</v>
      </c>
      <c r="B2390" t="s">
        <v>2099</v>
      </c>
      <c r="C2390" t="s">
        <v>2086</v>
      </c>
      <c r="D2390" s="1">
        <v>45024</v>
      </c>
      <c r="E2390" s="1">
        <v>45248</v>
      </c>
      <c r="F2390">
        <v>44</v>
      </c>
      <c r="G2390">
        <v>1</v>
      </c>
      <c r="H2390">
        <v>61.11</v>
      </c>
      <c r="I2390">
        <v>35.24</v>
      </c>
      <c r="J2390" t="s">
        <v>66</v>
      </c>
      <c r="K2390" t="s">
        <v>16</v>
      </c>
      <c r="L2390" t="s">
        <v>2087</v>
      </c>
      <c r="M2390">
        <v>6</v>
      </c>
      <c r="N2390" t="s">
        <v>232</v>
      </c>
      <c r="O2390" t="s">
        <v>2096</v>
      </c>
    </row>
    <row r="2391" spans="1:15">
      <c r="A2391" t="s">
        <v>3953</v>
      </c>
      <c r="B2391" t="s">
        <v>2090</v>
      </c>
      <c r="C2391" t="s">
        <v>2100</v>
      </c>
      <c r="D2391" s="1">
        <v>44266</v>
      </c>
      <c r="E2391" s="1">
        <v>45073</v>
      </c>
      <c r="F2391">
        <v>219</v>
      </c>
      <c r="G2391">
        <v>8</v>
      </c>
      <c r="H2391">
        <v>190.53</v>
      </c>
      <c r="I2391">
        <v>43.59</v>
      </c>
      <c r="J2391" t="s">
        <v>41</v>
      </c>
      <c r="K2391" t="s">
        <v>20</v>
      </c>
      <c r="L2391" t="s">
        <v>2106</v>
      </c>
      <c r="M2391">
        <v>6</v>
      </c>
      <c r="N2391" t="s">
        <v>174</v>
      </c>
      <c r="O2391" t="s">
        <v>2109</v>
      </c>
    </row>
    <row r="2392" spans="1:15">
      <c r="A2392" t="s">
        <v>3954</v>
      </c>
      <c r="B2392" t="s">
        <v>2113</v>
      </c>
      <c r="C2392" t="s">
        <v>2108</v>
      </c>
      <c r="D2392" s="1">
        <v>43495</v>
      </c>
      <c r="E2392" s="1">
        <v>44995</v>
      </c>
      <c r="F2392">
        <v>297</v>
      </c>
      <c r="G2392">
        <v>17</v>
      </c>
      <c r="H2392">
        <v>545.07000000000005</v>
      </c>
      <c r="I2392">
        <v>46.01</v>
      </c>
      <c r="J2392" t="s">
        <v>90</v>
      </c>
      <c r="K2392" t="s">
        <v>16</v>
      </c>
      <c r="L2392" t="s">
        <v>2106</v>
      </c>
      <c r="M2392">
        <v>7</v>
      </c>
      <c r="N2392" t="s">
        <v>204</v>
      </c>
      <c r="O2392" t="s">
        <v>2096</v>
      </c>
    </row>
    <row r="2393" spans="1:15">
      <c r="A2393" t="s">
        <v>3955</v>
      </c>
      <c r="B2393" t="s">
        <v>2085</v>
      </c>
      <c r="C2393" t="s">
        <v>2100</v>
      </c>
      <c r="D2393" s="1">
        <v>44938</v>
      </c>
      <c r="E2393" s="1">
        <v>45203</v>
      </c>
      <c r="F2393">
        <v>89</v>
      </c>
      <c r="G2393">
        <v>36</v>
      </c>
      <c r="H2393">
        <v>1658.51</v>
      </c>
      <c r="I2393">
        <v>127.42</v>
      </c>
      <c r="J2393" t="s">
        <v>90</v>
      </c>
      <c r="K2393" t="s">
        <v>16</v>
      </c>
      <c r="L2393" t="s">
        <v>2095</v>
      </c>
      <c r="M2393">
        <v>4</v>
      </c>
      <c r="N2393" t="s">
        <v>232</v>
      </c>
      <c r="O2393" t="s">
        <v>2088</v>
      </c>
    </row>
    <row r="2394" spans="1:15">
      <c r="A2394" t="s">
        <v>3956</v>
      </c>
      <c r="B2394" t="s">
        <v>2097</v>
      </c>
      <c r="C2394" t="s">
        <v>2108</v>
      </c>
      <c r="D2394" s="1">
        <v>44589</v>
      </c>
      <c r="E2394" s="1">
        <v>45231</v>
      </c>
      <c r="F2394">
        <v>61</v>
      </c>
      <c r="G2394">
        <v>7</v>
      </c>
      <c r="H2394">
        <v>675.14</v>
      </c>
      <c r="I2394">
        <v>90</v>
      </c>
      <c r="J2394" t="s">
        <v>90</v>
      </c>
      <c r="K2394" t="s">
        <v>16</v>
      </c>
      <c r="L2394" t="s">
        <v>2106</v>
      </c>
      <c r="M2394">
        <v>0</v>
      </c>
      <c r="N2394" t="s">
        <v>174</v>
      </c>
      <c r="O2394" t="s">
        <v>2109</v>
      </c>
    </row>
    <row r="2395" spans="1:15">
      <c r="A2395" t="s">
        <v>3957</v>
      </c>
      <c r="B2395" t="s">
        <v>2113</v>
      </c>
      <c r="C2395" t="s">
        <v>2094</v>
      </c>
      <c r="D2395" s="1">
        <v>44471</v>
      </c>
      <c r="E2395" s="1">
        <v>45277</v>
      </c>
      <c r="F2395">
        <v>15</v>
      </c>
      <c r="G2395">
        <v>17</v>
      </c>
      <c r="H2395">
        <v>178.7</v>
      </c>
      <c r="I2395">
        <v>54.88</v>
      </c>
      <c r="J2395" t="s">
        <v>14</v>
      </c>
      <c r="K2395" t="s">
        <v>16</v>
      </c>
      <c r="L2395" t="s">
        <v>2095</v>
      </c>
      <c r="M2395">
        <v>5</v>
      </c>
      <c r="N2395" t="s">
        <v>179</v>
      </c>
      <c r="O2395" t="s">
        <v>2109</v>
      </c>
    </row>
    <row r="2396" spans="1:15">
      <c r="A2396" t="s">
        <v>3958</v>
      </c>
      <c r="B2396" t="s">
        <v>2097</v>
      </c>
      <c r="C2396" t="s">
        <v>2094</v>
      </c>
      <c r="D2396" s="1">
        <v>44126</v>
      </c>
      <c r="E2396" s="1">
        <v>45002</v>
      </c>
      <c r="F2396">
        <v>290</v>
      </c>
      <c r="G2396">
        <v>6</v>
      </c>
      <c r="H2396">
        <v>206.38</v>
      </c>
      <c r="I2396">
        <v>143.78</v>
      </c>
      <c r="J2396" t="s">
        <v>41</v>
      </c>
      <c r="K2396" t="s">
        <v>16</v>
      </c>
      <c r="L2396" t="s">
        <v>2087</v>
      </c>
      <c r="M2396">
        <v>2</v>
      </c>
      <c r="N2396" t="s">
        <v>194</v>
      </c>
      <c r="O2396" t="s">
        <v>2109</v>
      </c>
    </row>
    <row r="2397" spans="1:15">
      <c r="A2397" t="s">
        <v>3959</v>
      </c>
      <c r="B2397" t="s">
        <v>2085</v>
      </c>
      <c r="C2397" t="s">
        <v>2094</v>
      </c>
      <c r="D2397" s="1">
        <v>44536</v>
      </c>
      <c r="E2397" s="1">
        <v>45244</v>
      </c>
      <c r="F2397">
        <v>48</v>
      </c>
      <c r="G2397">
        <v>12</v>
      </c>
      <c r="H2397">
        <v>1946.2</v>
      </c>
      <c r="I2397">
        <v>249.02</v>
      </c>
      <c r="J2397" t="s">
        <v>115</v>
      </c>
      <c r="K2397" t="s">
        <v>16</v>
      </c>
      <c r="L2397" t="s">
        <v>2095</v>
      </c>
      <c r="M2397">
        <v>7</v>
      </c>
      <c r="N2397" t="s">
        <v>157</v>
      </c>
      <c r="O2397" t="s">
        <v>2096</v>
      </c>
    </row>
    <row r="2398" spans="1:15">
      <c r="A2398" t="s">
        <v>3960</v>
      </c>
      <c r="B2398" t="s">
        <v>2113</v>
      </c>
      <c r="C2398" t="s">
        <v>2108</v>
      </c>
      <c r="D2398" s="1">
        <v>44747</v>
      </c>
      <c r="E2398" s="1">
        <v>45111</v>
      </c>
      <c r="F2398">
        <v>181</v>
      </c>
      <c r="G2398">
        <v>6</v>
      </c>
      <c r="H2398">
        <v>269.74</v>
      </c>
      <c r="I2398">
        <v>37.51</v>
      </c>
      <c r="J2398" t="s">
        <v>41</v>
      </c>
      <c r="K2398" t="s">
        <v>16</v>
      </c>
      <c r="L2398" t="s">
        <v>2095</v>
      </c>
      <c r="M2398">
        <v>1</v>
      </c>
      <c r="N2398" t="s">
        <v>157</v>
      </c>
      <c r="O2398" t="s">
        <v>2096</v>
      </c>
    </row>
    <row r="2399" spans="1:15">
      <c r="A2399" t="s">
        <v>2013</v>
      </c>
      <c r="B2399" t="s">
        <v>2090</v>
      </c>
      <c r="C2399" t="s">
        <v>2086</v>
      </c>
      <c r="D2399" s="1">
        <v>44140</v>
      </c>
      <c r="E2399" s="1">
        <v>45240</v>
      </c>
      <c r="F2399">
        <v>52</v>
      </c>
      <c r="G2399">
        <v>4</v>
      </c>
      <c r="H2399">
        <v>198.87</v>
      </c>
      <c r="I2399">
        <v>73.099999999999994</v>
      </c>
      <c r="J2399" t="s">
        <v>41</v>
      </c>
      <c r="K2399" t="s">
        <v>16</v>
      </c>
      <c r="L2399" t="s">
        <v>2106</v>
      </c>
      <c r="M2399">
        <v>2</v>
      </c>
      <c r="N2399" t="s">
        <v>157</v>
      </c>
      <c r="O2399" t="s">
        <v>2107</v>
      </c>
    </row>
    <row r="2400" spans="1:15">
      <c r="A2400" t="s">
        <v>1972</v>
      </c>
      <c r="B2400" t="s">
        <v>2097</v>
      </c>
      <c r="C2400" t="s">
        <v>2094</v>
      </c>
      <c r="D2400" s="1">
        <v>43766</v>
      </c>
      <c r="E2400" s="1">
        <v>45223</v>
      </c>
      <c r="F2400">
        <v>69</v>
      </c>
      <c r="G2400">
        <v>4</v>
      </c>
      <c r="H2400">
        <v>154.31</v>
      </c>
      <c r="I2400">
        <v>58.52</v>
      </c>
      <c r="J2400" t="s">
        <v>66</v>
      </c>
      <c r="K2400" t="s">
        <v>20</v>
      </c>
      <c r="L2400" t="s">
        <v>2095</v>
      </c>
      <c r="M2400">
        <v>1</v>
      </c>
      <c r="N2400" t="s">
        <v>179</v>
      </c>
      <c r="O2400" t="s">
        <v>2121</v>
      </c>
    </row>
    <row r="2401" spans="1:15">
      <c r="A2401" t="s">
        <v>3961</v>
      </c>
      <c r="B2401" t="s">
        <v>2093</v>
      </c>
      <c r="C2401" t="s">
        <v>2086</v>
      </c>
      <c r="D2401" s="1">
        <v>44568</v>
      </c>
      <c r="E2401" s="1">
        <v>45175</v>
      </c>
      <c r="F2401">
        <v>117</v>
      </c>
      <c r="G2401">
        <v>1</v>
      </c>
      <c r="H2401">
        <v>77.78</v>
      </c>
      <c r="I2401">
        <v>21.86</v>
      </c>
      <c r="J2401" t="s">
        <v>41</v>
      </c>
      <c r="K2401" t="s">
        <v>16</v>
      </c>
      <c r="L2401" t="s">
        <v>2106</v>
      </c>
      <c r="M2401">
        <v>3</v>
      </c>
      <c r="N2401" t="s">
        <v>165</v>
      </c>
      <c r="O2401" t="s">
        <v>2109</v>
      </c>
    </row>
    <row r="2402" spans="1:15">
      <c r="A2402" t="s">
        <v>3962</v>
      </c>
      <c r="B2402" t="s">
        <v>2099</v>
      </c>
      <c r="C2402" t="s">
        <v>2111</v>
      </c>
      <c r="D2402" s="1">
        <v>45014</v>
      </c>
      <c r="E2402" s="1">
        <v>45003</v>
      </c>
      <c r="F2402">
        <v>289</v>
      </c>
      <c r="G2402">
        <v>1</v>
      </c>
      <c r="H2402">
        <v>109.59</v>
      </c>
      <c r="I2402">
        <v>44.3</v>
      </c>
      <c r="J2402" t="s">
        <v>14</v>
      </c>
      <c r="K2402" t="s">
        <v>16</v>
      </c>
      <c r="L2402" t="s">
        <v>2106</v>
      </c>
      <c r="M2402">
        <v>2</v>
      </c>
      <c r="N2402" t="s">
        <v>157</v>
      </c>
      <c r="O2402" t="s">
        <v>2096</v>
      </c>
    </row>
    <row r="2403" spans="1:15">
      <c r="A2403" t="s">
        <v>3963</v>
      </c>
      <c r="B2403" t="s">
        <v>2097</v>
      </c>
      <c r="C2403" t="s">
        <v>2111</v>
      </c>
      <c r="D2403" s="1">
        <v>44861</v>
      </c>
      <c r="E2403" s="1">
        <v>45191</v>
      </c>
      <c r="F2403">
        <v>101</v>
      </c>
      <c r="G2403">
        <v>10</v>
      </c>
      <c r="H2403">
        <v>554.76</v>
      </c>
      <c r="I2403">
        <v>106.58</v>
      </c>
      <c r="J2403" t="s">
        <v>115</v>
      </c>
      <c r="K2403" t="s">
        <v>16</v>
      </c>
      <c r="L2403" t="s">
        <v>2106</v>
      </c>
      <c r="M2403">
        <v>0</v>
      </c>
      <c r="N2403" t="s">
        <v>174</v>
      </c>
      <c r="O2403" t="s">
        <v>2088</v>
      </c>
    </row>
    <row r="2404" spans="1:15">
      <c r="A2404" t="s">
        <v>3964</v>
      </c>
      <c r="B2404" t="s">
        <v>2099</v>
      </c>
      <c r="C2404" t="s">
        <v>2100</v>
      </c>
      <c r="D2404" s="1">
        <v>44302</v>
      </c>
      <c r="E2404" s="1">
        <v>45103</v>
      </c>
      <c r="F2404">
        <v>189</v>
      </c>
      <c r="G2404">
        <v>1</v>
      </c>
      <c r="H2404">
        <v>132</v>
      </c>
      <c r="I2404">
        <v>33.01</v>
      </c>
      <c r="J2404" t="s">
        <v>115</v>
      </c>
      <c r="K2404" t="s">
        <v>20</v>
      </c>
      <c r="L2404" t="s">
        <v>2087</v>
      </c>
      <c r="M2404">
        <v>3</v>
      </c>
      <c r="N2404" t="s">
        <v>165</v>
      </c>
      <c r="O2404" t="s">
        <v>2121</v>
      </c>
    </row>
    <row r="2405" spans="1:15">
      <c r="A2405" t="s">
        <v>3965</v>
      </c>
      <c r="B2405" t="s">
        <v>2113</v>
      </c>
      <c r="C2405" t="s">
        <v>2091</v>
      </c>
      <c r="D2405" s="1">
        <v>45249</v>
      </c>
      <c r="E2405" s="1">
        <v>45104</v>
      </c>
      <c r="F2405">
        <v>188</v>
      </c>
      <c r="G2405">
        <v>20</v>
      </c>
      <c r="H2405">
        <v>325.83</v>
      </c>
      <c r="I2405">
        <v>44.11</v>
      </c>
      <c r="J2405" t="s">
        <v>90</v>
      </c>
      <c r="K2405" t="s">
        <v>16</v>
      </c>
      <c r="L2405" t="s">
        <v>2106</v>
      </c>
      <c r="M2405">
        <v>4</v>
      </c>
      <c r="N2405" t="s">
        <v>232</v>
      </c>
      <c r="O2405" t="s">
        <v>2088</v>
      </c>
    </row>
    <row r="2406" spans="1:15">
      <c r="A2406" t="s">
        <v>3966</v>
      </c>
      <c r="B2406" t="s">
        <v>2090</v>
      </c>
      <c r="C2406" t="s">
        <v>2091</v>
      </c>
      <c r="D2406" s="1">
        <v>44477</v>
      </c>
      <c r="E2406" s="1">
        <v>45247</v>
      </c>
      <c r="F2406">
        <v>45</v>
      </c>
      <c r="G2406">
        <v>3</v>
      </c>
      <c r="H2406">
        <v>142.53</v>
      </c>
      <c r="I2406">
        <v>100.58</v>
      </c>
      <c r="J2406" t="s">
        <v>66</v>
      </c>
      <c r="K2406" t="s">
        <v>16</v>
      </c>
      <c r="L2406" t="s">
        <v>2087</v>
      </c>
      <c r="M2406">
        <v>2</v>
      </c>
      <c r="N2406" t="s">
        <v>157</v>
      </c>
      <c r="O2406" t="s">
        <v>2121</v>
      </c>
    </row>
    <row r="2407" spans="1:15">
      <c r="A2407" t="s">
        <v>3967</v>
      </c>
      <c r="B2407" t="s">
        <v>2097</v>
      </c>
      <c r="C2407" t="s">
        <v>2086</v>
      </c>
      <c r="D2407" s="1">
        <v>44544</v>
      </c>
      <c r="E2407" s="1">
        <v>45274</v>
      </c>
      <c r="F2407">
        <v>18</v>
      </c>
      <c r="G2407">
        <v>8</v>
      </c>
      <c r="H2407">
        <v>225.89</v>
      </c>
      <c r="I2407">
        <v>139.9</v>
      </c>
      <c r="J2407" t="s">
        <v>41</v>
      </c>
      <c r="K2407" t="s">
        <v>20</v>
      </c>
      <c r="L2407" t="s">
        <v>2095</v>
      </c>
      <c r="M2407">
        <v>5</v>
      </c>
      <c r="N2407" t="s">
        <v>174</v>
      </c>
      <c r="O2407" t="s">
        <v>2107</v>
      </c>
    </row>
    <row r="2408" spans="1:15">
      <c r="A2408" t="s">
        <v>3968</v>
      </c>
      <c r="B2408" t="s">
        <v>2113</v>
      </c>
      <c r="C2408" t="s">
        <v>2086</v>
      </c>
      <c r="D2408" s="1">
        <v>44545</v>
      </c>
      <c r="E2408" s="1">
        <v>45022</v>
      </c>
      <c r="F2408">
        <v>270</v>
      </c>
      <c r="G2408">
        <v>15</v>
      </c>
      <c r="H2408">
        <v>282.76</v>
      </c>
      <c r="I2408">
        <v>57.7</v>
      </c>
      <c r="J2408" t="s">
        <v>90</v>
      </c>
      <c r="K2408" t="s">
        <v>16</v>
      </c>
      <c r="L2408" t="s">
        <v>2095</v>
      </c>
      <c r="M2408">
        <v>4</v>
      </c>
      <c r="N2408" t="s">
        <v>204</v>
      </c>
      <c r="O2408" t="s">
        <v>2109</v>
      </c>
    </row>
    <row r="2409" spans="1:15">
      <c r="A2409" t="s">
        <v>3969</v>
      </c>
      <c r="B2409" t="s">
        <v>2099</v>
      </c>
      <c r="C2409" t="s">
        <v>2091</v>
      </c>
      <c r="D2409" s="1">
        <v>43556</v>
      </c>
      <c r="E2409" s="1">
        <v>45199</v>
      </c>
      <c r="F2409">
        <v>93</v>
      </c>
      <c r="G2409">
        <v>2</v>
      </c>
      <c r="H2409">
        <v>69.36</v>
      </c>
      <c r="I2409">
        <v>50.31</v>
      </c>
      <c r="J2409" t="s">
        <v>115</v>
      </c>
      <c r="K2409" t="s">
        <v>20</v>
      </c>
      <c r="L2409" t="s">
        <v>2087</v>
      </c>
      <c r="M2409">
        <v>4</v>
      </c>
      <c r="N2409" t="s">
        <v>194</v>
      </c>
      <c r="O2409" t="s">
        <v>2088</v>
      </c>
    </row>
    <row r="2410" spans="1:15">
      <c r="A2410" t="s">
        <v>3970</v>
      </c>
      <c r="B2410" t="s">
        <v>2099</v>
      </c>
      <c r="C2410" t="s">
        <v>2094</v>
      </c>
      <c r="D2410" s="1">
        <v>44747</v>
      </c>
      <c r="E2410" s="1">
        <v>45168</v>
      </c>
      <c r="F2410">
        <v>124</v>
      </c>
      <c r="G2410">
        <v>1</v>
      </c>
      <c r="H2410">
        <v>113.98</v>
      </c>
      <c r="I2410">
        <v>30.35</v>
      </c>
      <c r="J2410" t="s">
        <v>41</v>
      </c>
      <c r="K2410" t="s">
        <v>16</v>
      </c>
      <c r="L2410" t="s">
        <v>2106</v>
      </c>
      <c r="M2410">
        <v>3</v>
      </c>
      <c r="N2410" t="s">
        <v>165</v>
      </c>
      <c r="O2410" t="s">
        <v>2109</v>
      </c>
    </row>
    <row r="2411" spans="1:15">
      <c r="A2411" t="s">
        <v>3971</v>
      </c>
      <c r="B2411" t="s">
        <v>2090</v>
      </c>
      <c r="C2411" t="s">
        <v>2091</v>
      </c>
      <c r="D2411" s="1">
        <v>45057</v>
      </c>
      <c r="E2411" s="1">
        <v>45290</v>
      </c>
      <c r="F2411">
        <v>2</v>
      </c>
      <c r="G2411">
        <v>4</v>
      </c>
      <c r="H2411">
        <v>273.33999999999997</v>
      </c>
      <c r="I2411">
        <v>48.22</v>
      </c>
      <c r="J2411" t="s">
        <v>90</v>
      </c>
      <c r="K2411" t="s">
        <v>16</v>
      </c>
      <c r="L2411" t="s">
        <v>2095</v>
      </c>
      <c r="M2411">
        <v>10</v>
      </c>
      <c r="N2411" t="s">
        <v>165</v>
      </c>
      <c r="O2411" t="s">
        <v>2096</v>
      </c>
    </row>
    <row r="2412" spans="1:15">
      <c r="A2412" t="s">
        <v>3972</v>
      </c>
      <c r="B2412" t="s">
        <v>2099</v>
      </c>
      <c r="C2412" t="s">
        <v>2091</v>
      </c>
      <c r="D2412" s="1">
        <v>43992</v>
      </c>
      <c r="E2412" s="1">
        <v>45061</v>
      </c>
      <c r="F2412">
        <v>231</v>
      </c>
      <c r="G2412">
        <v>2</v>
      </c>
      <c r="H2412">
        <v>112.54</v>
      </c>
      <c r="I2412">
        <v>95.25</v>
      </c>
      <c r="J2412" t="s">
        <v>14</v>
      </c>
      <c r="K2412" t="s">
        <v>20</v>
      </c>
      <c r="L2412" t="s">
        <v>2095</v>
      </c>
      <c r="M2412">
        <v>0</v>
      </c>
      <c r="N2412" t="s">
        <v>179</v>
      </c>
      <c r="O2412" t="s">
        <v>2109</v>
      </c>
    </row>
    <row r="2413" spans="1:15">
      <c r="A2413" t="s">
        <v>1055</v>
      </c>
      <c r="B2413" t="s">
        <v>2085</v>
      </c>
      <c r="C2413" t="s">
        <v>2100</v>
      </c>
      <c r="D2413" s="1">
        <v>44676</v>
      </c>
      <c r="E2413" s="1">
        <v>45232</v>
      </c>
      <c r="F2413">
        <v>60</v>
      </c>
      <c r="G2413">
        <v>20</v>
      </c>
      <c r="H2413">
        <v>2828.35</v>
      </c>
      <c r="I2413">
        <v>171.09</v>
      </c>
      <c r="J2413" t="s">
        <v>66</v>
      </c>
      <c r="K2413" t="s">
        <v>16</v>
      </c>
      <c r="L2413" t="s">
        <v>2106</v>
      </c>
      <c r="M2413">
        <v>7</v>
      </c>
      <c r="N2413" t="s">
        <v>194</v>
      </c>
      <c r="O2413" t="s">
        <v>2121</v>
      </c>
    </row>
    <row r="2414" spans="1:15">
      <c r="A2414" t="s">
        <v>944</v>
      </c>
      <c r="B2414" t="s">
        <v>2097</v>
      </c>
      <c r="C2414" t="s">
        <v>2111</v>
      </c>
      <c r="D2414" s="1">
        <v>45207</v>
      </c>
      <c r="E2414" s="1">
        <v>45172</v>
      </c>
      <c r="F2414">
        <v>120</v>
      </c>
      <c r="G2414">
        <v>6</v>
      </c>
      <c r="H2414">
        <v>194.93</v>
      </c>
      <c r="I2414">
        <v>129.57</v>
      </c>
      <c r="J2414" t="s">
        <v>14</v>
      </c>
      <c r="K2414" t="s">
        <v>20</v>
      </c>
      <c r="L2414" t="s">
        <v>2087</v>
      </c>
      <c r="M2414">
        <v>3</v>
      </c>
      <c r="N2414" t="s">
        <v>157</v>
      </c>
      <c r="O2414" t="s">
        <v>2107</v>
      </c>
    </row>
    <row r="2415" spans="1:15">
      <c r="A2415" t="s">
        <v>3973</v>
      </c>
      <c r="B2415" t="s">
        <v>2113</v>
      </c>
      <c r="C2415" t="s">
        <v>2111</v>
      </c>
      <c r="D2415" s="1">
        <v>44726</v>
      </c>
      <c r="E2415" s="1">
        <v>45166</v>
      </c>
      <c r="F2415">
        <v>126</v>
      </c>
      <c r="G2415">
        <v>19</v>
      </c>
      <c r="H2415">
        <v>182.31</v>
      </c>
      <c r="I2415">
        <v>51.61</v>
      </c>
      <c r="J2415" t="s">
        <v>14</v>
      </c>
      <c r="K2415" t="s">
        <v>16</v>
      </c>
      <c r="L2415" t="s">
        <v>2095</v>
      </c>
      <c r="M2415">
        <v>3</v>
      </c>
      <c r="N2415" t="s">
        <v>179</v>
      </c>
      <c r="O2415" t="s">
        <v>2121</v>
      </c>
    </row>
    <row r="2416" spans="1:15">
      <c r="A2416" t="s">
        <v>839</v>
      </c>
      <c r="B2416" t="s">
        <v>2097</v>
      </c>
      <c r="C2416" t="s">
        <v>2086</v>
      </c>
      <c r="D2416" s="1">
        <v>44212</v>
      </c>
      <c r="E2416" s="1">
        <v>45291</v>
      </c>
      <c r="F2416">
        <v>1</v>
      </c>
      <c r="G2416">
        <v>7</v>
      </c>
      <c r="H2416">
        <v>345.99</v>
      </c>
      <c r="I2416">
        <v>109.97</v>
      </c>
      <c r="J2416" t="s">
        <v>66</v>
      </c>
      <c r="K2416" t="s">
        <v>20</v>
      </c>
      <c r="L2416" t="s">
        <v>2106</v>
      </c>
      <c r="M2416">
        <v>6</v>
      </c>
      <c r="N2416" t="s">
        <v>165</v>
      </c>
      <c r="O2416" t="s">
        <v>2096</v>
      </c>
    </row>
    <row r="2417" spans="1:15">
      <c r="A2417" t="s">
        <v>274</v>
      </c>
      <c r="B2417" t="s">
        <v>2093</v>
      </c>
      <c r="C2417" t="s">
        <v>2100</v>
      </c>
      <c r="D2417" s="1">
        <v>44441</v>
      </c>
      <c r="E2417" s="1">
        <v>45189</v>
      </c>
      <c r="F2417">
        <v>103</v>
      </c>
      <c r="G2417">
        <v>5</v>
      </c>
      <c r="H2417">
        <v>118.99</v>
      </c>
      <c r="I2417">
        <v>25.54</v>
      </c>
      <c r="J2417" t="s">
        <v>14</v>
      </c>
      <c r="K2417" t="s">
        <v>20</v>
      </c>
      <c r="L2417" t="s">
        <v>2095</v>
      </c>
      <c r="M2417">
        <v>1</v>
      </c>
      <c r="N2417" t="s">
        <v>194</v>
      </c>
      <c r="O2417" t="s">
        <v>2088</v>
      </c>
    </row>
    <row r="2418" spans="1:15">
      <c r="A2418" t="s">
        <v>3974</v>
      </c>
      <c r="B2418" t="s">
        <v>2090</v>
      </c>
      <c r="C2418" t="s">
        <v>2091</v>
      </c>
      <c r="D2418" s="1">
        <v>44400</v>
      </c>
      <c r="E2418" s="1">
        <v>45150</v>
      </c>
      <c r="F2418">
        <v>142</v>
      </c>
      <c r="G2418">
        <v>3</v>
      </c>
      <c r="H2418">
        <v>239.73</v>
      </c>
      <c r="I2418">
        <v>60.41</v>
      </c>
      <c r="J2418" t="s">
        <v>115</v>
      </c>
      <c r="K2418" t="s">
        <v>16</v>
      </c>
      <c r="L2418" t="s">
        <v>2087</v>
      </c>
      <c r="M2418">
        <v>4</v>
      </c>
      <c r="N2418" t="s">
        <v>232</v>
      </c>
      <c r="O2418" t="s">
        <v>2096</v>
      </c>
    </row>
    <row r="2419" spans="1:15">
      <c r="A2419" t="s">
        <v>1499</v>
      </c>
      <c r="B2419" t="s">
        <v>2097</v>
      </c>
      <c r="C2419" t="s">
        <v>2094</v>
      </c>
      <c r="D2419" s="1">
        <v>43935</v>
      </c>
      <c r="E2419" s="1">
        <v>45235</v>
      </c>
      <c r="F2419">
        <v>57</v>
      </c>
      <c r="G2419">
        <v>6</v>
      </c>
      <c r="H2419">
        <v>226.39</v>
      </c>
      <c r="I2419">
        <v>66.739999999999995</v>
      </c>
      <c r="J2419" t="s">
        <v>66</v>
      </c>
      <c r="K2419" t="s">
        <v>20</v>
      </c>
      <c r="L2419" t="s">
        <v>2095</v>
      </c>
      <c r="M2419">
        <v>7</v>
      </c>
      <c r="N2419" t="s">
        <v>174</v>
      </c>
      <c r="O2419" t="s">
        <v>2121</v>
      </c>
    </row>
    <row r="2420" spans="1:15">
      <c r="A2420" t="s">
        <v>3975</v>
      </c>
      <c r="B2420" t="s">
        <v>2099</v>
      </c>
      <c r="C2420" t="s">
        <v>2091</v>
      </c>
      <c r="D2420" s="1">
        <v>44964</v>
      </c>
      <c r="E2420" s="1">
        <v>45195</v>
      </c>
      <c r="F2420">
        <v>97</v>
      </c>
      <c r="G2420">
        <v>1</v>
      </c>
      <c r="H2420">
        <v>109.15</v>
      </c>
      <c r="I2420">
        <v>98.44</v>
      </c>
      <c r="J2420" t="s">
        <v>90</v>
      </c>
      <c r="K2420" t="s">
        <v>20</v>
      </c>
      <c r="L2420" t="s">
        <v>2087</v>
      </c>
      <c r="M2420">
        <v>4</v>
      </c>
      <c r="N2420" t="s">
        <v>204</v>
      </c>
      <c r="O2420" t="s">
        <v>2109</v>
      </c>
    </row>
    <row r="2421" spans="1:15">
      <c r="A2421" t="s">
        <v>1240</v>
      </c>
      <c r="B2421" t="s">
        <v>2093</v>
      </c>
      <c r="C2421" t="s">
        <v>2100</v>
      </c>
      <c r="D2421" s="1">
        <v>43918</v>
      </c>
      <c r="E2421" s="1">
        <v>45133</v>
      </c>
      <c r="F2421">
        <v>159</v>
      </c>
      <c r="G2421">
        <v>4</v>
      </c>
      <c r="H2421">
        <v>73.489999999999995</v>
      </c>
      <c r="I2421">
        <v>47.54</v>
      </c>
      <c r="J2421" t="s">
        <v>90</v>
      </c>
      <c r="K2421" t="s">
        <v>16</v>
      </c>
      <c r="L2421" t="s">
        <v>2087</v>
      </c>
      <c r="M2421">
        <v>0</v>
      </c>
      <c r="N2421" t="s">
        <v>174</v>
      </c>
      <c r="O2421" t="s">
        <v>2109</v>
      </c>
    </row>
    <row r="2422" spans="1:15">
      <c r="A2422" t="s">
        <v>3976</v>
      </c>
      <c r="B2422" t="s">
        <v>2099</v>
      </c>
      <c r="C2422" t="s">
        <v>2111</v>
      </c>
      <c r="D2422" s="1">
        <v>45211</v>
      </c>
      <c r="E2422" s="1">
        <v>45006</v>
      </c>
      <c r="F2422">
        <v>286</v>
      </c>
      <c r="G2422">
        <v>1</v>
      </c>
      <c r="H2422">
        <v>41.07</v>
      </c>
      <c r="I2422">
        <v>99.4</v>
      </c>
      <c r="J2422" t="s">
        <v>41</v>
      </c>
      <c r="K2422" t="s">
        <v>20</v>
      </c>
      <c r="L2422" t="s">
        <v>2106</v>
      </c>
      <c r="M2422">
        <v>8</v>
      </c>
      <c r="N2422" t="s">
        <v>157</v>
      </c>
      <c r="O2422" t="s">
        <v>2096</v>
      </c>
    </row>
    <row r="2423" spans="1:15">
      <c r="A2423" t="s">
        <v>3977</v>
      </c>
      <c r="B2423" t="s">
        <v>2090</v>
      </c>
      <c r="C2423" t="s">
        <v>2086</v>
      </c>
      <c r="D2423" s="1">
        <v>44497</v>
      </c>
      <c r="E2423" s="1">
        <v>45139</v>
      </c>
      <c r="F2423">
        <v>153</v>
      </c>
      <c r="G2423">
        <v>8</v>
      </c>
      <c r="H2423">
        <v>376.94</v>
      </c>
      <c r="I2423">
        <v>108.7</v>
      </c>
      <c r="J2423" t="s">
        <v>41</v>
      </c>
      <c r="K2423" t="s">
        <v>16</v>
      </c>
      <c r="L2423" t="s">
        <v>2106</v>
      </c>
      <c r="M2423">
        <v>4</v>
      </c>
      <c r="N2423" t="s">
        <v>179</v>
      </c>
      <c r="O2423" t="s">
        <v>2109</v>
      </c>
    </row>
    <row r="2424" spans="1:15">
      <c r="A2424" t="s">
        <v>3978</v>
      </c>
      <c r="B2424" t="s">
        <v>2097</v>
      </c>
      <c r="C2424" t="s">
        <v>2091</v>
      </c>
      <c r="D2424" s="1">
        <v>44692</v>
      </c>
      <c r="E2424" s="1">
        <v>45032</v>
      </c>
      <c r="F2424">
        <v>260</v>
      </c>
      <c r="G2424">
        <v>9</v>
      </c>
      <c r="H2424">
        <v>319.93</v>
      </c>
      <c r="I2424">
        <v>129.04</v>
      </c>
      <c r="J2424" t="s">
        <v>14</v>
      </c>
      <c r="K2424" t="s">
        <v>16</v>
      </c>
      <c r="L2424" t="s">
        <v>2106</v>
      </c>
      <c r="M2424">
        <v>5</v>
      </c>
      <c r="N2424" t="s">
        <v>165</v>
      </c>
      <c r="O2424" t="s">
        <v>2088</v>
      </c>
    </row>
    <row r="2425" spans="1:15">
      <c r="A2425" t="s">
        <v>3979</v>
      </c>
      <c r="B2425" t="s">
        <v>2099</v>
      </c>
      <c r="C2425" t="s">
        <v>2108</v>
      </c>
      <c r="D2425" s="1">
        <v>44289</v>
      </c>
      <c r="E2425" s="1">
        <v>45132</v>
      </c>
      <c r="F2425">
        <v>160</v>
      </c>
      <c r="G2425">
        <v>1</v>
      </c>
      <c r="H2425">
        <v>106.09</v>
      </c>
      <c r="I2425">
        <v>22.93</v>
      </c>
      <c r="J2425" t="s">
        <v>90</v>
      </c>
      <c r="K2425" t="s">
        <v>16</v>
      </c>
      <c r="L2425" t="s">
        <v>2087</v>
      </c>
      <c r="M2425">
        <v>8</v>
      </c>
      <c r="N2425" t="s">
        <v>194</v>
      </c>
      <c r="O2425" t="s">
        <v>2107</v>
      </c>
    </row>
    <row r="2426" spans="1:15">
      <c r="A2426" t="s">
        <v>3980</v>
      </c>
      <c r="B2426" t="s">
        <v>2085</v>
      </c>
      <c r="C2426" t="s">
        <v>2094</v>
      </c>
      <c r="D2426" s="1">
        <v>44007</v>
      </c>
      <c r="E2426" s="1">
        <v>45032</v>
      </c>
      <c r="F2426">
        <v>260</v>
      </c>
      <c r="G2426">
        <v>17</v>
      </c>
      <c r="H2426">
        <v>1245.25</v>
      </c>
      <c r="I2426">
        <v>230.69</v>
      </c>
      <c r="J2426" t="s">
        <v>115</v>
      </c>
      <c r="K2426" t="s">
        <v>20</v>
      </c>
      <c r="L2426" t="s">
        <v>2087</v>
      </c>
      <c r="M2426">
        <v>9</v>
      </c>
      <c r="N2426" t="s">
        <v>232</v>
      </c>
      <c r="O2426" t="s">
        <v>2096</v>
      </c>
    </row>
    <row r="2427" spans="1:15">
      <c r="A2427" t="s">
        <v>3981</v>
      </c>
      <c r="B2427" t="s">
        <v>2085</v>
      </c>
      <c r="C2427" t="s">
        <v>2094</v>
      </c>
      <c r="D2427" s="1">
        <v>45100</v>
      </c>
      <c r="E2427" s="1">
        <v>45148</v>
      </c>
      <c r="F2427">
        <v>144</v>
      </c>
      <c r="G2427">
        <v>28</v>
      </c>
      <c r="H2427">
        <v>2247.21</v>
      </c>
      <c r="I2427">
        <v>296.29000000000002</v>
      </c>
      <c r="J2427" t="s">
        <v>14</v>
      </c>
      <c r="K2427" t="s">
        <v>16</v>
      </c>
      <c r="L2427" t="s">
        <v>2087</v>
      </c>
      <c r="M2427">
        <v>2</v>
      </c>
      <c r="N2427" t="s">
        <v>174</v>
      </c>
      <c r="O2427" t="s">
        <v>2096</v>
      </c>
    </row>
    <row r="2428" spans="1:15">
      <c r="A2428" t="s">
        <v>2068</v>
      </c>
      <c r="B2428" t="s">
        <v>2099</v>
      </c>
      <c r="C2428" t="s">
        <v>2111</v>
      </c>
      <c r="D2428" s="1">
        <v>44436</v>
      </c>
      <c r="E2428" s="1">
        <v>45289</v>
      </c>
      <c r="F2428">
        <v>3</v>
      </c>
      <c r="G2428">
        <v>1</v>
      </c>
      <c r="H2428">
        <v>80.8</v>
      </c>
      <c r="I2428">
        <v>74.58</v>
      </c>
      <c r="J2428" t="s">
        <v>66</v>
      </c>
      <c r="K2428" t="s">
        <v>20</v>
      </c>
      <c r="L2428" t="s">
        <v>2106</v>
      </c>
      <c r="M2428">
        <v>3</v>
      </c>
      <c r="N2428" t="s">
        <v>179</v>
      </c>
      <c r="O2428" t="s">
        <v>2109</v>
      </c>
    </row>
    <row r="2429" spans="1:15">
      <c r="A2429" t="s">
        <v>3982</v>
      </c>
      <c r="B2429" t="s">
        <v>2113</v>
      </c>
      <c r="C2429" t="s">
        <v>2094</v>
      </c>
      <c r="D2429" s="1">
        <v>44158</v>
      </c>
      <c r="E2429" s="1">
        <v>45223</v>
      </c>
      <c r="F2429">
        <v>69</v>
      </c>
      <c r="G2429">
        <v>8</v>
      </c>
      <c r="H2429">
        <v>141.58000000000001</v>
      </c>
      <c r="I2429">
        <v>50.54</v>
      </c>
      <c r="J2429" t="s">
        <v>66</v>
      </c>
      <c r="K2429" t="s">
        <v>20</v>
      </c>
      <c r="L2429" t="s">
        <v>2106</v>
      </c>
      <c r="M2429">
        <v>10</v>
      </c>
      <c r="N2429" t="s">
        <v>165</v>
      </c>
      <c r="O2429" t="s">
        <v>2121</v>
      </c>
    </row>
    <row r="2430" spans="1:15">
      <c r="A2430" t="s">
        <v>3983</v>
      </c>
      <c r="B2430" t="s">
        <v>2090</v>
      </c>
      <c r="C2430" t="s">
        <v>2091</v>
      </c>
      <c r="D2430" s="1">
        <v>44489</v>
      </c>
      <c r="E2430" s="1">
        <v>45220</v>
      </c>
      <c r="F2430">
        <v>72</v>
      </c>
      <c r="G2430">
        <v>4</v>
      </c>
      <c r="H2430">
        <v>133.41</v>
      </c>
      <c r="I2430">
        <v>89.81</v>
      </c>
      <c r="J2430" t="s">
        <v>14</v>
      </c>
      <c r="K2430" t="s">
        <v>16</v>
      </c>
      <c r="L2430" t="s">
        <v>2087</v>
      </c>
      <c r="M2430">
        <v>3</v>
      </c>
      <c r="N2430" t="s">
        <v>165</v>
      </c>
      <c r="O2430" t="s">
        <v>2109</v>
      </c>
    </row>
    <row r="2431" spans="1:15">
      <c r="A2431" t="s">
        <v>3984</v>
      </c>
      <c r="B2431" t="s">
        <v>2113</v>
      </c>
      <c r="C2431" t="s">
        <v>2100</v>
      </c>
      <c r="D2431" s="1">
        <v>44341</v>
      </c>
      <c r="E2431" s="1">
        <v>45193</v>
      </c>
      <c r="F2431">
        <v>99</v>
      </c>
      <c r="G2431">
        <v>20</v>
      </c>
      <c r="H2431">
        <v>188.63</v>
      </c>
      <c r="I2431">
        <v>49.99</v>
      </c>
      <c r="J2431" t="s">
        <v>90</v>
      </c>
      <c r="K2431" t="s">
        <v>16</v>
      </c>
      <c r="L2431" t="s">
        <v>2087</v>
      </c>
      <c r="M2431">
        <v>9</v>
      </c>
      <c r="N2431" t="s">
        <v>157</v>
      </c>
      <c r="O2431" t="s">
        <v>2121</v>
      </c>
    </row>
    <row r="2432" spans="1:15">
      <c r="A2432" t="s">
        <v>3985</v>
      </c>
      <c r="B2432" t="s">
        <v>2090</v>
      </c>
      <c r="C2432" t="s">
        <v>2100</v>
      </c>
      <c r="D2432" s="1">
        <v>44098</v>
      </c>
      <c r="E2432" s="1">
        <v>44972</v>
      </c>
      <c r="F2432">
        <v>320</v>
      </c>
      <c r="G2432">
        <v>5</v>
      </c>
      <c r="H2432">
        <v>103.01</v>
      </c>
      <c r="I2432">
        <v>106.68</v>
      </c>
      <c r="J2432" t="s">
        <v>66</v>
      </c>
      <c r="K2432" t="s">
        <v>20</v>
      </c>
      <c r="L2432" t="s">
        <v>2095</v>
      </c>
      <c r="M2432">
        <v>9</v>
      </c>
      <c r="N2432" t="s">
        <v>194</v>
      </c>
      <c r="O2432" t="s">
        <v>2107</v>
      </c>
    </row>
    <row r="2433" spans="1:15">
      <c r="A2433" t="s">
        <v>1692</v>
      </c>
      <c r="B2433" t="s">
        <v>2090</v>
      </c>
      <c r="C2433" t="s">
        <v>2091</v>
      </c>
      <c r="D2433" s="1">
        <v>45103</v>
      </c>
      <c r="E2433" s="1">
        <v>45079</v>
      </c>
      <c r="F2433">
        <v>213</v>
      </c>
      <c r="G2433">
        <v>2</v>
      </c>
      <c r="H2433">
        <v>387.18</v>
      </c>
      <c r="I2433">
        <v>92.19</v>
      </c>
      <c r="J2433" t="s">
        <v>90</v>
      </c>
      <c r="K2433" t="s">
        <v>16</v>
      </c>
      <c r="L2433" t="s">
        <v>2095</v>
      </c>
      <c r="M2433">
        <v>3</v>
      </c>
      <c r="N2433" t="s">
        <v>157</v>
      </c>
      <c r="O2433" t="s">
        <v>2088</v>
      </c>
    </row>
    <row r="2434" spans="1:15">
      <c r="A2434" t="s">
        <v>3986</v>
      </c>
      <c r="B2434" t="s">
        <v>2090</v>
      </c>
      <c r="C2434" t="s">
        <v>2094</v>
      </c>
      <c r="D2434" s="1">
        <v>44297</v>
      </c>
      <c r="E2434" s="1">
        <v>44985</v>
      </c>
      <c r="F2434">
        <v>307</v>
      </c>
      <c r="G2434">
        <v>2</v>
      </c>
      <c r="H2434">
        <v>297.45999999999998</v>
      </c>
      <c r="I2434">
        <v>79.2</v>
      </c>
      <c r="J2434" t="s">
        <v>14</v>
      </c>
      <c r="K2434" t="s">
        <v>16</v>
      </c>
      <c r="L2434" t="s">
        <v>2095</v>
      </c>
      <c r="M2434">
        <v>1</v>
      </c>
      <c r="N2434" t="s">
        <v>174</v>
      </c>
      <c r="O2434" t="s">
        <v>2107</v>
      </c>
    </row>
    <row r="2435" spans="1:15">
      <c r="A2435" t="s">
        <v>3987</v>
      </c>
      <c r="B2435" t="s">
        <v>2090</v>
      </c>
      <c r="C2435" t="s">
        <v>2094</v>
      </c>
      <c r="D2435" s="1">
        <v>43466</v>
      </c>
      <c r="E2435" s="1">
        <v>45084</v>
      </c>
      <c r="F2435">
        <v>208</v>
      </c>
      <c r="G2435">
        <v>2</v>
      </c>
      <c r="H2435">
        <v>186.98</v>
      </c>
      <c r="I2435">
        <v>82.06</v>
      </c>
      <c r="J2435" t="s">
        <v>41</v>
      </c>
      <c r="K2435" t="s">
        <v>20</v>
      </c>
      <c r="L2435" t="s">
        <v>2095</v>
      </c>
      <c r="M2435">
        <v>6</v>
      </c>
      <c r="N2435" t="s">
        <v>194</v>
      </c>
      <c r="O2435" t="s">
        <v>2109</v>
      </c>
    </row>
    <row r="2436" spans="1:15">
      <c r="A2436" t="s">
        <v>3988</v>
      </c>
      <c r="B2436" t="s">
        <v>2090</v>
      </c>
      <c r="C2436" t="s">
        <v>2111</v>
      </c>
      <c r="D2436" s="1">
        <v>44664</v>
      </c>
      <c r="E2436" s="1">
        <v>45236</v>
      </c>
      <c r="F2436">
        <v>56</v>
      </c>
      <c r="G2436">
        <v>3</v>
      </c>
      <c r="H2436">
        <v>322.61</v>
      </c>
      <c r="I2436">
        <v>60.92</v>
      </c>
      <c r="J2436" t="s">
        <v>14</v>
      </c>
      <c r="K2436" t="s">
        <v>16</v>
      </c>
      <c r="L2436" t="s">
        <v>2106</v>
      </c>
      <c r="M2436">
        <v>8</v>
      </c>
      <c r="N2436" t="s">
        <v>204</v>
      </c>
      <c r="O2436" t="s">
        <v>2096</v>
      </c>
    </row>
    <row r="2437" spans="1:15">
      <c r="A2437" t="s">
        <v>3989</v>
      </c>
      <c r="B2437" t="s">
        <v>2099</v>
      </c>
      <c r="C2437" t="s">
        <v>2108</v>
      </c>
      <c r="D2437" s="1">
        <v>43503</v>
      </c>
      <c r="E2437" s="1">
        <v>45086</v>
      </c>
      <c r="F2437">
        <v>206</v>
      </c>
      <c r="G2437">
        <v>2</v>
      </c>
      <c r="H2437">
        <v>127.32</v>
      </c>
      <c r="I2437">
        <v>76.319999999999993</v>
      </c>
      <c r="J2437" t="s">
        <v>115</v>
      </c>
      <c r="K2437" t="s">
        <v>20</v>
      </c>
      <c r="L2437" t="s">
        <v>2095</v>
      </c>
      <c r="M2437">
        <v>5</v>
      </c>
      <c r="N2437" t="s">
        <v>204</v>
      </c>
      <c r="O2437" t="s">
        <v>2107</v>
      </c>
    </row>
    <row r="2438" spans="1:15">
      <c r="A2438" t="s">
        <v>3990</v>
      </c>
      <c r="B2438" t="s">
        <v>2090</v>
      </c>
      <c r="C2438" t="s">
        <v>2100</v>
      </c>
      <c r="D2438" s="1">
        <v>44721</v>
      </c>
      <c r="E2438" s="1">
        <v>45220</v>
      </c>
      <c r="F2438">
        <v>72</v>
      </c>
      <c r="G2438">
        <v>7</v>
      </c>
      <c r="H2438">
        <v>375.08</v>
      </c>
      <c r="I2438">
        <v>70.510000000000005</v>
      </c>
      <c r="J2438" t="s">
        <v>90</v>
      </c>
      <c r="K2438" t="s">
        <v>20</v>
      </c>
      <c r="L2438" t="s">
        <v>2095</v>
      </c>
      <c r="M2438">
        <v>6</v>
      </c>
      <c r="N2438" t="s">
        <v>204</v>
      </c>
      <c r="O2438" t="s">
        <v>2107</v>
      </c>
    </row>
    <row r="2439" spans="1:15">
      <c r="A2439" t="s">
        <v>3991</v>
      </c>
      <c r="B2439" t="s">
        <v>2085</v>
      </c>
      <c r="C2439" t="s">
        <v>2091</v>
      </c>
      <c r="D2439" s="1">
        <v>45106</v>
      </c>
      <c r="E2439" s="1">
        <v>45019</v>
      </c>
      <c r="F2439">
        <v>273</v>
      </c>
      <c r="G2439">
        <v>30</v>
      </c>
      <c r="H2439">
        <v>2286.29</v>
      </c>
      <c r="I2439">
        <v>123.63</v>
      </c>
      <c r="J2439" t="s">
        <v>90</v>
      </c>
      <c r="K2439" t="s">
        <v>16</v>
      </c>
      <c r="L2439" t="s">
        <v>2087</v>
      </c>
      <c r="M2439">
        <v>4</v>
      </c>
      <c r="N2439" t="s">
        <v>157</v>
      </c>
      <c r="O2439" t="s">
        <v>2107</v>
      </c>
    </row>
    <row r="2440" spans="1:15">
      <c r="A2440" t="s">
        <v>3992</v>
      </c>
      <c r="B2440" t="s">
        <v>2085</v>
      </c>
      <c r="C2440" t="s">
        <v>2091</v>
      </c>
      <c r="D2440" s="1">
        <v>44624</v>
      </c>
      <c r="E2440" s="1">
        <v>45151</v>
      </c>
      <c r="F2440">
        <v>141</v>
      </c>
      <c r="G2440">
        <v>23</v>
      </c>
      <c r="H2440">
        <v>1919.62</v>
      </c>
      <c r="I2440">
        <v>177.39</v>
      </c>
      <c r="J2440" t="s">
        <v>66</v>
      </c>
      <c r="K2440" t="s">
        <v>16</v>
      </c>
      <c r="L2440" t="s">
        <v>2106</v>
      </c>
      <c r="M2440">
        <v>7</v>
      </c>
      <c r="N2440" t="s">
        <v>174</v>
      </c>
      <c r="O2440" t="s">
        <v>2121</v>
      </c>
    </row>
    <row r="2441" spans="1:15">
      <c r="A2441" t="s">
        <v>3993</v>
      </c>
      <c r="B2441" t="s">
        <v>2113</v>
      </c>
      <c r="C2441" t="s">
        <v>2100</v>
      </c>
      <c r="D2441" s="1">
        <v>45260</v>
      </c>
      <c r="E2441" s="1">
        <v>45177</v>
      </c>
      <c r="F2441">
        <v>115</v>
      </c>
      <c r="G2441">
        <v>19</v>
      </c>
      <c r="H2441">
        <v>409.03</v>
      </c>
      <c r="I2441">
        <v>37.85</v>
      </c>
      <c r="J2441" t="s">
        <v>14</v>
      </c>
      <c r="K2441" t="s">
        <v>16</v>
      </c>
      <c r="L2441" t="s">
        <v>2095</v>
      </c>
      <c r="M2441">
        <v>10</v>
      </c>
      <c r="N2441" t="s">
        <v>194</v>
      </c>
      <c r="O2441" t="s">
        <v>2121</v>
      </c>
    </row>
    <row r="2442" spans="1:15">
      <c r="A2442" t="s">
        <v>3994</v>
      </c>
      <c r="B2442" t="s">
        <v>2093</v>
      </c>
      <c r="C2442" t="s">
        <v>2091</v>
      </c>
      <c r="D2442" s="1">
        <v>44850</v>
      </c>
      <c r="E2442" s="1">
        <v>45182</v>
      </c>
      <c r="F2442">
        <v>110</v>
      </c>
      <c r="G2442">
        <v>5</v>
      </c>
      <c r="H2442">
        <v>46.3</v>
      </c>
      <c r="I2442">
        <v>77.900000000000006</v>
      </c>
      <c r="J2442" t="s">
        <v>41</v>
      </c>
      <c r="K2442" t="s">
        <v>20</v>
      </c>
      <c r="L2442" t="s">
        <v>2087</v>
      </c>
      <c r="M2442">
        <v>0</v>
      </c>
      <c r="N2442" t="s">
        <v>179</v>
      </c>
      <c r="O2442" t="s">
        <v>2088</v>
      </c>
    </row>
    <row r="2443" spans="1:15">
      <c r="A2443" t="s">
        <v>3995</v>
      </c>
      <c r="B2443" t="s">
        <v>2099</v>
      </c>
      <c r="C2443" t="s">
        <v>2108</v>
      </c>
      <c r="D2443" s="1">
        <v>44563</v>
      </c>
      <c r="E2443" s="1">
        <v>45255</v>
      </c>
      <c r="F2443">
        <v>37</v>
      </c>
      <c r="G2443">
        <v>2</v>
      </c>
      <c r="H2443">
        <v>72.819999999999993</v>
      </c>
      <c r="I2443">
        <v>64.150000000000006</v>
      </c>
      <c r="J2443" t="s">
        <v>115</v>
      </c>
      <c r="K2443" t="s">
        <v>16</v>
      </c>
      <c r="L2443" t="s">
        <v>2095</v>
      </c>
      <c r="M2443">
        <v>0</v>
      </c>
      <c r="N2443" t="s">
        <v>179</v>
      </c>
      <c r="O2443" t="s">
        <v>2088</v>
      </c>
    </row>
    <row r="2444" spans="1:15">
      <c r="A2444" t="s">
        <v>1057</v>
      </c>
      <c r="B2444" t="s">
        <v>2113</v>
      </c>
      <c r="C2444" t="s">
        <v>2086</v>
      </c>
      <c r="D2444" s="1">
        <v>44241</v>
      </c>
      <c r="E2444" s="1">
        <v>45172</v>
      </c>
      <c r="F2444">
        <v>120</v>
      </c>
      <c r="G2444">
        <v>20</v>
      </c>
      <c r="H2444">
        <v>200.23</v>
      </c>
      <c r="I2444">
        <v>47.34</v>
      </c>
      <c r="J2444" t="s">
        <v>66</v>
      </c>
      <c r="K2444" t="s">
        <v>16</v>
      </c>
      <c r="L2444" t="s">
        <v>2106</v>
      </c>
      <c r="M2444">
        <v>3</v>
      </c>
      <c r="N2444" t="s">
        <v>179</v>
      </c>
      <c r="O2444" t="s">
        <v>2109</v>
      </c>
    </row>
    <row r="2445" spans="1:15">
      <c r="A2445" t="s">
        <v>3996</v>
      </c>
      <c r="B2445" t="s">
        <v>2113</v>
      </c>
      <c r="C2445" t="s">
        <v>2091</v>
      </c>
      <c r="D2445" s="1">
        <v>44249</v>
      </c>
      <c r="E2445" s="1">
        <v>45029</v>
      </c>
      <c r="F2445">
        <v>263</v>
      </c>
      <c r="G2445">
        <v>13</v>
      </c>
      <c r="H2445">
        <v>541.85</v>
      </c>
      <c r="I2445">
        <v>32.549999999999997</v>
      </c>
      <c r="J2445" t="s">
        <v>90</v>
      </c>
      <c r="K2445" t="s">
        <v>16</v>
      </c>
      <c r="L2445" t="s">
        <v>2087</v>
      </c>
      <c r="M2445">
        <v>10</v>
      </c>
      <c r="N2445" t="s">
        <v>204</v>
      </c>
      <c r="O2445" t="s">
        <v>2121</v>
      </c>
    </row>
    <row r="2446" spans="1:15">
      <c r="A2446" t="s">
        <v>3997</v>
      </c>
      <c r="B2446" t="s">
        <v>2090</v>
      </c>
      <c r="C2446" t="s">
        <v>2086</v>
      </c>
      <c r="D2446" s="1">
        <v>44972</v>
      </c>
      <c r="E2446" s="1">
        <v>45098</v>
      </c>
      <c r="F2446">
        <v>194</v>
      </c>
      <c r="G2446">
        <v>5</v>
      </c>
      <c r="H2446">
        <v>338.71</v>
      </c>
      <c r="I2446">
        <v>103.88</v>
      </c>
      <c r="J2446" t="s">
        <v>90</v>
      </c>
      <c r="K2446" t="s">
        <v>20</v>
      </c>
      <c r="L2446" t="s">
        <v>2106</v>
      </c>
      <c r="M2446">
        <v>6</v>
      </c>
      <c r="N2446" t="s">
        <v>204</v>
      </c>
      <c r="O2446" t="s">
        <v>2088</v>
      </c>
    </row>
    <row r="2447" spans="1:15">
      <c r="A2447" t="s">
        <v>1347</v>
      </c>
      <c r="B2447" t="s">
        <v>2113</v>
      </c>
      <c r="C2447" t="s">
        <v>2108</v>
      </c>
      <c r="D2447" s="1">
        <v>44180</v>
      </c>
      <c r="E2447" s="1">
        <v>45108</v>
      </c>
      <c r="F2447">
        <v>184</v>
      </c>
      <c r="G2447">
        <v>13</v>
      </c>
      <c r="H2447">
        <v>586.22</v>
      </c>
      <c r="I2447">
        <v>67.23</v>
      </c>
      <c r="J2447" t="s">
        <v>41</v>
      </c>
      <c r="K2447" t="s">
        <v>16</v>
      </c>
      <c r="L2447" t="s">
        <v>2087</v>
      </c>
      <c r="M2447">
        <v>4</v>
      </c>
      <c r="N2447" t="s">
        <v>179</v>
      </c>
      <c r="O2447" t="s">
        <v>2121</v>
      </c>
    </row>
    <row r="2448" spans="1:15">
      <c r="A2448" t="s">
        <v>3998</v>
      </c>
      <c r="B2448" t="s">
        <v>2093</v>
      </c>
      <c r="C2448" t="s">
        <v>2091</v>
      </c>
      <c r="D2448" s="1">
        <v>43514</v>
      </c>
      <c r="E2448" s="1">
        <v>45113</v>
      </c>
      <c r="F2448">
        <v>179</v>
      </c>
      <c r="G2448">
        <v>1</v>
      </c>
      <c r="H2448">
        <v>151.87</v>
      </c>
      <c r="I2448">
        <v>27.78</v>
      </c>
      <c r="J2448" t="s">
        <v>90</v>
      </c>
      <c r="K2448" t="s">
        <v>16</v>
      </c>
      <c r="L2448" t="s">
        <v>2095</v>
      </c>
      <c r="M2448">
        <v>9</v>
      </c>
      <c r="N2448" t="s">
        <v>165</v>
      </c>
      <c r="O2448" t="s">
        <v>2096</v>
      </c>
    </row>
    <row r="2449" spans="1:15">
      <c r="A2449" t="s">
        <v>3999</v>
      </c>
      <c r="B2449" t="s">
        <v>2090</v>
      </c>
      <c r="C2449" t="s">
        <v>2100</v>
      </c>
      <c r="D2449" s="1">
        <v>44539</v>
      </c>
      <c r="E2449" s="1">
        <v>45239</v>
      </c>
      <c r="F2449">
        <v>53</v>
      </c>
      <c r="G2449">
        <v>7</v>
      </c>
      <c r="H2449">
        <v>167.33</v>
      </c>
      <c r="I2449">
        <v>106.54</v>
      </c>
      <c r="J2449" t="s">
        <v>66</v>
      </c>
      <c r="K2449" t="s">
        <v>16</v>
      </c>
      <c r="L2449" t="s">
        <v>2106</v>
      </c>
      <c r="M2449">
        <v>9</v>
      </c>
      <c r="N2449" t="s">
        <v>194</v>
      </c>
      <c r="O2449" t="s">
        <v>2121</v>
      </c>
    </row>
    <row r="2450" spans="1:15">
      <c r="A2450" t="s">
        <v>4000</v>
      </c>
      <c r="B2450" t="s">
        <v>2085</v>
      </c>
      <c r="C2450" t="s">
        <v>2111</v>
      </c>
      <c r="D2450" s="1">
        <v>44038</v>
      </c>
      <c r="E2450" s="1">
        <v>45210</v>
      </c>
      <c r="F2450">
        <v>82</v>
      </c>
      <c r="G2450">
        <v>19</v>
      </c>
      <c r="H2450">
        <v>1770.04</v>
      </c>
      <c r="I2450">
        <v>262.95</v>
      </c>
      <c r="J2450" t="s">
        <v>90</v>
      </c>
      <c r="K2450" t="s">
        <v>20</v>
      </c>
      <c r="L2450" t="s">
        <v>2095</v>
      </c>
      <c r="M2450">
        <v>5</v>
      </c>
      <c r="N2450" t="s">
        <v>157</v>
      </c>
      <c r="O2450" t="s">
        <v>2088</v>
      </c>
    </row>
    <row r="2451" spans="1:15">
      <c r="A2451" t="s">
        <v>280</v>
      </c>
      <c r="B2451" t="s">
        <v>2097</v>
      </c>
      <c r="C2451" t="s">
        <v>2091</v>
      </c>
      <c r="D2451" s="1">
        <v>44291</v>
      </c>
      <c r="E2451" s="1">
        <v>45224</v>
      </c>
      <c r="F2451">
        <v>68</v>
      </c>
      <c r="G2451">
        <v>6</v>
      </c>
      <c r="H2451">
        <v>624.11</v>
      </c>
      <c r="I2451">
        <v>87.19</v>
      </c>
      <c r="J2451" t="s">
        <v>41</v>
      </c>
      <c r="K2451" t="s">
        <v>20</v>
      </c>
      <c r="L2451" t="s">
        <v>2106</v>
      </c>
      <c r="M2451">
        <v>1</v>
      </c>
      <c r="N2451" t="s">
        <v>157</v>
      </c>
      <c r="O2451" t="s">
        <v>2109</v>
      </c>
    </row>
    <row r="2452" spans="1:15">
      <c r="A2452" t="s">
        <v>4001</v>
      </c>
      <c r="B2452" t="s">
        <v>2090</v>
      </c>
      <c r="C2452" t="s">
        <v>2094</v>
      </c>
      <c r="D2452" s="1">
        <v>43553</v>
      </c>
      <c r="E2452" s="1">
        <v>45283</v>
      </c>
      <c r="F2452">
        <v>9</v>
      </c>
      <c r="G2452">
        <v>5</v>
      </c>
      <c r="H2452">
        <v>176.94</v>
      </c>
      <c r="I2452">
        <v>99.23</v>
      </c>
      <c r="J2452" t="s">
        <v>14</v>
      </c>
      <c r="K2452" t="s">
        <v>16</v>
      </c>
      <c r="L2452" t="s">
        <v>2095</v>
      </c>
      <c r="M2452">
        <v>7</v>
      </c>
      <c r="N2452" t="s">
        <v>157</v>
      </c>
      <c r="O2452" t="s">
        <v>2096</v>
      </c>
    </row>
    <row r="2453" spans="1:15">
      <c r="A2453" t="s">
        <v>4002</v>
      </c>
      <c r="B2453" t="s">
        <v>2113</v>
      </c>
      <c r="C2453" t="s">
        <v>2091</v>
      </c>
      <c r="D2453" s="1">
        <v>44257</v>
      </c>
      <c r="E2453" s="1">
        <v>45038</v>
      </c>
      <c r="F2453">
        <v>254</v>
      </c>
      <c r="G2453">
        <v>7</v>
      </c>
      <c r="H2453">
        <v>275.87</v>
      </c>
      <c r="I2453">
        <v>66.09</v>
      </c>
      <c r="J2453" t="s">
        <v>66</v>
      </c>
      <c r="K2453" t="s">
        <v>16</v>
      </c>
      <c r="L2453" t="s">
        <v>2087</v>
      </c>
      <c r="M2453">
        <v>1</v>
      </c>
      <c r="N2453" t="s">
        <v>174</v>
      </c>
      <c r="O2453" t="s">
        <v>2107</v>
      </c>
    </row>
    <row r="2454" spans="1:15">
      <c r="A2454" t="s">
        <v>4003</v>
      </c>
      <c r="B2454" t="s">
        <v>2099</v>
      </c>
      <c r="C2454" t="s">
        <v>2086</v>
      </c>
      <c r="D2454" s="1">
        <v>44391</v>
      </c>
      <c r="E2454" s="1">
        <v>45250</v>
      </c>
      <c r="F2454">
        <v>42</v>
      </c>
      <c r="G2454">
        <v>2</v>
      </c>
      <c r="H2454">
        <v>87.15</v>
      </c>
      <c r="I2454">
        <v>89.55</v>
      </c>
      <c r="J2454" t="s">
        <v>90</v>
      </c>
      <c r="K2454" t="s">
        <v>16</v>
      </c>
      <c r="L2454" t="s">
        <v>2095</v>
      </c>
      <c r="M2454">
        <v>4</v>
      </c>
      <c r="N2454" t="s">
        <v>204</v>
      </c>
      <c r="O2454" t="s">
        <v>2109</v>
      </c>
    </row>
    <row r="2455" spans="1:15">
      <c r="A2455" t="s">
        <v>4004</v>
      </c>
      <c r="B2455" t="s">
        <v>2113</v>
      </c>
      <c r="C2455" t="s">
        <v>2100</v>
      </c>
      <c r="D2455" s="1">
        <v>45081</v>
      </c>
      <c r="E2455" s="1">
        <v>45128</v>
      </c>
      <c r="F2455">
        <v>164</v>
      </c>
      <c r="G2455">
        <v>18</v>
      </c>
      <c r="H2455">
        <v>233.24</v>
      </c>
      <c r="I2455">
        <v>79.17</v>
      </c>
      <c r="J2455" t="s">
        <v>14</v>
      </c>
      <c r="K2455" t="s">
        <v>16</v>
      </c>
      <c r="L2455" t="s">
        <v>2095</v>
      </c>
      <c r="M2455">
        <v>2</v>
      </c>
      <c r="N2455" t="s">
        <v>204</v>
      </c>
      <c r="O2455" t="s">
        <v>2107</v>
      </c>
    </row>
    <row r="2456" spans="1:15">
      <c r="A2456" t="s">
        <v>4005</v>
      </c>
      <c r="B2456" t="s">
        <v>2090</v>
      </c>
      <c r="C2456" t="s">
        <v>2111</v>
      </c>
      <c r="D2456" s="1">
        <v>44683</v>
      </c>
      <c r="E2456" s="1">
        <v>45002</v>
      </c>
      <c r="F2456">
        <v>290</v>
      </c>
      <c r="G2456">
        <v>6</v>
      </c>
      <c r="H2456">
        <v>231.85</v>
      </c>
      <c r="I2456">
        <v>48.92</v>
      </c>
      <c r="J2456" t="s">
        <v>115</v>
      </c>
      <c r="K2456" t="s">
        <v>16</v>
      </c>
      <c r="L2456" t="s">
        <v>2095</v>
      </c>
      <c r="M2456">
        <v>0</v>
      </c>
      <c r="N2456" t="s">
        <v>174</v>
      </c>
      <c r="O2456" t="s">
        <v>2096</v>
      </c>
    </row>
    <row r="2457" spans="1:15">
      <c r="A2457" t="s">
        <v>4006</v>
      </c>
      <c r="B2457" t="s">
        <v>2097</v>
      </c>
      <c r="C2457" t="s">
        <v>2108</v>
      </c>
      <c r="D2457" s="1">
        <v>44558</v>
      </c>
      <c r="E2457" s="1">
        <v>44983</v>
      </c>
      <c r="F2457">
        <v>309</v>
      </c>
      <c r="G2457">
        <v>10</v>
      </c>
      <c r="H2457">
        <v>433.54</v>
      </c>
      <c r="I2457">
        <v>98.29</v>
      </c>
      <c r="J2457" t="s">
        <v>115</v>
      </c>
      <c r="K2457" t="s">
        <v>16</v>
      </c>
      <c r="L2457" t="s">
        <v>2095</v>
      </c>
      <c r="M2457">
        <v>6</v>
      </c>
      <c r="N2457" t="s">
        <v>194</v>
      </c>
      <c r="O2457" t="s">
        <v>2088</v>
      </c>
    </row>
    <row r="2458" spans="1:15">
      <c r="A2458" t="s">
        <v>1244</v>
      </c>
      <c r="B2458" t="s">
        <v>2113</v>
      </c>
      <c r="C2458" t="s">
        <v>2091</v>
      </c>
      <c r="D2458" s="1">
        <v>43880</v>
      </c>
      <c r="E2458" s="1">
        <v>45192</v>
      </c>
      <c r="F2458">
        <v>100</v>
      </c>
      <c r="G2458">
        <v>19</v>
      </c>
      <c r="H2458">
        <v>337.89</v>
      </c>
      <c r="I2458">
        <v>61.69</v>
      </c>
      <c r="J2458" t="s">
        <v>41</v>
      </c>
      <c r="K2458" t="s">
        <v>16</v>
      </c>
      <c r="L2458" t="s">
        <v>2087</v>
      </c>
      <c r="M2458">
        <v>1</v>
      </c>
      <c r="N2458" t="s">
        <v>194</v>
      </c>
      <c r="O2458" t="s">
        <v>2121</v>
      </c>
    </row>
    <row r="2459" spans="1:15">
      <c r="A2459" t="s">
        <v>4007</v>
      </c>
      <c r="B2459" t="s">
        <v>2097</v>
      </c>
      <c r="C2459" t="s">
        <v>2100</v>
      </c>
      <c r="D2459" s="1">
        <v>44018</v>
      </c>
      <c r="E2459" s="1">
        <v>45288</v>
      </c>
      <c r="F2459">
        <v>4</v>
      </c>
      <c r="G2459">
        <v>8</v>
      </c>
      <c r="H2459">
        <v>440.67</v>
      </c>
      <c r="I2459">
        <v>115.53</v>
      </c>
      <c r="J2459" t="s">
        <v>115</v>
      </c>
      <c r="K2459" t="s">
        <v>20</v>
      </c>
      <c r="L2459" t="s">
        <v>2095</v>
      </c>
      <c r="M2459">
        <v>5</v>
      </c>
      <c r="N2459" t="s">
        <v>174</v>
      </c>
      <c r="O2459" t="s">
        <v>2121</v>
      </c>
    </row>
    <row r="2460" spans="1:15">
      <c r="A2460" t="s">
        <v>1511</v>
      </c>
      <c r="B2460" t="s">
        <v>2093</v>
      </c>
      <c r="C2460" t="s">
        <v>2108</v>
      </c>
      <c r="D2460" s="1">
        <v>44423</v>
      </c>
      <c r="E2460" s="1">
        <v>44941</v>
      </c>
      <c r="F2460">
        <v>351</v>
      </c>
      <c r="G2460">
        <v>2</v>
      </c>
      <c r="H2460">
        <v>99.68</v>
      </c>
      <c r="I2460">
        <v>31.14</v>
      </c>
      <c r="J2460" t="s">
        <v>90</v>
      </c>
      <c r="K2460" t="s">
        <v>20</v>
      </c>
      <c r="L2460" t="s">
        <v>2087</v>
      </c>
      <c r="M2460">
        <v>5</v>
      </c>
      <c r="N2460" t="s">
        <v>204</v>
      </c>
      <c r="O2460" t="s">
        <v>2109</v>
      </c>
    </row>
    <row r="2461" spans="1:15">
      <c r="A2461" t="s">
        <v>1835</v>
      </c>
      <c r="B2461" t="s">
        <v>2085</v>
      </c>
      <c r="C2461" t="s">
        <v>2108</v>
      </c>
      <c r="D2461" s="1">
        <v>44898</v>
      </c>
      <c r="E2461" s="1">
        <v>45204</v>
      </c>
      <c r="F2461">
        <v>88</v>
      </c>
      <c r="G2461">
        <v>27</v>
      </c>
      <c r="H2461">
        <v>987.43</v>
      </c>
      <c r="I2461">
        <v>269.23</v>
      </c>
      <c r="J2461" t="s">
        <v>14</v>
      </c>
      <c r="K2461" t="s">
        <v>16</v>
      </c>
      <c r="L2461" t="s">
        <v>2106</v>
      </c>
      <c r="M2461">
        <v>2</v>
      </c>
      <c r="N2461" t="s">
        <v>157</v>
      </c>
      <c r="O2461" t="s">
        <v>2109</v>
      </c>
    </row>
    <row r="2462" spans="1:15">
      <c r="A2462" t="s">
        <v>4008</v>
      </c>
      <c r="B2462" t="s">
        <v>2085</v>
      </c>
      <c r="C2462" t="s">
        <v>2100</v>
      </c>
      <c r="D2462" s="1">
        <v>43850</v>
      </c>
      <c r="E2462" s="1">
        <v>45178</v>
      </c>
      <c r="F2462">
        <v>114</v>
      </c>
      <c r="G2462">
        <v>39</v>
      </c>
      <c r="H2462">
        <v>1280.53</v>
      </c>
      <c r="I2462">
        <v>121.96</v>
      </c>
      <c r="J2462" t="s">
        <v>66</v>
      </c>
      <c r="K2462" t="s">
        <v>16</v>
      </c>
      <c r="L2462" t="s">
        <v>2106</v>
      </c>
      <c r="M2462">
        <v>10</v>
      </c>
      <c r="N2462" t="s">
        <v>232</v>
      </c>
      <c r="O2462" t="s">
        <v>2088</v>
      </c>
    </row>
    <row r="2463" spans="1:15">
      <c r="A2463" t="s">
        <v>4009</v>
      </c>
      <c r="B2463" t="s">
        <v>2113</v>
      </c>
      <c r="C2463" t="s">
        <v>2100</v>
      </c>
      <c r="D2463" s="1">
        <v>43974</v>
      </c>
      <c r="E2463" s="1">
        <v>45182</v>
      </c>
      <c r="F2463">
        <v>110</v>
      </c>
      <c r="G2463">
        <v>8</v>
      </c>
      <c r="H2463">
        <v>449.94</v>
      </c>
      <c r="I2463">
        <v>78.3</v>
      </c>
      <c r="J2463" t="s">
        <v>115</v>
      </c>
      <c r="K2463" t="s">
        <v>16</v>
      </c>
      <c r="L2463" t="s">
        <v>2095</v>
      </c>
      <c r="M2463">
        <v>5</v>
      </c>
      <c r="N2463" t="s">
        <v>165</v>
      </c>
      <c r="O2463" t="s">
        <v>2088</v>
      </c>
    </row>
    <row r="2464" spans="1:15">
      <c r="A2464" t="s">
        <v>4010</v>
      </c>
      <c r="B2464" t="s">
        <v>2085</v>
      </c>
      <c r="C2464" t="s">
        <v>2108</v>
      </c>
      <c r="D2464" s="1">
        <v>44752</v>
      </c>
      <c r="E2464" s="1">
        <v>45134</v>
      </c>
      <c r="F2464">
        <v>158</v>
      </c>
      <c r="G2464">
        <v>27</v>
      </c>
      <c r="H2464">
        <v>2073.3200000000002</v>
      </c>
      <c r="I2464">
        <v>251.7</v>
      </c>
      <c r="J2464" t="s">
        <v>66</v>
      </c>
      <c r="K2464" t="s">
        <v>16</v>
      </c>
      <c r="L2464" t="s">
        <v>2095</v>
      </c>
      <c r="M2464">
        <v>6</v>
      </c>
      <c r="N2464" t="s">
        <v>194</v>
      </c>
      <c r="O2464" t="s">
        <v>2096</v>
      </c>
    </row>
    <row r="2465" spans="1:15">
      <c r="A2465" t="s">
        <v>4011</v>
      </c>
      <c r="B2465" t="s">
        <v>2099</v>
      </c>
      <c r="C2465" t="s">
        <v>2108</v>
      </c>
      <c r="D2465" s="1">
        <v>45025</v>
      </c>
      <c r="E2465" s="1">
        <v>45202</v>
      </c>
      <c r="F2465">
        <v>90</v>
      </c>
      <c r="G2465">
        <v>1</v>
      </c>
      <c r="H2465">
        <v>145.53</v>
      </c>
      <c r="I2465">
        <v>62.22</v>
      </c>
      <c r="J2465" t="s">
        <v>66</v>
      </c>
      <c r="K2465" t="s">
        <v>16</v>
      </c>
      <c r="L2465" t="s">
        <v>2106</v>
      </c>
      <c r="M2465">
        <v>4</v>
      </c>
      <c r="N2465" t="s">
        <v>232</v>
      </c>
      <c r="O2465" t="s">
        <v>2107</v>
      </c>
    </row>
    <row r="2466" spans="1:15">
      <c r="A2466" t="s">
        <v>4012</v>
      </c>
      <c r="B2466" t="s">
        <v>2085</v>
      </c>
      <c r="C2466" t="s">
        <v>2091</v>
      </c>
      <c r="D2466" s="1">
        <v>44185</v>
      </c>
      <c r="E2466" s="1">
        <v>45163</v>
      </c>
      <c r="F2466">
        <v>129</v>
      </c>
      <c r="G2466">
        <v>19</v>
      </c>
      <c r="H2466">
        <v>1359.47</v>
      </c>
      <c r="I2466">
        <v>268.29000000000002</v>
      </c>
      <c r="J2466" t="s">
        <v>90</v>
      </c>
      <c r="K2466" t="s">
        <v>16</v>
      </c>
      <c r="L2466" t="s">
        <v>2106</v>
      </c>
      <c r="M2466">
        <v>4</v>
      </c>
      <c r="N2466" t="s">
        <v>165</v>
      </c>
      <c r="O2466" t="s">
        <v>2096</v>
      </c>
    </row>
    <row r="2467" spans="1:15">
      <c r="A2467" t="s">
        <v>4013</v>
      </c>
      <c r="B2467" t="s">
        <v>2113</v>
      </c>
      <c r="C2467" t="s">
        <v>2086</v>
      </c>
      <c r="D2467" s="1">
        <v>44518</v>
      </c>
      <c r="E2467" s="1">
        <v>44956</v>
      </c>
      <c r="F2467">
        <v>336</v>
      </c>
      <c r="G2467">
        <v>13</v>
      </c>
      <c r="H2467">
        <v>410.1</v>
      </c>
      <c r="I2467">
        <v>53.96</v>
      </c>
      <c r="J2467" t="s">
        <v>14</v>
      </c>
      <c r="K2467" t="s">
        <v>16</v>
      </c>
      <c r="L2467" t="s">
        <v>2095</v>
      </c>
      <c r="M2467">
        <v>7</v>
      </c>
      <c r="N2467" t="s">
        <v>232</v>
      </c>
      <c r="O2467" t="s">
        <v>2088</v>
      </c>
    </row>
    <row r="2468" spans="1:15">
      <c r="A2468" t="s">
        <v>4014</v>
      </c>
      <c r="B2468" t="s">
        <v>2097</v>
      </c>
      <c r="C2468" t="s">
        <v>2100</v>
      </c>
      <c r="D2468" s="1">
        <v>44980</v>
      </c>
      <c r="E2468" s="1">
        <v>44969</v>
      </c>
      <c r="F2468">
        <v>323</v>
      </c>
      <c r="G2468">
        <v>9</v>
      </c>
      <c r="H2468">
        <v>672.33</v>
      </c>
      <c r="I2468">
        <v>75.63</v>
      </c>
      <c r="J2468" t="s">
        <v>90</v>
      </c>
      <c r="K2468" t="s">
        <v>20</v>
      </c>
      <c r="L2468" t="s">
        <v>2106</v>
      </c>
      <c r="M2468">
        <v>5</v>
      </c>
      <c r="N2468" t="s">
        <v>165</v>
      </c>
      <c r="O2468" t="s">
        <v>2088</v>
      </c>
    </row>
    <row r="2469" spans="1:15">
      <c r="A2469" t="s">
        <v>504</v>
      </c>
      <c r="B2469" t="s">
        <v>2090</v>
      </c>
      <c r="C2469" t="s">
        <v>2086</v>
      </c>
      <c r="D2469" s="1">
        <v>44013</v>
      </c>
      <c r="E2469" s="1">
        <v>44948</v>
      </c>
      <c r="F2469">
        <v>344</v>
      </c>
      <c r="G2469">
        <v>8</v>
      </c>
      <c r="H2469">
        <v>165.43</v>
      </c>
      <c r="I2469">
        <v>60.89</v>
      </c>
      <c r="J2469" t="s">
        <v>115</v>
      </c>
      <c r="K2469" t="s">
        <v>20</v>
      </c>
      <c r="L2469" t="s">
        <v>2106</v>
      </c>
      <c r="M2469">
        <v>5</v>
      </c>
      <c r="N2469" t="s">
        <v>165</v>
      </c>
      <c r="O2469" t="s">
        <v>2088</v>
      </c>
    </row>
    <row r="2470" spans="1:15">
      <c r="A2470" t="s">
        <v>4015</v>
      </c>
      <c r="B2470" t="s">
        <v>2097</v>
      </c>
      <c r="C2470" t="s">
        <v>2100</v>
      </c>
      <c r="D2470" s="1">
        <v>44747</v>
      </c>
      <c r="E2470" s="1">
        <v>44944</v>
      </c>
      <c r="F2470">
        <v>348</v>
      </c>
      <c r="G2470">
        <v>3</v>
      </c>
      <c r="H2470">
        <v>279.94</v>
      </c>
      <c r="I2470">
        <v>68.62</v>
      </c>
      <c r="J2470" t="s">
        <v>66</v>
      </c>
      <c r="K2470" t="s">
        <v>16</v>
      </c>
      <c r="L2470" t="s">
        <v>2095</v>
      </c>
      <c r="M2470">
        <v>5</v>
      </c>
      <c r="N2470" t="s">
        <v>157</v>
      </c>
      <c r="O2470" t="s">
        <v>2109</v>
      </c>
    </row>
    <row r="2471" spans="1:15">
      <c r="A2471" t="s">
        <v>4016</v>
      </c>
      <c r="B2471" t="s">
        <v>2090</v>
      </c>
      <c r="C2471" t="s">
        <v>2091</v>
      </c>
      <c r="D2471" s="1">
        <v>44206</v>
      </c>
      <c r="E2471" s="1">
        <v>45008</v>
      </c>
      <c r="F2471">
        <v>284</v>
      </c>
      <c r="G2471">
        <v>6</v>
      </c>
      <c r="H2471">
        <v>330</v>
      </c>
      <c r="I2471">
        <v>49.94</v>
      </c>
      <c r="J2471" t="s">
        <v>14</v>
      </c>
      <c r="K2471" t="s">
        <v>16</v>
      </c>
      <c r="L2471" t="s">
        <v>2106</v>
      </c>
      <c r="M2471">
        <v>9</v>
      </c>
      <c r="N2471" t="s">
        <v>165</v>
      </c>
      <c r="O2471" t="s">
        <v>2088</v>
      </c>
    </row>
    <row r="2472" spans="1:15">
      <c r="A2472" t="s">
        <v>4017</v>
      </c>
      <c r="B2472" t="s">
        <v>2099</v>
      </c>
      <c r="C2472" t="s">
        <v>2091</v>
      </c>
      <c r="D2472" s="1">
        <v>44695</v>
      </c>
      <c r="E2472" s="1">
        <v>45011</v>
      </c>
      <c r="F2472">
        <v>281</v>
      </c>
      <c r="G2472">
        <v>2</v>
      </c>
      <c r="H2472">
        <v>45.46</v>
      </c>
      <c r="I2472">
        <v>21.71</v>
      </c>
      <c r="J2472" t="s">
        <v>66</v>
      </c>
      <c r="K2472" t="s">
        <v>16</v>
      </c>
      <c r="L2472" t="s">
        <v>2087</v>
      </c>
      <c r="M2472">
        <v>4</v>
      </c>
      <c r="N2472" t="s">
        <v>174</v>
      </c>
      <c r="O2472" t="s">
        <v>2107</v>
      </c>
    </row>
    <row r="2473" spans="1:15">
      <c r="A2473" t="s">
        <v>4018</v>
      </c>
      <c r="B2473" t="s">
        <v>2085</v>
      </c>
      <c r="C2473" t="s">
        <v>2094</v>
      </c>
      <c r="D2473" s="1">
        <v>45111</v>
      </c>
      <c r="E2473" s="1">
        <v>45107</v>
      </c>
      <c r="F2473">
        <v>185</v>
      </c>
      <c r="G2473">
        <v>26</v>
      </c>
      <c r="H2473">
        <v>2113.9299999999998</v>
      </c>
      <c r="I2473">
        <v>218.63</v>
      </c>
      <c r="J2473" t="s">
        <v>14</v>
      </c>
      <c r="K2473" t="s">
        <v>16</v>
      </c>
      <c r="L2473" t="s">
        <v>2106</v>
      </c>
      <c r="M2473">
        <v>7</v>
      </c>
      <c r="N2473" t="s">
        <v>157</v>
      </c>
      <c r="O2473" t="s">
        <v>2107</v>
      </c>
    </row>
    <row r="2474" spans="1:15">
      <c r="A2474" t="s">
        <v>4019</v>
      </c>
      <c r="B2474" t="s">
        <v>2085</v>
      </c>
      <c r="C2474" t="s">
        <v>2091</v>
      </c>
      <c r="D2474" s="1">
        <v>44713</v>
      </c>
      <c r="E2474" s="1">
        <v>45109</v>
      </c>
      <c r="F2474">
        <v>183</v>
      </c>
      <c r="G2474">
        <v>15</v>
      </c>
      <c r="H2474">
        <v>1121.1300000000001</v>
      </c>
      <c r="I2474">
        <v>294.94</v>
      </c>
      <c r="J2474" t="s">
        <v>14</v>
      </c>
      <c r="K2474" t="s">
        <v>20</v>
      </c>
      <c r="L2474" t="s">
        <v>2087</v>
      </c>
      <c r="M2474">
        <v>0</v>
      </c>
      <c r="N2474" t="s">
        <v>174</v>
      </c>
      <c r="O2474" t="s">
        <v>2121</v>
      </c>
    </row>
    <row r="2475" spans="1:15">
      <c r="A2475" t="s">
        <v>4020</v>
      </c>
      <c r="B2475" t="s">
        <v>2097</v>
      </c>
      <c r="C2475" t="s">
        <v>2111</v>
      </c>
      <c r="D2475" s="1">
        <v>43752</v>
      </c>
      <c r="E2475" s="1">
        <v>45285</v>
      </c>
      <c r="F2475">
        <v>7</v>
      </c>
      <c r="G2475">
        <v>6</v>
      </c>
      <c r="H2475">
        <v>200.95</v>
      </c>
      <c r="I2475">
        <v>144.74</v>
      </c>
      <c r="J2475" t="s">
        <v>90</v>
      </c>
      <c r="K2475" t="s">
        <v>20</v>
      </c>
      <c r="L2475" t="s">
        <v>2095</v>
      </c>
      <c r="M2475">
        <v>0</v>
      </c>
      <c r="N2475" t="s">
        <v>194</v>
      </c>
      <c r="O2475" t="s">
        <v>2088</v>
      </c>
    </row>
    <row r="2476" spans="1:15">
      <c r="A2476" t="s">
        <v>4021</v>
      </c>
      <c r="B2476" t="s">
        <v>2085</v>
      </c>
      <c r="C2476" t="s">
        <v>2094</v>
      </c>
      <c r="D2476" s="1">
        <v>43580</v>
      </c>
      <c r="E2476" s="1">
        <v>45104</v>
      </c>
      <c r="F2476">
        <v>188</v>
      </c>
      <c r="G2476">
        <v>37</v>
      </c>
      <c r="H2476">
        <v>2324.86</v>
      </c>
      <c r="I2476">
        <v>213.32</v>
      </c>
      <c r="J2476" t="s">
        <v>115</v>
      </c>
      <c r="K2476" t="s">
        <v>16</v>
      </c>
      <c r="L2476" t="s">
        <v>2106</v>
      </c>
      <c r="M2476">
        <v>7</v>
      </c>
      <c r="N2476" t="s">
        <v>157</v>
      </c>
      <c r="O2476" t="s">
        <v>2088</v>
      </c>
    </row>
    <row r="2477" spans="1:15">
      <c r="A2477" t="s">
        <v>4022</v>
      </c>
      <c r="B2477" t="s">
        <v>2113</v>
      </c>
      <c r="C2477" t="s">
        <v>2086</v>
      </c>
      <c r="D2477" s="1">
        <v>44381</v>
      </c>
      <c r="E2477" s="1">
        <v>45031</v>
      </c>
      <c r="F2477">
        <v>261</v>
      </c>
      <c r="G2477">
        <v>19</v>
      </c>
      <c r="H2477">
        <v>478.24</v>
      </c>
      <c r="I2477">
        <v>54.27</v>
      </c>
      <c r="J2477" t="s">
        <v>115</v>
      </c>
      <c r="K2477" t="s">
        <v>20</v>
      </c>
      <c r="L2477" t="s">
        <v>2095</v>
      </c>
      <c r="M2477">
        <v>4</v>
      </c>
      <c r="N2477" t="s">
        <v>179</v>
      </c>
      <c r="O2477" t="s">
        <v>2121</v>
      </c>
    </row>
    <row r="2478" spans="1:15">
      <c r="A2478" t="s">
        <v>1610</v>
      </c>
      <c r="B2478" t="s">
        <v>2093</v>
      </c>
      <c r="C2478" t="s">
        <v>2086</v>
      </c>
      <c r="D2478" s="1">
        <v>44233</v>
      </c>
      <c r="E2478" s="1">
        <v>44970</v>
      </c>
      <c r="F2478">
        <v>322</v>
      </c>
      <c r="G2478">
        <v>3</v>
      </c>
      <c r="H2478">
        <v>70.239999999999995</v>
      </c>
      <c r="I2478">
        <v>69.790000000000006</v>
      </c>
      <c r="J2478" t="s">
        <v>41</v>
      </c>
      <c r="K2478" t="s">
        <v>16</v>
      </c>
      <c r="L2478" t="s">
        <v>2095</v>
      </c>
      <c r="M2478">
        <v>10</v>
      </c>
      <c r="N2478" t="s">
        <v>157</v>
      </c>
      <c r="O2478" t="s">
        <v>2088</v>
      </c>
    </row>
    <row r="2479" spans="1:15">
      <c r="A2479" t="s">
        <v>1527</v>
      </c>
      <c r="B2479" t="s">
        <v>2097</v>
      </c>
      <c r="C2479" t="s">
        <v>2111</v>
      </c>
      <c r="D2479" s="1">
        <v>44667</v>
      </c>
      <c r="E2479" s="1">
        <v>45108</v>
      </c>
      <c r="F2479">
        <v>184</v>
      </c>
      <c r="G2479">
        <v>9</v>
      </c>
      <c r="H2479">
        <v>755.67</v>
      </c>
      <c r="I2479">
        <v>135.19999999999999</v>
      </c>
      <c r="J2479" t="s">
        <v>115</v>
      </c>
      <c r="K2479" t="s">
        <v>16</v>
      </c>
      <c r="L2479" t="s">
        <v>2095</v>
      </c>
      <c r="M2479">
        <v>5</v>
      </c>
      <c r="N2479" t="s">
        <v>194</v>
      </c>
      <c r="O2479" t="s">
        <v>2109</v>
      </c>
    </row>
    <row r="2480" spans="1:15">
      <c r="A2480" t="s">
        <v>4023</v>
      </c>
      <c r="B2480" t="s">
        <v>2093</v>
      </c>
      <c r="C2480" t="s">
        <v>2094</v>
      </c>
      <c r="D2480" s="1">
        <v>44820</v>
      </c>
      <c r="E2480" s="1">
        <v>44967</v>
      </c>
      <c r="F2480">
        <v>325</v>
      </c>
      <c r="G2480">
        <v>4</v>
      </c>
      <c r="H2480">
        <v>161.58000000000001</v>
      </c>
      <c r="I2480">
        <v>67.010000000000005</v>
      </c>
      <c r="J2480" t="s">
        <v>66</v>
      </c>
      <c r="K2480" t="s">
        <v>20</v>
      </c>
      <c r="L2480" t="s">
        <v>2095</v>
      </c>
      <c r="M2480">
        <v>3</v>
      </c>
      <c r="N2480" t="s">
        <v>174</v>
      </c>
      <c r="O2480" t="s">
        <v>2088</v>
      </c>
    </row>
    <row r="2481" spans="1:15">
      <c r="A2481" t="s">
        <v>4024</v>
      </c>
      <c r="B2481" t="s">
        <v>2085</v>
      </c>
      <c r="C2481" t="s">
        <v>2094</v>
      </c>
      <c r="D2481" s="1">
        <v>45167</v>
      </c>
      <c r="E2481" s="1">
        <v>45244</v>
      </c>
      <c r="F2481">
        <v>48</v>
      </c>
      <c r="G2481">
        <v>30</v>
      </c>
      <c r="H2481">
        <v>1731.09</v>
      </c>
      <c r="I2481">
        <v>245.34</v>
      </c>
      <c r="J2481" t="s">
        <v>66</v>
      </c>
      <c r="K2481" t="s">
        <v>16</v>
      </c>
      <c r="L2481" t="s">
        <v>2106</v>
      </c>
      <c r="M2481">
        <v>8</v>
      </c>
      <c r="N2481" t="s">
        <v>204</v>
      </c>
      <c r="O2481" t="s">
        <v>2109</v>
      </c>
    </row>
    <row r="2482" spans="1:15">
      <c r="A2482" t="s">
        <v>4025</v>
      </c>
      <c r="B2482" t="s">
        <v>2085</v>
      </c>
      <c r="C2482" t="s">
        <v>2086</v>
      </c>
      <c r="D2482" s="1">
        <v>44917</v>
      </c>
      <c r="E2482" s="1">
        <v>45077</v>
      </c>
      <c r="F2482">
        <v>215</v>
      </c>
      <c r="G2482">
        <v>33</v>
      </c>
      <c r="H2482">
        <v>2558.2600000000002</v>
      </c>
      <c r="I2482">
        <v>102.98</v>
      </c>
      <c r="J2482" t="s">
        <v>115</v>
      </c>
      <c r="K2482" t="s">
        <v>16</v>
      </c>
      <c r="L2482" t="s">
        <v>2106</v>
      </c>
      <c r="M2482">
        <v>1</v>
      </c>
      <c r="N2482" t="s">
        <v>165</v>
      </c>
      <c r="O2482" t="s">
        <v>2121</v>
      </c>
    </row>
    <row r="2483" spans="1:15">
      <c r="A2483" t="s">
        <v>4026</v>
      </c>
      <c r="B2483" t="s">
        <v>2093</v>
      </c>
      <c r="C2483" t="s">
        <v>2100</v>
      </c>
      <c r="D2483" s="1">
        <v>43988</v>
      </c>
      <c r="E2483" s="1">
        <v>45074</v>
      </c>
      <c r="F2483">
        <v>218</v>
      </c>
      <c r="G2483">
        <v>1</v>
      </c>
      <c r="H2483">
        <v>116.77</v>
      </c>
      <c r="I2483">
        <v>28.17</v>
      </c>
      <c r="J2483" t="s">
        <v>66</v>
      </c>
      <c r="K2483" t="s">
        <v>16</v>
      </c>
      <c r="L2483" t="s">
        <v>2095</v>
      </c>
      <c r="M2483">
        <v>5</v>
      </c>
      <c r="N2483" t="s">
        <v>174</v>
      </c>
      <c r="O2483" t="s">
        <v>2109</v>
      </c>
    </row>
    <row r="2484" spans="1:15">
      <c r="A2484" t="s">
        <v>4027</v>
      </c>
      <c r="B2484" t="s">
        <v>2099</v>
      </c>
      <c r="C2484" t="s">
        <v>2094</v>
      </c>
      <c r="D2484" s="1">
        <v>44895</v>
      </c>
      <c r="E2484" s="1">
        <v>45034</v>
      </c>
      <c r="F2484">
        <v>258</v>
      </c>
      <c r="G2484">
        <v>2</v>
      </c>
      <c r="H2484">
        <v>65.069999999999993</v>
      </c>
      <c r="I2484">
        <v>48.18</v>
      </c>
      <c r="J2484" t="s">
        <v>66</v>
      </c>
      <c r="K2484" t="s">
        <v>20</v>
      </c>
      <c r="L2484" t="s">
        <v>2106</v>
      </c>
      <c r="M2484">
        <v>1</v>
      </c>
      <c r="N2484" t="s">
        <v>179</v>
      </c>
      <c r="O2484" t="s">
        <v>2096</v>
      </c>
    </row>
    <row r="2485" spans="1:15">
      <c r="A2485" t="s">
        <v>4028</v>
      </c>
      <c r="B2485" t="s">
        <v>2090</v>
      </c>
      <c r="C2485" t="s">
        <v>2094</v>
      </c>
      <c r="D2485" s="1">
        <v>44380</v>
      </c>
      <c r="E2485" s="1">
        <v>45151</v>
      </c>
      <c r="F2485">
        <v>141</v>
      </c>
      <c r="G2485">
        <v>8</v>
      </c>
      <c r="H2485">
        <v>307.77999999999997</v>
      </c>
      <c r="I2485">
        <v>93.12</v>
      </c>
      <c r="J2485" t="s">
        <v>66</v>
      </c>
      <c r="K2485" t="s">
        <v>16</v>
      </c>
      <c r="L2485" t="s">
        <v>2087</v>
      </c>
      <c r="M2485">
        <v>10</v>
      </c>
      <c r="N2485" t="s">
        <v>204</v>
      </c>
      <c r="O2485" t="s">
        <v>2109</v>
      </c>
    </row>
    <row r="2486" spans="1:15">
      <c r="A2486" t="s">
        <v>1201</v>
      </c>
      <c r="B2486" t="s">
        <v>2113</v>
      </c>
      <c r="C2486" t="s">
        <v>2111</v>
      </c>
      <c r="D2486" s="1">
        <v>44047</v>
      </c>
      <c r="E2486" s="1">
        <v>45289</v>
      </c>
      <c r="F2486">
        <v>3</v>
      </c>
      <c r="G2486">
        <v>16</v>
      </c>
      <c r="H2486">
        <v>387.21</v>
      </c>
      <c r="I2486">
        <v>39</v>
      </c>
      <c r="J2486" t="s">
        <v>41</v>
      </c>
      <c r="K2486" t="s">
        <v>16</v>
      </c>
      <c r="L2486" t="s">
        <v>2106</v>
      </c>
      <c r="M2486">
        <v>7</v>
      </c>
      <c r="N2486" t="s">
        <v>157</v>
      </c>
      <c r="O2486" t="s">
        <v>2121</v>
      </c>
    </row>
    <row r="2487" spans="1:15">
      <c r="A2487" t="s">
        <v>4029</v>
      </c>
      <c r="B2487" t="s">
        <v>2093</v>
      </c>
      <c r="C2487" t="s">
        <v>2086</v>
      </c>
      <c r="D2487" s="1">
        <v>44686</v>
      </c>
      <c r="E2487" s="1">
        <v>45167</v>
      </c>
      <c r="F2487">
        <v>125</v>
      </c>
      <c r="G2487">
        <v>5</v>
      </c>
      <c r="H2487">
        <v>168.08</v>
      </c>
      <c r="I2487">
        <v>34.9</v>
      </c>
      <c r="J2487" t="s">
        <v>14</v>
      </c>
      <c r="K2487" t="s">
        <v>16</v>
      </c>
      <c r="L2487" t="s">
        <v>2087</v>
      </c>
      <c r="M2487">
        <v>0</v>
      </c>
      <c r="N2487" t="s">
        <v>165</v>
      </c>
      <c r="O2487" t="s">
        <v>2121</v>
      </c>
    </row>
    <row r="2488" spans="1:15">
      <c r="A2488" t="s">
        <v>4030</v>
      </c>
      <c r="B2488" t="s">
        <v>2113</v>
      </c>
      <c r="C2488" t="s">
        <v>2086</v>
      </c>
      <c r="D2488" s="1">
        <v>45170</v>
      </c>
      <c r="E2488" s="1">
        <v>45085</v>
      </c>
      <c r="F2488">
        <v>207</v>
      </c>
      <c r="G2488">
        <v>16</v>
      </c>
      <c r="H2488">
        <v>399.92</v>
      </c>
      <c r="I2488">
        <v>44.21</v>
      </c>
      <c r="J2488" t="s">
        <v>90</v>
      </c>
      <c r="K2488" t="s">
        <v>16</v>
      </c>
      <c r="L2488" t="s">
        <v>2087</v>
      </c>
      <c r="M2488">
        <v>1</v>
      </c>
      <c r="N2488" t="s">
        <v>204</v>
      </c>
      <c r="O2488" t="s">
        <v>2109</v>
      </c>
    </row>
    <row r="2489" spans="1:15">
      <c r="A2489" t="s">
        <v>4031</v>
      </c>
      <c r="B2489" t="s">
        <v>2097</v>
      </c>
      <c r="C2489" t="s">
        <v>2100</v>
      </c>
      <c r="D2489" s="1">
        <v>44329</v>
      </c>
      <c r="E2489" s="1">
        <v>45264</v>
      </c>
      <c r="F2489">
        <v>28</v>
      </c>
      <c r="G2489">
        <v>6</v>
      </c>
      <c r="H2489">
        <v>590.53</v>
      </c>
      <c r="I2489">
        <v>84.09</v>
      </c>
      <c r="J2489" t="s">
        <v>14</v>
      </c>
      <c r="K2489" t="s">
        <v>16</v>
      </c>
      <c r="L2489" t="s">
        <v>2087</v>
      </c>
      <c r="M2489">
        <v>5</v>
      </c>
      <c r="N2489" t="s">
        <v>232</v>
      </c>
      <c r="O2489" t="s">
        <v>2107</v>
      </c>
    </row>
    <row r="2490" spans="1:15">
      <c r="A2490" t="s">
        <v>4032</v>
      </c>
      <c r="B2490" t="s">
        <v>2113</v>
      </c>
      <c r="C2490" t="s">
        <v>2094</v>
      </c>
      <c r="D2490" s="1">
        <v>44348</v>
      </c>
      <c r="E2490" s="1">
        <v>45155</v>
      </c>
      <c r="F2490">
        <v>137</v>
      </c>
      <c r="G2490">
        <v>5</v>
      </c>
      <c r="H2490">
        <v>565.05999999999995</v>
      </c>
      <c r="I2490">
        <v>68.83</v>
      </c>
      <c r="J2490" t="s">
        <v>115</v>
      </c>
      <c r="K2490" t="s">
        <v>20</v>
      </c>
      <c r="L2490" t="s">
        <v>2095</v>
      </c>
      <c r="M2490">
        <v>6</v>
      </c>
      <c r="N2490" t="s">
        <v>194</v>
      </c>
      <c r="O2490" t="s">
        <v>2096</v>
      </c>
    </row>
    <row r="2491" spans="1:15">
      <c r="A2491" t="s">
        <v>4033</v>
      </c>
      <c r="B2491" t="s">
        <v>2097</v>
      </c>
      <c r="C2491" t="s">
        <v>2091</v>
      </c>
      <c r="D2491" s="1">
        <v>44279</v>
      </c>
      <c r="E2491" s="1">
        <v>45111</v>
      </c>
      <c r="F2491">
        <v>181</v>
      </c>
      <c r="G2491">
        <v>5</v>
      </c>
      <c r="H2491">
        <v>469.03</v>
      </c>
      <c r="I2491">
        <v>117.95</v>
      </c>
      <c r="J2491" t="s">
        <v>14</v>
      </c>
      <c r="K2491" t="s">
        <v>16</v>
      </c>
      <c r="L2491" t="s">
        <v>2087</v>
      </c>
      <c r="M2491">
        <v>1</v>
      </c>
      <c r="N2491" t="s">
        <v>165</v>
      </c>
      <c r="O2491" t="s">
        <v>2107</v>
      </c>
    </row>
    <row r="2492" spans="1:15">
      <c r="A2492" t="s">
        <v>4034</v>
      </c>
      <c r="B2492" t="s">
        <v>2113</v>
      </c>
      <c r="C2492" t="s">
        <v>2111</v>
      </c>
      <c r="D2492" s="1">
        <v>45143</v>
      </c>
      <c r="E2492" s="1">
        <v>44952</v>
      </c>
      <c r="F2492">
        <v>340</v>
      </c>
      <c r="G2492">
        <v>8</v>
      </c>
      <c r="H2492">
        <v>348.22</v>
      </c>
      <c r="I2492">
        <v>76.44</v>
      </c>
      <c r="J2492" t="s">
        <v>66</v>
      </c>
      <c r="K2492" t="s">
        <v>16</v>
      </c>
      <c r="L2492" t="s">
        <v>2087</v>
      </c>
      <c r="M2492">
        <v>5</v>
      </c>
      <c r="N2492" t="s">
        <v>232</v>
      </c>
      <c r="O2492" t="s">
        <v>2107</v>
      </c>
    </row>
    <row r="2493" spans="1:15">
      <c r="A2493" t="s">
        <v>4035</v>
      </c>
      <c r="B2493" t="s">
        <v>2113</v>
      </c>
      <c r="C2493" t="s">
        <v>2100</v>
      </c>
      <c r="D2493" s="1">
        <v>45167</v>
      </c>
      <c r="E2493" s="1">
        <v>45113</v>
      </c>
      <c r="F2493">
        <v>179</v>
      </c>
      <c r="G2493">
        <v>16</v>
      </c>
      <c r="H2493">
        <v>277.82</v>
      </c>
      <c r="I2493">
        <v>78.17</v>
      </c>
      <c r="J2493" t="s">
        <v>41</v>
      </c>
      <c r="K2493" t="s">
        <v>16</v>
      </c>
      <c r="L2493" t="s">
        <v>2087</v>
      </c>
      <c r="M2493">
        <v>8</v>
      </c>
      <c r="N2493" t="s">
        <v>165</v>
      </c>
      <c r="O2493" t="s">
        <v>2107</v>
      </c>
    </row>
    <row r="2494" spans="1:15">
      <c r="A2494" t="s">
        <v>1412</v>
      </c>
      <c r="B2494" t="s">
        <v>2097</v>
      </c>
      <c r="C2494" t="s">
        <v>2100</v>
      </c>
      <c r="D2494" s="1">
        <v>44456</v>
      </c>
      <c r="E2494" s="1">
        <v>45285</v>
      </c>
      <c r="F2494">
        <v>7</v>
      </c>
      <c r="G2494">
        <v>8</v>
      </c>
      <c r="H2494">
        <v>666.32</v>
      </c>
      <c r="I2494">
        <v>142.78</v>
      </c>
      <c r="J2494" t="s">
        <v>90</v>
      </c>
      <c r="K2494" t="s">
        <v>20</v>
      </c>
      <c r="L2494" t="s">
        <v>2095</v>
      </c>
      <c r="M2494">
        <v>8</v>
      </c>
      <c r="N2494" t="s">
        <v>179</v>
      </c>
      <c r="O2494" t="s">
        <v>2088</v>
      </c>
    </row>
    <row r="2495" spans="1:15">
      <c r="A2495" t="s">
        <v>4036</v>
      </c>
      <c r="B2495" t="s">
        <v>2113</v>
      </c>
      <c r="C2495" t="s">
        <v>2111</v>
      </c>
      <c r="D2495" s="1">
        <v>44654</v>
      </c>
      <c r="E2495" s="1">
        <v>44973</v>
      </c>
      <c r="F2495">
        <v>319</v>
      </c>
      <c r="G2495">
        <v>5</v>
      </c>
      <c r="H2495">
        <v>250.76</v>
      </c>
      <c r="I2495">
        <v>70.180000000000007</v>
      </c>
      <c r="J2495" t="s">
        <v>115</v>
      </c>
      <c r="K2495" t="s">
        <v>16</v>
      </c>
      <c r="L2495" t="s">
        <v>2106</v>
      </c>
      <c r="M2495">
        <v>0</v>
      </c>
      <c r="N2495" t="s">
        <v>194</v>
      </c>
      <c r="O2495" t="s">
        <v>2107</v>
      </c>
    </row>
    <row r="2496" spans="1:15">
      <c r="A2496" t="s">
        <v>4037</v>
      </c>
      <c r="B2496" t="s">
        <v>2085</v>
      </c>
      <c r="C2496" t="s">
        <v>2086</v>
      </c>
      <c r="D2496" s="1">
        <v>44859</v>
      </c>
      <c r="E2496" s="1">
        <v>45168</v>
      </c>
      <c r="F2496">
        <v>124</v>
      </c>
      <c r="G2496">
        <v>27</v>
      </c>
      <c r="H2496">
        <v>995.35</v>
      </c>
      <c r="I2496">
        <v>282.14</v>
      </c>
      <c r="J2496" t="s">
        <v>66</v>
      </c>
      <c r="K2496" t="s">
        <v>16</v>
      </c>
      <c r="L2496" t="s">
        <v>2095</v>
      </c>
      <c r="M2496">
        <v>10</v>
      </c>
      <c r="N2496" t="s">
        <v>165</v>
      </c>
      <c r="O2496" t="s">
        <v>2088</v>
      </c>
    </row>
    <row r="2497" spans="1:15">
      <c r="A2497" t="s">
        <v>4038</v>
      </c>
      <c r="B2497" t="s">
        <v>2099</v>
      </c>
      <c r="C2497" t="s">
        <v>2108</v>
      </c>
      <c r="D2497" s="1">
        <v>43560</v>
      </c>
      <c r="E2497" s="1">
        <v>45242</v>
      </c>
      <c r="F2497">
        <v>50</v>
      </c>
      <c r="G2497">
        <v>1</v>
      </c>
      <c r="H2497">
        <v>49</v>
      </c>
      <c r="I2497">
        <v>64.48</v>
      </c>
      <c r="J2497" t="s">
        <v>41</v>
      </c>
      <c r="K2497" t="s">
        <v>16</v>
      </c>
      <c r="L2497" t="s">
        <v>2106</v>
      </c>
      <c r="M2497">
        <v>10</v>
      </c>
      <c r="N2497" t="s">
        <v>204</v>
      </c>
      <c r="O2497" t="s">
        <v>2096</v>
      </c>
    </row>
    <row r="2498" spans="1:15">
      <c r="A2498" t="s">
        <v>4039</v>
      </c>
      <c r="B2498" t="s">
        <v>2090</v>
      </c>
      <c r="C2498" t="s">
        <v>2094</v>
      </c>
      <c r="D2498" s="1">
        <v>44502</v>
      </c>
      <c r="E2498" s="1">
        <v>45206</v>
      </c>
      <c r="F2498">
        <v>86</v>
      </c>
      <c r="G2498">
        <v>6</v>
      </c>
      <c r="H2498">
        <v>385.81</v>
      </c>
      <c r="I2498">
        <v>110.67</v>
      </c>
      <c r="J2498" t="s">
        <v>14</v>
      </c>
      <c r="K2498" t="s">
        <v>16</v>
      </c>
      <c r="L2498" t="s">
        <v>2095</v>
      </c>
      <c r="M2498">
        <v>5</v>
      </c>
      <c r="N2498" t="s">
        <v>194</v>
      </c>
      <c r="O2498" t="s">
        <v>2088</v>
      </c>
    </row>
    <row r="2499" spans="1:15">
      <c r="A2499" t="s">
        <v>4040</v>
      </c>
      <c r="B2499" t="s">
        <v>2097</v>
      </c>
      <c r="C2499" t="s">
        <v>2111</v>
      </c>
      <c r="D2499" s="1">
        <v>43885</v>
      </c>
      <c r="E2499" s="1">
        <v>45015</v>
      </c>
      <c r="F2499">
        <v>277</v>
      </c>
      <c r="G2499">
        <v>4</v>
      </c>
      <c r="H2499">
        <v>210.34</v>
      </c>
      <c r="I2499">
        <v>86.94</v>
      </c>
      <c r="J2499" t="s">
        <v>41</v>
      </c>
      <c r="K2499" t="s">
        <v>16</v>
      </c>
      <c r="L2499" t="s">
        <v>2087</v>
      </c>
      <c r="M2499">
        <v>0</v>
      </c>
      <c r="N2499" t="s">
        <v>174</v>
      </c>
      <c r="O2499" t="s">
        <v>2088</v>
      </c>
    </row>
    <row r="2500" spans="1:15">
      <c r="A2500" t="s">
        <v>4041</v>
      </c>
      <c r="B2500" t="s">
        <v>2093</v>
      </c>
      <c r="C2500" t="s">
        <v>2086</v>
      </c>
      <c r="D2500" s="1">
        <v>44915</v>
      </c>
      <c r="E2500" s="1">
        <v>45038</v>
      </c>
      <c r="F2500">
        <v>254</v>
      </c>
      <c r="G2500">
        <v>2</v>
      </c>
      <c r="H2500">
        <v>146.62</v>
      </c>
      <c r="I2500">
        <v>64.010000000000005</v>
      </c>
      <c r="J2500" t="s">
        <v>90</v>
      </c>
      <c r="K2500" t="s">
        <v>16</v>
      </c>
      <c r="L2500" t="s">
        <v>2087</v>
      </c>
      <c r="M2500">
        <v>9</v>
      </c>
      <c r="N2500" t="s">
        <v>174</v>
      </c>
      <c r="O2500" t="s">
        <v>2107</v>
      </c>
    </row>
    <row r="2501" spans="1:15">
      <c r="A2501" t="s">
        <v>802</v>
      </c>
      <c r="B2501" t="s">
        <v>2085</v>
      </c>
      <c r="C2501" t="s">
        <v>2100</v>
      </c>
      <c r="D2501" s="1">
        <v>44613</v>
      </c>
      <c r="E2501" s="1">
        <v>45252</v>
      </c>
      <c r="F2501">
        <v>40</v>
      </c>
      <c r="G2501">
        <v>33</v>
      </c>
      <c r="H2501">
        <v>2272.04</v>
      </c>
      <c r="I2501">
        <v>147.24</v>
      </c>
      <c r="J2501" t="s">
        <v>115</v>
      </c>
      <c r="K2501" t="s">
        <v>16</v>
      </c>
      <c r="L2501" t="s">
        <v>2106</v>
      </c>
      <c r="M2501">
        <v>1</v>
      </c>
      <c r="N2501" t="s">
        <v>232</v>
      </c>
      <c r="O2501" t="s">
        <v>2088</v>
      </c>
    </row>
    <row r="2502" spans="1:15">
      <c r="A2502" t="s">
        <v>4042</v>
      </c>
      <c r="B2502" t="s">
        <v>2090</v>
      </c>
      <c r="C2502" t="s">
        <v>2111</v>
      </c>
      <c r="D2502" s="1">
        <v>44387</v>
      </c>
      <c r="E2502" s="1">
        <v>45193</v>
      </c>
      <c r="F2502">
        <v>99</v>
      </c>
      <c r="G2502">
        <v>3</v>
      </c>
      <c r="H2502">
        <v>249.03</v>
      </c>
      <c r="I2502">
        <v>62.67</v>
      </c>
      <c r="J2502" t="s">
        <v>90</v>
      </c>
      <c r="K2502" t="s">
        <v>16</v>
      </c>
      <c r="L2502" t="s">
        <v>2087</v>
      </c>
      <c r="M2502">
        <v>6</v>
      </c>
      <c r="N2502" t="s">
        <v>157</v>
      </c>
      <c r="O2502" t="s">
        <v>2121</v>
      </c>
    </row>
    <row r="2503" spans="1:15">
      <c r="A2503" t="s">
        <v>4043</v>
      </c>
      <c r="B2503" t="s">
        <v>2097</v>
      </c>
      <c r="C2503" t="s">
        <v>2091</v>
      </c>
      <c r="D2503" s="1">
        <v>44898</v>
      </c>
      <c r="E2503" s="1">
        <v>44974</v>
      </c>
      <c r="F2503">
        <v>318</v>
      </c>
      <c r="G2503">
        <v>3</v>
      </c>
      <c r="H2503">
        <v>503.39</v>
      </c>
      <c r="I2503">
        <v>79.900000000000006</v>
      </c>
      <c r="J2503" t="s">
        <v>66</v>
      </c>
      <c r="K2503" t="s">
        <v>16</v>
      </c>
      <c r="L2503" t="s">
        <v>2106</v>
      </c>
      <c r="M2503">
        <v>6</v>
      </c>
      <c r="N2503" t="s">
        <v>204</v>
      </c>
      <c r="O2503" t="s">
        <v>2121</v>
      </c>
    </row>
    <row r="2504" spans="1:15">
      <c r="A2504" t="s">
        <v>4044</v>
      </c>
      <c r="B2504" t="s">
        <v>2099</v>
      </c>
      <c r="C2504" t="s">
        <v>2111</v>
      </c>
      <c r="D2504" s="1">
        <v>44094</v>
      </c>
      <c r="E2504" s="1">
        <v>45067</v>
      </c>
      <c r="F2504">
        <v>225</v>
      </c>
      <c r="G2504">
        <v>2</v>
      </c>
      <c r="H2504">
        <v>39.36</v>
      </c>
      <c r="I2504">
        <v>85.29</v>
      </c>
      <c r="J2504" t="s">
        <v>66</v>
      </c>
      <c r="K2504" t="s">
        <v>16</v>
      </c>
      <c r="L2504" t="s">
        <v>2106</v>
      </c>
      <c r="M2504">
        <v>8</v>
      </c>
      <c r="N2504" t="s">
        <v>157</v>
      </c>
      <c r="O2504" t="s">
        <v>2107</v>
      </c>
    </row>
    <row r="2505" spans="1:15">
      <c r="A2505" t="s">
        <v>4045</v>
      </c>
      <c r="B2505" t="s">
        <v>2099</v>
      </c>
      <c r="C2505" t="s">
        <v>2094</v>
      </c>
      <c r="D2505" s="1">
        <v>45073</v>
      </c>
      <c r="E2505" s="1">
        <v>45260</v>
      </c>
      <c r="F2505">
        <v>32</v>
      </c>
      <c r="G2505">
        <v>2</v>
      </c>
      <c r="H2505">
        <v>72.84</v>
      </c>
      <c r="I2505">
        <v>55.39</v>
      </c>
      <c r="J2505" t="s">
        <v>115</v>
      </c>
      <c r="K2505" t="s">
        <v>16</v>
      </c>
      <c r="L2505" t="s">
        <v>2106</v>
      </c>
      <c r="M2505">
        <v>8</v>
      </c>
      <c r="N2505" t="s">
        <v>204</v>
      </c>
      <c r="O2505" t="s">
        <v>2109</v>
      </c>
    </row>
    <row r="2506" spans="1:15">
      <c r="A2506" t="s">
        <v>4046</v>
      </c>
      <c r="B2506" t="s">
        <v>2113</v>
      </c>
      <c r="C2506" t="s">
        <v>2100</v>
      </c>
      <c r="D2506" s="1">
        <v>44260</v>
      </c>
      <c r="E2506" s="1">
        <v>45196</v>
      </c>
      <c r="F2506">
        <v>96</v>
      </c>
      <c r="G2506">
        <v>13</v>
      </c>
      <c r="H2506">
        <v>404.69</v>
      </c>
      <c r="I2506">
        <v>38.44</v>
      </c>
      <c r="J2506" t="s">
        <v>14</v>
      </c>
      <c r="K2506" t="s">
        <v>16</v>
      </c>
      <c r="L2506" t="s">
        <v>2087</v>
      </c>
      <c r="M2506">
        <v>6</v>
      </c>
      <c r="N2506" t="s">
        <v>179</v>
      </c>
      <c r="O2506" t="s">
        <v>2088</v>
      </c>
    </row>
    <row r="2507" spans="1:15">
      <c r="A2507" t="s">
        <v>4047</v>
      </c>
      <c r="B2507" t="s">
        <v>2097</v>
      </c>
      <c r="C2507" t="s">
        <v>2100</v>
      </c>
      <c r="D2507" s="1">
        <v>44142</v>
      </c>
      <c r="E2507" s="1">
        <v>45150</v>
      </c>
      <c r="F2507">
        <v>142</v>
      </c>
      <c r="G2507">
        <v>8</v>
      </c>
      <c r="H2507">
        <v>312.06</v>
      </c>
      <c r="I2507">
        <v>131.04</v>
      </c>
      <c r="J2507" t="s">
        <v>66</v>
      </c>
      <c r="K2507" t="s">
        <v>20</v>
      </c>
      <c r="L2507" t="s">
        <v>2095</v>
      </c>
      <c r="M2507">
        <v>3</v>
      </c>
      <c r="N2507" t="s">
        <v>232</v>
      </c>
      <c r="O2507" t="s">
        <v>2121</v>
      </c>
    </row>
    <row r="2508" spans="1:15">
      <c r="A2508" t="s">
        <v>1525</v>
      </c>
      <c r="B2508" t="s">
        <v>2085</v>
      </c>
      <c r="C2508" t="s">
        <v>2086</v>
      </c>
      <c r="D2508" s="1">
        <v>44660</v>
      </c>
      <c r="E2508" s="1">
        <v>44932</v>
      </c>
      <c r="F2508">
        <v>360</v>
      </c>
      <c r="G2508">
        <v>16</v>
      </c>
      <c r="H2508">
        <v>2178.5300000000002</v>
      </c>
      <c r="I2508">
        <v>258.45</v>
      </c>
      <c r="J2508" t="s">
        <v>115</v>
      </c>
      <c r="K2508" t="s">
        <v>16</v>
      </c>
      <c r="L2508" t="s">
        <v>2087</v>
      </c>
      <c r="M2508">
        <v>9</v>
      </c>
      <c r="N2508" t="s">
        <v>204</v>
      </c>
      <c r="O2508" t="s">
        <v>2109</v>
      </c>
    </row>
    <row r="2509" spans="1:15">
      <c r="A2509" t="s">
        <v>1502</v>
      </c>
      <c r="B2509" t="s">
        <v>2099</v>
      </c>
      <c r="C2509" t="s">
        <v>2091</v>
      </c>
      <c r="D2509" s="1">
        <v>44567</v>
      </c>
      <c r="E2509" s="1">
        <v>45020</v>
      </c>
      <c r="F2509">
        <v>272</v>
      </c>
      <c r="G2509">
        <v>1</v>
      </c>
      <c r="H2509">
        <v>144.63999999999999</v>
      </c>
      <c r="I2509">
        <v>29.74</v>
      </c>
      <c r="J2509" t="s">
        <v>115</v>
      </c>
      <c r="K2509" t="s">
        <v>16</v>
      </c>
      <c r="L2509" t="s">
        <v>2095</v>
      </c>
      <c r="M2509">
        <v>10</v>
      </c>
      <c r="N2509" t="s">
        <v>179</v>
      </c>
      <c r="O2509" t="s">
        <v>2107</v>
      </c>
    </row>
    <row r="2510" spans="1:15">
      <c r="A2510" t="s">
        <v>1323</v>
      </c>
      <c r="B2510" t="s">
        <v>2113</v>
      </c>
      <c r="C2510" t="s">
        <v>2100</v>
      </c>
      <c r="D2510" s="1">
        <v>43573</v>
      </c>
      <c r="E2510" s="1">
        <v>45042</v>
      </c>
      <c r="F2510">
        <v>250</v>
      </c>
      <c r="G2510">
        <v>17</v>
      </c>
      <c r="H2510">
        <v>380.09</v>
      </c>
      <c r="I2510">
        <v>36.869999999999997</v>
      </c>
      <c r="J2510" t="s">
        <v>41</v>
      </c>
      <c r="K2510" t="s">
        <v>16</v>
      </c>
      <c r="L2510" t="s">
        <v>2087</v>
      </c>
      <c r="M2510">
        <v>8</v>
      </c>
      <c r="N2510" t="s">
        <v>179</v>
      </c>
      <c r="O2510" t="s">
        <v>2121</v>
      </c>
    </row>
    <row r="2511" spans="1:15">
      <c r="A2511" t="s">
        <v>1304</v>
      </c>
      <c r="B2511" t="s">
        <v>2085</v>
      </c>
      <c r="C2511" t="s">
        <v>2100</v>
      </c>
      <c r="D2511" s="1">
        <v>44520</v>
      </c>
      <c r="E2511" s="1">
        <v>45138</v>
      </c>
      <c r="F2511">
        <v>154</v>
      </c>
      <c r="G2511">
        <v>24</v>
      </c>
      <c r="H2511">
        <v>2286.08</v>
      </c>
      <c r="I2511">
        <v>112.86</v>
      </c>
      <c r="J2511" t="s">
        <v>66</v>
      </c>
      <c r="K2511" t="s">
        <v>20</v>
      </c>
      <c r="L2511" t="s">
        <v>2106</v>
      </c>
      <c r="M2511">
        <v>5</v>
      </c>
      <c r="N2511" t="s">
        <v>204</v>
      </c>
      <c r="O2511" t="s">
        <v>2088</v>
      </c>
    </row>
    <row r="2512" spans="1:15">
      <c r="A2512" t="s">
        <v>4048</v>
      </c>
      <c r="B2512" t="s">
        <v>2097</v>
      </c>
      <c r="C2512" t="s">
        <v>2100</v>
      </c>
      <c r="D2512" s="1">
        <v>44137</v>
      </c>
      <c r="E2512" s="1">
        <v>45226</v>
      </c>
      <c r="F2512">
        <v>66</v>
      </c>
      <c r="G2512">
        <v>3</v>
      </c>
      <c r="H2512">
        <v>753.36</v>
      </c>
      <c r="I2512">
        <v>128.72</v>
      </c>
      <c r="J2512" t="s">
        <v>66</v>
      </c>
      <c r="K2512" t="s">
        <v>20</v>
      </c>
      <c r="L2512" t="s">
        <v>2087</v>
      </c>
      <c r="M2512">
        <v>10</v>
      </c>
      <c r="N2512" t="s">
        <v>204</v>
      </c>
      <c r="O2512" t="s">
        <v>2121</v>
      </c>
    </row>
    <row r="2513" spans="1:15">
      <c r="A2513" t="s">
        <v>4049</v>
      </c>
      <c r="B2513" t="s">
        <v>2099</v>
      </c>
      <c r="C2513" t="s">
        <v>2111</v>
      </c>
      <c r="D2513" s="1">
        <v>44188</v>
      </c>
      <c r="E2513" s="1">
        <v>45099</v>
      </c>
      <c r="F2513">
        <v>193</v>
      </c>
      <c r="G2513">
        <v>2</v>
      </c>
      <c r="H2513">
        <v>93.01</v>
      </c>
      <c r="I2513">
        <v>20.170000000000002</v>
      </c>
      <c r="J2513" t="s">
        <v>41</v>
      </c>
      <c r="K2513" t="s">
        <v>16</v>
      </c>
      <c r="L2513" t="s">
        <v>2106</v>
      </c>
      <c r="M2513">
        <v>7</v>
      </c>
      <c r="N2513" t="s">
        <v>165</v>
      </c>
      <c r="O2513" t="s">
        <v>2109</v>
      </c>
    </row>
    <row r="2514" spans="1:15">
      <c r="A2514" t="s">
        <v>4050</v>
      </c>
      <c r="B2514" t="s">
        <v>2113</v>
      </c>
      <c r="C2514" t="s">
        <v>2091</v>
      </c>
      <c r="D2514" s="1">
        <v>44314</v>
      </c>
      <c r="E2514" s="1">
        <v>45041</v>
      </c>
      <c r="F2514">
        <v>251</v>
      </c>
      <c r="G2514">
        <v>13</v>
      </c>
      <c r="H2514">
        <v>570.32000000000005</v>
      </c>
      <c r="I2514">
        <v>43.2</v>
      </c>
      <c r="J2514" t="s">
        <v>90</v>
      </c>
      <c r="K2514" t="s">
        <v>16</v>
      </c>
      <c r="L2514" t="s">
        <v>2087</v>
      </c>
      <c r="M2514">
        <v>6</v>
      </c>
      <c r="N2514" t="s">
        <v>174</v>
      </c>
      <c r="O2514" t="s">
        <v>2121</v>
      </c>
    </row>
    <row r="2515" spans="1:15">
      <c r="A2515" t="s">
        <v>1321</v>
      </c>
      <c r="B2515" t="s">
        <v>2099</v>
      </c>
      <c r="C2515" t="s">
        <v>2111</v>
      </c>
      <c r="D2515" s="1">
        <v>43984</v>
      </c>
      <c r="E2515" s="1">
        <v>45017</v>
      </c>
      <c r="F2515">
        <v>275</v>
      </c>
      <c r="G2515">
        <v>2</v>
      </c>
      <c r="H2515">
        <v>45.07</v>
      </c>
      <c r="I2515">
        <v>40.1</v>
      </c>
      <c r="J2515" t="s">
        <v>14</v>
      </c>
      <c r="K2515" t="s">
        <v>16</v>
      </c>
      <c r="L2515" t="s">
        <v>2095</v>
      </c>
      <c r="M2515">
        <v>1</v>
      </c>
      <c r="N2515" t="s">
        <v>165</v>
      </c>
      <c r="O2515" t="s">
        <v>2088</v>
      </c>
    </row>
    <row r="2516" spans="1:15">
      <c r="A2516" t="s">
        <v>4051</v>
      </c>
      <c r="B2516" t="s">
        <v>2099</v>
      </c>
      <c r="C2516" t="s">
        <v>2091</v>
      </c>
      <c r="D2516" s="1">
        <v>45238</v>
      </c>
      <c r="E2516" s="1">
        <v>45115</v>
      </c>
      <c r="F2516">
        <v>177</v>
      </c>
      <c r="G2516">
        <v>2</v>
      </c>
      <c r="H2516">
        <v>52.51</v>
      </c>
      <c r="I2516">
        <v>77.23</v>
      </c>
      <c r="J2516" t="s">
        <v>14</v>
      </c>
      <c r="K2516" t="s">
        <v>16</v>
      </c>
      <c r="L2516" t="s">
        <v>2087</v>
      </c>
      <c r="M2516">
        <v>1</v>
      </c>
      <c r="N2516" t="s">
        <v>165</v>
      </c>
      <c r="O2516" t="s">
        <v>2088</v>
      </c>
    </row>
    <row r="2517" spans="1:15">
      <c r="A2517" t="s">
        <v>4052</v>
      </c>
      <c r="B2517" t="s">
        <v>2085</v>
      </c>
      <c r="C2517" t="s">
        <v>2094</v>
      </c>
      <c r="D2517" s="1">
        <v>44812</v>
      </c>
      <c r="E2517" s="1">
        <v>44938</v>
      </c>
      <c r="F2517">
        <v>354</v>
      </c>
      <c r="G2517">
        <v>30</v>
      </c>
      <c r="H2517">
        <v>2936.22</v>
      </c>
      <c r="I2517">
        <v>169.52</v>
      </c>
      <c r="J2517" t="s">
        <v>90</v>
      </c>
      <c r="K2517" t="s">
        <v>16</v>
      </c>
      <c r="L2517" t="s">
        <v>2106</v>
      </c>
      <c r="M2517">
        <v>1</v>
      </c>
      <c r="N2517" t="s">
        <v>157</v>
      </c>
      <c r="O2517" t="s">
        <v>2107</v>
      </c>
    </row>
    <row r="2518" spans="1:15">
      <c r="A2518" t="s">
        <v>4053</v>
      </c>
      <c r="B2518" t="s">
        <v>2113</v>
      </c>
      <c r="C2518" t="s">
        <v>2091</v>
      </c>
      <c r="D2518" s="1">
        <v>44004</v>
      </c>
      <c r="E2518" s="1">
        <v>45023</v>
      </c>
      <c r="F2518">
        <v>269</v>
      </c>
      <c r="G2518">
        <v>15</v>
      </c>
      <c r="H2518">
        <v>124.83</v>
      </c>
      <c r="I2518">
        <v>34.380000000000003</v>
      </c>
      <c r="J2518" t="s">
        <v>41</v>
      </c>
      <c r="K2518" t="s">
        <v>20</v>
      </c>
      <c r="L2518" t="s">
        <v>2106</v>
      </c>
      <c r="M2518">
        <v>8</v>
      </c>
      <c r="N2518" t="s">
        <v>179</v>
      </c>
      <c r="O2518" t="s">
        <v>2109</v>
      </c>
    </row>
    <row r="2519" spans="1:15">
      <c r="A2519" t="s">
        <v>4054</v>
      </c>
      <c r="B2519" t="s">
        <v>2099</v>
      </c>
      <c r="C2519" t="s">
        <v>2108</v>
      </c>
      <c r="D2519" s="1">
        <v>45215</v>
      </c>
      <c r="E2519" s="1">
        <v>45177</v>
      </c>
      <c r="F2519">
        <v>115</v>
      </c>
      <c r="G2519">
        <v>2</v>
      </c>
      <c r="H2519">
        <v>112.33</v>
      </c>
      <c r="I2519">
        <v>36.380000000000003</v>
      </c>
      <c r="J2519" t="s">
        <v>115</v>
      </c>
      <c r="K2519" t="s">
        <v>20</v>
      </c>
      <c r="L2519" t="s">
        <v>2106</v>
      </c>
      <c r="M2519">
        <v>0</v>
      </c>
      <c r="N2519" t="s">
        <v>179</v>
      </c>
      <c r="O2519" t="s">
        <v>2121</v>
      </c>
    </row>
    <row r="2520" spans="1:15">
      <c r="A2520" t="s">
        <v>4055</v>
      </c>
      <c r="B2520" t="s">
        <v>2097</v>
      </c>
      <c r="C2520" t="s">
        <v>2108</v>
      </c>
      <c r="D2520" s="1">
        <v>44289</v>
      </c>
      <c r="E2520" s="1">
        <v>44947</v>
      </c>
      <c r="F2520">
        <v>345</v>
      </c>
      <c r="G2520">
        <v>6</v>
      </c>
      <c r="H2520">
        <v>282.89999999999998</v>
      </c>
      <c r="I2520">
        <v>59.58</v>
      </c>
      <c r="J2520" t="s">
        <v>115</v>
      </c>
      <c r="K2520" t="s">
        <v>20</v>
      </c>
      <c r="L2520" t="s">
        <v>2095</v>
      </c>
      <c r="M2520">
        <v>7</v>
      </c>
      <c r="N2520" t="s">
        <v>174</v>
      </c>
      <c r="O2520" t="s">
        <v>2096</v>
      </c>
    </row>
    <row r="2521" spans="1:15">
      <c r="A2521" t="s">
        <v>4056</v>
      </c>
      <c r="B2521" t="s">
        <v>2113</v>
      </c>
      <c r="C2521" t="s">
        <v>2100</v>
      </c>
      <c r="D2521" s="1">
        <v>44013</v>
      </c>
      <c r="E2521" s="1">
        <v>45105</v>
      </c>
      <c r="F2521">
        <v>187</v>
      </c>
      <c r="G2521">
        <v>9</v>
      </c>
      <c r="H2521">
        <v>163.44999999999999</v>
      </c>
      <c r="I2521">
        <v>34.08</v>
      </c>
      <c r="J2521" t="s">
        <v>66</v>
      </c>
      <c r="K2521" t="s">
        <v>20</v>
      </c>
      <c r="L2521" t="s">
        <v>2087</v>
      </c>
      <c r="M2521">
        <v>5</v>
      </c>
      <c r="N2521" t="s">
        <v>232</v>
      </c>
      <c r="O2521" t="s">
        <v>2088</v>
      </c>
    </row>
    <row r="2522" spans="1:15">
      <c r="A2522" t="s">
        <v>4057</v>
      </c>
      <c r="B2522" t="s">
        <v>2085</v>
      </c>
      <c r="C2522" t="s">
        <v>2094</v>
      </c>
      <c r="D2522" s="1">
        <v>44906</v>
      </c>
      <c r="E2522" s="1">
        <v>45019</v>
      </c>
      <c r="F2522">
        <v>273</v>
      </c>
      <c r="G2522">
        <v>22</v>
      </c>
      <c r="H2522">
        <v>2663.94</v>
      </c>
      <c r="I2522">
        <v>194.62</v>
      </c>
      <c r="J2522" t="s">
        <v>115</v>
      </c>
      <c r="K2522" t="s">
        <v>20</v>
      </c>
      <c r="L2522" t="s">
        <v>2087</v>
      </c>
      <c r="M2522">
        <v>1</v>
      </c>
      <c r="N2522" t="s">
        <v>174</v>
      </c>
      <c r="O2522" t="s">
        <v>2121</v>
      </c>
    </row>
    <row r="2523" spans="1:15">
      <c r="A2523" t="s">
        <v>1150</v>
      </c>
      <c r="B2523" t="s">
        <v>2097</v>
      </c>
      <c r="C2523" t="s">
        <v>2094</v>
      </c>
      <c r="D2523" s="1">
        <v>43862</v>
      </c>
      <c r="E2523" s="1">
        <v>44949</v>
      </c>
      <c r="F2523">
        <v>343</v>
      </c>
      <c r="G2523">
        <v>8</v>
      </c>
      <c r="H2523">
        <v>737.32</v>
      </c>
      <c r="I2523">
        <v>100.38</v>
      </c>
      <c r="J2523" t="s">
        <v>14</v>
      </c>
      <c r="K2523" t="s">
        <v>20</v>
      </c>
      <c r="L2523" t="s">
        <v>2087</v>
      </c>
      <c r="M2523">
        <v>7</v>
      </c>
      <c r="N2523" t="s">
        <v>165</v>
      </c>
      <c r="O2523" t="s">
        <v>2121</v>
      </c>
    </row>
    <row r="2524" spans="1:15">
      <c r="A2524" t="s">
        <v>4058</v>
      </c>
      <c r="B2524" t="s">
        <v>2085</v>
      </c>
      <c r="C2524" t="s">
        <v>2091</v>
      </c>
      <c r="D2524" s="1">
        <v>44685</v>
      </c>
      <c r="E2524" s="1">
        <v>45005</v>
      </c>
      <c r="F2524">
        <v>287</v>
      </c>
      <c r="G2524">
        <v>19</v>
      </c>
      <c r="H2524">
        <v>888.33</v>
      </c>
      <c r="I2524">
        <v>115.36</v>
      </c>
      <c r="J2524" t="s">
        <v>14</v>
      </c>
      <c r="K2524" t="s">
        <v>16</v>
      </c>
      <c r="L2524" t="s">
        <v>2106</v>
      </c>
      <c r="M2524">
        <v>9</v>
      </c>
      <c r="N2524" t="s">
        <v>204</v>
      </c>
      <c r="O2524" t="s">
        <v>2121</v>
      </c>
    </row>
    <row r="2525" spans="1:15">
      <c r="A2525" t="s">
        <v>4059</v>
      </c>
      <c r="B2525" t="s">
        <v>2113</v>
      </c>
      <c r="C2525" t="s">
        <v>2091</v>
      </c>
      <c r="D2525" s="1">
        <v>44381</v>
      </c>
      <c r="E2525" s="1">
        <v>45049</v>
      </c>
      <c r="F2525">
        <v>243</v>
      </c>
      <c r="G2525">
        <v>11</v>
      </c>
      <c r="H2525">
        <v>511.55</v>
      </c>
      <c r="I2525">
        <v>35.51</v>
      </c>
      <c r="J2525" t="s">
        <v>14</v>
      </c>
      <c r="K2525" t="s">
        <v>16</v>
      </c>
      <c r="L2525" t="s">
        <v>2095</v>
      </c>
      <c r="M2525">
        <v>1</v>
      </c>
      <c r="N2525" t="s">
        <v>232</v>
      </c>
      <c r="O2525" t="s">
        <v>2107</v>
      </c>
    </row>
    <row r="2526" spans="1:15">
      <c r="A2526" t="s">
        <v>4060</v>
      </c>
      <c r="B2526" t="s">
        <v>2099</v>
      </c>
      <c r="C2526" t="s">
        <v>2100</v>
      </c>
      <c r="D2526" s="1">
        <v>44313</v>
      </c>
      <c r="E2526" s="1">
        <v>45144</v>
      </c>
      <c r="F2526">
        <v>148</v>
      </c>
      <c r="G2526">
        <v>2</v>
      </c>
      <c r="H2526">
        <v>52.36</v>
      </c>
      <c r="I2526">
        <v>26.96</v>
      </c>
      <c r="J2526" t="s">
        <v>66</v>
      </c>
      <c r="K2526" t="s">
        <v>16</v>
      </c>
      <c r="L2526" t="s">
        <v>2095</v>
      </c>
      <c r="M2526">
        <v>2</v>
      </c>
      <c r="N2526" t="s">
        <v>157</v>
      </c>
      <c r="O2526" t="s">
        <v>2107</v>
      </c>
    </row>
    <row r="2527" spans="1:15">
      <c r="A2527" t="s">
        <v>4061</v>
      </c>
      <c r="B2527" t="s">
        <v>2099</v>
      </c>
      <c r="C2527" t="s">
        <v>2111</v>
      </c>
      <c r="D2527" s="1">
        <v>44161</v>
      </c>
      <c r="E2527" s="1">
        <v>45188</v>
      </c>
      <c r="F2527">
        <v>104</v>
      </c>
      <c r="G2527">
        <v>1</v>
      </c>
      <c r="H2527">
        <v>137.56</v>
      </c>
      <c r="I2527">
        <v>97.44</v>
      </c>
      <c r="J2527" t="s">
        <v>90</v>
      </c>
      <c r="K2527" t="s">
        <v>16</v>
      </c>
      <c r="L2527" t="s">
        <v>2087</v>
      </c>
      <c r="M2527">
        <v>7</v>
      </c>
      <c r="N2527" t="s">
        <v>194</v>
      </c>
      <c r="O2527" t="s">
        <v>2121</v>
      </c>
    </row>
    <row r="2528" spans="1:15">
      <c r="A2528" t="s">
        <v>1865</v>
      </c>
      <c r="B2528" t="s">
        <v>2113</v>
      </c>
      <c r="C2528" t="s">
        <v>2091</v>
      </c>
      <c r="D2528" s="1">
        <v>43576</v>
      </c>
      <c r="E2528" s="1">
        <v>45272</v>
      </c>
      <c r="F2528">
        <v>20</v>
      </c>
      <c r="G2528">
        <v>9</v>
      </c>
      <c r="H2528">
        <v>310.49</v>
      </c>
      <c r="I2528">
        <v>77.010000000000005</v>
      </c>
      <c r="J2528" t="s">
        <v>90</v>
      </c>
      <c r="K2528" t="s">
        <v>20</v>
      </c>
      <c r="L2528" t="s">
        <v>2087</v>
      </c>
      <c r="M2528">
        <v>0</v>
      </c>
      <c r="N2528" t="s">
        <v>157</v>
      </c>
      <c r="O2528" t="s">
        <v>2109</v>
      </c>
    </row>
    <row r="2529" spans="1:15">
      <c r="A2529" t="s">
        <v>917</v>
      </c>
      <c r="B2529" t="s">
        <v>2093</v>
      </c>
      <c r="C2529" t="s">
        <v>2100</v>
      </c>
      <c r="D2529" s="1">
        <v>44195</v>
      </c>
      <c r="E2529" s="1">
        <v>45277</v>
      </c>
      <c r="F2529">
        <v>15</v>
      </c>
      <c r="G2529">
        <v>3</v>
      </c>
      <c r="H2529">
        <v>49.16</v>
      </c>
      <c r="I2529">
        <v>20.46</v>
      </c>
      <c r="J2529" t="s">
        <v>115</v>
      </c>
      <c r="K2529" t="s">
        <v>16</v>
      </c>
      <c r="L2529" t="s">
        <v>2095</v>
      </c>
      <c r="M2529">
        <v>6</v>
      </c>
      <c r="N2529" t="s">
        <v>232</v>
      </c>
      <c r="O2529" t="s">
        <v>2096</v>
      </c>
    </row>
    <row r="2530" spans="1:15">
      <c r="A2530" t="s">
        <v>4062</v>
      </c>
      <c r="B2530" t="s">
        <v>2113</v>
      </c>
      <c r="C2530" t="s">
        <v>2108</v>
      </c>
      <c r="D2530" s="1">
        <v>43830</v>
      </c>
      <c r="E2530" s="1">
        <v>44969</v>
      </c>
      <c r="F2530">
        <v>323</v>
      </c>
      <c r="G2530">
        <v>19</v>
      </c>
      <c r="H2530">
        <v>578.47</v>
      </c>
      <c r="I2530">
        <v>68.63</v>
      </c>
      <c r="J2530" t="s">
        <v>115</v>
      </c>
      <c r="K2530" t="s">
        <v>16</v>
      </c>
      <c r="L2530" t="s">
        <v>2087</v>
      </c>
      <c r="M2530">
        <v>7</v>
      </c>
      <c r="N2530" t="s">
        <v>179</v>
      </c>
      <c r="O2530" t="s">
        <v>2088</v>
      </c>
    </row>
    <row r="2531" spans="1:15">
      <c r="A2531" t="s">
        <v>4063</v>
      </c>
      <c r="B2531" t="s">
        <v>2097</v>
      </c>
      <c r="C2531" t="s">
        <v>2086</v>
      </c>
      <c r="D2531" s="1">
        <v>45095</v>
      </c>
      <c r="E2531" s="1">
        <v>45023</v>
      </c>
      <c r="F2531">
        <v>269</v>
      </c>
      <c r="G2531">
        <v>5</v>
      </c>
      <c r="H2531">
        <v>781.7</v>
      </c>
      <c r="I2531">
        <v>86.5</v>
      </c>
      <c r="J2531" t="s">
        <v>41</v>
      </c>
      <c r="K2531" t="s">
        <v>20</v>
      </c>
      <c r="L2531" t="s">
        <v>2095</v>
      </c>
      <c r="M2531">
        <v>0</v>
      </c>
      <c r="N2531" t="s">
        <v>165</v>
      </c>
      <c r="O2531" t="s">
        <v>2121</v>
      </c>
    </row>
    <row r="2532" spans="1:15">
      <c r="A2532" t="s">
        <v>1947</v>
      </c>
      <c r="B2532" t="s">
        <v>2113</v>
      </c>
      <c r="C2532" t="s">
        <v>2094</v>
      </c>
      <c r="D2532" s="1">
        <v>43633</v>
      </c>
      <c r="E2532" s="1">
        <v>45141</v>
      </c>
      <c r="F2532">
        <v>151</v>
      </c>
      <c r="G2532">
        <v>14</v>
      </c>
      <c r="H2532">
        <v>467.04</v>
      </c>
      <c r="I2532">
        <v>65.040000000000006</v>
      </c>
      <c r="J2532" t="s">
        <v>90</v>
      </c>
      <c r="K2532" t="s">
        <v>16</v>
      </c>
      <c r="L2532" t="s">
        <v>2087</v>
      </c>
      <c r="M2532">
        <v>9</v>
      </c>
      <c r="N2532" t="s">
        <v>194</v>
      </c>
      <c r="O2532" t="s">
        <v>2107</v>
      </c>
    </row>
    <row r="2533" spans="1:15">
      <c r="A2533" t="s">
        <v>1937</v>
      </c>
      <c r="B2533" t="s">
        <v>2097</v>
      </c>
      <c r="C2533" t="s">
        <v>2091</v>
      </c>
      <c r="D2533" s="1">
        <v>43768</v>
      </c>
      <c r="E2533" s="1">
        <v>45065</v>
      </c>
      <c r="F2533">
        <v>227</v>
      </c>
      <c r="G2533">
        <v>4</v>
      </c>
      <c r="H2533">
        <v>609.07000000000005</v>
      </c>
      <c r="I2533">
        <v>72.72</v>
      </c>
      <c r="J2533" t="s">
        <v>90</v>
      </c>
      <c r="K2533" t="s">
        <v>20</v>
      </c>
      <c r="L2533" t="s">
        <v>2087</v>
      </c>
      <c r="M2533">
        <v>6</v>
      </c>
      <c r="N2533" t="s">
        <v>165</v>
      </c>
      <c r="O2533" t="s">
        <v>2088</v>
      </c>
    </row>
    <row r="2534" spans="1:15">
      <c r="A2534" t="s">
        <v>4064</v>
      </c>
      <c r="B2534" t="s">
        <v>2113</v>
      </c>
      <c r="C2534" t="s">
        <v>2094</v>
      </c>
      <c r="D2534" s="1">
        <v>43758</v>
      </c>
      <c r="E2534" s="1">
        <v>44944</v>
      </c>
      <c r="F2534">
        <v>348</v>
      </c>
      <c r="G2534">
        <v>15</v>
      </c>
      <c r="H2534">
        <v>469.61</v>
      </c>
      <c r="I2534">
        <v>58.68</v>
      </c>
      <c r="J2534" t="s">
        <v>14</v>
      </c>
      <c r="K2534" t="s">
        <v>20</v>
      </c>
      <c r="L2534" t="s">
        <v>2095</v>
      </c>
      <c r="M2534">
        <v>5</v>
      </c>
      <c r="N2534" t="s">
        <v>165</v>
      </c>
      <c r="O2534" t="s">
        <v>2121</v>
      </c>
    </row>
    <row r="2535" spans="1:15">
      <c r="A2535" t="s">
        <v>4065</v>
      </c>
      <c r="B2535" t="s">
        <v>2090</v>
      </c>
      <c r="C2535" t="s">
        <v>2091</v>
      </c>
      <c r="D2535" s="1">
        <v>43568</v>
      </c>
      <c r="E2535" s="1">
        <v>45237</v>
      </c>
      <c r="F2535">
        <v>55</v>
      </c>
      <c r="G2535">
        <v>6</v>
      </c>
      <c r="H2535">
        <v>90.49</v>
      </c>
      <c r="I2535">
        <v>65.290000000000006</v>
      </c>
      <c r="J2535" t="s">
        <v>41</v>
      </c>
      <c r="K2535" t="s">
        <v>16</v>
      </c>
      <c r="L2535" t="s">
        <v>2087</v>
      </c>
      <c r="M2535">
        <v>5</v>
      </c>
      <c r="N2535" t="s">
        <v>165</v>
      </c>
      <c r="O2535" t="s">
        <v>2107</v>
      </c>
    </row>
    <row r="2536" spans="1:15">
      <c r="A2536" t="s">
        <v>4066</v>
      </c>
      <c r="B2536" t="s">
        <v>2097</v>
      </c>
      <c r="C2536" t="s">
        <v>2108</v>
      </c>
      <c r="D2536" s="1">
        <v>44112</v>
      </c>
      <c r="E2536" s="1">
        <v>45173</v>
      </c>
      <c r="F2536">
        <v>119</v>
      </c>
      <c r="G2536">
        <v>9</v>
      </c>
      <c r="H2536">
        <v>282</v>
      </c>
      <c r="I2536">
        <v>73.81</v>
      </c>
      <c r="J2536" t="s">
        <v>66</v>
      </c>
      <c r="K2536" t="s">
        <v>20</v>
      </c>
      <c r="L2536" t="s">
        <v>2087</v>
      </c>
      <c r="M2536">
        <v>3</v>
      </c>
      <c r="N2536" t="s">
        <v>204</v>
      </c>
      <c r="O2536" t="s">
        <v>2096</v>
      </c>
    </row>
    <row r="2537" spans="1:15">
      <c r="A2537" t="s">
        <v>4067</v>
      </c>
      <c r="B2537" t="s">
        <v>2085</v>
      </c>
      <c r="C2537" t="s">
        <v>2094</v>
      </c>
      <c r="D2537" s="1">
        <v>43710</v>
      </c>
      <c r="E2537" s="1">
        <v>45134</v>
      </c>
      <c r="F2537">
        <v>158</v>
      </c>
      <c r="G2537">
        <v>30</v>
      </c>
      <c r="H2537">
        <v>2603.19</v>
      </c>
      <c r="I2537">
        <v>279.94</v>
      </c>
      <c r="J2537" t="s">
        <v>41</v>
      </c>
      <c r="K2537" t="s">
        <v>16</v>
      </c>
      <c r="L2537" t="s">
        <v>2087</v>
      </c>
      <c r="M2537">
        <v>0</v>
      </c>
      <c r="N2537" t="s">
        <v>165</v>
      </c>
      <c r="O2537" t="s">
        <v>2107</v>
      </c>
    </row>
    <row r="2538" spans="1:15">
      <c r="A2538" t="s">
        <v>4068</v>
      </c>
      <c r="B2538" t="s">
        <v>2085</v>
      </c>
      <c r="C2538" t="s">
        <v>2100</v>
      </c>
      <c r="D2538" s="1">
        <v>44995</v>
      </c>
      <c r="E2538" s="1">
        <v>45065</v>
      </c>
      <c r="F2538">
        <v>227</v>
      </c>
      <c r="G2538">
        <v>37</v>
      </c>
      <c r="H2538">
        <v>1817.33</v>
      </c>
      <c r="I2538">
        <v>265.69</v>
      </c>
      <c r="J2538" t="s">
        <v>14</v>
      </c>
      <c r="K2538" t="s">
        <v>16</v>
      </c>
      <c r="L2538" t="s">
        <v>2095</v>
      </c>
      <c r="M2538">
        <v>5</v>
      </c>
      <c r="N2538" t="s">
        <v>165</v>
      </c>
      <c r="O2538" t="s">
        <v>2088</v>
      </c>
    </row>
    <row r="2539" spans="1:15">
      <c r="A2539" t="s">
        <v>4069</v>
      </c>
      <c r="B2539" t="s">
        <v>2097</v>
      </c>
      <c r="C2539" t="s">
        <v>2108</v>
      </c>
      <c r="D2539" s="1">
        <v>43924</v>
      </c>
      <c r="E2539" s="1">
        <v>45035</v>
      </c>
      <c r="F2539">
        <v>257</v>
      </c>
      <c r="G2539">
        <v>11</v>
      </c>
      <c r="H2539">
        <v>734.04</v>
      </c>
      <c r="I2539">
        <v>133.47</v>
      </c>
      <c r="J2539" t="s">
        <v>115</v>
      </c>
      <c r="K2539" t="s">
        <v>20</v>
      </c>
      <c r="L2539" t="s">
        <v>2087</v>
      </c>
      <c r="M2539">
        <v>1</v>
      </c>
      <c r="N2539" t="s">
        <v>204</v>
      </c>
      <c r="O2539" t="s">
        <v>2088</v>
      </c>
    </row>
    <row r="2540" spans="1:15">
      <c r="A2540" t="s">
        <v>4070</v>
      </c>
      <c r="B2540" t="s">
        <v>2113</v>
      </c>
      <c r="C2540" t="s">
        <v>2094</v>
      </c>
      <c r="D2540" s="1">
        <v>44705</v>
      </c>
      <c r="E2540" s="1">
        <v>45154</v>
      </c>
      <c r="F2540">
        <v>138</v>
      </c>
      <c r="G2540">
        <v>17</v>
      </c>
      <c r="H2540">
        <v>364.59</v>
      </c>
      <c r="I2540">
        <v>52.7</v>
      </c>
      <c r="J2540" t="s">
        <v>14</v>
      </c>
      <c r="K2540" t="s">
        <v>16</v>
      </c>
      <c r="L2540" t="s">
        <v>2106</v>
      </c>
      <c r="M2540">
        <v>1</v>
      </c>
      <c r="N2540" t="s">
        <v>204</v>
      </c>
      <c r="O2540" t="s">
        <v>2107</v>
      </c>
    </row>
    <row r="2541" spans="1:15">
      <c r="A2541" t="s">
        <v>4071</v>
      </c>
      <c r="B2541" t="s">
        <v>2093</v>
      </c>
      <c r="C2541" t="s">
        <v>2108</v>
      </c>
      <c r="D2541" s="1">
        <v>43607</v>
      </c>
      <c r="E2541" s="1">
        <v>44956</v>
      </c>
      <c r="F2541">
        <v>336</v>
      </c>
      <c r="G2541">
        <v>5</v>
      </c>
      <c r="H2541">
        <v>70.63</v>
      </c>
      <c r="I2541">
        <v>65.81</v>
      </c>
      <c r="J2541" t="s">
        <v>66</v>
      </c>
      <c r="K2541" t="s">
        <v>20</v>
      </c>
      <c r="L2541" t="s">
        <v>2087</v>
      </c>
      <c r="M2541">
        <v>9</v>
      </c>
      <c r="N2541" t="s">
        <v>174</v>
      </c>
      <c r="O2541" t="s">
        <v>2109</v>
      </c>
    </row>
    <row r="2542" spans="1:15">
      <c r="A2542" t="s">
        <v>4072</v>
      </c>
      <c r="B2542" t="s">
        <v>2090</v>
      </c>
      <c r="C2542" t="s">
        <v>2100</v>
      </c>
      <c r="D2542" s="1">
        <v>44798</v>
      </c>
      <c r="E2542" s="1">
        <v>44964</v>
      </c>
      <c r="F2542">
        <v>328</v>
      </c>
      <c r="G2542">
        <v>8</v>
      </c>
      <c r="H2542">
        <v>255.42</v>
      </c>
      <c r="I2542">
        <v>59.79</v>
      </c>
      <c r="J2542" t="s">
        <v>115</v>
      </c>
      <c r="K2542" t="s">
        <v>16</v>
      </c>
      <c r="L2542" t="s">
        <v>2087</v>
      </c>
      <c r="M2542">
        <v>4</v>
      </c>
      <c r="N2542" t="s">
        <v>165</v>
      </c>
      <c r="O2542" t="s">
        <v>2109</v>
      </c>
    </row>
    <row r="2543" spans="1:15">
      <c r="A2543" t="s">
        <v>4073</v>
      </c>
      <c r="B2543" t="s">
        <v>2085</v>
      </c>
      <c r="C2543" t="s">
        <v>2111</v>
      </c>
      <c r="D2543" s="1">
        <v>44946</v>
      </c>
      <c r="E2543" s="1">
        <v>45080</v>
      </c>
      <c r="F2543">
        <v>212</v>
      </c>
      <c r="G2543">
        <v>28</v>
      </c>
      <c r="H2543">
        <v>2124.75</v>
      </c>
      <c r="I2543">
        <v>263.32</v>
      </c>
      <c r="J2543" t="s">
        <v>90</v>
      </c>
      <c r="K2543" t="s">
        <v>16</v>
      </c>
      <c r="L2543" t="s">
        <v>2106</v>
      </c>
      <c r="M2543">
        <v>10</v>
      </c>
      <c r="N2543" t="s">
        <v>194</v>
      </c>
      <c r="O2543" t="s">
        <v>2121</v>
      </c>
    </row>
    <row r="2544" spans="1:15">
      <c r="A2544" t="s">
        <v>4074</v>
      </c>
      <c r="B2544" t="s">
        <v>2097</v>
      </c>
      <c r="C2544" t="s">
        <v>2111</v>
      </c>
      <c r="D2544" s="1">
        <v>44220</v>
      </c>
      <c r="E2544" s="1">
        <v>45166</v>
      </c>
      <c r="F2544">
        <v>126</v>
      </c>
      <c r="G2544">
        <v>8</v>
      </c>
      <c r="H2544">
        <v>521.11</v>
      </c>
      <c r="I2544">
        <v>143.13999999999999</v>
      </c>
      <c r="J2544" t="s">
        <v>90</v>
      </c>
      <c r="K2544" t="s">
        <v>16</v>
      </c>
      <c r="L2544" t="s">
        <v>2087</v>
      </c>
      <c r="M2544">
        <v>0</v>
      </c>
      <c r="N2544" t="s">
        <v>232</v>
      </c>
      <c r="O2544" t="s">
        <v>2121</v>
      </c>
    </row>
    <row r="2545" spans="1:15">
      <c r="A2545" t="s">
        <v>4075</v>
      </c>
      <c r="B2545" t="s">
        <v>2099</v>
      </c>
      <c r="C2545" t="s">
        <v>2100</v>
      </c>
      <c r="D2545" s="1">
        <v>44793</v>
      </c>
      <c r="E2545" s="1">
        <v>45091</v>
      </c>
      <c r="F2545">
        <v>201</v>
      </c>
      <c r="G2545">
        <v>1</v>
      </c>
      <c r="H2545">
        <v>133.02000000000001</v>
      </c>
      <c r="I2545">
        <v>57.52</v>
      </c>
      <c r="J2545" t="s">
        <v>41</v>
      </c>
      <c r="K2545" t="s">
        <v>20</v>
      </c>
      <c r="L2545" t="s">
        <v>2106</v>
      </c>
      <c r="M2545">
        <v>2</v>
      </c>
      <c r="N2545" t="s">
        <v>204</v>
      </c>
      <c r="O2545" t="s">
        <v>2096</v>
      </c>
    </row>
    <row r="2546" spans="1:15">
      <c r="A2546" t="s">
        <v>4076</v>
      </c>
      <c r="B2546" t="s">
        <v>2090</v>
      </c>
      <c r="C2546" t="s">
        <v>2108</v>
      </c>
      <c r="D2546" s="1">
        <v>45022</v>
      </c>
      <c r="E2546" s="1">
        <v>44992</v>
      </c>
      <c r="F2546">
        <v>300</v>
      </c>
      <c r="G2546">
        <v>7</v>
      </c>
      <c r="H2546">
        <v>342.01</v>
      </c>
      <c r="I2546">
        <v>72.849999999999994</v>
      </c>
      <c r="J2546" t="s">
        <v>90</v>
      </c>
      <c r="K2546" t="s">
        <v>20</v>
      </c>
      <c r="L2546" t="s">
        <v>2095</v>
      </c>
      <c r="M2546">
        <v>1</v>
      </c>
      <c r="N2546" t="s">
        <v>232</v>
      </c>
      <c r="O2546" t="s">
        <v>2109</v>
      </c>
    </row>
    <row r="2547" spans="1:15">
      <c r="A2547" t="s">
        <v>4077</v>
      </c>
      <c r="B2547" t="s">
        <v>2090</v>
      </c>
      <c r="C2547" t="s">
        <v>2091</v>
      </c>
      <c r="D2547" s="1">
        <v>43520</v>
      </c>
      <c r="E2547" s="1">
        <v>45237</v>
      </c>
      <c r="F2547">
        <v>55</v>
      </c>
      <c r="G2547">
        <v>8</v>
      </c>
      <c r="H2547">
        <v>356.84</v>
      </c>
      <c r="I2547">
        <v>99.16</v>
      </c>
      <c r="J2547" t="s">
        <v>90</v>
      </c>
      <c r="K2547" t="s">
        <v>16</v>
      </c>
      <c r="L2547" t="s">
        <v>2106</v>
      </c>
      <c r="M2547">
        <v>10</v>
      </c>
      <c r="N2547" t="s">
        <v>174</v>
      </c>
      <c r="O2547" t="s">
        <v>2088</v>
      </c>
    </row>
    <row r="2548" spans="1:15">
      <c r="A2548" t="s">
        <v>4078</v>
      </c>
      <c r="B2548" t="s">
        <v>2113</v>
      </c>
      <c r="C2548" t="s">
        <v>2111</v>
      </c>
      <c r="D2548" s="1">
        <v>44423</v>
      </c>
      <c r="E2548" s="1">
        <v>44952</v>
      </c>
      <c r="F2548">
        <v>340</v>
      </c>
      <c r="G2548">
        <v>5</v>
      </c>
      <c r="H2548">
        <v>507.29</v>
      </c>
      <c r="I2548">
        <v>33.36</v>
      </c>
      <c r="J2548" t="s">
        <v>41</v>
      </c>
      <c r="K2548" t="s">
        <v>16</v>
      </c>
      <c r="L2548" t="s">
        <v>2087</v>
      </c>
      <c r="M2548">
        <v>6</v>
      </c>
      <c r="N2548" t="s">
        <v>165</v>
      </c>
      <c r="O2548" t="s">
        <v>2107</v>
      </c>
    </row>
    <row r="2549" spans="1:15">
      <c r="A2549" t="s">
        <v>1851</v>
      </c>
      <c r="B2549" t="s">
        <v>2090</v>
      </c>
      <c r="C2549" t="s">
        <v>2108</v>
      </c>
      <c r="D2549" s="1">
        <v>44834</v>
      </c>
      <c r="E2549" s="1">
        <v>45268</v>
      </c>
      <c r="F2549">
        <v>24</v>
      </c>
      <c r="G2549">
        <v>2</v>
      </c>
      <c r="H2549">
        <v>190.31</v>
      </c>
      <c r="I2549">
        <v>107.52</v>
      </c>
      <c r="J2549" t="s">
        <v>115</v>
      </c>
      <c r="K2549" t="s">
        <v>16</v>
      </c>
      <c r="L2549" t="s">
        <v>2087</v>
      </c>
      <c r="M2549">
        <v>7</v>
      </c>
      <c r="N2549" t="s">
        <v>179</v>
      </c>
      <c r="O2549" t="s">
        <v>2109</v>
      </c>
    </row>
    <row r="2550" spans="1:15">
      <c r="A2550" t="s">
        <v>4079</v>
      </c>
      <c r="B2550" t="s">
        <v>2085</v>
      </c>
      <c r="C2550" t="s">
        <v>2100</v>
      </c>
      <c r="D2550" s="1">
        <v>43740</v>
      </c>
      <c r="E2550" s="1">
        <v>45284</v>
      </c>
      <c r="F2550">
        <v>8</v>
      </c>
      <c r="G2550">
        <v>14</v>
      </c>
      <c r="H2550">
        <v>1410.57</v>
      </c>
      <c r="I2550">
        <v>217.73</v>
      </c>
      <c r="J2550" t="s">
        <v>115</v>
      </c>
      <c r="K2550" t="s">
        <v>16</v>
      </c>
      <c r="L2550" t="s">
        <v>2095</v>
      </c>
      <c r="M2550">
        <v>1</v>
      </c>
      <c r="N2550" t="s">
        <v>232</v>
      </c>
      <c r="O2550" t="s">
        <v>2121</v>
      </c>
    </row>
    <row r="2551" spans="1:15">
      <c r="A2551" t="s">
        <v>4080</v>
      </c>
      <c r="B2551" t="s">
        <v>2099</v>
      </c>
      <c r="C2551" t="s">
        <v>2091</v>
      </c>
      <c r="D2551" s="1">
        <v>44471</v>
      </c>
      <c r="E2551" s="1">
        <v>45157</v>
      </c>
      <c r="F2551">
        <v>135</v>
      </c>
      <c r="G2551">
        <v>2</v>
      </c>
      <c r="H2551">
        <v>59.77</v>
      </c>
      <c r="I2551">
        <v>22.25</v>
      </c>
      <c r="J2551" t="s">
        <v>66</v>
      </c>
      <c r="K2551" t="s">
        <v>20</v>
      </c>
      <c r="L2551" t="s">
        <v>2087</v>
      </c>
      <c r="M2551">
        <v>6</v>
      </c>
      <c r="N2551" t="s">
        <v>165</v>
      </c>
      <c r="O2551" t="s">
        <v>2088</v>
      </c>
    </row>
    <row r="2552" spans="1:15">
      <c r="A2552" t="s">
        <v>4081</v>
      </c>
      <c r="B2552" t="s">
        <v>2093</v>
      </c>
      <c r="C2552" t="s">
        <v>2094</v>
      </c>
      <c r="D2552" s="1">
        <v>43771</v>
      </c>
      <c r="E2552" s="1">
        <v>44945</v>
      </c>
      <c r="F2552">
        <v>347</v>
      </c>
      <c r="G2552">
        <v>1</v>
      </c>
      <c r="H2552">
        <v>198.38</v>
      </c>
      <c r="I2552">
        <v>69.05</v>
      </c>
      <c r="J2552" t="s">
        <v>14</v>
      </c>
      <c r="K2552" t="s">
        <v>16</v>
      </c>
      <c r="L2552" t="s">
        <v>2087</v>
      </c>
      <c r="M2552">
        <v>6</v>
      </c>
      <c r="N2552" t="s">
        <v>157</v>
      </c>
      <c r="O2552" t="s">
        <v>2088</v>
      </c>
    </row>
    <row r="2553" spans="1:15">
      <c r="A2553" t="s">
        <v>4082</v>
      </c>
      <c r="B2553" t="s">
        <v>2093</v>
      </c>
      <c r="C2553" t="s">
        <v>2086</v>
      </c>
      <c r="D2553" s="1">
        <v>45068</v>
      </c>
      <c r="E2553" s="1">
        <v>45270</v>
      </c>
      <c r="F2553">
        <v>22</v>
      </c>
      <c r="G2553">
        <v>4</v>
      </c>
      <c r="H2553">
        <v>165.5</v>
      </c>
      <c r="I2553">
        <v>63.84</v>
      </c>
      <c r="J2553" t="s">
        <v>41</v>
      </c>
      <c r="K2553" t="s">
        <v>16</v>
      </c>
      <c r="L2553" t="s">
        <v>2095</v>
      </c>
      <c r="M2553">
        <v>0</v>
      </c>
      <c r="N2553" t="s">
        <v>204</v>
      </c>
      <c r="O2553" t="s">
        <v>2121</v>
      </c>
    </row>
    <row r="2554" spans="1:15">
      <c r="A2554" t="s">
        <v>1062</v>
      </c>
      <c r="B2554" t="s">
        <v>2085</v>
      </c>
      <c r="C2554" t="s">
        <v>2100</v>
      </c>
      <c r="D2554" s="1">
        <v>45125</v>
      </c>
      <c r="E2554" s="1">
        <v>45195</v>
      </c>
      <c r="F2554">
        <v>97</v>
      </c>
      <c r="G2554">
        <v>25</v>
      </c>
      <c r="H2554">
        <v>1827.35</v>
      </c>
      <c r="I2554">
        <v>153.13999999999999</v>
      </c>
      <c r="J2554" t="s">
        <v>90</v>
      </c>
      <c r="K2554" t="s">
        <v>16</v>
      </c>
      <c r="L2554" t="s">
        <v>2087</v>
      </c>
      <c r="M2554">
        <v>8</v>
      </c>
      <c r="N2554" t="s">
        <v>174</v>
      </c>
      <c r="O2554" t="s">
        <v>2088</v>
      </c>
    </row>
    <row r="2555" spans="1:15">
      <c r="A2555" t="s">
        <v>4083</v>
      </c>
      <c r="B2555" t="s">
        <v>2097</v>
      </c>
      <c r="C2555" t="s">
        <v>2094</v>
      </c>
      <c r="D2555" s="1">
        <v>44509</v>
      </c>
      <c r="E2555" s="1">
        <v>45157</v>
      </c>
      <c r="F2555">
        <v>135</v>
      </c>
      <c r="G2555">
        <v>4</v>
      </c>
      <c r="H2555">
        <v>468.54</v>
      </c>
      <c r="I2555">
        <v>99.66</v>
      </c>
      <c r="J2555" t="s">
        <v>90</v>
      </c>
      <c r="K2555" t="s">
        <v>16</v>
      </c>
      <c r="L2555" t="s">
        <v>2106</v>
      </c>
      <c r="M2555">
        <v>3</v>
      </c>
      <c r="N2555" t="s">
        <v>194</v>
      </c>
      <c r="O2555" t="s">
        <v>2088</v>
      </c>
    </row>
    <row r="2556" spans="1:15">
      <c r="A2556" t="s">
        <v>4084</v>
      </c>
      <c r="B2556" t="s">
        <v>2090</v>
      </c>
      <c r="C2556" t="s">
        <v>2091</v>
      </c>
      <c r="D2556" s="1">
        <v>44592</v>
      </c>
      <c r="E2556" s="1">
        <v>45084</v>
      </c>
      <c r="F2556">
        <v>208</v>
      </c>
      <c r="G2556">
        <v>7</v>
      </c>
      <c r="H2556">
        <v>296.99</v>
      </c>
      <c r="I2556">
        <v>66.650000000000006</v>
      </c>
      <c r="J2556" t="s">
        <v>115</v>
      </c>
      <c r="K2556" t="s">
        <v>16</v>
      </c>
      <c r="L2556" t="s">
        <v>2087</v>
      </c>
      <c r="M2556">
        <v>6</v>
      </c>
      <c r="N2556" t="s">
        <v>232</v>
      </c>
      <c r="O2556" t="s">
        <v>2088</v>
      </c>
    </row>
    <row r="2557" spans="1:15">
      <c r="A2557" t="s">
        <v>4085</v>
      </c>
      <c r="B2557" t="s">
        <v>2090</v>
      </c>
      <c r="C2557" t="s">
        <v>2111</v>
      </c>
      <c r="D2557" s="1">
        <v>43762</v>
      </c>
      <c r="E2557" s="1">
        <v>44945</v>
      </c>
      <c r="F2557">
        <v>347</v>
      </c>
      <c r="G2557">
        <v>5</v>
      </c>
      <c r="H2557">
        <v>320.55</v>
      </c>
      <c r="I2557">
        <v>54.2</v>
      </c>
      <c r="J2557" t="s">
        <v>115</v>
      </c>
      <c r="K2557" t="s">
        <v>16</v>
      </c>
      <c r="L2557" t="s">
        <v>2095</v>
      </c>
      <c r="M2557">
        <v>6</v>
      </c>
      <c r="N2557" t="s">
        <v>194</v>
      </c>
      <c r="O2557" t="s">
        <v>2109</v>
      </c>
    </row>
    <row r="2558" spans="1:15">
      <c r="A2558" t="s">
        <v>4086</v>
      </c>
      <c r="B2558" t="s">
        <v>2093</v>
      </c>
      <c r="C2558" t="s">
        <v>2086</v>
      </c>
      <c r="D2558" s="1">
        <v>44471</v>
      </c>
      <c r="E2558" s="1">
        <v>44984</v>
      </c>
      <c r="F2558">
        <v>308</v>
      </c>
      <c r="G2558">
        <v>5</v>
      </c>
      <c r="H2558">
        <v>50.93</v>
      </c>
      <c r="I2558">
        <v>42.89</v>
      </c>
      <c r="J2558" t="s">
        <v>14</v>
      </c>
      <c r="K2558" t="s">
        <v>20</v>
      </c>
      <c r="L2558" t="s">
        <v>2087</v>
      </c>
      <c r="M2558">
        <v>9</v>
      </c>
      <c r="N2558" t="s">
        <v>232</v>
      </c>
      <c r="O2558" t="s">
        <v>2107</v>
      </c>
    </row>
    <row r="2559" spans="1:15">
      <c r="A2559" t="s">
        <v>4087</v>
      </c>
      <c r="B2559" t="s">
        <v>2097</v>
      </c>
      <c r="C2559" t="s">
        <v>2091</v>
      </c>
      <c r="D2559" s="1">
        <v>44750</v>
      </c>
      <c r="E2559" s="1">
        <v>44966</v>
      </c>
      <c r="F2559">
        <v>326</v>
      </c>
      <c r="G2559">
        <v>8</v>
      </c>
      <c r="H2559">
        <v>305.33</v>
      </c>
      <c r="I2559">
        <v>53.76</v>
      </c>
      <c r="J2559" t="s">
        <v>115</v>
      </c>
      <c r="K2559" t="s">
        <v>16</v>
      </c>
      <c r="L2559" t="s">
        <v>2106</v>
      </c>
      <c r="M2559">
        <v>3</v>
      </c>
      <c r="N2559" t="s">
        <v>174</v>
      </c>
      <c r="O2559" t="s">
        <v>2121</v>
      </c>
    </row>
    <row r="2560" spans="1:15">
      <c r="A2560" t="s">
        <v>1882</v>
      </c>
      <c r="B2560" t="s">
        <v>2093</v>
      </c>
      <c r="C2560" t="s">
        <v>2094</v>
      </c>
      <c r="D2560" s="1">
        <v>44977</v>
      </c>
      <c r="E2560" s="1">
        <v>45171</v>
      </c>
      <c r="F2560">
        <v>121</v>
      </c>
      <c r="G2560">
        <v>4</v>
      </c>
      <c r="H2560">
        <v>120.16</v>
      </c>
      <c r="I2560">
        <v>50.94</v>
      </c>
      <c r="J2560" t="s">
        <v>41</v>
      </c>
      <c r="K2560" t="s">
        <v>16</v>
      </c>
      <c r="L2560" t="s">
        <v>2087</v>
      </c>
      <c r="M2560">
        <v>5</v>
      </c>
      <c r="N2560" t="s">
        <v>157</v>
      </c>
      <c r="O2560" t="s">
        <v>2109</v>
      </c>
    </row>
    <row r="2561" spans="1:15">
      <c r="A2561" t="s">
        <v>4088</v>
      </c>
      <c r="B2561" t="s">
        <v>2093</v>
      </c>
      <c r="C2561" t="s">
        <v>2100</v>
      </c>
      <c r="D2561" s="1">
        <v>44032</v>
      </c>
      <c r="E2561" s="1">
        <v>45208</v>
      </c>
      <c r="F2561">
        <v>84</v>
      </c>
      <c r="G2561">
        <v>2</v>
      </c>
      <c r="H2561">
        <v>39.049999999999997</v>
      </c>
      <c r="I2561">
        <v>55.89</v>
      </c>
      <c r="J2561" t="s">
        <v>66</v>
      </c>
      <c r="K2561" t="s">
        <v>16</v>
      </c>
      <c r="L2561" t="s">
        <v>2106</v>
      </c>
      <c r="M2561">
        <v>1</v>
      </c>
      <c r="N2561" t="s">
        <v>174</v>
      </c>
      <c r="O2561" t="s">
        <v>2107</v>
      </c>
    </row>
    <row r="2562" spans="1:15">
      <c r="A2562" t="s">
        <v>4089</v>
      </c>
      <c r="B2562" t="s">
        <v>2090</v>
      </c>
      <c r="C2562" t="s">
        <v>2094</v>
      </c>
      <c r="D2562" s="1">
        <v>44672</v>
      </c>
      <c r="E2562" s="1">
        <v>45027</v>
      </c>
      <c r="F2562">
        <v>265</v>
      </c>
      <c r="G2562">
        <v>3</v>
      </c>
      <c r="H2562">
        <v>209.03</v>
      </c>
      <c r="I2562">
        <v>108.36</v>
      </c>
      <c r="J2562" t="s">
        <v>66</v>
      </c>
      <c r="K2562" t="s">
        <v>16</v>
      </c>
      <c r="L2562" t="s">
        <v>2087</v>
      </c>
      <c r="M2562">
        <v>3</v>
      </c>
      <c r="N2562" t="s">
        <v>232</v>
      </c>
      <c r="O2562" t="s">
        <v>2107</v>
      </c>
    </row>
    <row r="2563" spans="1:15">
      <c r="A2563" t="s">
        <v>4090</v>
      </c>
      <c r="B2563" t="s">
        <v>2097</v>
      </c>
      <c r="C2563" t="s">
        <v>2086</v>
      </c>
      <c r="D2563" s="1">
        <v>44786</v>
      </c>
      <c r="E2563" s="1">
        <v>45162</v>
      </c>
      <c r="F2563">
        <v>130</v>
      </c>
      <c r="G2563">
        <v>5</v>
      </c>
      <c r="H2563">
        <v>526.36</v>
      </c>
      <c r="I2563">
        <v>58.27</v>
      </c>
      <c r="J2563" t="s">
        <v>90</v>
      </c>
      <c r="K2563" t="s">
        <v>16</v>
      </c>
      <c r="L2563" t="s">
        <v>2095</v>
      </c>
      <c r="M2563">
        <v>3</v>
      </c>
      <c r="N2563" t="s">
        <v>232</v>
      </c>
      <c r="O2563" t="s">
        <v>2121</v>
      </c>
    </row>
    <row r="2564" spans="1:15">
      <c r="A2564" t="s">
        <v>268</v>
      </c>
      <c r="B2564" t="s">
        <v>2093</v>
      </c>
      <c r="C2564" t="s">
        <v>2094</v>
      </c>
      <c r="D2564" s="1">
        <v>44793</v>
      </c>
      <c r="E2564" s="1">
        <v>44955</v>
      </c>
      <c r="F2564">
        <v>337</v>
      </c>
      <c r="G2564">
        <v>4</v>
      </c>
      <c r="H2564">
        <v>93.5</v>
      </c>
      <c r="I2564">
        <v>65.48</v>
      </c>
      <c r="J2564" t="s">
        <v>66</v>
      </c>
      <c r="K2564" t="s">
        <v>16</v>
      </c>
      <c r="L2564" t="s">
        <v>2106</v>
      </c>
      <c r="M2564">
        <v>10</v>
      </c>
      <c r="N2564" t="s">
        <v>204</v>
      </c>
      <c r="O2564" t="s">
        <v>2109</v>
      </c>
    </row>
    <row r="2565" spans="1:15">
      <c r="A2565" t="s">
        <v>1464</v>
      </c>
      <c r="B2565" t="s">
        <v>2090</v>
      </c>
      <c r="C2565" t="s">
        <v>2094</v>
      </c>
      <c r="D2565" s="1">
        <v>43723</v>
      </c>
      <c r="E2565" s="1">
        <v>45269</v>
      </c>
      <c r="F2565">
        <v>23</v>
      </c>
      <c r="G2565">
        <v>2</v>
      </c>
      <c r="H2565">
        <v>226.78</v>
      </c>
      <c r="I2565">
        <v>56.31</v>
      </c>
      <c r="J2565" t="s">
        <v>41</v>
      </c>
      <c r="K2565" t="s">
        <v>16</v>
      </c>
      <c r="L2565" t="s">
        <v>2106</v>
      </c>
      <c r="M2565">
        <v>5</v>
      </c>
      <c r="N2565" t="s">
        <v>157</v>
      </c>
      <c r="O2565" t="s">
        <v>2121</v>
      </c>
    </row>
    <row r="2566" spans="1:15">
      <c r="A2566" t="s">
        <v>4091</v>
      </c>
      <c r="B2566" t="s">
        <v>2097</v>
      </c>
      <c r="C2566" t="s">
        <v>2100</v>
      </c>
      <c r="D2566" s="1">
        <v>44878</v>
      </c>
      <c r="E2566" s="1">
        <v>45096</v>
      </c>
      <c r="F2566">
        <v>196</v>
      </c>
      <c r="G2566">
        <v>11</v>
      </c>
      <c r="H2566">
        <v>751.25</v>
      </c>
      <c r="I2566">
        <v>57.65</v>
      </c>
      <c r="J2566" t="s">
        <v>66</v>
      </c>
      <c r="K2566" t="s">
        <v>16</v>
      </c>
      <c r="L2566" t="s">
        <v>2106</v>
      </c>
      <c r="M2566">
        <v>2</v>
      </c>
      <c r="N2566" t="s">
        <v>204</v>
      </c>
      <c r="O2566" t="s">
        <v>2107</v>
      </c>
    </row>
    <row r="2567" spans="1:15">
      <c r="A2567" t="s">
        <v>4092</v>
      </c>
      <c r="B2567" t="s">
        <v>2085</v>
      </c>
      <c r="C2567" t="s">
        <v>2100</v>
      </c>
      <c r="D2567" s="1">
        <v>45078</v>
      </c>
      <c r="E2567" s="1">
        <v>45023</v>
      </c>
      <c r="F2567">
        <v>269</v>
      </c>
      <c r="G2567">
        <v>31</v>
      </c>
      <c r="H2567">
        <v>1397.68</v>
      </c>
      <c r="I2567">
        <v>106.93</v>
      </c>
      <c r="J2567" t="s">
        <v>115</v>
      </c>
      <c r="K2567" t="s">
        <v>20</v>
      </c>
      <c r="L2567" t="s">
        <v>2087</v>
      </c>
      <c r="M2567">
        <v>7</v>
      </c>
      <c r="N2567" t="s">
        <v>165</v>
      </c>
      <c r="O2567" t="s">
        <v>2121</v>
      </c>
    </row>
    <row r="2568" spans="1:15">
      <c r="A2568" t="s">
        <v>4093</v>
      </c>
      <c r="B2568" t="s">
        <v>2099</v>
      </c>
      <c r="C2568" t="s">
        <v>2111</v>
      </c>
      <c r="D2568" s="1">
        <v>43874</v>
      </c>
      <c r="E2568" s="1">
        <v>45222</v>
      </c>
      <c r="F2568">
        <v>70</v>
      </c>
      <c r="G2568">
        <v>1</v>
      </c>
      <c r="H2568">
        <v>134.66999999999999</v>
      </c>
      <c r="I2568">
        <v>40.53</v>
      </c>
      <c r="J2568" t="s">
        <v>90</v>
      </c>
      <c r="K2568" t="s">
        <v>20</v>
      </c>
      <c r="L2568" t="s">
        <v>2087</v>
      </c>
      <c r="M2568">
        <v>7</v>
      </c>
      <c r="N2568" t="s">
        <v>174</v>
      </c>
      <c r="O2568" t="s">
        <v>2088</v>
      </c>
    </row>
    <row r="2569" spans="1:15">
      <c r="A2569" t="s">
        <v>1730</v>
      </c>
      <c r="B2569" t="s">
        <v>2090</v>
      </c>
      <c r="C2569" t="s">
        <v>2091</v>
      </c>
      <c r="D2569" s="1">
        <v>45020</v>
      </c>
      <c r="E2569" s="1">
        <v>45066</v>
      </c>
      <c r="F2569">
        <v>226</v>
      </c>
      <c r="G2569">
        <v>4</v>
      </c>
      <c r="H2569">
        <v>183.84</v>
      </c>
      <c r="I2569">
        <v>71.98</v>
      </c>
      <c r="J2569" t="s">
        <v>115</v>
      </c>
      <c r="K2569" t="s">
        <v>20</v>
      </c>
      <c r="L2569" t="s">
        <v>2087</v>
      </c>
      <c r="M2569">
        <v>4</v>
      </c>
      <c r="N2569" t="s">
        <v>179</v>
      </c>
      <c r="O2569" t="s">
        <v>2096</v>
      </c>
    </row>
    <row r="2570" spans="1:15">
      <c r="A2570" t="s">
        <v>4094</v>
      </c>
      <c r="B2570" t="s">
        <v>2085</v>
      </c>
      <c r="C2570" t="s">
        <v>2108</v>
      </c>
      <c r="D2570" s="1">
        <v>43764</v>
      </c>
      <c r="E2570" s="1">
        <v>45176</v>
      </c>
      <c r="F2570">
        <v>116</v>
      </c>
      <c r="G2570">
        <v>37</v>
      </c>
      <c r="H2570">
        <v>2377.08</v>
      </c>
      <c r="I2570">
        <v>103.13</v>
      </c>
      <c r="J2570" t="s">
        <v>115</v>
      </c>
      <c r="K2570" t="s">
        <v>16</v>
      </c>
      <c r="L2570" t="s">
        <v>2087</v>
      </c>
      <c r="M2570">
        <v>9</v>
      </c>
      <c r="N2570" t="s">
        <v>157</v>
      </c>
      <c r="O2570" t="s">
        <v>2121</v>
      </c>
    </row>
    <row r="2571" spans="1:15">
      <c r="A2571" t="s">
        <v>4095</v>
      </c>
      <c r="B2571" t="s">
        <v>2113</v>
      </c>
      <c r="C2571" t="s">
        <v>2111</v>
      </c>
      <c r="D2571" s="1">
        <v>43684</v>
      </c>
      <c r="E2571" s="1">
        <v>45195</v>
      </c>
      <c r="F2571">
        <v>97</v>
      </c>
      <c r="G2571">
        <v>9</v>
      </c>
      <c r="H2571">
        <v>157.37</v>
      </c>
      <c r="I2571">
        <v>77.89</v>
      </c>
      <c r="J2571" t="s">
        <v>115</v>
      </c>
      <c r="K2571" t="s">
        <v>20</v>
      </c>
      <c r="L2571" t="s">
        <v>2106</v>
      </c>
      <c r="M2571">
        <v>9</v>
      </c>
      <c r="N2571" t="s">
        <v>204</v>
      </c>
      <c r="O2571" t="s">
        <v>2088</v>
      </c>
    </row>
    <row r="2572" spans="1:15">
      <c r="A2572" t="s">
        <v>4096</v>
      </c>
      <c r="B2572" t="s">
        <v>2090</v>
      </c>
      <c r="C2572" t="s">
        <v>2086</v>
      </c>
      <c r="D2572" s="1">
        <v>45027</v>
      </c>
      <c r="E2572" s="1">
        <v>45248</v>
      </c>
      <c r="F2572">
        <v>44</v>
      </c>
      <c r="G2572">
        <v>7</v>
      </c>
      <c r="H2572">
        <v>116.36</v>
      </c>
      <c r="I2572">
        <v>116.75</v>
      </c>
      <c r="J2572" t="s">
        <v>41</v>
      </c>
      <c r="K2572" t="s">
        <v>16</v>
      </c>
      <c r="L2572" t="s">
        <v>2087</v>
      </c>
      <c r="M2572">
        <v>5</v>
      </c>
      <c r="N2572" t="s">
        <v>157</v>
      </c>
      <c r="O2572" t="s">
        <v>2088</v>
      </c>
    </row>
    <row r="2573" spans="1:15">
      <c r="A2573" t="s">
        <v>4097</v>
      </c>
      <c r="B2573" t="s">
        <v>2113</v>
      </c>
      <c r="C2573" t="s">
        <v>2091</v>
      </c>
      <c r="D2573" s="1">
        <v>44488</v>
      </c>
      <c r="E2573" s="1">
        <v>44946</v>
      </c>
      <c r="F2573">
        <v>346</v>
      </c>
      <c r="G2573">
        <v>7</v>
      </c>
      <c r="H2573">
        <v>150.37</v>
      </c>
      <c r="I2573">
        <v>46.25</v>
      </c>
      <c r="J2573" t="s">
        <v>66</v>
      </c>
      <c r="K2573" t="s">
        <v>16</v>
      </c>
      <c r="L2573" t="s">
        <v>2087</v>
      </c>
      <c r="M2573">
        <v>6</v>
      </c>
      <c r="N2573" t="s">
        <v>174</v>
      </c>
      <c r="O2573" t="s">
        <v>2096</v>
      </c>
    </row>
    <row r="2574" spans="1:15">
      <c r="A2574" t="s">
        <v>4098</v>
      </c>
      <c r="B2574" t="s">
        <v>2099</v>
      </c>
      <c r="C2574" t="s">
        <v>2091</v>
      </c>
      <c r="D2574" s="1">
        <v>43796</v>
      </c>
      <c r="E2574" s="1">
        <v>45123</v>
      </c>
      <c r="F2574">
        <v>169</v>
      </c>
      <c r="G2574">
        <v>2</v>
      </c>
      <c r="H2574">
        <v>129.4</v>
      </c>
      <c r="I2574">
        <v>90.3</v>
      </c>
      <c r="J2574" t="s">
        <v>66</v>
      </c>
      <c r="K2574" t="s">
        <v>16</v>
      </c>
      <c r="L2574" t="s">
        <v>2087</v>
      </c>
      <c r="M2574">
        <v>4</v>
      </c>
      <c r="N2574" t="s">
        <v>204</v>
      </c>
      <c r="O2574" t="s">
        <v>2107</v>
      </c>
    </row>
    <row r="2575" spans="1:15">
      <c r="A2575" t="s">
        <v>4099</v>
      </c>
      <c r="B2575" t="s">
        <v>2085</v>
      </c>
      <c r="C2575" t="s">
        <v>2094</v>
      </c>
      <c r="D2575" s="1">
        <v>44165</v>
      </c>
      <c r="E2575" s="1">
        <v>45290</v>
      </c>
      <c r="F2575">
        <v>2</v>
      </c>
      <c r="G2575">
        <v>17</v>
      </c>
      <c r="H2575">
        <v>2915.33</v>
      </c>
      <c r="I2575">
        <v>266.11</v>
      </c>
      <c r="J2575" t="s">
        <v>90</v>
      </c>
      <c r="K2575" t="s">
        <v>20</v>
      </c>
      <c r="L2575" t="s">
        <v>2106</v>
      </c>
      <c r="M2575">
        <v>2</v>
      </c>
      <c r="N2575" t="s">
        <v>157</v>
      </c>
      <c r="O2575" t="s">
        <v>2107</v>
      </c>
    </row>
    <row r="2576" spans="1:15">
      <c r="A2576" t="s">
        <v>852</v>
      </c>
      <c r="B2576" t="s">
        <v>2090</v>
      </c>
      <c r="C2576" t="s">
        <v>2091</v>
      </c>
      <c r="D2576" s="1">
        <v>43636</v>
      </c>
      <c r="E2576" s="1">
        <v>45154</v>
      </c>
      <c r="F2576">
        <v>138</v>
      </c>
      <c r="G2576">
        <v>4</v>
      </c>
      <c r="H2576">
        <v>81.27</v>
      </c>
      <c r="I2576">
        <v>106.92</v>
      </c>
      <c r="J2576" t="s">
        <v>66</v>
      </c>
      <c r="K2576" t="s">
        <v>16</v>
      </c>
      <c r="L2576" t="s">
        <v>2087</v>
      </c>
      <c r="M2576">
        <v>6</v>
      </c>
      <c r="N2576" t="s">
        <v>204</v>
      </c>
      <c r="O2576" t="s">
        <v>2096</v>
      </c>
    </row>
    <row r="2577" spans="1:15">
      <c r="A2577" t="s">
        <v>4100</v>
      </c>
      <c r="B2577" t="s">
        <v>2090</v>
      </c>
      <c r="C2577" t="s">
        <v>2108</v>
      </c>
      <c r="D2577" s="1">
        <v>44869</v>
      </c>
      <c r="E2577" s="1">
        <v>44952</v>
      </c>
      <c r="F2577">
        <v>340</v>
      </c>
      <c r="G2577">
        <v>4</v>
      </c>
      <c r="H2577">
        <v>346.62</v>
      </c>
      <c r="I2577">
        <v>60.74</v>
      </c>
      <c r="J2577" t="s">
        <v>14</v>
      </c>
      <c r="K2577" t="s">
        <v>16</v>
      </c>
      <c r="L2577" t="s">
        <v>2095</v>
      </c>
      <c r="M2577">
        <v>3</v>
      </c>
      <c r="N2577" t="s">
        <v>232</v>
      </c>
      <c r="O2577" t="s">
        <v>2088</v>
      </c>
    </row>
    <row r="2578" spans="1:15">
      <c r="A2578" t="s">
        <v>4101</v>
      </c>
      <c r="B2578" t="s">
        <v>2085</v>
      </c>
      <c r="C2578" t="s">
        <v>2100</v>
      </c>
      <c r="D2578" s="1">
        <v>44198</v>
      </c>
      <c r="E2578" s="1">
        <v>44982</v>
      </c>
      <c r="F2578">
        <v>310</v>
      </c>
      <c r="G2578">
        <v>13</v>
      </c>
      <c r="H2578">
        <v>1771.29</v>
      </c>
      <c r="I2578">
        <v>299.04000000000002</v>
      </c>
      <c r="J2578" t="s">
        <v>41</v>
      </c>
      <c r="K2578" t="s">
        <v>16</v>
      </c>
      <c r="L2578" t="s">
        <v>2095</v>
      </c>
      <c r="M2578">
        <v>1</v>
      </c>
      <c r="N2578" t="s">
        <v>194</v>
      </c>
      <c r="O2578" t="s">
        <v>2096</v>
      </c>
    </row>
    <row r="2579" spans="1:15">
      <c r="A2579" t="s">
        <v>4102</v>
      </c>
      <c r="B2579" t="s">
        <v>2093</v>
      </c>
      <c r="C2579" t="s">
        <v>2111</v>
      </c>
      <c r="D2579" s="1">
        <v>44062</v>
      </c>
      <c r="E2579" s="1">
        <v>45251</v>
      </c>
      <c r="F2579">
        <v>41</v>
      </c>
      <c r="G2579">
        <v>2</v>
      </c>
      <c r="H2579">
        <v>30.08</v>
      </c>
      <c r="I2579">
        <v>30.23</v>
      </c>
      <c r="J2579" t="s">
        <v>90</v>
      </c>
      <c r="K2579" t="s">
        <v>16</v>
      </c>
      <c r="L2579" t="s">
        <v>2087</v>
      </c>
      <c r="M2579">
        <v>1</v>
      </c>
      <c r="N2579" t="s">
        <v>204</v>
      </c>
      <c r="O2579" t="s">
        <v>2088</v>
      </c>
    </row>
    <row r="2580" spans="1:15">
      <c r="A2580" t="s">
        <v>4103</v>
      </c>
      <c r="B2580" t="s">
        <v>2085</v>
      </c>
      <c r="C2580" t="s">
        <v>2086</v>
      </c>
      <c r="D2580" s="1">
        <v>44826</v>
      </c>
      <c r="E2580" s="1">
        <v>44970</v>
      </c>
      <c r="F2580">
        <v>322</v>
      </c>
      <c r="G2580">
        <v>40</v>
      </c>
      <c r="H2580">
        <v>2136.2199999999998</v>
      </c>
      <c r="I2580">
        <v>187.22</v>
      </c>
      <c r="J2580" t="s">
        <v>66</v>
      </c>
      <c r="K2580" t="s">
        <v>16</v>
      </c>
      <c r="L2580" t="s">
        <v>2095</v>
      </c>
      <c r="M2580">
        <v>3</v>
      </c>
      <c r="N2580" t="s">
        <v>157</v>
      </c>
      <c r="O2580" t="s">
        <v>2107</v>
      </c>
    </row>
    <row r="2581" spans="1:15">
      <c r="A2581" t="s">
        <v>4104</v>
      </c>
      <c r="B2581" t="s">
        <v>2099</v>
      </c>
      <c r="C2581" t="s">
        <v>2094</v>
      </c>
      <c r="D2581" s="1">
        <v>43753</v>
      </c>
      <c r="E2581" s="1">
        <v>45192</v>
      </c>
      <c r="F2581">
        <v>100</v>
      </c>
      <c r="G2581">
        <v>2</v>
      </c>
      <c r="H2581">
        <v>66.760000000000005</v>
      </c>
      <c r="I2581">
        <v>84.29</v>
      </c>
      <c r="J2581" t="s">
        <v>115</v>
      </c>
      <c r="K2581" t="s">
        <v>16</v>
      </c>
      <c r="L2581" t="s">
        <v>2087</v>
      </c>
      <c r="M2581">
        <v>6</v>
      </c>
      <c r="N2581" t="s">
        <v>165</v>
      </c>
      <c r="O2581" t="s">
        <v>2121</v>
      </c>
    </row>
    <row r="2582" spans="1:15">
      <c r="A2582" t="s">
        <v>4105</v>
      </c>
      <c r="B2582" t="s">
        <v>2090</v>
      </c>
      <c r="C2582" t="s">
        <v>2108</v>
      </c>
      <c r="D2582" s="1">
        <v>44831</v>
      </c>
      <c r="E2582" s="1">
        <v>45118</v>
      </c>
      <c r="F2582">
        <v>174</v>
      </c>
      <c r="G2582">
        <v>2</v>
      </c>
      <c r="H2582">
        <v>220.56</v>
      </c>
      <c r="I2582">
        <v>89.01</v>
      </c>
      <c r="J2582" t="s">
        <v>90</v>
      </c>
      <c r="K2582" t="s">
        <v>20</v>
      </c>
      <c r="L2582" t="s">
        <v>2095</v>
      </c>
      <c r="M2582">
        <v>9</v>
      </c>
      <c r="N2582" t="s">
        <v>174</v>
      </c>
      <c r="O2582" t="s">
        <v>2121</v>
      </c>
    </row>
    <row r="2583" spans="1:15">
      <c r="A2583" t="s">
        <v>4106</v>
      </c>
      <c r="B2583" t="s">
        <v>2097</v>
      </c>
      <c r="C2583" t="s">
        <v>2111</v>
      </c>
      <c r="D2583" s="1">
        <v>45133</v>
      </c>
      <c r="E2583" s="1">
        <v>45226</v>
      </c>
      <c r="F2583">
        <v>66</v>
      </c>
      <c r="G2583">
        <v>7</v>
      </c>
      <c r="H2583">
        <v>535.22</v>
      </c>
      <c r="I2583">
        <v>67.02</v>
      </c>
      <c r="J2583" t="s">
        <v>14</v>
      </c>
      <c r="K2583" t="s">
        <v>20</v>
      </c>
      <c r="L2583" t="s">
        <v>2087</v>
      </c>
      <c r="M2583">
        <v>2</v>
      </c>
      <c r="N2583" t="s">
        <v>232</v>
      </c>
      <c r="O2583" t="s">
        <v>2088</v>
      </c>
    </row>
    <row r="2584" spans="1:15">
      <c r="A2584" t="s">
        <v>4107</v>
      </c>
      <c r="B2584" t="s">
        <v>2090</v>
      </c>
      <c r="C2584" t="s">
        <v>2111</v>
      </c>
      <c r="D2584" s="1">
        <v>44048</v>
      </c>
      <c r="E2584" s="1">
        <v>44930</v>
      </c>
      <c r="F2584">
        <v>362</v>
      </c>
      <c r="G2584">
        <v>4</v>
      </c>
      <c r="H2584">
        <v>241.21</v>
      </c>
      <c r="I2584">
        <v>63.22</v>
      </c>
      <c r="J2584" t="s">
        <v>41</v>
      </c>
      <c r="K2584" t="s">
        <v>20</v>
      </c>
      <c r="L2584" t="s">
        <v>2087</v>
      </c>
      <c r="M2584">
        <v>6</v>
      </c>
      <c r="N2584" t="s">
        <v>232</v>
      </c>
      <c r="O2584" t="s">
        <v>2088</v>
      </c>
    </row>
    <row r="2585" spans="1:15">
      <c r="A2585" t="s">
        <v>4108</v>
      </c>
      <c r="B2585" t="s">
        <v>2097</v>
      </c>
      <c r="C2585" t="s">
        <v>2111</v>
      </c>
      <c r="D2585" s="1">
        <v>44124</v>
      </c>
      <c r="E2585" s="1">
        <v>45005</v>
      </c>
      <c r="F2585">
        <v>287</v>
      </c>
      <c r="G2585">
        <v>4</v>
      </c>
      <c r="H2585">
        <v>334.93</v>
      </c>
      <c r="I2585">
        <v>66.84</v>
      </c>
      <c r="J2585" t="s">
        <v>14</v>
      </c>
      <c r="K2585" t="s">
        <v>16</v>
      </c>
      <c r="L2585" t="s">
        <v>2106</v>
      </c>
      <c r="M2585">
        <v>0</v>
      </c>
      <c r="N2585" t="s">
        <v>174</v>
      </c>
      <c r="O2585" t="s">
        <v>2109</v>
      </c>
    </row>
    <row r="2586" spans="1:15">
      <c r="A2586" t="s">
        <v>4109</v>
      </c>
      <c r="B2586" t="s">
        <v>2113</v>
      </c>
      <c r="C2586" t="s">
        <v>2094</v>
      </c>
      <c r="D2586" s="1">
        <v>44502</v>
      </c>
      <c r="E2586" s="1">
        <v>45258</v>
      </c>
      <c r="F2586">
        <v>34</v>
      </c>
      <c r="G2586">
        <v>6</v>
      </c>
      <c r="H2586">
        <v>176.07</v>
      </c>
      <c r="I2586">
        <v>60.96</v>
      </c>
      <c r="J2586" t="s">
        <v>66</v>
      </c>
      <c r="K2586" t="s">
        <v>16</v>
      </c>
      <c r="L2586" t="s">
        <v>2106</v>
      </c>
      <c r="M2586">
        <v>8</v>
      </c>
      <c r="N2586" t="s">
        <v>232</v>
      </c>
      <c r="O2586" t="s">
        <v>2088</v>
      </c>
    </row>
    <row r="2587" spans="1:15">
      <c r="A2587" t="s">
        <v>4110</v>
      </c>
      <c r="B2587" t="s">
        <v>2099</v>
      </c>
      <c r="C2587" t="s">
        <v>2086</v>
      </c>
      <c r="D2587" s="1">
        <v>43617</v>
      </c>
      <c r="E2587" s="1">
        <v>45280</v>
      </c>
      <c r="F2587">
        <v>12</v>
      </c>
      <c r="G2587">
        <v>2</v>
      </c>
      <c r="H2587">
        <v>67.319999999999993</v>
      </c>
      <c r="I2587">
        <v>43.78</v>
      </c>
      <c r="J2587" t="s">
        <v>41</v>
      </c>
      <c r="K2587" t="s">
        <v>16</v>
      </c>
      <c r="L2587" t="s">
        <v>2095</v>
      </c>
      <c r="M2587">
        <v>9</v>
      </c>
      <c r="N2587" t="s">
        <v>174</v>
      </c>
      <c r="O2587" t="s">
        <v>2107</v>
      </c>
    </row>
    <row r="2588" spans="1:15">
      <c r="A2588" t="s">
        <v>4111</v>
      </c>
      <c r="B2588" t="s">
        <v>2093</v>
      </c>
      <c r="C2588" t="s">
        <v>2100</v>
      </c>
      <c r="D2588" s="1">
        <v>44708</v>
      </c>
      <c r="E2588" s="1">
        <v>44979</v>
      </c>
      <c r="F2588">
        <v>313</v>
      </c>
      <c r="G2588">
        <v>4</v>
      </c>
      <c r="H2588">
        <v>107.7</v>
      </c>
      <c r="I2588">
        <v>60.08</v>
      </c>
      <c r="J2588" t="s">
        <v>66</v>
      </c>
      <c r="K2588" t="s">
        <v>16</v>
      </c>
      <c r="L2588" t="s">
        <v>2106</v>
      </c>
      <c r="M2588">
        <v>10</v>
      </c>
      <c r="N2588" t="s">
        <v>232</v>
      </c>
      <c r="O2588" t="s">
        <v>2096</v>
      </c>
    </row>
    <row r="2589" spans="1:15">
      <c r="A2589" t="s">
        <v>4112</v>
      </c>
      <c r="B2589" t="s">
        <v>2113</v>
      </c>
      <c r="C2589" t="s">
        <v>2111</v>
      </c>
      <c r="D2589" s="1">
        <v>44612</v>
      </c>
      <c r="E2589" s="1">
        <v>45262</v>
      </c>
      <c r="F2589">
        <v>30</v>
      </c>
      <c r="G2589">
        <v>11</v>
      </c>
      <c r="H2589">
        <v>497.95</v>
      </c>
      <c r="I2589">
        <v>65.97</v>
      </c>
      <c r="J2589" t="s">
        <v>14</v>
      </c>
      <c r="K2589" t="s">
        <v>16</v>
      </c>
      <c r="L2589" t="s">
        <v>2095</v>
      </c>
      <c r="M2589">
        <v>0</v>
      </c>
      <c r="N2589" t="s">
        <v>232</v>
      </c>
      <c r="O2589" t="s">
        <v>2121</v>
      </c>
    </row>
    <row r="2590" spans="1:15">
      <c r="A2590" t="s">
        <v>4113</v>
      </c>
      <c r="B2590" t="s">
        <v>2097</v>
      </c>
      <c r="C2590" t="s">
        <v>2091</v>
      </c>
      <c r="D2590" s="1">
        <v>45263</v>
      </c>
      <c r="E2590" s="1">
        <v>45200</v>
      </c>
      <c r="F2590">
        <v>92</v>
      </c>
      <c r="G2590">
        <v>6</v>
      </c>
      <c r="H2590">
        <v>216.52</v>
      </c>
      <c r="I2590">
        <v>90.26</v>
      </c>
      <c r="J2590" t="s">
        <v>41</v>
      </c>
      <c r="K2590" t="s">
        <v>16</v>
      </c>
      <c r="L2590" t="s">
        <v>2095</v>
      </c>
      <c r="M2590">
        <v>8</v>
      </c>
      <c r="N2590" t="s">
        <v>194</v>
      </c>
      <c r="O2590" t="s">
        <v>2096</v>
      </c>
    </row>
    <row r="2591" spans="1:15">
      <c r="A2591" t="s">
        <v>4114</v>
      </c>
      <c r="B2591" t="s">
        <v>2093</v>
      </c>
      <c r="C2591" t="s">
        <v>2100</v>
      </c>
      <c r="D2591" s="1">
        <v>44970</v>
      </c>
      <c r="E2591" s="1">
        <v>45055</v>
      </c>
      <c r="F2591">
        <v>237</v>
      </c>
      <c r="G2591">
        <v>2</v>
      </c>
      <c r="H2591">
        <v>55.08</v>
      </c>
      <c r="I2591">
        <v>63.59</v>
      </c>
      <c r="J2591" t="s">
        <v>41</v>
      </c>
      <c r="K2591" t="s">
        <v>16</v>
      </c>
      <c r="L2591" t="s">
        <v>2087</v>
      </c>
      <c r="M2591">
        <v>1</v>
      </c>
      <c r="N2591" t="s">
        <v>165</v>
      </c>
      <c r="O2591" t="s">
        <v>2107</v>
      </c>
    </row>
    <row r="2592" spans="1:15">
      <c r="A2592" t="s">
        <v>4115</v>
      </c>
      <c r="B2592" t="s">
        <v>2097</v>
      </c>
      <c r="C2592" t="s">
        <v>2091</v>
      </c>
      <c r="D2592" s="1">
        <v>45176</v>
      </c>
      <c r="E2592" s="1">
        <v>45056</v>
      </c>
      <c r="F2592">
        <v>236</v>
      </c>
      <c r="G2592">
        <v>3</v>
      </c>
      <c r="H2592">
        <v>796.74</v>
      </c>
      <c r="I2592">
        <v>81.31</v>
      </c>
      <c r="J2592" t="s">
        <v>41</v>
      </c>
      <c r="K2592" t="s">
        <v>20</v>
      </c>
      <c r="L2592" t="s">
        <v>2087</v>
      </c>
      <c r="M2592">
        <v>7</v>
      </c>
      <c r="N2592" t="s">
        <v>179</v>
      </c>
      <c r="O2592" t="s">
        <v>2096</v>
      </c>
    </row>
    <row r="2593" spans="1:15">
      <c r="A2593" t="s">
        <v>1128</v>
      </c>
      <c r="B2593" t="s">
        <v>2099</v>
      </c>
      <c r="C2593" t="s">
        <v>2108</v>
      </c>
      <c r="D2593" s="1">
        <v>43741</v>
      </c>
      <c r="E2593" s="1">
        <v>45243</v>
      </c>
      <c r="F2593">
        <v>49</v>
      </c>
      <c r="G2593">
        <v>2</v>
      </c>
      <c r="H2593">
        <v>70.03</v>
      </c>
      <c r="I2593">
        <v>44.87</v>
      </c>
      <c r="J2593" t="s">
        <v>41</v>
      </c>
      <c r="K2593" t="s">
        <v>20</v>
      </c>
      <c r="L2593" t="s">
        <v>2106</v>
      </c>
      <c r="M2593">
        <v>10</v>
      </c>
      <c r="N2593" t="s">
        <v>165</v>
      </c>
      <c r="O2593" t="s">
        <v>2088</v>
      </c>
    </row>
    <row r="2594" spans="1:15">
      <c r="A2594" t="s">
        <v>744</v>
      </c>
      <c r="B2594" t="s">
        <v>2090</v>
      </c>
      <c r="C2594" t="s">
        <v>2100</v>
      </c>
      <c r="D2594" s="1">
        <v>44339</v>
      </c>
      <c r="E2594" s="1">
        <v>45289</v>
      </c>
      <c r="F2594">
        <v>3</v>
      </c>
      <c r="G2594">
        <v>5</v>
      </c>
      <c r="H2594">
        <v>284.73</v>
      </c>
      <c r="I2594">
        <v>112.79</v>
      </c>
      <c r="J2594" t="s">
        <v>90</v>
      </c>
      <c r="K2594" t="s">
        <v>16</v>
      </c>
      <c r="L2594" t="s">
        <v>2095</v>
      </c>
      <c r="M2594">
        <v>8</v>
      </c>
      <c r="N2594" t="s">
        <v>165</v>
      </c>
      <c r="O2594" t="s">
        <v>2109</v>
      </c>
    </row>
    <row r="2595" spans="1:15">
      <c r="A2595" t="s">
        <v>4116</v>
      </c>
      <c r="B2595" t="s">
        <v>2099</v>
      </c>
      <c r="C2595" t="s">
        <v>2094</v>
      </c>
      <c r="D2595" s="1">
        <v>44158</v>
      </c>
      <c r="E2595" s="1">
        <v>45018</v>
      </c>
      <c r="F2595">
        <v>274</v>
      </c>
      <c r="G2595">
        <v>1</v>
      </c>
      <c r="H2595">
        <v>29.76</v>
      </c>
      <c r="I2595">
        <v>55.91</v>
      </c>
      <c r="J2595" t="s">
        <v>14</v>
      </c>
      <c r="K2595" t="s">
        <v>16</v>
      </c>
      <c r="L2595" t="s">
        <v>2095</v>
      </c>
      <c r="M2595">
        <v>3</v>
      </c>
      <c r="N2595" t="s">
        <v>165</v>
      </c>
      <c r="O2595" t="s">
        <v>2096</v>
      </c>
    </row>
    <row r="2596" spans="1:15">
      <c r="A2596" t="s">
        <v>4117</v>
      </c>
      <c r="B2596" t="s">
        <v>2113</v>
      </c>
      <c r="C2596" t="s">
        <v>2108</v>
      </c>
      <c r="D2596" s="1">
        <v>45112</v>
      </c>
      <c r="E2596" s="1">
        <v>45233</v>
      </c>
      <c r="F2596">
        <v>59</v>
      </c>
      <c r="G2596">
        <v>7</v>
      </c>
      <c r="H2596">
        <v>109.34</v>
      </c>
      <c r="I2596">
        <v>63.66</v>
      </c>
      <c r="J2596" t="s">
        <v>90</v>
      </c>
      <c r="K2596" t="s">
        <v>16</v>
      </c>
      <c r="L2596" t="s">
        <v>2087</v>
      </c>
      <c r="M2596">
        <v>7</v>
      </c>
      <c r="N2596" t="s">
        <v>179</v>
      </c>
      <c r="O2596" t="s">
        <v>2107</v>
      </c>
    </row>
    <row r="2597" spans="1:15">
      <c r="A2597" t="s">
        <v>1286</v>
      </c>
      <c r="B2597" t="s">
        <v>2113</v>
      </c>
      <c r="C2597" t="s">
        <v>2108</v>
      </c>
      <c r="D2597" s="1">
        <v>43598</v>
      </c>
      <c r="E2597" s="1">
        <v>45150</v>
      </c>
      <c r="F2597">
        <v>142</v>
      </c>
      <c r="G2597">
        <v>13</v>
      </c>
      <c r="H2597">
        <v>191.42</v>
      </c>
      <c r="I2597">
        <v>47.32</v>
      </c>
      <c r="J2597" t="s">
        <v>115</v>
      </c>
      <c r="K2597" t="s">
        <v>20</v>
      </c>
      <c r="L2597" t="s">
        <v>2106</v>
      </c>
      <c r="M2597">
        <v>3</v>
      </c>
      <c r="N2597" t="s">
        <v>232</v>
      </c>
      <c r="O2597" t="s">
        <v>2107</v>
      </c>
    </row>
    <row r="2598" spans="1:15">
      <c r="A2598" t="s">
        <v>4118</v>
      </c>
      <c r="B2598" t="s">
        <v>2099</v>
      </c>
      <c r="C2598" t="s">
        <v>2086</v>
      </c>
      <c r="D2598" s="1">
        <v>44919</v>
      </c>
      <c r="E2598" s="1">
        <v>45046</v>
      </c>
      <c r="F2598">
        <v>246</v>
      </c>
      <c r="G2598">
        <v>2</v>
      </c>
      <c r="H2598">
        <v>117.82</v>
      </c>
      <c r="I2598">
        <v>96.28</v>
      </c>
      <c r="J2598" t="s">
        <v>115</v>
      </c>
      <c r="K2598" t="s">
        <v>16</v>
      </c>
      <c r="L2598" t="s">
        <v>2106</v>
      </c>
      <c r="M2598">
        <v>2</v>
      </c>
      <c r="N2598" t="s">
        <v>157</v>
      </c>
      <c r="O2598" t="s">
        <v>2088</v>
      </c>
    </row>
    <row r="2599" spans="1:15">
      <c r="A2599" t="s">
        <v>4119</v>
      </c>
      <c r="B2599" t="s">
        <v>2093</v>
      </c>
      <c r="C2599" t="s">
        <v>2091</v>
      </c>
      <c r="D2599" s="1">
        <v>44513</v>
      </c>
      <c r="E2599" s="1">
        <v>45222</v>
      </c>
      <c r="F2599">
        <v>70</v>
      </c>
      <c r="G2599">
        <v>1</v>
      </c>
      <c r="H2599">
        <v>166.84</v>
      </c>
      <c r="I2599">
        <v>30.16</v>
      </c>
      <c r="J2599" t="s">
        <v>90</v>
      </c>
      <c r="K2599" t="s">
        <v>20</v>
      </c>
      <c r="L2599" t="s">
        <v>2095</v>
      </c>
      <c r="M2599">
        <v>10</v>
      </c>
      <c r="N2599" t="s">
        <v>165</v>
      </c>
      <c r="O2599" t="s">
        <v>2107</v>
      </c>
    </row>
    <row r="2600" spans="1:15">
      <c r="A2600" t="s">
        <v>856</v>
      </c>
      <c r="B2600" t="s">
        <v>2099</v>
      </c>
      <c r="C2600" t="s">
        <v>2094</v>
      </c>
      <c r="D2600" s="1">
        <v>44976</v>
      </c>
      <c r="E2600" s="1">
        <v>44947</v>
      </c>
      <c r="F2600">
        <v>345</v>
      </c>
      <c r="G2600">
        <v>2</v>
      </c>
      <c r="H2600">
        <v>87.08</v>
      </c>
      <c r="I2600">
        <v>58.25</v>
      </c>
      <c r="J2600" t="s">
        <v>41</v>
      </c>
      <c r="K2600" t="s">
        <v>20</v>
      </c>
      <c r="L2600" t="s">
        <v>2095</v>
      </c>
      <c r="M2600">
        <v>5</v>
      </c>
      <c r="N2600" t="s">
        <v>204</v>
      </c>
      <c r="O2600" t="s">
        <v>2107</v>
      </c>
    </row>
    <row r="2601" spans="1:15">
      <c r="A2601" t="s">
        <v>4120</v>
      </c>
      <c r="B2601" t="s">
        <v>2085</v>
      </c>
      <c r="C2601" t="s">
        <v>2111</v>
      </c>
      <c r="D2601" s="1">
        <v>43947</v>
      </c>
      <c r="E2601" s="1">
        <v>44963</v>
      </c>
      <c r="F2601">
        <v>329</v>
      </c>
      <c r="G2601">
        <v>28</v>
      </c>
      <c r="H2601">
        <v>2151.23</v>
      </c>
      <c r="I2601">
        <v>173.44</v>
      </c>
      <c r="J2601" t="s">
        <v>90</v>
      </c>
      <c r="K2601" t="s">
        <v>20</v>
      </c>
      <c r="L2601" t="s">
        <v>2106</v>
      </c>
      <c r="M2601">
        <v>9</v>
      </c>
      <c r="N2601" t="s">
        <v>157</v>
      </c>
      <c r="O2601" t="s">
        <v>2096</v>
      </c>
    </row>
    <row r="2602" spans="1:15">
      <c r="A2602" t="s">
        <v>816</v>
      </c>
      <c r="B2602" t="s">
        <v>2093</v>
      </c>
      <c r="C2602" t="s">
        <v>2094</v>
      </c>
      <c r="D2602" s="1">
        <v>44423</v>
      </c>
      <c r="E2602" s="1">
        <v>44956</v>
      </c>
      <c r="F2602">
        <v>336</v>
      </c>
      <c r="G2602">
        <v>2</v>
      </c>
      <c r="H2602">
        <v>84.19</v>
      </c>
      <c r="I2602">
        <v>38.75</v>
      </c>
      <c r="J2602" t="s">
        <v>14</v>
      </c>
      <c r="K2602" t="s">
        <v>16</v>
      </c>
      <c r="L2602" t="s">
        <v>2106</v>
      </c>
      <c r="M2602">
        <v>0</v>
      </c>
      <c r="N2602" t="s">
        <v>204</v>
      </c>
      <c r="O2602" t="s">
        <v>2109</v>
      </c>
    </row>
    <row r="2603" spans="1:15">
      <c r="A2603" t="s">
        <v>4121</v>
      </c>
      <c r="B2603" t="s">
        <v>2113</v>
      </c>
      <c r="C2603" t="s">
        <v>2086</v>
      </c>
      <c r="D2603" s="1">
        <v>45051</v>
      </c>
      <c r="E2603" s="1">
        <v>45079</v>
      </c>
      <c r="F2603">
        <v>213</v>
      </c>
      <c r="G2603">
        <v>5</v>
      </c>
      <c r="H2603">
        <v>461.61</v>
      </c>
      <c r="I2603">
        <v>57.58</v>
      </c>
      <c r="J2603" t="s">
        <v>66</v>
      </c>
      <c r="K2603" t="s">
        <v>20</v>
      </c>
      <c r="L2603" t="s">
        <v>2106</v>
      </c>
      <c r="M2603">
        <v>9</v>
      </c>
      <c r="N2603" t="s">
        <v>232</v>
      </c>
      <c r="O2603" t="s">
        <v>2109</v>
      </c>
    </row>
    <row r="2604" spans="1:15">
      <c r="A2604" t="s">
        <v>4122</v>
      </c>
      <c r="B2604" t="s">
        <v>2097</v>
      </c>
      <c r="C2604" t="s">
        <v>2091</v>
      </c>
      <c r="D2604" s="1">
        <v>44908</v>
      </c>
      <c r="E2604" s="1">
        <v>45139</v>
      </c>
      <c r="F2604">
        <v>153</v>
      </c>
      <c r="G2604">
        <v>8</v>
      </c>
      <c r="H2604">
        <v>446.44</v>
      </c>
      <c r="I2604">
        <v>100.46</v>
      </c>
      <c r="J2604" t="s">
        <v>14</v>
      </c>
      <c r="K2604" t="s">
        <v>16</v>
      </c>
      <c r="L2604" t="s">
        <v>2106</v>
      </c>
      <c r="M2604">
        <v>0</v>
      </c>
      <c r="N2604" t="s">
        <v>179</v>
      </c>
      <c r="O2604" t="s">
        <v>2121</v>
      </c>
    </row>
    <row r="2605" spans="1:15">
      <c r="A2605" t="s">
        <v>4123</v>
      </c>
      <c r="B2605" t="s">
        <v>2090</v>
      </c>
      <c r="C2605" t="s">
        <v>2094</v>
      </c>
      <c r="D2605" s="1">
        <v>43992</v>
      </c>
      <c r="E2605" s="1">
        <v>45209</v>
      </c>
      <c r="F2605">
        <v>83</v>
      </c>
      <c r="G2605">
        <v>4</v>
      </c>
      <c r="H2605">
        <v>103.35</v>
      </c>
      <c r="I2605">
        <v>102.49</v>
      </c>
      <c r="J2605" t="s">
        <v>66</v>
      </c>
      <c r="K2605" t="s">
        <v>16</v>
      </c>
      <c r="L2605" t="s">
        <v>2106</v>
      </c>
      <c r="M2605">
        <v>2</v>
      </c>
      <c r="N2605" t="s">
        <v>157</v>
      </c>
      <c r="O2605" t="s">
        <v>2121</v>
      </c>
    </row>
    <row r="2606" spans="1:15">
      <c r="A2606" t="s">
        <v>4124</v>
      </c>
      <c r="B2606" t="s">
        <v>2090</v>
      </c>
      <c r="C2606" t="s">
        <v>2108</v>
      </c>
      <c r="D2606" s="1">
        <v>45198</v>
      </c>
      <c r="E2606" s="1">
        <v>45023</v>
      </c>
      <c r="F2606">
        <v>269</v>
      </c>
      <c r="G2606">
        <v>4</v>
      </c>
      <c r="H2606">
        <v>187.73</v>
      </c>
      <c r="I2606">
        <v>55.69</v>
      </c>
      <c r="J2606" t="s">
        <v>14</v>
      </c>
      <c r="K2606" t="s">
        <v>20</v>
      </c>
      <c r="L2606" t="s">
        <v>2087</v>
      </c>
      <c r="M2606">
        <v>9</v>
      </c>
      <c r="N2606" t="s">
        <v>174</v>
      </c>
      <c r="O2606" t="s">
        <v>2121</v>
      </c>
    </row>
    <row r="2607" spans="1:15">
      <c r="A2607" t="s">
        <v>4125</v>
      </c>
      <c r="B2607" t="s">
        <v>2113</v>
      </c>
      <c r="C2607" t="s">
        <v>2111</v>
      </c>
      <c r="D2607" s="1">
        <v>44876</v>
      </c>
      <c r="E2607" s="1">
        <v>45108</v>
      </c>
      <c r="F2607">
        <v>184</v>
      </c>
      <c r="G2607">
        <v>8</v>
      </c>
      <c r="H2607">
        <v>390.92</v>
      </c>
      <c r="I2607">
        <v>40.409999999999997</v>
      </c>
      <c r="J2607" t="s">
        <v>14</v>
      </c>
      <c r="K2607" t="s">
        <v>16</v>
      </c>
      <c r="L2607" t="s">
        <v>2106</v>
      </c>
      <c r="M2607">
        <v>6</v>
      </c>
      <c r="N2607" t="s">
        <v>204</v>
      </c>
      <c r="O2607" t="s">
        <v>2121</v>
      </c>
    </row>
    <row r="2608" spans="1:15">
      <c r="A2608" t="s">
        <v>4126</v>
      </c>
      <c r="B2608" t="s">
        <v>2113</v>
      </c>
      <c r="C2608" t="s">
        <v>2091</v>
      </c>
      <c r="D2608" s="1">
        <v>45118</v>
      </c>
      <c r="E2608" s="1">
        <v>45146</v>
      </c>
      <c r="F2608">
        <v>146</v>
      </c>
      <c r="G2608">
        <v>8</v>
      </c>
      <c r="H2608">
        <v>436.26</v>
      </c>
      <c r="I2608">
        <v>78.87</v>
      </c>
      <c r="J2608" t="s">
        <v>90</v>
      </c>
      <c r="K2608" t="s">
        <v>16</v>
      </c>
      <c r="L2608" t="s">
        <v>2106</v>
      </c>
      <c r="M2608">
        <v>9</v>
      </c>
      <c r="N2608" t="s">
        <v>174</v>
      </c>
      <c r="O2608" t="s">
        <v>2121</v>
      </c>
    </row>
    <row r="2609" spans="1:15">
      <c r="A2609" t="s">
        <v>4127</v>
      </c>
      <c r="B2609" t="s">
        <v>2093</v>
      </c>
      <c r="C2609" t="s">
        <v>2091</v>
      </c>
      <c r="D2609" s="1">
        <v>44483</v>
      </c>
      <c r="E2609" s="1">
        <v>44999</v>
      </c>
      <c r="F2609">
        <v>293</v>
      </c>
      <c r="G2609">
        <v>1</v>
      </c>
      <c r="H2609">
        <v>72.81</v>
      </c>
      <c r="I2609">
        <v>49.47</v>
      </c>
      <c r="J2609" t="s">
        <v>41</v>
      </c>
      <c r="K2609" t="s">
        <v>16</v>
      </c>
      <c r="L2609" t="s">
        <v>2095</v>
      </c>
      <c r="M2609">
        <v>6</v>
      </c>
      <c r="N2609" t="s">
        <v>179</v>
      </c>
      <c r="O2609" t="s">
        <v>2109</v>
      </c>
    </row>
    <row r="2610" spans="1:15">
      <c r="A2610" t="s">
        <v>4128</v>
      </c>
      <c r="B2610" t="s">
        <v>2090</v>
      </c>
      <c r="C2610" t="s">
        <v>2091</v>
      </c>
      <c r="D2610" s="1">
        <v>43546</v>
      </c>
      <c r="E2610" s="1">
        <v>45290</v>
      </c>
      <c r="F2610">
        <v>2</v>
      </c>
      <c r="G2610">
        <v>8</v>
      </c>
      <c r="H2610">
        <v>339.15</v>
      </c>
      <c r="I2610">
        <v>109.47</v>
      </c>
      <c r="J2610" t="s">
        <v>41</v>
      </c>
      <c r="K2610" t="s">
        <v>16</v>
      </c>
      <c r="L2610" t="s">
        <v>2106</v>
      </c>
      <c r="M2610">
        <v>8</v>
      </c>
      <c r="N2610" t="s">
        <v>174</v>
      </c>
      <c r="O2610" t="s">
        <v>2107</v>
      </c>
    </row>
    <row r="2611" spans="1:15">
      <c r="A2611" t="s">
        <v>4129</v>
      </c>
      <c r="B2611" t="s">
        <v>2090</v>
      </c>
      <c r="C2611" t="s">
        <v>2086</v>
      </c>
      <c r="D2611" s="1">
        <v>45254</v>
      </c>
      <c r="E2611" s="1">
        <v>45196</v>
      </c>
      <c r="F2611">
        <v>96</v>
      </c>
      <c r="G2611">
        <v>2</v>
      </c>
      <c r="H2611">
        <v>221.23</v>
      </c>
      <c r="I2611">
        <v>110.95</v>
      </c>
      <c r="J2611" t="s">
        <v>115</v>
      </c>
      <c r="K2611" t="s">
        <v>16</v>
      </c>
      <c r="L2611" t="s">
        <v>2087</v>
      </c>
      <c r="M2611">
        <v>4</v>
      </c>
      <c r="N2611" t="s">
        <v>165</v>
      </c>
      <c r="O2611" t="s">
        <v>2109</v>
      </c>
    </row>
    <row r="2612" spans="1:15">
      <c r="A2612" t="s">
        <v>4130</v>
      </c>
      <c r="B2612" t="s">
        <v>2093</v>
      </c>
      <c r="C2612" t="s">
        <v>2091</v>
      </c>
      <c r="D2612" s="1">
        <v>43711</v>
      </c>
      <c r="E2612" s="1">
        <v>44963</v>
      </c>
      <c r="F2612">
        <v>329</v>
      </c>
      <c r="G2612">
        <v>3</v>
      </c>
      <c r="H2612">
        <v>179.15</v>
      </c>
      <c r="I2612">
        <v>77.25</v>
      </c>
      <c r="J2612" t="s">
        <v>90</v>
      </c>
      <c r="K2612" t="s">
        <v>20</v>
      </c>
      <c r="L2612" t="s">
        <v>2087</v>
      </c>
      <c r="M2612">
        <v>9</v>
      </c>
      <c r="N2612" t="s">
        <v>204</v>
      </c>
      <c r="O2612" t="s">
        <v>2107</v>
      </c>
    </row>
    <row r="2613" spans="1:15">
      <c r="A2613" t="s">
        <v>510</v>
      </c>
      <c r="B2613" t="s">
        <v>2099</v>
      </c>
      <c r="C2613" t="s">
        <v>2091</v>
      </c>
      <c r="D2613" s="1">
        <v>45188</v>
      </c>
      <c r="E2613" s="1">
        <v>45032</v>
      </c>
      <c r="F2613">
        <v>260</v>
      </c>
      <c r="G2613">
        <v>1</v>
      </c>
      <c r="H2613">
        <v>29.14</v>
      </c>
      <c r="I2613">
        <v>44.47</v>
      </c>
      <c r="J2613" t="s">
        <v>14</v>
      </c>
      <c r="K2613" t="s">
        <v>16</v>
      </c>
      <c r="L2613" t="s">
        <v>2106</v>
      </c>
      <c r="M2613">
        <v>8</v>
      </c>
      <c r="N2613" t="s">
        <v>204</v>
      </c>
      <c r="O2613" t="s">
        <v>2107</v>
      </c>
    </row>
    <row r="2614" spans="1:15">
      <c r="A2614" t="s">
        <v>4131</v>
      </c>
      <c r="B2614" t="s">
        <v>2097</v>
      </c>
      <c r="C2614" t="s">
        <v>2094</v>
      </c>
      <c r="D2614" s="1">
        <v>44150</v>
      </c>
      <c r="E2614" s="1">
        <v>45224</v>
      </c>
      <c r="F2614">
        <v>68</v>
      </c>
      <c r="G2614">
        <v>3</v>
      </c>
      <c r="H2614">
        <v>680.67</v>
      </c>
      <c r="I2614">
        <v>123.2</v>
      </c>
      <c r="J2614" t="s">
        <v>14</v>
      </c>
      <c r="K2614" t="s">
        <v>16</v>
      </c>
      <c r="L2614" t="s">
        <v>2095</v>
      </c>
      <c r="M2614">
        <v>8</v>
      </c>
      <c r="N2614" t="s">
        <v>174</v>
      </c>
      <c r="O2614" t="s">
        <v>2088</v>
      </c>
    </row>
    <row r="2615" spans="1:15">
      <c r="A2615" t="s">
        <v>846</v>
      </c>
      <c r="B2615" t="s">
        <v>2085</v>
      </c>
      <c r="C2615" t="s">
        <v>2108</v>
      </c>
      <c r="D2615" s="1">
        <v>44228</v>
      </c>
      <c r="E2615" s="1">
        <v>44974</v>
      </c>
      <c r="F2615">
        <v>318</v>
      </c>
      <c r="G2615">
        <v>19</v>
      </c>
      <c r="H2615">
        <v>2350.9699999999998</v>
      </c>
      <c r="I2615">
        <v>159.57</v>
      </c>
      <c r="J2615" t="s">
        <v>14</v>
      </c>
      <c r="K2615" t="s">
        <v>16</v>
      </c>
      <c r="L2615" t="s">
        <v>2095</v>
      </c>
      <c r="M2615">
        <v>1</v>
      </c>
      <c r="N2615" t="s">
        <v>232</v>
      </c>
      <c r="O2615" t="s">
        <v>2107</v>
      </c>
    </row>
    <row r="2616" spans="1:15">
      <c r="A2616" t="s">
        <v>4132</v>
      </c>
      <c r="B2616" t="s">
        <v>2113</v>
      </c>
      <c r="C2616" t="s">
        <v>2111</v>
      </c>
      <c r="D2616" s="1">
        <v>43644</v>
      </c>
      <c r="E2616" s="1">
        <v>45156</v>
      </c>
      <c r="F2616">
        <v>136</v>
      </c>
      <c r="G2616">
        <v>7</v>
      </c>
      <c r="H2616">
        <v>453.21</v>
      </c>
      <c r="I2616">
        <v>31.19</v>
      </c>
      <c r="J2616" t="s">
        <v>41</v>
      </c>
      <c r="K2616" t="s">
        <v>20</v>
      </c>
      <c r="L2616" t="s">
        <v>2087</v>
      </c>
      <c r="M2616">
        <v>6</v>
      </c>
      <c r="N2616" t="s">
        <v>174</v>
      </c>
      <c r="O2616" t="s">
        <v>2109</v>
      </c>
    </row>
    <row r="2617" spans="1:15">
      <c r="A2617" t="s">
        <v>1369</v>
      </c>
      <c r="B2617" t="s">
        <v>2093</v>
      </c>
      <c r="C2617" t="s">
        <v>2091</v>
      </c>
      <c r="D2617" s="1">
        <v>45089</v>
      </c>
      <c r="E2617" s="1">
        <v>45250</v>
      </c>
      <c r="F2617">
        <v>42</v>
      </c>
      <c r="G2617">
        <v>5</v>
      </c>
      <c r="H2617">
        <v>110</v>
      </c>
      <c r="I2617">
        <v>46.74</v>
      </c>
      <c r="J2617" t="s">
        <v>41</v>
      </c>
      <c r="K2617" t="s">
        <v>16</v>
      </c>
      <c r="L2617" t="s">
        <v>2087</v>
      </c>
      <c r="M2617">
        <v>9</v>
      </c>
      <c r="N2617" t="s">
        <v>232</v>
      </c>
      <c r="O2617" t="s">
        <v>2088</v>
      </c>
    </row>
    <row r="2618" spans="1:15">
      <c r="A2618" t="s">
        <v>4133</v>
      </c>
      <c r="B2618" t="s">
        <v>2099</v>
      </c>
      <c r="C2618" t="s">
        <v>2091</v>
      </c>
      <c r="D2618" s="1">
        <v>43508</v>
      </c>
      <c r="E2618" s="1">
        <v>45070</v>
      </c>
      <c r="F2618">
        <v>222</v>
      </c>
      <c r="G2618">
        <v>1</v>
      </c>
      <c r="H2618">
        <v>47.25</v>
      </c>
      <c r="I2618">
        <v>30.27</v>
      </c>
      <c r="J2618" t="s">
        <v>66</v>
      </c>
      <c r="K2618" t="s">
        <v>20</v>
      </c>
      <c r="L2618" t="s">
        <v>2087</v>
      </c>
      <c r="M2618">
        <v>4</v>
      </c>
      <c r="N2618" t="s">
        <v>157</v>
      </c>
      <c r="O2618" t="s">
        <v>2107</v>
      </c>
    </row>
    <row r="2619" spans="1:15">
      <c r="A2619" t="s">
        <v>4134</v>
      </c>
      <c r="B2619" t="s">
        <v>2113</v>
      </c>
      <c r="C2619" t="s">
        <v>2111</v>
      </c>
      <c r="D2619" s="1">
        <v>44205</v>
      </c>
      <c r="E2619" s="1">
        <v>44960</v>
      </c>
      <c r="F2619">
        <v>332</v>
      </c>
      <c r="G2619">
        <v>14</v>
      </c>
      <c r="H2619">
        <v>164.85</v>
      </c>
      <c r="I2619">
        <v>32.17</v>
      </c>
      <c r="J2619" t="s">
        <v>14</v>
      </c>
      <c r="K2619" t="s">
        <v>16</v>
      </c>
      <c r="L2619" t="s">
        <v>2087</v>
      </c>
      <c r="M2619">
        <v>0</v>
      </c>
      <c r="N2619" t="s">
        <v>174</v>
      </c>
      <c r="O2619" t="s">
        <v>2096</v>
      </c>
    </row>
    <row r="2620" spans="1:15">
      <c r="A2620" t="s">
        <v>4135</v>
      </c>
      <c r="B2620" t="s">
        <v>2093</v>
      </c>
      <c r="C2620" t="s">
        <v>2094</v>
      </c>
      <c r="D2620" s="1">
        <v>44154</v>
      </c>
      <c r="E2620" s="1">
        <v>45114</v>
      </c>
      <c r="F2620">
        <v>178</v>
      </c>
      <c r="G2620">
        <v>3</v>
      </c>
      <c r="H2620">
        <v>48.79</v>
      </c>
      <c r="I2620">
        <v>27.32</v>
      </c>
      <c r="J2620" t="s">
        <v>90</v>
      </c>
      <c r="K2620" t="s">
        <v>20</v>
      </c>
      <c r="L2620" t="s">
        <v>2087</v>
      </c>
      <c r="M2620">
        <v>2</v>
      </c>
      <c r="N2620" t="s">
        <v>174</v>
      </c>
      <c r="O2620" t="s">
        <v>2109</v>
      </c>
    </row>
    <row r="2621" spans="1:15">
      <c r="A2621" t="s">
        <v>4136</v>
      </c>
      <c r="B2621" t="s">
        <v>2097</v>
      </c>
      <c r="C2621" t="s">
        <v>2108</v>
      </c>
      <c r="D2621" s="1">
        <v>44197</v>
      </c>
      <c r="E2621" s="1">
        <v>45143</v>
      </c>
      <c r="F2621">
        <v>149</v>
      </c>
      <c r="G2621">
        <v>5</v>
      </c>
      <c r="H2621">
        <v>591.36</v>
      </c>
      <c r="I2621">
        <v>109.68</v>
      </c>
      <c r="J2621" t="s">
        <v>90</v>
      </c>
      <c r="K2621" t="s">
        <v>16</v>
      </c>
      <c r="L2621" t="s">
        <v>2106</v>
      </c>
      <c r="M2621">
        <v>1</v>
      </c>
      <c r="N2621" t="s">
        <v>204</v>
      </c>
      <c r="O2621" t="s">
        <v>2109</v>
      </c>
    </row>
    <row r="2622" spans="1:15">
      <c r="A2622" t="s">
        <v>4137</v>
      </c>
      <c r="B2622" t="s">
        <v>2085</v>
      </c>
      <c r="C2622" t="s">
        <v>2086</v>
      </c>
      <c r="D2622" s="1">
        <v>45019</v>
      </c>
      <c r="E2622" s="1">
        <v>45213</v>
      </c>
      <c r="F2622">
        <v>79</v>
      </c>
      <c r="G2622">
        <v>34</v>
      </c>
      <c r="H2622">
        <v>1950.02</v>
      </c>
      <c r="I2622">
        <v>252.85</v>
      </c>
      <c r="J2622" t="s">
        <v>115</v>
      </c>
      <c r="K2622" t="s">
        <v>16</v>
      </c>
      <c r="L2622" t="s">
        <v>2106</v>
      </c>
      <c r="M2622">
        <v>8</v>
      </c>
      <c r="N2622" t="s">
        <v>179</v>
      </c>
      <c r="O2622" t="s">
        <v>2109</v>
      </c>
    </row>
    <row r="2623" spans="1:15">
      <c r="A2623" t="s">
        <v>4138</v>
      </c>
      <c r="B2623" t="s">
        <v>2099</v>
      </c>
      <c r="C2623" t="s">
        <v>2091</v>
      </c>
      <c r="D2623" s="1">
        <v>44225</v>
      </c>
      <c r="E2623" s="1">
        <v>44959</v>
      </c>
      <c r="F2623">
        <v>333</v>
      </c>
      <c r="G2623">
        <v>2</v>
      </c>
      <c r="H2623">
        <v>81.900000000000006</v>
      </c>
      <c r="I2623">
        <v>55.04</v>
      </c>
      <c r="J2623" t="s">
        <v>115</v>
      </c>
      <c r="K2623" t="s">
        <v>16</v>
      </c>
      <c r="L2623" t="s">
        <v>2087</v>
      </c>
      <c r="M2623">
        <v>10</v>
      </c>
      <c r="N2623" t="s">
        <v>174</v>
      </c>
      <c r="O2623" t="s">
        <v>2107</v>
      </c>
    </row>
    <row r="2624" spans="1:15">
      <c r="A2624" t="s">
        <v>4139</v>
      </c>
      <c r="B2624" t="s">
        <v>2097</v>
      </c>
      <c r="C2624" t="s">
        <v>2100</v>
      </c>
      <c r="D2624" s="1">
        <v>43923</v>
      </c>
      <c r="E2624" s="1">
        <v>45241</v>
      </c>
      <c r="F2624">
        <v>51</v>
      </c>
      <c r="G2624">
        <v>11</v>
      </c>
      <c r="H2624">
        <v>204.62</v>
      </c>
      <c r="I2624">
        <v>147.1</v>
      </c>
      <c r="J2624" t="s">
        <v>41</v>
      </c>
      <c r="K2624" t="s">
        <v>16</v>
      </c>
      <c r="L2624" t="s">
        <v>2087</v>
      </c>
      <c r="M2624">
        <v>8</v>
      </c>
      <c r="N2624" t="s">
        <v>204</v>
      </c>
      <c r="O2624" t="s">
        <v>2107</v>
      </c>
    </row>
    <row r="2625" spans="1:15">
      <c r="A2625" t="s">
        <v>4140</v>
      </c>
      <c r="B2625" t="s">
        <v>2085</v>
      </c>
      <c r="C2625" t="s">
        <v>2108</v>
      </c>
      <c r="D2625" s="1">
        <v>44119</v>
      </c>
      <c r="E2625" s="1">
        <v>45101</v>
      </c>
      <c r="F2625">
        <v>191</v>
      </c>
      <c r="G2625">
        <v>20</v>
      </c>
      <c r="H2625">
        <v>1594.74</v>
      </c>
      <c r="I2625">
        <v>217.39</v>
      </c>
      <c r="J2625" t="s">
        <v>115</v>
      </c>
      <c r="K2625" t="s">
        <v>16</v>
      </c>
      <c r="L2625" t="s">
        <v>2106</v>
      </c>
      <c r="M2625">
        <v>1</v>
      </c>
      <c r="N2625" t="s">
        <v>165</v>
      </c>
      <c r="O2625" t="s">
        <v>2109</v>
      </c>
    </row>
    <row r="2626" spans="1:15">
      <c r="A2626" t="s">
        <v>4141</v>
      </c>
      <c r="B2626" t="s">
        <v>2093</v>
      </c>
      <c r="C2626" t="s">
        <v>2100</v>
      </c>
      <c r="D2626" s="1">
        <v>44870</v>
      </c>
      <c r="E2626" s="1">
        <v>44942</v>
      </c>
      <c r="F2626">
        <v>350</v>
      </c>
      <c r="G2626">
        <v>2</v>
      </c>
      <c r="H2626">
        <v>77.69</v>
      </c>
      <c r="I2626">
        <v>52.31</v>
      </c>
      <c r="J2626" t="s">
        <v>115</v>
      </c>
      <c r="K2626" t="s">
        <v>20</v>
      </c>
      <c r="L2626" t="s">
        <v>2087</v>
      </c>
      <c r="M2626">
        <v>4</v>
      </c>
      <c r="N2626" t="s">
        <v>165</v>
      </c>
      <c r="O2626" t="s">
        <v>2096</v>
      </c>
    </row>
    <row r="2627" spans="1:15">
      <c r="A2627" t="s">
        <v>4142</v>
      </c>
      <c r="B2627" t="s">
        <v>2097</v>
      </c>
      <c r="C2627" t="s">
        <v>2094</v>
      </c>
      <c r="D2627" s="1">
        <v>44119</v>
      </c>
      <c r="E2627" s="1">
        <v>45188</v>
      </c>
      <c r="F2627">
        <v>104</v>
      </c>
      <c r="G2627">
        <v>4</v>
      </c>
      <c r="H2627">
        <v>376.09</v>
      </c>
      <c r="I2627">
        <v>98.45</v>
      </c>
      <c r="J2627" t="s">
        <v>115</v>
      </c>
      <c r="K2627" t="s">
        <v>16</v>
      </c>
      <c r="L2627" t="s">
        <v>2106</v>
      </c>
      <c r="M2627">
        <v>1</v>
      </c>
      <c r="N2627" t="s">
        <v>179</v>
      </c>
      <c r="O2627" t="s">
        <v>2088</v>
      </c>
    </row>
    <row r="2628" spans="1:15">
      <c r="A2628" t="s">
        <v>4143</v>
      </c>
      <c r="B2628" t="s">
        <v>2093</v>
      </c>
      <c r="C2628" t="s">
        <v>2094</v>
      </c>
      <c r="D2628" s="1">
        <v>43753</v>
      </c>
      <c r="E2628" s="1">
        <v>44943</v>
      </c>
      <c r="F2628">
        <v>349</v>
      </c>
      <c r="G2628">
        <v>3</v>
      </c>
      <c r="H2628">
        <v>70.53</v>
      </c>
      <c r="I2628">
        <v>43.48</v>
      </c>
      <c r="J2628" t="s">
        <v>66</v>
      </c>
      <c r="K2628" t="s">
        <v>16</v>
      </c>
      <c r="L2628" t="s">
        <v>2106</v>
      </c>
      <c r="M2628">
        <v>3</v>
      </c>
      <c r="N2628" t="s">
        <v>179</v>
      </c>
      <c r="O2628" t="s">
        <v>2107</v>
      </c>
    </row>
    <row r="2629" spans="1:15">
      <c r="A2629" t="s">
        <v>1174</v>
      </c>
      <c r="B2629" t="s">
        <v>2090</v>
      </c>
      <c r="C2629" t="s">
        <v>2111</v>
      </c>
      <c r="D2629" s="1">
        <v>44113</v>
      </c>
      <c r="E2629" s="1">
        <v>45055</v>
      </c>
      <c r="F2629">
        <v>237</v>
      </c>
      <c r="G2629">
        <v>3</v>
      </c>
      <c r="H2629">
        <v>223.38</v>
      </c>
      <c r="I2629">
        <v>93.94</v>
      </c>
      <c r="J2629" t="s">
        <v>90</v>
      </c>
      <c r="K2629" t="s">
        <v>16</v>
      </c>
      <c r="L2629" t="s">
        <v>2106</v>
      </c>
      <c r="M2629">
        <v>5</v>
      </c>
      <c r="N2629" t="s">
        <v>179</v>
      </c>
      <c r="O2629" t="s">
        <v>2109</v>
      </c>
    </row>
    <row r="2630" spans="1:15">
      <c r="A2630" t="s">
        <v>4144</v>
      </c>
      <c r="B2630" t="s">
        <v>2099</v>
      </c>
      <c r="C2630" t="s">
        <v>2111</v>
      </c>
      <c r="D2630" s="1">
        <v>44424</v>
      </c>
      <c r="E2630" s="1">
        <v>45252</v>
      </c>
      <c r="F2630">
        <v>40</v>
      </c>
      <c r="G2630">
        <v>1</v>
      </c>
      <c r="H2630">
        <v>38.24</v>
      </c>
      <c r="I2630">
        <v>24.36</v>
      </c>
      <c r="J2630" t="s">
        <v>66</v>
      </c>
      <c r="K2630" t="s">
        <v>16</v>
      </c>
      <c r="L2630" t="s">
        <v>2087</v>
      </c>
      <c r="M2630">
        <v>8</v>
      </c>
      <c r="N2630" t="s">
        <v>165</v>
      </c>
      <c r="O2630" t="s">
        <v>2121</v>
      </c>
    </row>
    <row r="2631" spans="1:15">
      <c r="A2631" t="s">
        <v>4145</v>
      </c>
      <c r="B2631" t="s">
        <v>2097</v>
      </c>
      <c r="C2631" t="s">
        <v>2094</v>
      </c>
      <c r="D2631" s="1">
        <v>44863</v>
      </c>
      <c r="E2631" s="1">
        <v>45259</v>
      </c>
      <c r="F2631">
        <v>33</v>
      </c>
      <c r="G2631">
        <v>3</v>
      </c>
      <c r="H2631">
        <v>596.41</v>
      </c>
      <c r="I2631">
        <v>84.64</v>
      </c>
      <c r="J2631" t="s">
        <v>66</v>
      </c>
      <c r="K2631" t="s">
        <v>16</v>
      </c>
      <c r="L2631" t="s">
        <v>2106</v>
      </c>
      <c r="M2631">
        <v>5</v>
      </c>
      <c r="N2631" t="s">
        <v>194</v>
      </c>
      <c r="O2631" t="s">
        <v>2121</v>
      </c>
    </row>
    <row r="2632" spans="1:15">
      <c r="A2632" t="s">
        <v>4146</v>
      </c>
      <c r="B2632" t="s">
        <v>2085</v>
      </c>
      <c r="C2632" t="s">
        <v>2108</v>
      </c>
      <c r="D2632" s="1">
        <v>44916</v>
      </c>
      <c r="E2632" s="1">
        <v>45230</v>
      </c>
      <c r="F2632">
        <v>62</v>
      </c>
      <c r="G2632">
        <v>26</v>
      </c>
      <c r="H2632">
        <v>2469.46</v>
      </c>
      <c r="I2632">
        <v>283.68</v>
      </c>
      <c r="J2632" t="s">
        <v>90</v>
      </c>
      <c r="K2632" t="s">
        <v>16</v>
      </c>
      <c r="L2632" t="s">
        <v>2087</v>
      </c>
      <c r="M2632">
        <v>8</v>
      </c>
      <c r="N2632" t="s">
        <v>179</v>
      </c>
      <c r="O2632" t="s">
        <v>2088</v>
      </c>
    </row>
    <row r="2633" spans="1:15">
      <c r="A2633" t="s">
        <v>4147</v>
      </c>
      <c r="B2633" t="s">
        <v>2090</v>
      </c>
      <c r="C2633" t="s">
        <v>2111</v>
      </c>
      <c r="D2633" s="1">
        <v>44785</v>
      </c>
      <c r="E2633" s="1">
        <v>44996</v>
      </c>
      <c r="F2633">
        <v>296</v>
      </c>
      <c r="G2633">
        <v>8</v>
      </c>
      <c r="H2633">
        <v>268.10000000000002</v>
      </c>
      <c r="I2633">
        <v>110.14</v>
      </c>
      <c r="J2633" t="s">
        <v>14</v>
      </c>
      <c r="K2633" t="s">
        <v>20</v>
      </c>
      <c r="L2633" t="s">
        <v>2095</v>
      </c>
      <c r="M2633">
        <v>7</v>
      </c>
      <c r="N2633" t="s">
        <v>179</v>
      </c>
      <c r="O2633" t="s">
        <v>2107</v>
      </c>
    </row>
    <row r="2634" spans="1:15">
      <c r="A2634" t="s">
        <v>4148</v>
      </c>
      <c r="B2634" t="s">
        <v>2093</v>
      </c>
      <c r="C2634" t="s">
        <v>2094</v>
      </c>
      <c r="D2634" s="1">
        <v>45014</v>
      </c>
      <c r="E2634" s="1">
        <v>45243</v>
      </c>
      <c r="F2634">
        <v>49</v>
      </c>
      <c r="G2634">
        <v>1</v>
      </c>
      <c r="H2634">
        <v>187.35</v>
      </c>
      <c r="I2634">
        <v>21.3</v>
      </c>
      <c r="J2634" t="s">
        <v>90</v>
      </c>
      <c r="K2634" t="s">
        <v>16</v>
      </c>
      <c r="L2634" t="s">
        <v>2095</v>
      </c>
      <c r="M2634">
        <v>2</v>
      </c>
      <c r="N2634" t="s">
        <v>194</v>
      </c>
      <c r="O2634" t="s">
        <v>2109</v>
      </c>
    </row>
    <row r="2635" spans="1:15">
      <c r="A2635" t="s">
        <v>4149</v>
      </c>
      <c r="B2635" t="s">
        <v>2085</v>
      </c>
      <c r="C2635" t="s">
        <v>2111</v>
      </c>
      <c r="D2635" s="1">
        <v>44566</v>
      </c>
      <c r="E2635" s="1">
        <v>45281</v>
      </c>
      <c r="F2635">
        <v>11</v>
      </c>
      <c r="G2635">
        <v>34</v>
      </c>
      <c r="H2635">
        <v>1775.9</v>
      </c>
      <c r="I2635">
        <v>233.73</v>
      </c>
      <c r="J2635" t="s">
        <v>66</v>
      </c>
      <c r="K2635" t="s">
        <v>16</v>
      </c>
      <c r="L2635" t="s">
        <v>2095</v>
      </c>
      <c r="M2635">
        <v>4</v>
      </c>
      <c r="N2635" t="s">
        <v>232</v>
      </c>
      <c r="O2635" t="s">
        <v>2109</v>
      </c>
    </row>
    <row r="2636" spans="1:15">
      <c r="A2636" t="s">
        <v>4150</v>
      </c>
      <c r="B2636" t="s">
        <v>2099</v>
      </c>
      <c r="C2636" t="s">
        <v>2100</v>
      </c>
      <c r="D2636" s="1">
        <v>44025</v>
      </c>
      <c r="E2636" s="1">
        <v>45003</v>
      </c>
      <c r="F2636">
        <v>289</v>
      </c>
      <c r="G2636">
        <v>2</v>
      </c>
      <c r="H2636">
        <v>30.64</v>
      </c>
      <c r="I2636">
        <v>53.48</v>
      </c>
      <c r="J2636" t="s">
        <v>41</v>
      </c>
      <c r="K2636" t="s">
        <v>16</v>
      </c>
      <c r="L2636" t="s">
        <v>2087</v>
      </c>
      <c r="M2636">
        <v>7</v>
      </c>
      <c r="N2636" t="s">
        <v>174</v>
      </c>
      <c r="O2636" t="s">
        <v>2121</v>
      </c>
    </row>
    <row r="2637" spans="1:15">
      <c r="A2637" t="s">
        <v>1657</v>
      </c>
      <c r="B2637" t="s">
        <v>2090</v>
      </c>
      <c r="C2637" t="s">
        <v>2111</v>
      </c>
      <c r="D2637" s="1">
        <v>45115</v>
      </c>
      <c r="E2637" s="1">
        <v>44935</v>
      </c>
      <c r="F2637">
        <v>357</v>
      </c>
      <c r="G2637">
        <v>6</v>
      </c>
      <c r="H2637">
        <v>212.62</v>
      </c>
      <c r="I2637">
        <v>46.57</v>
      </c>
      <c r="J2637" t="s">
        <v>115</v>
      </c>
      <c r="K2637" t="s">
        <v>16</v>
      </c>
      <c r="L2637" t="s">
        <v>2087</v>
      </c>
      <c r="M2637">
        <v>0</v>
      </c>
      <c r="N2637" t="s">
        <v>157</v>
      </c>
      <c r="O2637" t="s">
        <v>2107</v>
      </c>
    </row>
    <row r="2638" spans="1:15">
      <c r="A2638" t="s">
        <v>4151</v>
      </c>
      <c r="B2638" t="s">
        <v>2097</v>
      </c>
      <c r="C2638" t="s">
        <v>2094</v>
      </c>
      <c r="D2638" s="1">
        <v>44050</v>
      </c>
      <c r="E2638" s="1">
        <v>45264</v>
      </c>
      <c r="F2638">
        <v>28</v>
      </c>
      <c r="G2638">
        <v>8</v>
      </c>
      <c r="H2638">
        <v>451.11</v>
      </c>
      <c r="I2638">
        <v>54.7</v>
      </c>
      <c r="J2638" t="s">
        <v>41</v>
      </c>
      <c r="K2638" t="s">
        <v>16</v>
      </c>
      <c r="L2638" t="s">
        <v>2087</v>
      </c>
      <c r="M2638">
        <v>3</v>
      </c>
      <c r="N2638" t="s">
        <v>157</v>
      </c>
      <c r="O2638" t="s">
        <v>2121</v>
      </c>
    </row>
    <row r="2639" spans="1:15">
      <c r="A2639" t="s">
        <v>4152</v>
      </c>
      <c r="B2639" t="s">
        <v>2099</v>
      </c>
      <c r="C2639" t="s">
        <v>2108</v>
      </c>
      <c r="D2639" s="1">
        <v>44722</v>
      </c>
      <c r="E2639" s="1">
        <v>45174</v>
      </c>
      <c r="F2639">
        <v>118</v>
      </c>
      <c r="G2639">
        <v>2</v>
      </c>
      <c r="H2639">
        <v>120.45</v>
      </c>
      <c r="I2639">
        <v>65.3</v>
      </c>
      <c r="J2639" t="s">
        <v>66</v>
      </c>
      <c r="K2639" t="s">
        <v>20</v>
      </c>
      <c r="L2639" t="s">
        <v>2106</v>
      </c>
      <c r="M2639">
        <v>0</v>
      </c>
      <c r="N2639" t="s">
        <v>179</v>
      </c>
      <c r="O2639" t="s">
        <v>2107</v>
      </c>
    </row>
    <row r="2640" spans="1:15">
      <c r="A2640" t="s">
        <v>4153</v>
      </c>
      <c r="B2640" t="s">
        <v>2093</v>
      </c>
      <c r="C2640" t="s">
        <v>2100</v>
      </c>
      <c r="D2640" s="1">
        <v>44517</v>
      </c>
      <c r="E2640" s="1">
        <v>44978</v>
      </c>
      <c r="F2640">
        <v>314</v>
      </c>
      <c r="G2640">
        <v>1</v>
      </c>
      <c r="H2640">
        <v>74.33</v>
      </c>
      <c r="I2640">
        <v>77.63</v>
      </c>
      <c r="J2640" t="s">
        <v>90</v>
      </c>
      <c r="K2640" t="s">
        <v>20</v>
      </c>
      <c r="L2640" t="s">
        <v>2106</v>
      </c>
      <c r="M2640">
        <v>8</v>
      </c>
      <c r="N2640" t="s">
        <v>232</v>
      </c>
      <c r="O2640" t="s">
        <v>2088</v>
      </c>
    </row>
    <row r="2641" spans="1:15">
      <c r="A2641" t="s">
        <v>4154</v>
      </c>
      <c r="B2641" t="s">
        <v>2097</v>
      </c>
      <c r="C2641" t="s">
        <v>2111</v>
      </c>
      <c r="D2641" s="1">
        <v>44046</v>
      </c>
      <c r="E2641" s="1">
        <v>45166</v>
      </c>
      <c r="F2641">
        <v>126</v>
      </c>
      <c r="G2641">
        <v>7</v>
      </c>
      <c r="H2641">
        <v>412.56</v>
      </c>
      <c r="I2641">
        <v>107.36</v>
      </c>
      <c r="J2641" t="s">
        <v>66</v>
      </c>
      <c r="K2641" t="s">
        <v>20</v>
      </c>
      <c r="L2641" t="s">
        <v>2095</v>
      </c>
      <c r="M2641">
        <v>1</v>
      </c>
      <c r="N2641" t="s">
        <v>165</v>
      </c>
      <c r="O2641" t="s">
        <v>2107</v>
      </c>
    </row>
    <row r="2642" spans="1:15">
      <c r="A2642" t="s">
        <v>1376</v>
      </c>
      <c r="B2642" t="s">
        <v>2085</v>
      </c>
      <c r="C2642" t="s">
        <v>2091</v>
      </c>
      <c r="D2642" s="1">
        <v>44056</v>
      </c>
      <c r="E2642" s="1">
        <v>45052</v>
      </c>
      <c r="F2642">
        <v>240</v>
      </c>
      <c r="G2642">
        <v>14</v>
      </c>
      <c r="H2642">
        <v>1925.65</v>
      </c>
      <c r="I2642">
        <v>253.56</v>
      </c>
      <c r="J2642" t="s">
        <v>41</v>
      </c>
      <c r="K2642" t="s">
        <v>16</v>
      </c>
      <c r="L2642" t="s">
        <v>2087</v>
      </c>
      <c r="M2642">
        <v>5</v>
      </c>
      <c r="N2642" t="s">
        <v>165</v>
      </c>
      <c r="O2642" t="s">
        <v>2109</v>
      </c>
    </row>
    <row r="2643" spans="1:15">
      <c r="A2643" t="s">
        <v>706</v>
      </c>
      <c r="B2643" t="s">
        <v>2113</v>
      </c>
      <c r="C2643" t="s">
        <v>2086</v>
      </c>
      <c r="D2643" s="1">
        <v>44415</v>
      </c>
      <c r="E2643" s="1">
        <v>45115</v>
      </c>
      <c r="F2643">
        <v>177</v>
      </c>
      <c r="G2643">
        <v>8</v>
      </c>
      <c r="H2643">
        <v>355.05</v>
      </c>
      <c r="I2643">
        <v>36.229999999999997</v>
      </c>
      <c r="J2643" t="s">
        <v>14</v>
      </c>
      <c r="K2643" t="s">
        <v>16</v>
      </c>
      <c r="L2643" t="s">
        <v>2095</v>
      </c>
      <c r="M2643">
        <v>0</v>
      </c>
      <c r="N2643" t="s">
        <v>157</v>
      </c>
      <c r="O2643" t="s">
        <v>2121</v>
      </c>
    </row>
    <row r="2644" spans="1:15">
      <c r="A2644" t="s">
        <v>4155</v>
      </c>
      <c r="B2644" t="s">
        <v>2097</v>
      </c>
      <c r="C2644" t="s">
        <v>2100</v>
      </c>
      <c r="D2644" s="1">
        <v>43782</v>
      </c>
      <c r="E2644" s="1">
        <v>45108</v>
      </c>
      <c r="F2644">
        <v>184</v>
      </c>
      <c r="G2644">
        <v>10</v>
      </c>
      <c r="H2644">
        <v>326.02999999999997</v>
      </c>
      <c r="I2644">
        <v>122.88</v>
      </c>
      <c r="J2644" t="s">
        <v>90</v>
      </c>
      <c r="K2644" t="s">
        <v>16</v>
      </c>
      <c r="L2644" t="s">
        <v>2095</v>
      </c>
      <c r="M2644">
        <v>5</v>
      </c>
      <c r="N2644" t="s">
        <v>157</v>
      </c>
      <c r="O2644" t="s">
        <v>2109</v>
      </c>
    </row>
    <row r="2645" spans="1:15">
      <c r="A2645" t="s">
        <v>4156</v>
      </c>
      <c r="B2645" t="s">
        <v>2097</v>
      </c>
      <c r="C2645" t="s">
        <v>2111</v>
      </c>
      <c r="D2645" s="1">
        <v>43783</v>
      </c>
      <c r="E2645" s="1">
        <v>45032</v>
      </c>
      <c r="F2645">
        <v>260</v>
      </c>
      <c r="G2645">
        <v>8</v>
      </c>
      <c r="H2645">
        <v>209.42</v>
      </c>
      <c r="I2645">
        <v>114.94</v>
      </c>
      <c r="J2645" t="s">
        <v>14</v>
      </c>
      <c r="K2645" t="s">
        <v>16</v>
      </c>
      <c r="L2645" t="s">
        <v>2087</v>
      </c>
      <c r="M2645">
        <v>1</v>
      </c>
      <c r="N2645" t="s">
        <v>165</v>
      </c>
      <c r="O2645" t="s">
        <v>2096</v>
      </c>
    </row>
    <row r="2646" spans="1:15">
      <c r="A2646" t="s">
        <v>4157</v>
      </c>
      <c r="B2646" t="s">
        <v>2085</v>
      </c>
      <c r="C2646" t="s">
        <v>2111</v>
      </c>
      <c r="D2646" s="1">
        <v>44776</v>
      </c>
      <c r="E2646" s="1">
        <v>44997</v>
      </c>
      <c r="F2646">
        <v>295</v>
      </c>
      <c r="G2646">
        <v>30</v>
      </c>
      <c r="H2646">
        <v>2639.13</v>
      </c>
      <c r="I2646">
        <v>280.2</v>
      </c>
      <c r="J2646" t="s">
        <v>90</v>
      </c>
      <c r="K2646" t="s">
        <v>16</v>
      </c>
      <c r="L2646" t="s">
        <v>2087</v>
      </c>
      <c r="M2646">
        <v>1</v>
      </c>
      <c r="N2646" t="s">
        <v>157</v>
      </c>
      <c r="O2646" t="s">
        <v>2109</v>
      </c>
    </row>
    <row r="2647" spans="1:15">
      <c r="A2647" t="s">
        <v>243</v>
      </c>
      <c r="B2647" t="s">
        <v>2093</v>
      </c>
      <c r="C2647" t="s">
        <v>2091</v>
      </c>
      <c r="D2647" s="1">
        <v>44204</v>
      </c>
      <c r="E2647" s="1">
        <v>44992</v>
      </c>
      <c r="F2647">
        <v>300</v>
      </c>
      <c r="G2647">
        <v>5</v>
      </c>
      <c r="H2647">
        <v>64.66</v>
      </c>
      <c r="I2647">
        <v>67.040000000000006</v>
      </c>
      <c r="J2647" t="s">
        <v>14</v>
      </c>
      <c r="K2647" t="s">
        <v>20</v>
      </c>
      <c r="L2647" t="s">
        <v>2087</v>
      </c>
      <c r="M2647">
        <v>4</v>
      </c>
      <c r="N2647" t="s">
        <v>157</v>
      </c>
      <c r="O2647" t="s">
        <v>2109</v>
      </c>
    </row>
    <row r="2648" spans="1:15">
      <c r="A2648" t="s">
        <v>4158</v>
      </c>
      <c r="B2648" t="s">
        <v>2099</v>
      </c>
      <c r="C2648" t="s">
        <v>2094</v>
      </c>
      <c r="D2648" s="1">
        <v>43875</v>
      </c>
      <c r="E2648" s="1">
        <v>45213</v>
      </c>
      <c r="F2648">
        <v>79</v>
      </c>
      <c r="G2648">
        <v>1</v>
      </c>
      <c r="H2648">
        <v>117.27</v>
      </c>
      <c r="I2648">
        <v>49.24</v>
      </c>
      <c r="J2648" t="s">
        <v>41</v>
      </c>
      <c r="K2648" t="s">
        <v>16</v>
      </c>
      <c r="L2648" t="s">
        <v>2087</v>
      </c>
      <c r="M2648">
        <v>1</v>
      </c>
      <c r="N2648" t="s">
        <v>174</v>
      </c>
      <c r="O2648" t="s">
        <v>2109</v>
      </c>
    </row>
    <row r="2649" spans="1:15">
      <c r="A2649" t="s">
        <v>4159</v>
      </c>
      <c r="B2649" t="s">
        <v>2085</v>
      </c>
      <c r="C2649" t="s">
        <v>2094</v>
      </c>
      <c r="D2649" s="1">
        <v>44635</v>
      </c>
      <c r="E2649" s="1">
        <v>45239</v>
      </c>
      <c r="F2649">
        <v>53</v>
      </c>
      <c r="G2649">
        <v>33</v>
      </c>
      <c r="H2649">
        <v>1487.87</v>
      </c>
      <c r="I2649">
        <v>252.89</v>
      </c>
      <c r="J2649" t="s">
        <v>66</v>
      </c>
      <c r="K2649" t="s">
        <v>20</v>
      </c>
      <c r="L2649" t="s">
        <v>2095</v>
      </c>
      <c r="M2649">
        <v>6</v>
      </c>
      <c r="N2649" t="s">
        <v>179</v>
      </c>
      <c r="O2649" t="s">
        <v>2096</v>
      </c>
    </row>
    <row r="2650" spans="1:15">
      <c r="A2650" t="s">
        <v>4160</v>
      </c>
      <c r="B2650" t="s">
        <v>2090</v>
      </c>
      <c r="C2650" t="s">
        <v>2094</v>
      </c>
      <c r="D2650" s="1">
        <v>43895</v>
      </c>
      <c r="E2650" s="1">
        <v>45151</v>
      </c>
      <c r="F2650">
        <v>141</v>
      </c>
      <c r="G2650">
        <v>4</v>
      </c>
      <c r="H2650">
        <v>352.33</v>
      </c>
      <c r="I2650">
        <v>66.36</v>
      </c>
      <c r="J2650" t="s">
        <v>115</v>
      </c>
      <c r="K2650" t="s">
        <v>16</v>
      </c>
      <c r="L2650" t="s">
        <v>2087</v>
      </c>
      <c r="M2650">
        <v>8</v>
      </c>
      <c r="N2650" t="s">
        <v>157</v>
      </c>
      <c r="O2650" t="s">
        <v>2088</v>
      </c>
    </row>
    <row r="2651" spans="1:15">
      <c r="A2651" t="s">
        <v>4161</v>
      </c>
      <c r="B2651" t="s">
        <v>2113</v>
      </c>
      <c r="C2651" t="s">
        <v>2108</v>
      </c>
      <c r="D2651" s="1">
        <v>44719</v>
      </c>
      <c r="E2651" s="1">
        <v>45224</v>
      </c>
      <c r="F2651">
        <v>68</v>
      </c>
      <c r="G2651">
        <v>6</v>
      </c>
      <c r="H2651">
        <v>366.93</v>
      </c>
      <c r="I2651">
        <v>43.49</v>
      </c>
      <c r="J2651" t="s">
        <v>66</v>
      </c>
      <c r="K2651" t="s">
        <v>16</v>
      </c>
      <c r="L2651" t="s">
        <v>2095</v>
      </c>
      <c r="M2651">
        <v>3</v>
      </c>
      <c r="N2651" t="s">
        <v>157</v>
      </c>
      <c r="O2651" t="s">
        <v>2107</v>
      </c>
    </row>
    <row r="2652" spans="1:15">
      <c r="A2652" t="s">
        <v>1935</v>
      </c>
      <c r="B2652" t="s">
        <v>2113</v>
      </c>
      <c r="C2652" t="s">
        <v>2108</v>
      </c>
      <c r="D2652" s="1">
        <v>44512</v>
      </c>
      <c r="E2652" s="1">
        <v>44955</v>
      </c>
      <c r="F2652">
        <v>337</v>
      </c>
      <c r="G2652">
        <v>16</v>
      </c>
      <c r="H2652">
        <v>396.58</v>
      </c>
      <c r="I2652">
        <v>71.27</v>
      </c>
      <c r="J2652" t="s">
        <v>41</v>
      </c>
      <c r="K2652" t="s">
        <v>20</v>
      </c>
      <c r="L2652" t="s">
        <v>2106</v>
      </c>
      <c r="M2652">
        <v>10</v>
      </c>
      <c r="N2652" t="s">
        <v>194</v>
      </c>
      <c r="O2652" t="s">
        <v>2107</v>
      </c>
    </row>
    <row r="2653" spans="1:15">
      <c r="A2653" t="s">
        <v>448</v>
      </c>
      <c r="B2653" t="s">
        <v>2090</v>
      </c>
      <c r="C2653" t="s">
        <v>2094</v>
      </c>
      <c r="D2653" s="1">
        <v>45116</v>
      </c>
      <c r="E2653" s="1">
        <v>45180</v>
      </c>
      <c r="F2653">
        <v>112</v>
      </c>
      <c r="G2653">
        <v>6</v>
      </c>
      <c r="H2653">
        <v>89.68</v>
      </c>
      <c r="I2653">
        <v>42.24</v>
      </c>
      <c r="J2653" t="s">
        <v>14</v>
      </c>
      <c r="K2653" t="s">
        <v>16</v>
      </c>
      <c r="L2653" t="s">
        <v>2106</v>
      </c>
      <c r="M2653">
        <v>10</v>
      </c>
      <c r="N2653" t="s">
        <v>232</v>
      </c>
      <c r="O2653" t="s">
        <v>2096</v>
      </c>
    </row>
    <row r="2654" spans="1:15">
      <c r="A2654" t="s">
        <v>355</v>
      </c>
      <c r="B2654" t="s">
        <v>2090</v>
      </c>
      <c r="C2654" t="s">
        <v>2094</v>
      </c>
      <c r="D2654" s="1">
        <v>44389</v>
      </c>
      <c r="E2654" s="1">
        <v>45035</v>
      </c>
      <c r="F2654">
        <v>257</v>
      </c>
      <c r="G2654">
        <v>7</v>
      </c>
      <c r="H2654">
        <v>362.41</v>
      </c>
      <c r="I2654">
        <v>90.44</v>
      </c>
      <c r="J2654" t="s">
        <v>66</v>
      </c>
      <c r="K2654" t="s">
        <v>16</v>
      </c>
      <c r="L2654" t="s">
        <v>2095</v>
      </c>
      <c r="M2654">
        <v>5</v>
      </c>
      <c r="N2654" t="s">
        <v>157</v>
      </c>
      <c r="O2654" t="s">
        <v>2121</v>
      </c>
    </row>
    <row r="2655" spans="1:15">
      <c r="A2655" t="s">
        <v>4162</v>
      </c>
      <c r="B2655" t="s">
        <v>2093</v>
      </c>
      <c r="C2655" t="s">
        <v>2086</v>
      </c>
      <c r="D2655" s="1">
        <v>44050</v>
      </c>
      <c r="E2655" s="1">
        <v>45067</v>
      </c>
      <c r="F2655">
        <v>225</v>
      </c>
      <c r="G2655">
        <v>4</v>
      </c>
      <c r="H2655">
        <v>113.7</v>
      </c>
      <c r="I2655">
        <v>48.95</v>
      </c>
      <c r="J2655" t="s">
        <v>90</v>
      </c>
      <c r="K2655" t="s">
        <v>16</v>
      </c>
      <c r="L2655" t="s">
        <v>2106</v>
      </c>
      <c r="M2655">
        <v>3</v>
      </c>
      <c r="N2655" t="s">
        <v>174</v>
      </c>
      <c r="O2655" t="s">
        <v>2121</v>
      </c>
    </row>
    <row r="2656" spans="1:15">
      <c r="A2656" t="s">
        <v>767</v>
      </c>
      <c r="B2656" t="s">
        <v>2099</v>
      </c>
      <c r="C2656" t="s">
        <v>2086</v>
      </c>
      <c r="D2656" s="1">
        <v>43483</v>
      </c>
      <c r="E2656" s="1">
        <v>45124</v>
      </c>
      <c r="F2656">
        <v>168</v>
      </c>
      <c r="G2656">
        <v>2</v>
      </c>
      <c r="H2656">
        <v>124.88</v>
      </c>
      <c r="I2656">
        <v>23.9</v>
      </c>
      <c r="J2656" t="s">
        <v>115</v>
      </c>
      <c r="K2656" t="s">
        <v>20</v>
      </c>
      <c r="L2656" t="s">
        <v>2095</v>
      </c>
      <c r="M2656">
        <v>6</v>
      </c>
      <c r="N2656" t="s">
        <v>194</v>
      </c>
      <c r="O2656" t="s">
        <v>2088</v>
      </c>
    </row>
    <row r="2657" spans="1:15">
      <c r="A2657" t="s">
        <v>4163</v>
      </c>
      <c r="B2657" t="s">
        <v>2099</v>
      </c>
      <c r="C2657" t="s">
        <v>2091</v>
      </c>
      <c r="D2657" s="1">
        <v>44211</v>
      </c>
      <c r="E2657" s="1">
        <v>45113</v>
      </c>
      <c r="F2657">
        <v>179</v>
      </c>
      <c r="G2657">
        <v>1</v>
      </c>
      <c r="H2657">
        <v>144.84</v>
      </c>
      <c r="I2657">
        <v>73.73</v>
      </c>
      <c r="J2657" t="s">
        <v>90</v>
      </c>
      <c r="K2657" t="s">
        <v>16</v>
      </c>
      <c r="L2657" t="s">
        <v>2106</v>
      </c>
      <c r="M2657">
        <v>3</v>
      </c>
      <c r="N2657" t="s">
        <v>179</v>
      </c>
      <c r="O2657" t="s">
        <v>2088</v>
      </c>
    </row>
    <row r="2658" spans="1:15">
      <c r="A2658" t="s">
        <v>4164</v>
      </c>
      <c r="B2658" t="s">
        <v>2113</v>
      </c>
      <c r="C2658" t="s">
        <v>2091</v>
      </c>
      <c r="D2658" s="1">
        <v>44659</v>
      </c>
      <c r="E2658" s="1">
        <v>44978</v>
      </c>
      <c r="F2658">
        <v>314</v>
      </c>
      <c r="G2658">
        <v>14</v>
      </c>
      <c r="H2658">
        <v>426.61</v>
      </c>
      <c r="I2658">
        <v>48.99</v>
      </c>
      <c r="J2658" t="s">
        <v>14</v>
      </c>
      <c r="K2658" t="s">
        <v>16</v>
      </c>
      <c r="L2658" t="s">
        <v>2087</v>
      </c>
      <c r="M2658">
        <v>0</v>
      </c>
      <c r="N2658" t="s">
        <v>204</v>
      </c>
      <c r="O2658" t="s">
        <v>2107</v>
      </c>
    </row>
    <row r="2659" spans="1:15">
      <c r="A2659" t="s">
        <v>4165</v>
      </c>
      <c r="B2659" t="s">
        <v>2113</v>
      </c>
      <c r="C2659" t="s">
        <v>2100</v>
      </c>
      <c r="D2659" s="1">
        <v>43871</v>
      </c>
      <c r="E2659" s="1">
        <v>45235</v>
      </c>
      <c r="F2659">
        <v>57</v>
      </c>
      <c r="G2659">
        <v>13</v>
      </c>
      <c r="H2659">
        <v>504.91</v>
      </c>
      <c r="I2659">
        <v>47.71</v>
      </c>
      <c r="J2659" t="s">
        <v>14</v>
      </c>
      <c r="K2659" t="s">
        <v>16</v>
      </c>
      <c r="L2659" t="s">
        <v>2087</v>
      </c>
      <c r="M2659">
        <v>0</v>
      </c>
      <c r="N2659" t="s">
        <v>232</v>
      </c>
      <c r="O2659" t="s">
        <v>2088</v>
      </c>
    </row>
    <row r="2660" spans="1:15">
      <c r="A2660" t="s">
        <v>1739</v>
      </c>
      <c r="B2660" t="s">
        <v>2097</v>
      </c>
      <c r="C2660" t="s">
        <v>2100</v>
      </c>
      <c r="D2660" s="1">
        <v>44425</v>
      </c>
      <c r="E2660" s="1">
        <v>44942</v>
      </c>
      <c r="F2660">
        <v>350</v>
      </c>
      <c r="G2660">
        <v>5</v>
      </c>
      <c r="H2660">
        <v>697.56</v>
      </c>
      <c r="I2660">
        <v>124.32</v>
      </c>
      <c r="J2660" t="s">
        <v>115</v>
      </c>
      <c r="K2660" t="s">
        <v>16</v>
      </c>
      <c r="L2660" t="s">
        <v>2087</v>
      </c>
      <c r="M2660">
        <v>2</v>
      </c>
      <c r="N2660" t="s">
        <v>194</v>
      </c>
      <c r="O2660" t="s">
        <v>2096</v>
      </c>
    </row>
    <row r="2661" spans="1:15">
      <c r="A2661" t="s">
        <v>4166</v>
      </c>
      <c r="B2661" t="s">
        <v>2093</v>
      </c>
      <c r="C2661" t="s">
        <v>2091</v>
      </c>
      <c r="D2661" s="1">
        <v>44273</v>
      </c>
      <c r="E2661" s="1">
        <v>44956</v>
      </c>
      <c r="F2661">
        <v>336</v>
      </c>
      <c r="G2661">
        <v>4</v>
      </c>
      <c r="H2661">
        <v>80.430000000000007</v>
      </c>
      <c r="I2661">
        <v>27.46</v>
      </c>
      <c r="J2661" t="s">
        <v>41</v>
      </c>
      <c r="K2661" t="s">
        <v>16</v>
      </c>
      <c r="L2661" t="s">
        <v>2095</v>
      </c>
      <c r="M2661">
        <v>10</v>
      </c>
      <c r="N2661" t="s">
        <v>179</v>
      </c>
      <c r="O2661" t="s">
        <v>2107</v>
      </c>
    </row>
    <row r="2662" spans="1:15">
      <c r="A2662" t="s">
        <v>4167</v>
      </c>
      <c r="B2662" t="s">
        <v>2093</v>
      </c>
      <c r="C2662" t="s">
        <v>2086</v>
      </c>
      <c r="D2662" s="1">
        <v>44689</v>
      </c>
      <c r="E2662" s="1">
        <v>45187</v>
      </c>
      <c r="F2662">
        <v>105</v>
      </c>
      <c r="G2662">
        <v>5</v>
      </c>
      <c r="H2662">
        <v>80.510000000000005</v>
      </c>
      <c r="I2662">
        <v>60.44</v>
      </c>
      <c r="J2662" t="s">
        <v>66</v>
      </c>
      <c r="K2662" t="s">
        <v>16</v>
      </c>
      <c r="L2662" t="s">
        <v>2095</v>
      </c>
      <c r="M2662">
        <v>7</v>
      </c>
      <c r="N2662" t="s">
        <v>232</v>
      </c>
      <c r="O2662" t="s">
        <v>2088</v>
      </c>
    </row>
    <row r="2663" spans="1:15">
      <c r="A2663" t="s">
        <v>4168</v>
      </c>
      <c r="B2663" t="s">
        <v>2113</v>
      </c>
      <c r="C2663" t="s">
        <v>2086</v>
      </c>
      <c r="D2663" s="1">
        <v>43651</v>
      </c>
      <c r="E2663" s="1">
        <v>45182</v>
      </c>
      <c r="F2663">
        <v>110</v>
      </c>
      <c r="G2663">
        <v>9</v>
      </c>
      <c r="H2663">
        <v>442.84</v>
      </c>
      <c r="I2663">
        <v>42.14</v>
      </c>
      <c r="J2663" t="s">
        <v>66</v>
      </c>
      <c r="K2663" t="s">
        <v>20</v>
      </c>
      <c r="L2663" t="s">
        <v>2087</v>
      </c>
      <c r="M2663">
        <v>4</v>
      </c>
      <c r="N2663" t="s">
        <v>194</v>
      </c>
      <c r="O2663" t="s">
        <v>2121</v>
      </c>
    </row>
    <row r="2664" spans="1:15">
      <c r="A2664" t="s">
        <v>4169</v>
      </c>
      <c r="B2664" t="s">
        <v>2090</v>
      </c>
      <c r="C2664" t="s">
        <v>2100</v>
      </c>
      <c r="D2664" s="1">
        <v>44742</v>
      </c>
      <c r="E2664" s="1">
        <v>45108</v>
      </c>
      <c r="F2664">
        <v>184</v>
      </c>
      <c r="G2664">
        <v>7</v>
      </c>
      <c r="H2664">
        <v>319.51</v>
      </c>
      <c r="I2664">
        <v>68.349999999999994</v>
      </c>
      <c r="J2664" t="s">
        <v>115</v>
      </c>
      <c r="K2664" t="s">
        <v>16</v>
      </c>
      <c r="L2664" t="s">
        <v>2095</v>
      </c>
      <c r="M2664">
        <v>7</v>
      </c>
      <c r="N2664" t="s">
        <v>165</v>
      </c>
      <c r="O2664" t="s">
        <v>2107</v>
      </c>
    </row>
    <row r="2665" spans="1:15">
      <c r="A2665" t="s">
        <v>4170</v>
      </c>
      <c r="B2665" t="s">
        <v>2093</v>
      </c>
      <c r="C2665" t="s">
        <v>2091</v>
      </c>
      <c r="D2665" s="1">
        <v>44860</v>
      </c>
      <c r="E2665" s="1">
        <v>45264</v>
      </c>
      <c r="F2665">
        <v>28</v>
      </c>
      <c r="G2665">
        <v>1</v>
      </c>
      <c r="H2665">
        <v>113.81</v>
      </c>
      <c r="I2665">
        <v>72.44</v>
      </c>
      <c r="J2665" t="s">
        <v>90</v>
      </c>
      <c r="K2665" t="s">
        <v>20</v>
      </c>
      <c r="L2665" t="s">
        <v>2095</v>
      </c>
      <c r="M2665">
        <v>8</v>
      </c>
      <c r="N2665" t="s">
        <v>157</v>
      </c>
      <c r="O2665" t="s">
        <v>2107</v>
      </c>
    </row>
    <row r="2666" spans="1:15">
      <c r="A2666" t="s">
        <v>4171</v>
      </c>
      <c r="B2666" t="s">
        <v>2097</v>
      </c>
      <c r="C2666" t="s">
        <v>2100</v>
      </c>
      <c r="D2666" s="1">
        <v>44694</v>
      </c>
      <c r="E2666" s="1">
        <v>45033</v>
      </c>
      <c r="F2666">
        <v>259</v>
      </c>
      <c r="G2666">
        <v>7</v>
      </c>
      <c r="H2666">
        <v>736.45</v>
      </c>
      <c r="I2666">
        <v>66.14</v>
      </c>
      <c r="J2666" t="s">
        <v>41</v>
      </c>
      <c r="K2666" t="s">
        <v>16</v>
      </c>
      <c r="L2666" t="s">
        <v>2087</v>
      </c>
      <c r="M2666">
        <v>1</v>
      </c>
      <c r="N2666" t="s">
        <v>204</v>
      </c>
      <c r="O2666" t="s">
        <v>2109</v>
      </c>
    </row>
    <row r="2667" spans="1:15">
      <c r="A2667" t="s">
        <v>4172</v>
      </c>
      <c r="B2667" t="s">
        <v>2113</v>
      </c>
      <c r="C2667" t="s">
        <v>2108</v>
      </c>
      <c r="D2667" s="1">
        <v>43548</v>
      </c>
      <c r="E2667" s="1">
        <v>45069</v>
      </c>
      <c r="F2667">
        <v>223</v>
      </c>
      <c r="G2667">
        <v>5</v>
      </c>
      <c r="H2667">
        <v>483.22</v>
      </c>
      <c r="I2667">
        <v>43.84</v>
      </c>
      <c r="J2667" t="s">
        <v>90</v>
      </c>
      <c r="K2667" t="s">
        <v>16</v>
      </c>
      <c r="L2667" t="s">
        <v>2106</v>
      </c>
      <c r="M2667">
        <v>5</v>
      </c>
      <c r="N2667" t="s">
        <v>174</v>
      </c>
      <c r="O2667" t="s">
        <v>2096</v>
      </c>
    </row>
    <row r="2668" spans="1:15">
      <c r="A2668" t="s">
        <v>4173</v>
      </c>
      <c r="B2668" t="s">
        <v>2097</v>
      </c>
      <c r="C2668" t="s">
        <v>2094</v>
      </c>
      <c r="D2668" s="1">
        <v>43717</v>
      </c>
      <c r="E2668" s="1">
        <v>44935</v>
      </c>
      <c r="F2668">
        <v>357</v>
      </c>
      <c r="G2668">
        <v>11</v>
      </c>
      <c r="H2668">
        <v>395.55</v>
      </c>
      <c r="I2668">
        <v>100.46</v>
      </c>
      <c r="J2668" t="s">
        <v>14</v>
      </c>
      <c r="K2668" t="s">
        <v>16</v>
      </c>
      <c r="L2668" t="s">
        <v>2106</v>
      </c>
      <c r="M2668">
        <v>2</v>
      </c>
      <c r="N2668" t="s">
        <v>232</v>
      </c>
      <c r="O2668" t="s">
        <v>2088</v>
      </c>
    </row>
    <row r="2669" spans="1:15">
      <c r="A2669" t="s">
        <v>4174</v>
      </c>
      <c r="B2669" t="s">
        <v>2097</v>
      </c>
      <c r="C2669" t="s">
        <v>2094</v>
      </c>
      <c r="D2669" s="1">
        <v>44856</v>
      </c>
      <c r="E2669" s="1">
        <v>45252</v>
      </c>
      <c r="F2669">
        <v>40</v>
      </c>
      <c r="G2669">
        <v>3</v>
      </c>
      <c r="H2669">
        <v>459.94</v>
      </c>
      <c r="I2669">
        <v>114.98</v>
      </c>
      <c r="J2669" t="s">
        <v>115</v>
      </c>
      <c r="K2669" t="s">
        <v>16</v>
      </c>
      <c r="L2669" t="s">
        <v>2095</v>
      </c>
      <c r="M2669">
        <v>8</v>
      </c>
      <c r="N2669" t="s">
        <v>165</v>
      </c>
      <c r="O2669" t="s">
        <v>2107</v>
      </c>
    </row>
    <row r="2670" spans="1:15">
      <c r="A2670" t="s">
        <v>284</v>
      </c>
      <c r="B2670" t="s">
        <v>2099</v>
      </c>
      <c r="C2670" t="s">
        <v>2086</v>
      </c>
      <c r="D2670" s="1">
        <v>43839</v>
      </c>
      <c r="E2670" s="1">
        <v>45032</v>
      </c>
      <c r="F2670">
        <v>260</v>
      </c>
      <c r="G2670">
        <v>2</v>
      </c>
      <c r="H2670">
        <v>83.75</v>
      </c>
      <c r="I2670">
        <v>83.57</v>
      </c>
      <c r="J2670" t="s">
        <v>41</v>
      </c>
      <c r="K2670" t="s">
        <v>16</v>
      </c>
      <c r="L2670" t="s">
        <v>2106</v>
      </c>
      <c r="M2670">
        <v>4</v>
      </c>
      <c r="N2670" t="s">
        <v>157</v>
      </c>
      <c r="O2670" t="s">
        <v>2107</v>
      </c>
    </row>
    <row r="2671" spans="1:15">
      <c r="A2671" t="s">
        <v>4175</v>
      </c>
      <c r="B2671" t="s">
        <v>2093</v>
      </c>
      <c r="C2671" t="s">
        <v>2086</v>
      </c>
      <c r="D2671" s="1">
        <v>44931</v>
      </c>
      <c r="E2671" s="1">
        <v>45152</v>
      </c>
      <c r="F2671">
        <v>140</v>
      </c>
      <c r="G2671">
        <v>4</v>
      </c>
      <c r="H2671">
        <v>62.9</v>
      </c>
      <c r="I2671">
        <v>67.25</v>
      </c>
      <c r="J2671" t="s">
        <v>41</v>
      </c>
      <c r="K2671" t="s">
        <v>20</v>
      </c>
      <c r="L2671" t="s">
        <v>2087</v>
      </c>
      <c r="M2671">
        <v>9</v>
      </c>
      <c r="N2671" t="s">
        <v>157</v>
      </c>
      <c r="O2671" t="s">
        <v>2096</v>
      </c>
    </row>
    <row r="2672" spans="1:15">
      <c r="A2672" t="s">
        <v>4176</v>
      </c>
      <c r="B2672" t="s">
        <v>2113</v>
      </c>
      <c r="C2672" t="s">
        <v>2100</v>
      </c>
      <c r="D2672" s="1">
        <v>43468</v>
      </c>
      <c r="E2672" s="1">
        <v>45177</v>
      </c>
      <c r="F2672">
        <v>115</v>
      </c>
      <c r="G2672">
        <v>8</v>
      </c>
      <c r="H2672">
        <v>120.53</v>
      </c>
      <c r="I2672">
        <v>36.9</v>
      </c>
      <c r="J2672" t="s">
        <v>41</v>
      </c>
      <c r="K2672" t="s">
        <v>16</v>
      </c>
      <c r="L2672" t="s">
        <v>2087</v>
      </c>
      <c r="M2672">
        <v>3</v>
      </c>
      <c r="N2672" t="s">
        <v>165</v>
      </c>
      <c r="O2672" t="s">
        <v>2121</v>
      </c>
    </row>
    <row r="2673" spans="1:15">
      <c r="A2673" t="s">
        <v>4177</v>
      </c>
      <c r="B2673" t="s">
        <v>2093</v>
      </c>
      <c r="C2673" t="s">
        <v>2094</v>
      </c>
      <c r="D2673" s="1">
        <v>44830</v>
      </c>
      <c r="E2673" s="1">
        <v>45122</v>
      </c>
      <c r="F2673">
        <v>170</v>
      </c>
      <c r="G2673">
        <v>5</v>
      </c>
      <c r="H2673">
        <v>95.51</v>
      </c>
      <c r="I2673">
        <v>72.63</v>
      </c>
      <c r="J2673" t="s">
        <v>41</v>
      </c>
      <c r="K2673" t="s">
        <v>16</v>
      </c>
      <c r="L2673" t="s">
        <v>2095</v>
      </c>
      <c r="M2673">
        <v>5</v>
      </c>
      <c r="N2673" t="s">
        <v>194</v>
      </c>
      <c r="O2673" t="s">
        <v>2109</v>
      </c>
    </row>
    <row r="2674" spans="1:15">
      <c r="A2674" t="s">
        <v>4178</v>
      </c>
      <c r="B2674" t="s">
        <v>2097</v>
      </c>
      <c r="C2674" t="s">
        <v>2086</v>
      </c>
      <c r="D2674" s="1">
        <v>43474</v>
      </c>
      <c r="E2674" s="1">
        <v>45213</v>
      </c>
      <c r="F2674">
        <v>79</v>
      </c>
      <c r="G2674">
        <v>4</v>
      </c>
      <c r="H2674">
        <v>780.23</v>
      </c>
      <c r="I2674">
        <v>85.61</v>
      </c>
      <c r="J2674" t="s">
        <v>115</v>
      </c>
      <c r="K2674" t="s">
        <v>16</v>
      </c>
      <c r="L2674" t="s">
        <v>2095</v>
      </c>
      <c r="M2674">
        <v>8</v>
      </c>
      <c r="N2674" t="s">
        <v>204</v>
      </c>
      <c r="O2674" t="s">
        <v>2107</v>
      </c>
    </row>
    <row r="2675" spans="1:15">
      <c r="A2675" t="s">
        <v>4179</v>
      </c>
      <c r="B2675" t="s">
        <v>2085</v>
      </c>
      <c r="C2675" t="s">
        <v>2086</v>
      </c>
      <c r="D2675" s="1">
        <v>43571</v>
      </c>
      <c r="E2675" s="1">
        <v>45170</v>
      </c>
      <c r="F2675">
        <v>122</v>
      </c>
      <c r="G2675">
        <v>33</v>
      </c>
      <c r="H2675">
        <v>2581.7800000000002</v>
      </c>
      <c r="I2675">
        <v>297.63</v>
      </c>
      <c r="J2675" t="s">
        <v>41</v>
      </c>
      <c r="K2675" t="s">
        <v>16</v>
      </c>
      <c r="L2675" t="s">
        <v>2087</v>
      </c>
      <c r="M2675">
        <v>7</v>
      </c>
      <c r="N2675" t="s">
        <v>179</v>
      </c>
      <c r="O2675" t="s">
        <v>2107</v>
      </c>
    </row>
    <row r="2676" spans="1:15">
      <c r="A2676" t="s">
        <v>4180</v>
      </c>
      <c r="B2676" t="s">
        <v>2085</v>
      </c>
      <c r="C2676" t="s">
        <v>2108</v>
      </c>
      <c r="D2676" s="1">
        <v>44029</v>
      </c>
      <c r="E2676" s="1">
        <v>44970</v>
      </c>
      <c r="F2676">
        <v>322</v>
      </c>
      <c r="G2676">
        <v>16</v>
      </c>
      <c r="H2676">
        <v>2147.06</v>
      </c>
      <c r="I2676">
        <v>297.77999999999997</v>
      </c>
      <c r="J2676" t="s">
        <v>66</v>
      </c>
      <c r="K2676" t="s">
        <v>20</v>
      </c>
      <c r="L2676" t="s">
        <v>2087</v>
      </c>
      <c r="M2676">
        <v>0</v>
      </c>
      <c r="N2676" t="s">
        <v>179</v>
      </c>
      <c r="O2676" t="s">
        <v>2107</v>
      </c>
    </row>
    <row r="2677" spans="1:15">
      <c r="A2677" t="s">
        <v>4181</v>
      </c>
      <c r="B2677" t="s">
        <v>2093</v>
      </c>
      <c r="C2677" t="s">
        <v>2108</v>
      </c>
      <c r="D2677" s="1">
        <v>44708</v>
      </c>
      <c r="E2677" s="1">
        <v>45254</v>
      </c>
      <c r="F2677">
        <v>38</v>
      </c>
      <c r="G2677">
        <v>4</v>
      </c>
      <c r="H2677">
        <v>143.87</v>
      </c>
      <c r="I2677">
        <v>79.86</v>
      </c>
      <c r="J2677" t="s">
        <v>14</v>
      </c>
      <c r="K2677" t="s">
        <v>20</v>
      </c>
      <c r="L2677" t="s">
        <v>2095</v>
      </c>
      <c r="M2677">
        <v>6</v>
      </c>
      <c r="N2677" t="s">
        <v>232</v>
      </c>
      <c r="O2677" t="s">
        <v>2096</v>
      </c>
    </row>
    <row r="2678" spans="1:15">
      <c r="A2678" t="s">
        <v>4182</v>
      </c>
      <c r="B2678" t="s">
        <v>2085</v>
      </c>
      <c r="C2678" t="s">
        <v>2108</v>
      </c>
      <c r="D2678" s="1">
        <v>43522</v>
      </c>
      <c r="E2678" s="1">
        <v>45214</v>
      </c>
      <c r="F2678">
        <v>78</v>
      </c>
      <c r="G2678">
        <v>31</v>
      </c>
      <c r="H2678">
        <v>929.34</v>
      </c>
      <c r="I2678">
        <v>130.15</v>
      </c>
      <c r="J2678" t="s">
        <v>90</v>
      </c>
      <c r="K2678" t="s">
        <v>16</v>
      </c>
      <c r="L2678" t="s">
        <v>2095</v>
      </c>
      <c r="M2678">
        <v>1</v>
      </c>
      <c r="N2678" t="s">
        <v>232</v>
      </c>
      <c r="O2678" t="s">
        <v>2088</v>
      </c>
    </row>
    <row r="2679" spans="1:15">
      <c r="A2679" t="s">
        <v>4183</v>
      </c>
      <c r="B2679" t="s">
        <v>2113</v>
      </c>
      <c r="C2679" t="s">
        <v>2094</v>
      </c>
      <c r="D2679" s="1">
        <v>44783</v>
      </c>
      <c r="E2679" s="1">
        <v>45285</v>
      </c>
      <c r="F2679">
        <v>7</v>
      </c>
      <c r="G2679">
        <v>16</v>
      </c>
      <c r="H2679">
        <v>189.99</v>
      </c>
      <c r="I2679">
        <v>59.81</v>
      </c>
      <c r="J2679" t="s">
        <v>115</v>
      </c>
      <c r="K2679" t="s">
        <v>16</v>
      </c>
      <c r="L2679" t="s">
        <v>2095</v>
      </c>
      <c r="M2679">
        <v>2</v>
      </c>
      <c r="N2679" t="s">
        <v>157</v>
      </c>
      <c r="O2679" t="s">
        <v>2107</v>
      </c>
    </row>
    <row r="2680" spans="1:15">
      <c r="A2680" t="s">
        <v>4184</v>
      </c>
      <c r="B2680" t="s">
        <v>2085</v>
      </c>
      <c r="C2680" t="s">
        <v>2086</v>
      </c>
      <c r="D2680" s="1">
        <v>45062</v>
      </c>
      <c r="E2680" s="1">
        <v>45246</v>
      </c>
      <c r="F2680">
        <v>46</v>
      </c>
      <c r="G2680">
        <v>38</v>
      </c>
      <c r="H2680">
        <v>1521.28</v>
      </c>
      <c r="I2680">
        <v>224.14</v>
      </c>
      <c r="J2680" t="s">
        <v>90</v>
      </c>
      <c r="K2680" t="s">
        <v>16</v>
      </c>
      <c r="L2680" t="s">
        <v>2095</v>
      </c>
      <c r="M2680">
        <v>7</v>
      </c>
      <c r="N2680" t="s">
        <v>194</v>
      </c>
      <c r="O2680" t="s">
        <v>2109</v>
      </c>
    </row>
    <row r="2681" spans="1:15">
      <c r="A2681" t="s">
        <v>4185</v>
      </c>
      <c r="B2681" t="s">
        <v>2090</v>
      </c>
      <c r="C2681" t="s">
        <v>2086</v>
      </c>
      <c r="D2681" s="1">
        <v>45143</v>
      </c>
      <c r="E2681" s="1">
        <v>45209</v>
      </c>
      <c r="F2681">
        <v>83</v>
      </c>
      <c r="G2681">
        <v>2</v>
      </c>
      <c r="H2681">
        <v>143.26</v>
      </c>
      <c r="I2681">
        <v>55.73</v>
      </c>
      <c r="J2681" t="s">
        <v>115</v>
      </c>
      <c r="K2681" t="s">
        <v>16</v>
      </c>
      <c r="L2681" t="s">
        <v>2087</v>
      </c>
      <c r="M2681">
        <v>0</v>
      </c>
      <c r="N2681" t="s">
        <v>232</v>
      </c>
      <c r="O2681" t="s">
        <v>2121</v>
      </c>
    </row>
    <row r="2682" spans="1:15">
      <c r="A2682" t="s">
        <v>4186</v>
      </c>
      <c r="B2682" t="s">
        <v>2085</v>
      </c>
      <c r="C2682" t="s">
        <v>2111</v>
      </c>
      <c r="D2682" s="1">
        <v>45094</v>
      </c>
      <c r="E2682" s="1">
        <v>45070</v>
      </c>
      <c r="F2682">
        <v>222</v>
      </c>
      <c r="G2682">
        <v>26</v>
      </c>
      <c r="H2682">
        <v>1539.68</v>
      </c>
      <c r="I2682">
        <v>133.86000000000001</v>
      </c>
      <c r="J2682" t="s">
        <v>41</v>
      </c>
      <c r="K2682" t="s">
        <v>16</v>
      </c>
      <c r="L2682" t="s">
        <v>2095</v>
      </c>
      <c r="M2682">
        <v>7</v>
      </c>
      <c r="N2682" t="s">
        <v>232</v>
      </c>
      <c r="O2682" t="s">
        <v>2088</v>
      </c>
    </row>
    <row r="2683" spans="1:15">
      <c r="A2683" t="s">
        <v>4187</v>
      </c>
      <c r="B2683" t="s">
        <v>2099</v>
      </c>
      <c r="C2683" t="s">
        <v>2094</v>
      </c>
      <c r="D2683" s="1">
        <v>45066</v>
      </c>
      <c r="E2683" s="1">
        <v>45175</v>
      </c>
      <c r="F2683">
        <v>117</v>
      </c>
      <c r="G2683">
        <v>2</v>
      </c>
      <c r="H2683">
        <v>104.45</v>
      </c>
      <c r="I2683">
        <v>61.25</v>
      </c>
      <c r="J2683" t="s">
        <v>66</v>
      </c>
      <c r="K2683" t="s">
        <v>20</v>
      </c>
      <c r="L2683" t="s">
        <v>2106</v>
      </c>
      <c r="M2683">
        <v>5</v>
      </c>
      <c r="N2683" t="s">
        <v>174</v>
      </c>
      <c r="O2683" t="s">
        <v>2088</v>
      </c>
    </row>
    <row r="2684" spans="1:15">
      <c r="A2684" t="s">
        <v>993</v>
      </c>
      <c r="B2684" t="s">
        <v>2113</v>
      </c>
      <c r="C2684" t="s">
        <v>2091</v>
      </c>
      <c r="D2684" s="1">
        <v>44732</v>
      </c>
      <c r="E2684" s="1">
        <v>45151</v>
      </c>
      <c r="F2684">
        <v>141</v>
      </c>
      <c r="G2684">
        <v>8</v>
      </c>
      <c r="H2684">
        <v>251.83</v>
      </c>
      <c r="I2684">
        <v>32.15</v>
      </c>
      <c r="J2684" t="s">
        <v>41</v>
      </c>
      <c r="K2684" t="s">
        <v>16</v>
      </c>
      <c r="L2684" t="s">
        <v>2087</v>
      </c>
      <c r="M2684">
        <v>9</v>
      </c>
      <c r="N2684" t="s">
        <v>194</v>
      </c>
      <c r="O2684" t="s">
        <v>2109</v>
      </c>
    </row>
    <row r="2685" spans="1:15">
      <c r="A2685" t="s">
        <v>4188</v>
      </c>
      <c r="B2685" t="s">
        <v>2097</v>
      </c>
      <c r="C2685" t="s">
        <v>2086</v>
      </c>
      <c r="D2685" s="1">
        <v>44160</v>
      </c>
      <c r="E2685" s="1">
        <v>44980</v>
      </c>
      <c r="F2685">
        <v>312</v>
      </c>
      <c r="G2685">
        <v>10</v>
      </c>
      <c r="H2685">
        <v>265.69</v>
      </c>
      <c r="I2685">
        <v>92.92</v>
      </c>
      <c r="J2685" t="s">
        <v>14</v>
      </c>
      <c r="K2685" t="s">
        <v>16</v>
      </c>
      <c r="L2685" t="s">
        <v>2106</v>
      </c>
      <c r="M2685">
        <v>2</v>
      </c>
      <c r="N2685" t="s">
        <v>174</v>
      </c>
      <c r="O2685" t="s">
        <v>2121</v>
      </c>
    </row>
    <row r="2686" spans="1:15">
      <c r="A2686" t="s">
        <v>4189</v>
      </c>
      <c r="B2686" t="s">
        <v>2097</v>
      </c>
      <c r="C2686" t="s">
        <v>2108</v>
      </c>
      <c r="D2686" s="1">
        <v>43560</v>
      </c>
      <c r="E2686" s="1">
        <v>45276</v>
      </c>
      <c r="F2686">
        <v>16</v>
      </c>
      <c r="G2686">
        <v>11</v>
      </c>
      <c r="H2686">
        <v>325.75</v>
      </c>
      <c r="I2686">
        <v>116.21</v>
      </c>
      <c r="J2686" t="s">
        <v>66</v>
      </c>
      <c r="K2686" t="s">
        <v>16</v>
      </c>
      <c r="L2686" t="s">
        <v>2095</v>
      </c>
      <c r="M2686">
        <v>1</v>
      </c>
      <c r="N2686" t="s">
        <v>204</v>
      </c>
      <c r="O2686" t="s">
        <v>2109</v>
      </c>
    </row>
    <row r="2687" spans="1:15">
      <c r="A2687" t="s">
        <v>1397</v>
      </c>
      <c r="B2687" t="s">
        <v>2113</v>
      </c>
      <c r="C2687" t="s">
        <v>2094</v>
      </c>
      <c r="D2687" s="1">
        <v>43878</v>
      </c>
      <c r="E2687" s="1">
        <v>45220</v>
      </c>
      <c r="F2687">
        <v>72</v>
      </c>
      <c r="G2687">
        <v>11</v>
      </c>
      <c r="H2687">
        <v>564.53</v>
      </c>
      <c r="I2687">
        <v>60.24</v>
      </c>
      <c r="J2687" t="s">
        <v>14</v>
      </c>
      <c r="K2687" t="s">
        <v>16</v>
      </c>
      <c r="L2687" t="s">
        <v>2106</v>
      </c>
      <c r="M2687">
        <v>6</v>
      </c>
      <c r="N2687" t="s">
        <v>204</v>
      </c>
      <c r="O2687" t="s">
        <v>2121</v>
      </c>
    </row>
    <row r="2688" spans="1:15">
      <c r="A2688" t="s">
        <v>4190</v>
      </c>
      <c r="B2688" t="s">
        <v>2085</v>
      </c>
      <c r="C2688" t="s">
        <v>2100</v>
      </c>
      <c r="D2688" s="1">
        <v>44842</v>
      </c>
      <c r="E2688" s="1">
        <v>45282</v>
      </c>
      <c r="F2688">
        <v>10</v>
      </c>
      <c r="G2688">
        <v>26</v>
      </c>
      <c r="H2688">
        <v>2023.01</v>
      </c>
      <c r="I2688">
        <v>235.76</v>
      </c>
      <c r="J2688" t="s">
        <v>115</v>
      </c>
      <c r="K2688" t="s">
        <v>20</v>
      </c>
      <c r="L2688" t="s">
        <v>2106</v>
      </c>
      <c r="M2688">
        <v>5</v>
      </c>
      <c r="N2688" t="s">
        <v>232</v>
      </c>
      <c r="O2688" t="s">
        <v>2121</v>
      </c>
    </row>
    <row r="2689" spans="1:15">
      <c r="A2689" t="s">
        <v>1268</v>
      </c>
      <c r="B2689" t="s">
        <v>2099</v>
      </c>
      <c r="C2689" t="s">
        <v>2100</v>
      </c>
      <c r="D2689" s="1">
        <v>43642</v>
      </c>
      <c r="E2689" s="1">
        <v>44954</v>
      </c>
      <c r="F2689">
        <v>338</v>
      </c>
      <c r="G2689">
        <v>2</v>
      </c>
      <c r="H2689">
        <v>100.68</v>
      </c>
      <c r="I2689">
        <v>96.62</v>
      </c>
      <c r="J2689" t="s">
        <v>90</v>
      </c>
      <c r="K2689" t="s">
        <v>16</v>
      </c>
      <c r="L2689" t="s">
        <v>2106</v>
      </c>
      <c r="M2689">
        <v>2</v>
      </c>
      <c r="N2689" t="s">
        <v>204</v>
      </c>
      <c r="O2689" t="s">
        <v>2121</v>
      </c>
    </row>
    <row r="2690" spans="1:15">
      <c r="A2690" t="s">
        <v>4191</v>
      </c>
      <c r="B2690" t="s">
        <v>2085</v>
      </c>
      <c r="C2690" t="s">
        <v>2086</v>
      </c>
      <c r="D2690" s="1">
        <v>44651</v>
      </c>
      <c r="E2690" s="1">
        <v>45157</v>
      </c>
      <c r="F2690">
        <v>135</v>
      </c>
      <c r="G2690">
        <v>28</v>
      </c>
      <c r="H2690">
        <v>1784.72</v>
      </c>
      <c r="I2690">
        <v>147.22999999999999</v>
      </c>
      <c r="J2690" t="s">
        <v>115</v>
      </c>
      <c r="K2690" t="s">
        <v>16</v>
      </c>
      <c r="L2690" t="s">
        <v>2095</v>
      </c>
      <c r="M2690">
        <v>7</v>
      </c>
      <c r="N2690" t="s">
        <v>204</v>
      </c>
      <c r="O2690" t="s">
        <v>2096</v>
      </c>
    </row>
    <row r="2691" spans="1:15">
      <c r="A2691" t="s">
        <v>4192</v>
      </c>
      <c r="B2691" t="s">
        <v>2085</v>
      </c>
      <c r="C2691" t="s">
        <v>2100</v>
      </c>
      <c r="D2691" s="1">
        <v>45193</v>
      </c>
      <c r="E2691" s="1">
        <v>44983</v>
      </c>
      <c r="F2691">
        <v>309</v>
      </c>
      <c r="G2691">
        <v>17</v>
      </c>
      <c r="H2691">
        <v>1413.23</v>
      </c>
      <c r="I2691">
        <v>142.55000000000001</v>
      </c>
      <c r="J2691" t="s">
        <v>66</v>
      </c>
      <c r="K2691" t="s">
        <v>16</v>
      </c>
      <c r="L2691" t="s">
        <v>2106</v>
      </c>
      <c r="M2691">
        <v>10</v>
      </c>
      <c r="N2691" t="s">
        <v>232</v>
      </c>
      <c r="O2691" t="s">
        <v>2088</v>
      </c>
    </row>
    <row r="2692" spans="1:15">
      <c r="A2692" t="s">
        <v>4193</v>
      </c>
      <c r="B2692" t="s">
        <v>2097</v>
      </c>
      <c r="C2692" t="s">
        <v>2111</v>
      </c>
      <c r="D2692" s="1">
        <v>44364</v>
      </c>
      <c r="E2692" s="1">
        <v>45206</v>
      </c>
      <c r="F2692">
        <v>86</v>
      </c>
      <c r="G2692">
        <v>7</v>
      </c>
      <c r="H2692">
        <v>788.41</v>
      </c>
      <c r="I2692">
        <v>148.66</v>
      </c>
      <c r="J2692" t="s">
        <v>66</v>
      </c>
      <c r="K2692" t="s">
        <v>16</v>
      </c>
      <c r="L2692" t="s">
        <v>2095</v>
      </c>
      <c r="M2692">
        <v>4</v>
      </c>
      <c r="N2692" t="s">
        <v>174</v>
      </c>
      <c r="O2692" t="s">
        <v>2109</v>
      </c>
    </row>
    <row r="2693" spans="1:15">
      <c r="A2693" t="s">
        <v>4194</v>
      </c>
      <c r="B2693" t="s">
        <v>2093</v>
      </c>
      <c r="C2693" t="s">
        <v>2100</v>
      </c>
      <c r="D2693" s="1">
        <v>45108</v>
      </c>
      <c r="E2693" s="1">
        <v>45187</v>
      </c>
      <c r="F2693">
        <v>105</v>
      </c>
      <c r="G2693">
        <v>5</v>
      </c>
      <c r="H2693">
        <v>64.150000000000006</v>
      </c>
      <c r="I2693">
        <v>40.67</v>
      </c>
      <c r="J2693" t="s">
        <v>66</v>
      </c>
      <c r="K2693" t="s">
        <v>16</v>
      </c>
      <c r="L2693" t="s">
        <v>2106</v>
      </c>
      <c r="M2693">
        <v>2</v>
      </c>
      <c r="N2693" t="s">
        <v>204</v>
      </c>
      <c r="O2693" t="s">
        <v>2088</v>
      </c>
    </row>
    <row r="2694" spans="1:15">
      <c r="A2694" t="s">
        <v>771</v>
      </c>
      <c r="B2694" t="s">
        <v>2097</v>
      </c>
      <c r="C2694" t="s">
        <v>2108</v>
      </c>
      <c r="D2694" s="1">
        <v>43917</v>
      </c>
      <c r="E2694" s="1">
        <v>45269</v>
      </c>
      <c r="F2694">
        <v>23</v>
      </c>
      <c r="G2694">
        <v>3</v>
      </c>
      <c r="H2694">
        <v>691.89</v>
      </c>
      <c r="I2694">
        <v>127.35</v>
      </c>
      <c r="J2694" t="s">
        <v>41</v>
      </c>
      <c r="K2694" t="s">
        <v>16</v>
      </c>
      <c r="L2694" t="s">
        <v>2095</v>
      </c>
      <c r="M2694">
        <v>5</v>
      </c>
      <c r="N2694" t="s">
        <v>179</v>
      </c>
      <c r="O2694" t="s">
        <v>2109</v>
      </c>
    </row>
    <row r="2695" spans="1:15">
      <c r="A2695" t="s">
        <v>756</v>
      </c>
      <c r="B2695" t="s">
        <v>2085</v>
      </c>
      <c r="C2695" t="s">
        <v>2091</v>
      </c>
      <c r="D2695" s="1">
        <v>43844</v>
      </c>
      <c r="E2695" s="1">
        <v>44964</v>
      </c>
      <c r="F2695">
        <v>328</v>
      </c>
      <c r="G2695">
        <v>16</v>
      </c>
      <c r="H2695">
        <v>1601.25</v>
      </c>
      <c r="I2695">
        <v>278.20999999999998</v>
      </c>
      <c r="J2695" t="s">
        <v>41</v>
      </c>
      <c r="K2695" t="s">
        <v>16</v>
      </c>
      <c r="L2695" t="s">
        <v>2095</v>
      </c>
      <c r="M2695">
        <v>8</v>
      </c>
      <c r="N2695" t="s">
        <v>179</v>
      </c>
      <c r="O2695" t="s">
        <v>2121</v>
      </c>
    </row>
    <row r="2696" spans="1:15">
      <c r="A2696" t="s">
        <v>4195</v>
      </c>
      <c r="B2696" t="s">
        <v>2099</v>
      </c>
      <c r="C2696" t="s">
        <v>2108</v>
      </c>
      <c r="D2696" s="1">
        <v>43945</v>
      </c>
      <c r="E2696" s="1">
        <v>44999</v>
      </c>
      <c r="F2696">
        <v>293</v>
      </c>
      <c r="G2696">
        <v>2</v>
      </c>
      <c r="H2696">
        <v>122.4</v>
      </c>
      <c r="I2696">
        <v>29.21</v>
      </c>
      <c r="J2696" t="s">
        <v>66</v>
      </c>
      <c r="K2696" t="s">
        <v>16</v>
      </c>
      <c r="L2696" t="s">
        <v>2087</v>
      </c>
      <c r="M2696">
        <v>6</v>
      </c>
      <c r="N2696" t="s">
        <v>204</v>
      </c>
      <c r="O2696" t="s">
        <v>2096</v>
      </c>
    </row>
    <row r="2697" spans="1:15">
      <c r="A2697" t="s">
        <v>710</v>
      </c>
      <c r="B2697" t="s">
        <v>2085</v>
      </c>
      <c r="C2697" t="s">
        <v>2100</v>
      </c>
      <c r="D2697" s="1">
        <v>43467</v>
      </c>
      <c r="E2697" s="1">
        <v>45097</v>
      </c>
      <c r="F2697">
        <v>195</v>
      </c>
      <c r="G2697">
        <v>30</v>
      </c>
      <c r="H2697">
        <v>1987.23</v>
      </c>
      <c r="I2697">
        <v>244.8</v>
      </c>
      <c r="J2697" t="s">
        <v>115</v>
      </c>
      <c r="K2697" t="s">
        <v>16</v>
      </c>
      <c r="L2697" t="s">
        <v>2087</v>
      </c>
      <c r="M2697">
        <v>10</v>
      </c>
      <c r="N2697" t="s">
        <v>232</v>
      </c>
      <c r="O2697" t="s">
        <v>2096</v>
      </c>
    </row>
    <row r="2698" spans="1:15">
      <c r="A2698" t="s">
        <v>4196</v>
      </c>
      <c r="B2698" t="s">
        <v>2093</v>
      </c>
      <c r="C2698" t="s">
        <v>2091</v>
      </c>
      <c r="D2698" s="1">
        <v>44016</v>
      </c>
      <c r="E2698" s="1">
        <v>44964</v>
      </c>
      <c r="F2698">
        <v>328</v>
      </c>
      <c r="G2698">
        <v>2</v>
      </c>
      <c r="H2698">
        <v>35.24</v>
      </c>
      <c r="I2698">
        <v>74.11</v>
      </c>
      <c r="J2698" t="s">
        <v>90</v>
      </c>
      <c r="K2698" t="s">
        <v>16</v>
      </c>
      <c r="L2698" t="s">
        <v>2106</v>
      </c>
      <c r="M2698">
        <v>3</v>
      </c>
      <c r="N2698" t="s">
        <v>157</v>
      </c>
      <c r="O2698" t="s">
        <v>2088</v>
      </c>
    </row>
    <row r="2699" spans="1:15">
      <c r="A2699" t="s">
        <v>4197</v>
      </c>
      <c r="B2699" t="s">
        <v>2090</v>
      </c>
      <c r="C2699" t="s">
        <v>2108</v>
      </c>
      <c r="D2699" s="1">
        <v>44012</v>
      </c>
      <c r="E2699" s="1">
        <v>45242</v>
      </c>
      <c r="F2699">
        <v>50</v>
      </c>
      <c r="G2699">
        <v>4</v>
      </c>
      <c r="H2699">
        <v>218.78</v>
      </c>
      <c r="I2699">
        <v>114.9</v>
      </c>
      <c r="J2699" t="s">
        <v>115</v>
      </c>
      <c r="K2699" t="s">
        <v>16</v>
      </c>
      <c r="L2699" t="s">
        <v>2106</v>
      </c>
      <c r="M2699">
        <v>7</v>
      </c>
      <c r="N2699" t="s">
        <v>179</v>
      </c>
      <c r="O2699" t="s">
        <v>2096</v>
      </c>
    </row>
    <row r="2700" spans="1:15">
      <c r="A2700" t="s">
        <v>4198</v>
      </c>
      <c r="B2700" t="s">
        <v>2093</v>
      </c>
      <c r="C2700" t="s">
        <v>2094</v>
      </c>
      <c r="D2700" s="1">
        <v>43516</v>
      </c>
      <c r="E2700" s="1">
        <v>45182</v>
      </c>
      <c r="F2700">
        <v>110</v>
      </c>
      <c r="G2700">
        <v>4</v>
      </c>
      <c r="H2700">
        <v>166.22</v>
      </c>
      <c r="I2700">
        <v>45.57</v>
      </c>
      <c r="J2700" t="s">
        <v>90</v>
      </c>
      <c r="K2700" t="s">
        <v>16</v>
      </c>
      <c r="L2700" t="s">
        <v>2087</v>
      </c>
      <c r="M2700">
        <v>3</v>
      </c>
      <c r="N2700" t="s">
        <v>157</v>
      </c>
      <c r="O2700" t="s">
        <v>2109</v>
      </c>
    </row>
    <row r="2701" spans="1:15">
      <c r="A2701" t="s">
        <v>4199</v>
      </c>
      <c r="B2701" t="s">
        <v>2085</v>
      </c>
      <c r="C2701" t="s">
        <v>2100</v>
      </c>
      <c r="D2701" s="1">
        <v>43628</v>
      </c>
      <c r="E2701" s="1">
        <v>45265</v>
      </c>
      <c r="F2701">
        <v>27</v>
      </c>
      <c r="G2701">
        <v>13</v>
      </c>
      <c r="H2701">
        <v>2524.65</v>
      </c>
      <c r="I2701">
        <v>246.65</v>
      </c>
      <c r="J2701" t="s">
        <v>66</v>
      </c>
      <c r="K2701" t="s">
        <v>16</v>
      </c>
      <c r="L2701" t="s">
        <v>2095</v>
      </c>
      <c r="M2701">
        <v>6</v>
      </c>
      <c r="N2701" t="s">
        <v>232</v>
      </c>
      <c r="O2701" t="s">
        <v>2109</v>
      </c>
    </row>
    <row r="2702" spans="1:15">
      <c r="A2702" t="s">
        <v>1246</v>
      </c>
      <c r="B2702" t="s">
        <v>2085</v>
      </c>
      <c r="C2702" t="s">
        <v>2086</v>
      </c>
      <c r="D2702" s="1">
        <v>44247</v>
      </c>
      <c r="E2702" s="1">
        <v>45049</v>
      </c>
      <c r="F2702">
        <v>243</v>
      </c>
      <c r="G2702">
        <v>33</v>
      </c>
      <c r="H2702">
        <v>2402.06</v>
      </c>
      <c r="I2702">
        <v>265.19</v>
      </c>
      <c r="J2702" t="s">
        <v>90</v>
      </c>
      <c r="K2702" t="s">
        <v>16</v>
      </c>
      <c r="L2702" t="s">
        <v>2095</v>
      </c>
      <c r="M2702">
        <v>1</v>
      </c>
      <c r="N2702" t="s">
        <v>194</v>
      </c>
      <c r="O2702" t="s">
        <v>2109</v>
      </c>
    </row>
    <row r="2703" spans="1:15">
      <c r="A2703" t="s">
        <v>4200</v>
      </c>
      <c r="B2703" t="s">
        <v>2093</v>
      </c>
      <c r="C2703" t="s">
        <v>2094</v>
      </c>
      <c r="D2703" s="1">
        <v>44979</v>
      </c>
      <c r="E2703" s="1">
        <v>45093</v>
      </c>
      <c r="F2703">
        <v>199</v>
      </c>
      <c r="G2703">
        <v>4</v>
      </c>
      <c r="H2703">
        <v>166</v>
      </c>
      <c r="I2703">
        <v>69.95</v>
      </c>
      <c r="J2703" t="s">
        <v>66</v>
      </c>
      <c r="K2703" t="s">
        <v>20</v>
      </c>
      <c r="L2703" t="s">
        <v>2087</v>
      </c>
      <c r="M2703">
        <v>6</v>
      </c>
      <c r="N2703" t="s">
        <v>174</v>
      </c>
      <c r="O2703" t="s">
        <v>2088</v>
      </c>
    </row>
    <row r="2704" spans="1:15">
      <c r="A2704" t="s">
        <v>4201</v>
      </c>
      <c r="B2704" t="s">
        <v>2097</v>
      </c>
      <c r="C2704" t="s">
        <v>2094</v>
      </c>
      <c r="D2704" s="1">
        <v>44095</v>
      </c>
      <c r="E2704" s="1">
        <v>44961</v>
      </c>
      <c r="F2704">
        <v>331</v>
      </c>
      <c r="G2704">
        <v>7</v>
      </c>
      <c r="H2704">
        <v>644.20000000000005</v>
      </c>
      <c r="I2704">
        <v>122.44</v>
      </c>
      <c r="J2704" t="s">
        <v>41</v>
      </c>
      <c r="K2704" t="s">
        <v>16</v>
      </c>
      <c r="L2704" t="s">
        <v>2106</v>
      </c>
      <c r="M2704">
        <v>5</v>
      </c>
      <c r="N2704" t="s">
        <v>157</v>
      </c>
      <c r="O2704" t="s">
        <v>2096</v>
      </c>
    </row>
    <row r="2705" spans="1:15">
      <c r="A2705" t="s">
        <v>4202</v>
      </c>
      <c r="B2705" t="s">
        <v>2113</v>
      </c>
      <c r="C2705" t="s">
        <v>2091</v>
      </c>
      <c r="D2705" s="1">
        <v>44491</v>
      </c>
      <c r="E2705" s="1">
        <v>45167</v>
      </c>
      <c r="F2705">
        <v>125</v>
      </c>
      <c r="G2705">
        <v>8</v>
      </c>
      <c r="H2705">
        <v>462.9</v>
      </c>
      <c r="I2705">
        <v>60.22</v>
      </c>
      <c r="J2705" t="s">
        <v>90</v>
      </c>
      <c r="K2705" t="s">
        <v>16</v>
      </c>
      <c r="L2705" t="s">
        <v>2106</v>
      </c>
      <c r="M2705">
        <v>4</v>
      </c>
      <c r="N2705" t="s">
        <v>165</v>
      </c>
      <c r="O2705" t="s">
        <v>2088</v>
      </c>
    </row>
    <row r="2706" spans="1:15">
      <c r="A2706" t="s">
        <v>4203</v>
      </c>
      <c r="B2706" t="s">
        <v>2097</v>
      </c>
      <c r="C2706" t="s">
        <v>2086</v>
      </c>
      <c r="D2706" s="1">
        <v>44927</v>
      </c>
      <c r="E2706" s="1">
        <v>45039</v>
      </c>
      <c r="F2706">
        <v>253</v>
      </c>
      <c r="G2706">
        <v>4</v>
      </c>
      <c r="H2706">
        <v>561.45000000000005</v>
      </c>
      <c r="I2706">
        <v>63.64</v>
      </c>
      <c r="J2706" t="s">
        <v>115</v>
      </c>
      <c r="K2706" t="s">
        <v>20</v>
      </c>
      <c r="L2706" t="s">
        <v>2095</v>
      </c>
      <c r="M2706">
        <v>1</v>
      </c>
      <c r="N2706" t="s">
        <v>194</v>
      </c>
      <c r="O2706" t="s">
        <v>2088</v>
      </c>
    </row>
    <row r="2707" spans="1:15">
      <c r="A2707" t="s">
        <v>4204</v>
      </c>
      <c r="B2707" t="s">
        <v>2085</v>
      </c>
      <c r="C2707" t="s">
        <v>2108</v>
      </c>
      <c r="D2707" s="1">
        <v>43899</v>
      </c>
      <c r="E2707" s="1">
        <v>44997</v>
      </c>
      <c r="F2707">
        <v>295</v>
      </c>
      <c r="G2707">
        <v>12</v>
      </c>
      <c r="H2707">
        <v>1814.26</v>
      </c>
      <c r="I2707">
        <v>264.44</v>
      </c>
      <c r="J2707" t="s">
        <v>14</v>
      </c>
      <c r="K2707" t="s">
        <v>16</v>
      </c>
      <c r="L2707" t="s">
        <v>2106</v>
      </c>
      <c r="M2707">
        <v>4</v>
      </c>
      <c r="N2707" t="s">
        <v>232</v>
      </c>
      <c r="O2707" t="s">
        <v>2121</v>
      </c>
    </row>
    <row r="2708" spans="1:15">
      <c r="A2708" t="s">
        <v>4205</v>
      </c>
      <c r="B2708" t="s">
        <v>2113</v>
      </c>
      <c r="C2708" t="s">
        <v>2108</v>
      </c>
      <c r="D2708" s="1">
        <v>43611</v>
      </c>
      <c r="E2708" s="1">
        <v>45113</v>
      </c>
      <c r="F2708">
        <v>179</v>
      </c>
      <c r="G2708">
        <v>18</v>
      </c>
      <c r="H2708">
        <v>326.69</v>
      </c>
      <c r="I2708">
        <v>69.75</v>
      </c>
      <c r="J2708" t="s">
        <v>66</v>
      </c>
      <c r="K2708" t="s">
        <v>16</v>
      </c>
      <c r="L2708" t="s">
        <v>2106</v>
      </c>
      <c r="M2708">
        <v>7</v>
      </c>
      <c r="N2708" t="s">
        <v>165</v>
      </c>
      <c r="O2708" t="s">
        <v>2109</v>
      </c>
    </row>
    <row r="2709" spans="1:15">
      <c r="A2709" t="s">
        <v>4206</v>
      </c>
      <c r="B2709" t="s">
        <v>2099</v>
      </c>
      <c r="C2709" t="s">
        <v>2086</v>
      </c>
      <c r="D2709" s="1">
        <v>44672</v>
      </c>
      <c r="E2709" s="1">
        <v>45045</v>
      </c>
      <c r="F2709">
        <v>247</v>
      </c>
      <c r="G2709">
        <v>1</v>
      </c>
      <c r="H2709">
        <v>58.57</v>
      </c>
      <c r="I2709">
        <v>53.42</v>
      </c>
      <c r="J2709" t="s">
        <v>14</v>
      </c>
      <c r="K2709" t="s">
        <v>16</v>
      </c>
      <c r="L2709" t="s">
        <v>2087</v>
      </c>
      <c r="M2709">
        <v>10</v>
      </c>
      <c r="N2709" t="s">
        <v>179</v>
      </c>
      <c r="O2709" t="s">
        <v>2121</v>
      </c>
    </row>
    <row r="2710" spans="1:15">
      <c r="A2710" t="s">
        <v>4207</v>
      </c>
      <c r="B2710" t="s">
        <v>2113</v>
      </c>
      <c r="C2710" t="s">
        <v>2100</v>
      </c>
      <c r="D2710" s="1">
        <v>45077</v>
      </c>
      <c r="E2710" s="1">
        <v>45268</v>
      </c>
      <c r="F2710">
        <v>24</v>
      </c>
      <c r="G2710">
        <v>19</v>
      </c>
      <c r="H2710">
        <v>426.45</v>
      </c>
      <c r="I2710">
        <v>54.58</v>
      </c>
      <c r="J2710" t="s">
        <v>90</v>
      </c>
      <c r="K2710" t="s">
        <v>16</v>
      </c>
      <c r="L2710" t="s">
        <v>2087</v>
      </c>
      <c r="M2710">
        <v>6</v>
      </c>
      <c r="N2710" t="s">
        <v>204</v>
      </c>
      <c r="O2710" t="s">
        <v>2109</v>
      </c>
    </row>
    <row r="2711" spans="1:15">
      <c r="A2711" t="s">
        <v>4208</v>
      </c>
      <c r="B2711" t="s">
        <v>2113</v>
      </c>
      <c r="C2711" t="s">
        <v>2111</v>
      </c>
      <c r="D2711" s="1">
        <v>44188</v>
      </c>
      <c r="E2711" s="1">
        <v>44991</v>
      </c>
      <c r="F2711">
        <v>301</v>
      </c>
      <c r="G2711">
        <v>20</v>
      </c>
      <c r="H2711">
        <v>586.33000000000004</v>
      </c>
      <c r="I2711">
        <v>32.340000000000003</v>
      </c>
      <c r="J2711" t="s">
        <v>115</v>
      </c>
      <c r="K2711" t="s">
        <v>20</v>
      </c>
      <c r="L2711" t="s">
        <v>2106</v>
      </c>
      <c r="M2711">
        <v>5</v>
      </c>
      <c r="N2711" t="s">
        <v>179</v>
      </c>
      <c r="O2711" t="s">
        <v>2107</v>
      </c>
    </row>
    <row r="2712" spans="1:15">
      <c r="A2712" t="s">
        <v>4209</v>
      </c>
      <c r="B2712" t="s">
        <v>2090</v>
      </c>
      <c r="C2712" t="s">
        <v>2100</v>
      </c>
      <c r="D2712" s="1">
        <v>43844</v>
      </c>
      <c r="E2712" s="1">
        <v>44963</v>
      </c>
      <c r="F2712">
        <v>329</v>
      </c>
      <c r="G2712">
        <v>5</v>
      </c>
      <c r="H2712">
        <v>179.47</v>
      </c>
      <c r="I2712">
        <v>110.44</v>
      </c>
      <c r="J2712" t="s">
        <v>66</v>
      </c>
      <c r="K2712" t="s">
        <v>16</v>
      </c>
      <c r="L2712" t="s">
        <v>2087</v>
      </c>
      <c r="M2712">
        <v>9</v>
      </c>
      <c r="N2712" t="s">
        <v>232</v>
      </c>
      <c r="O2712" t="s">
        <v>2088</v>
      </c>
    </row>
    <row r="2713" spans="1:15">
      <c r="A2713" t="s">
        <v>4210</v>
      </c>
      <c r="B2713" t="s">
        <v>2090</v>
      </c>
      <c r="C2713" t="s">
        <v>2091</v>
      </c>
      <c r="D2713" s="1">
        <v>44492</v>
      </c>
      <c r="E2713" s="1">
        <v>45176</v>
      </c>
      <c r="F2713">
        <v>116</v>
      </c>
      <c r="G2713">
        <v>5</v>
      </c>
      <c r="H2713">
        <v>249.35</v>
      </c>
      <c r="I2713">
        <v>87.46</v>
      </c>
      <c r="J2713" t="s">
        <v>90</v>
      </c>
      <c r="K2713" t="s">
        <v>16</v>
      </c>
      <c r="L2713" t="s">
        <v>2087</v>
      </c>
      <c r="M2713">
        <v>4</v>
      </c>
      <c r="N2713" t="s">
        <v>157</v>
      </c>
      <c r="O2713" t="s">
        <v>2107</v>
      </c>
    </row>
    <row r="2714" spans="1:15">
      <c r="A2714" t="s">
        <v>589</v>
      </c>
      <c r="B2714" t="s">
        <v>2085</v>
      </c>
      <c r="C2714" t="s">
        <v>2111</v>
      </c>
      <c r="D2714" s="1">
        <v>44206</v>
      </c>
      <c r="E2714" s="1">
        <v>45281</v>
      </c>
      <c r="F2714">
        <v>11</v>
      </c>
      <c r="G2714">
        <v>25</v>
      </c>
      <c r="H2714">
        <v>969.41</v>
      </c>
      <c r="I2714">
        <v>239.97</v>
      </c>
      <c r="J2714" t="s">
        <v>90</v>
      </c>
      <c r="K2714" t="s">
        <v>20</v>
      </c>
      <c r="L2714" t="s">
        <v>2095</v>
      </c>
      <c r="M2714">
        <v>9</v>
      </c>
      <c r="N2714" t="s">
        <v>179</v>
      </c>
      <c r="O2714" t="s">
        <v>2088</v>
      </c>
    </row>
    <row r="2715" spans="1:15">
      <c r="A2715" t="s">
        <v>4211</v>
      </c>
      <c r="B2715" t="s">
        <v>2099</v>
      </c>
      <c r="C2715" t="s">
        <v>2111</v>
      </c>
      <c r="D2715" s="1">
        <v>44870</v>
      </c>
      <c r="E2715" s="1">
        <v>45068</v>
      </c>
      <c r="F2715">
        <v>224</v>
      </c>
      <c r="G2715">
        <v>1</v>
      </c>
      <c r="H2715">
        <v>103.9</v>
      </c>
      <c r="I2715">
        <v>54.54</v>
      </c>
      <c r="J2715" t="s">
        <v>14</v>
      </c>
      <c r="K2715" t="s">
        <v>16</v>
      </c>
      <c r="L2715" t="s">
        <v>2087</v>
      </c>
      <c r="M2715">
        <v>2</v>
      </c>
      <c r="N2715" t="s">
        <v>194</v>
      </c>
      <c r="O2715" t="s">
        <v>2109</v>
      </c>
    </row>
    <row r="2716" spans="1:15">
      <c r="A2716" t="s">
        <v>4212</v>
      </c>
      <c r="B2716" t="s">
        <v>2099</v>
      </c>
      <c r="C2716" t="s">
        <v>2094</v>
      </c>
      <c r="D2716" s="1">
        <v>45104</v>
      </c>
      <c r="E2716" s="1">
        <v>44971</v>
      </c>
      <c r="F2716">
        <v>321</v>
      </c>
      <c r="G2716">
        <v>1</v>
      </c>
      <c r="H2716">
        <v>95.94</v>
      </c>
      <c r="I2716">
        <v>39.659999999999997</v>
      </c>
      <c r="J2716" t="s">
        <v>41</v>
      </c>
      <c r="K2716" t="s">
        <v>16</v>
      </c>
      <c r="L2716" t="s">
        <v>2095</v>
      </c>
      <c r="M2716">
        <v>1</v>
      </c>
      <c r="N2716" t="s">
        <v>232</v>
      </c>
      <c r="O2716" t="s">
        <v>2107</v>
      </c>
    </row>
    <row r="2717" spans="1:15">
      <c r="A2717" t="s">
        <v>4213</v>
      </c>
      <c r="B2717" t="s">
        <v>2090</v>
      </c>
      <c r="C2717" t="s">
        <v>2111</v>
      </c>
      <c r="D2717" s="1">
        <v>43506</v>
      </c>
      <c r="E2717" s="1">
        <v>44967</v>
      </c>
      <c r="F2717">
        <v>325</v>
      </c>
      <c r="G2717">
        <v>8</v>
      </c>
      <c r="H2717">
        <v>367.28</v>
      </c>
      <c r="I2717">
        <v>59.35</v>
      </c>
      <c r="J2717" t="s">
        <v>14</v>
      </c>
      <c r="K2717" t="s">
        <v>20</v>
      </c>
      <c r="L2717" t="s">
        <v>2087</v>
      </c>
      <c r="M2717">
        <v>10</v>
      </c>
      <c r="N2717" t="s">
        <v>174</v>
      </c>
      <c r="O2717" t="s">
        <v>2109</v>
      </c>
    </row>
    <row r="2718" spans="1:15">
      <c r="A2718" t="s">
        <v>4214</v>
      </c>
      <c r="B2718" t="s">
        <v>2113</v>
      </c>
      <c r="C2718" t="s">
        <v>2094</v>
      </c>
      <c r="D2718" s="1">
        <v>44537</v>
      </c>
      <c r="E2718" s="1">
        <v>45182</v>
      </c>
      <c r="F2718">
        <v>110</v>
      </c>
      <c r="G2718">
        <v>13</v>
      </c>
      <c r="H2718">
        <v>350.88</v>
      </c>
      <c r="I2718">
        <v>46.17</v>
      </c>
      <c r="J2718" t="s">
        <v>66</v>
      </c>
      <c r="K2718" t="s">
        <v>16</v>
      </c>
      <c r="L2718" t="s">
        <v>2106</v>
      </c>
      <c r="M2718">
        <v>4</v>
      </c>
      <c r="N2718" t="s">
        <v>194</v>
      </c>
      <c r="O2718" t="s">
        <v>2107</v>
      </c>
    </row>
    <row r="2719" spans="1:15">
      <c r="A2719" t="s">
        <v>4215</v>
      </c>
      <c r="B2719" t="s">
        <v>2090</v>
      </c>
      <c r="C2719" t="s">
        <v>2086</v>
      </c>
      <c r="D2719" s="1">
        <v>43860</v>
      </c>
      <c r="E2719" s="1">
        <v>45137</v>
      </c>
      <c r="F2719">
        <v>155</v>
      </c>
      <c r="G2719">
        <v>5</v>
      </c>
      <c r="H2719">
        <v>113.39</v>
      </c>
      <c r="I2719">
        <v>45.99</v>
      </c>
      <c r="J2719" t="s">
        <v>90</v>
      </c>
      <c r="K2719" t="s">
        <v>16</v>
      </c>
      <c r="L2719" t="s">
        <v>2087</v>
      </c>
      <c r="M2719">
        <v>7</v>
      </c>
      <c r="N2719" t="s">
        <v>165</v>
      </c>
      <c r="O2719" t="s">
        <v>2088</v>
      </c>
    </row>
    <row r="2720" spans="1:15">
      <c r="A2720" t="s">
        <v>4216</v>
      </c>
      <c r="B2720" t="s">
        <v>2097</v>
      </c>
      <c r="C2720" t="s">
        <v>2091</v>
      </c>
      <c r="D2720" s="1">
        <v>44637</v>
      </c>
      <c r="E2720" s="1">
        <v>45206</v>
      </c>
      <c r="F2720">
        <v>86</v>
      </c>
      <c r="G2720">
        <v>8</v>
      </c>
      <c r="H2720">
        <v>197.36</v>
      </c>
      <c r="I2720">
        <v>95.31</v>
      </c>
      <c r="J2720" t="s">
        <v>115</v>
      </c>
      <c r="K2720" t="s">
        <v>16</v>
      </c>
      <c r="L2720" t="s">
        <v>2106</v>
      </c>
      <c r="M2720">
        <v>1</v>
      </c>
      <c r="N2720" t="s">
        <v>165</v>
      </c>
      <c r="O2720" t="s">
        <v>2107</v>
      </c>
    </row>
    <row r="2721" spans="1:15">
      <c r="A2721" t="s">
        <v>4217</v>
      </c>
      <c r="B2721" t="s">
        <v>2113</v>
      </c>
      <c r="C2721" t="s">
        <v>2091</v>
      </c>
      <c r="D2721" s="1">
        <v>44730</v>
      </c>
      <c r="E2721" s="1">
        <v>45148</v>
      </c>
      <c r="F2721">
        <v>144</v>
      </c>
      <c r="G2721">
        <v>16</v>
      </c>
      <c r="H2721">
        <v>584.44000000000005</v>
      </c>
      <c r="I2721">
        <v>77.760000000000005</v>
      </c>
      <c r="J2721" t="s">
        <v>41</v>
      </c>
      <c r="K2721" t="s">
        <v>20</v>
      </c>
      <c r="L2721" t="s">
        <v>2106</v>
      </c>
      <c r="M2721">
        <v>9</v>
      </c>
      <c r="N2721" t="s">
        <v>194</v>
      </c>
      <c r="O2721" t="s">
        <v>2088</v>
      </c>
    </row>
    <row r="2722" spans="1:15">
      <c r="A2722" t="s">
        <v>4218</v>
      </c>
      <c r="B2722" t="s">
        <v>2099</v>
      </c>
      <c r="C2722" t="s">
        <v>2108</v>
      </c>
      <c r="D2722" s="1">
        <v>43754</v>
      </c>
      <c r="E2722" s="1">
        <v>45094</v>
      </c>
      <c r="F2722">
        <v>198</v>
      </c>
      <c r="G2722">
        <v>2</v>
      </c>
      <c r="H2722">
        <v>28.88</v>
      </c>
      <c r="I2722">
        <v>72.27</v>
      </c>
      <c r="J2722" t="s">
        <v>90</v>
      </c>
      <c r="K2722" t="s">
        <v>16</v>
      </c>
      <c r="L2722" t="s">
        <v>2106</v>
      </c>
      <c r="M2722">
        <v>1</v>
      </c>
      <c r="N2722" t="s">
        <v>232</v>
      </c>
      <c r="O2722" t="s">
        <v>2088</v>
      </c>
    </row>
    <row r="2723" spans="1:15">
      <c r="A2723" t="s">
        <v>4219</v>
      </c>
      <c r="B2723" t="s">
        <v>2093</v>
      </c>
      <c r="C2723" t="s">
        <v>2091</v>
      </c>
      <c r="D2723" s="1">
        <v>44971</v>
      </c>
      <c r="E2723" s="1">
        <v>45148</v>
      </c>
      <c r="F2723">
        <v>144</v>
      </c>
      <c r="G2723">
        <v>5</v>
      </c>
      <c r="H2723">
        <v>198.84</v>
      </c>
      <c r="I2723">
        <v>66.489999999999995</v>
      </c>
      <c r="J2723" t="s">
        <v>66</v>
      </c>
      <c r="K2723" t="s">
        <v>16</v>
      </c>
      <c r="L2723" t="s">
        <v>2106</v>
      </c>
      <c r="M2723">
        <v>4</v>
      </c>
      <c r="N2723" t="s">
        <v>165</v>
      </c>
      <c r="O2723" t="s">
        <v>2109</v>
      </c>
    </row>
    <row r="2724" spans="1:15">
      <c r="A2724" t="s">
        <v>4220</v>
      </c>
      <c r="B2724" t="s">
        <v>2099</v>
      </c>
      <c r="C2724" t="s">
        <v>2094</v>
      </c>
      <c r="D2724" s="1">
        <v>44866</v>
      </c>
      <c r="E2724" s="1">
        <v>45201</v>
      </c>
      <c r="F2724">
        <v>91</v>
      </c>
      <c r="G2724">
        <v>1</v>
      </c>
      <c r="H2724">
        <v>96.95</v>
      </c>
      <c r="I2724">
        <v>51.47</v>
      </c>
      <c r="J2724" t="s">
        <v>41</v>
      </c>
      <c r="K2724" t="s">
        <v>16</v>
      </c>
      <c r="L2724" t="s">
        <v>2106</v>
      </c>
      <c r="M2724">
        <v>5</v>
      </c>
      <c r="N2724" t="s">
        <v>179</v>
      </c>
      <c r="O2724" t="s">
        <v>2096</v>
      </c>
    </row>
    <row r="2725" spans="1:15">
      <c r="A2725" t="s">
        <v>4221</v>
      </c>
      <c r="B2725" t="s">
        <v>2099</v>
      </c>
      <c r="C2725" t="s">
        <v>2111</v>
      </c>
      <c r="D2725" s="1">
        <v>44954</v>
      </c>
      <c r="E2725" s="1">
        <v>45237</v>
      </c>
      <c r="F2725">
        <v>55</v>
      </c>
      <c r="G2725">
        <v>2</v>
      </c>
      <c r="H2725">
        <v>44.86</v>
      </c>
      <c r="I2725">
        <v>58.51</v>
      </c>
      <c r="J2725" t="s">
        <v>14</v>
      </c>
      <c r="K2725" t="s">
        <v>16</v>
      </c>
      <c r="L2725" t="s">
        <v>2095</v>
      </c>
      <c r="M2725">
        <v>10</v>
      </c>
      <c r="N2725" t="s">
        <v>179</v>
      </c>
      <c r="O2725" t="s">
        <v>2109</v>
      </c>
    </row>
    <row r="2726" spans="1:15">
      <c r="A2726" t="s">
        <v>4222</v>
      </c>
      <c r="B2726" t="s">
        <v>2085</v>
      </c>
      <c r="C2726" t="s">
        <v>2108</v>
      </c>
      <c r="D2726" s="1">
        <v>44736</v>
      </c>
      <c r="E2726" s="1">
        <v>45087</v>
      </c>
      <c r="F2726">
        <v>205</v>
      </c>
      <c r="G2726">
        <v>31</v>
      </c>
      <c r="H2726">
        <v>2469.8000000000002</v>
      </c>
      <c r="I2726">
        <v>235.94</v>
      </c>
      <c r="J2726" t="s">
        <v>41</v>
      </c>
      <c r="K2726" t="s">
        <v>16</v>
      </c>
      <c r="L2726" t="s">
        <v>2095</v>
      </c>
      <c r="M2726">
        <v>8</v>
      </c>
      <c r="N2726" t="s">
        <v>165</v>
      </c>
      <c r="O2726" t="s">
        <v>2109</v>
      </c>
    </row>
    <row r="2727" spans="1:15">
      <c r="A2727" t="s">
        <v>4223</v>
      </c>
      <c r="B2727" t="s">
        <v>2097</v>
      </c>
      <c r="C2727" t="s">
        <v>2108</v>
      </c>
      <c r="D2727" s="1">
        <v>45228</v>
      </c>
      <c r="E2727" s="1">
        <v>45114</v>
      </c>
      <c r="F2727">
        <v>178</v>
      </c>
      <c r="G2727">
        <v>4</v>
      </c>
      <c r="H2727">
        <v>744.82</v>
      </c>
      <c r="I2727">
        <v>62.42</v>
      </c>
      <c r="J2727" t="s">
        <v>14</v>
      </c>
      <c r="K2727" t="s">
        <v>20</v>
      </c>
      <c r="L2727" t="s">
        <v>2095</v>
      </c>
      <c r="M2727">
        <v>10</v>
      </c>
      <c r="N2727" t="s">
        <v>194</v>
      </c>
      <c r="O2727" t="s">
        <v>2121</v>
      </c>
    </row>
    <row r="2728" spans="1:15">
      <c r="A2728" t="s">
        <v>4224</v>
      </c>
      <c r="B2728" t="s">
        <v>2093</v>
      </c>
      <c r="C2728" t="s">
        <v>2100</v>
      </c>
      <c r="D2728" s="1">
        <v>44946</v>
      </c>
      <c r="E2728" s="1">
        <v>45065</v>
      </c>
      <c r="F2728">
        <v>227</v>
      </c>
      <c r="G2728">
        <v>4</v>
      </c>
      <c r="H2728">
        <v>59.16</v>
      </c>
      <c r="I2728">
        <v>38.28</v>
      </c>
      <c r="J2728" t="s">
        <v>41</v>
      </c>
      <c r="K2728" t="s">
        <v>16</v>
      </c>
      <c r="L2728" t="s">
        <v>2095</v>
      </c>
      <c r="M2728">
        <v>1</v>
      </c>
      <c r="N2728" t="s">
        <v>204</v>
      </c>
      <c r="O2728" t="s">
        <v>2121</v>
      </c>
    </row>
    <row r="2729" spans="1:15">
      <c r="A2729" t="s">
        <v>1754</v>
      </c>
      <c r="B2729" t="s">
        <v>2099</v>
      </c>
      <c r="C2729" t="s">
        <v>2108</v>
      </c>
      <c r="D2729" s="1">
        <v>44698</v>
      </c>
      <c r="E2729" s="1">
        <v>45035</v>
      </c>
      <c r="F2729">
        <v>257</v>
      </c>
      <c r="G2729">
        <v>2</v>
      </c>
      <c r="H2729">
        <v>48.22</v>
      </c>
      <c r="I2729">
        <v>83.36</v>
      </c>
      <c r="J2729" t="s">
        <v>66</v>
      </c>
      <c r="K2729" t="s">
        <v>16</v>
      </c>
      <c r="L2729" t="s">
        <v>2106</v>
      </c>
      <c r="M2729">
        <v>2</v>
      </c>
      <c r="N2729" t="s">
        <v>194</v>
      </c>
      <c r="O2729" t="s">
        <v>2107</v>
      </c>
    </row>
    <row r="2730" spans="1:15">
      <c r="A2730" t="s">
        <v>4225</v>
      </c>
      <c r="B2730" t="s">
        <v>2093</v>
      </c>
      <c r="C2730" t="s">
        <v>2111</v>
      </c>
      <c r="D2730" s="1">
        <v>44845</v>
      </c>
      <c r="E2730" s="1">
        <v>45202</v>
      </c>
      <c r="F2730">
        <v>90</v>
      </c>
      <c r="G2730">
        <v>2</v>
      </c>
      <c r="H2730">
        <v>95.15</v>
      </c>
      <c r="I2730">
        <v>39.380000000000003</v>
      </c>
      <c r="J2730" t="s">
        <v>66</v>
      </c>
      <c r="K2730" t="s">
        <v>16</v>
      </c>
      <c r="L2730" t="s">
        <v>2095</v>
      </c>
      <c r="M2730">
        <v>0</v>
      </c>
      <c r="N2730" t="s">
        <v>165</v>
      </c>
      <c r="O2730" t="s">
        <v>2109</v>
      </c>
    </row>
    <row r="2731" spans="1:15">
      <c r="A2731" t="s">
        <v>4226</v>
      </c>
      <c r="B2731" t="s">
        <v>2113</v>
      </c>
      <c r="C2731" t="s">
        <v>2111</v>
      </c>
      <c r="D2731" s="1">
        <v>44545</v>
      </c>
      <c r="E2731" s="1">
        <v>45072</v>
      </c>
      <c r="F2731">
        <v>220</v>
      </c>
      <c r="G2731">
        <v>15</v>
      </c>
      <c r="H2731">
        <v>572.20000000000005</v>
      </c>
      <c r="I2731">
        <v>59.77</v>
      </c>
      <c r="J2731" t="s">
        <v>66</v>
      </c>
      <c r="K2731" t="s">
        <v>16</v>
      </c>
      <c r="L2731" t="s">
        <v>2095</v>
      </c>
      <c r="M2731">
        <v>2</v>
      </c>
      <c r="N2731" t="s">
        <v>194</v>
      </c>
      <c r="O2731" t="s">
        <v>2088</v>
      </c>
    </row>
    <row r="2732" spans="1:15">
      <c r="A2732" t="s">
        <v>1846</v>
      </c>
      <c r="B2732" t="s">
        <v>2113</v>
      </c>
      <c r="C2732" t="s">
        <v>2094</v>
      </c>
      <c r="D2732" s="1">
        <v>44465</v>
      </c>
      <c r="E2732" s="1">
        <v>45070</v>
      </c>
      <c r="F2732">
        <v>222</v>
      </c>
      <c r="G2732">
        <v>11</v>
      </c>
      <c r="H2732">
        <v>476.51</v>
      </c>
      <c r="I2732">
        <v>47.33</v>
      </c>
      <c r="J2732" t="s">
        <v>14</v>
      </c>
      <c r="K2732" t="s">
        <v>20</v>
      </c>
      <c r="L2732" t="s">
        <v>2106</v>
      </c>
      <c r="M2732">
        <v>3</v>
      </c>
      <c r="N2732" t="s">
        <v>165</v>
      </c>
      <c r="O2732" t="s">
        <v>2107</v>
      </c>
    </row>
    <row r="2733" spans="1:15">
      <c r="A2733" t="s">
        <v>329</v>
      </c>
      <c r="B2733" t="s">
        <v>2097</v>
      </c>
      <c r="C2733" t="s">
        <v>2100</v>
      </c>
      <c r="D2733" s="1">
        <v>44623</v>
      </c>
      <c r="E2733" s="1">
        <v>45238</v>
      </c>
      <c r="F2733">
        <v>54</v>
      </c>
      <c r="G2733">
        <v>11</v>
      </c>
      <c r="H2733">
        <v>185.17</v>
      </c>
      <c r="I2733">
        <v>108.43</v>
      </c>
      <c r="J2733" t="s">
        <v>14</v>
      </c>
      <c r="K2733" t="s">
        <v>16</v>
      </c>
      <c r="L2733" t="s">
        <v>2087</v>
      </c>
      <c r="M2733">
        <v>4</v>
      </c>
      <c r="N2733" t="s">
        <v>174</v>
      </c>
      <c r="O2733" t="s">
        <v>2121</v>
      </c>
    </row>
    <row r="2734" spans="1:15">
      <c r="A2734" t="s">
        <v>4227</v>
      </c>
      <c r="B2734" t="s">
        <v>2097</v>
      </c>
      <c r="C2734" t="s">
        <v>2111</v>
      </c>
      <c r="D2734" s="1">
        <v>44424</v>
      </c>
      <c r="E2734" s="1">
        <v>45174</v>
      </c>
      <c r="F2734">
        <v>118</v>
      </c>
      <c r="G2734">
        <v>4</v>
      </c>
      <c r="H2734">
        <v>165.63</v>
      </c>
      <c r="I2734">
        <v>111.97</v>
      </c>
      <c r="J2734" t="s">
        <v>115</v>
      </c>
      <c r="K2734" t="s">
        <v>16</v>
      </c>
      <c r="L2734" t="s">
        <v>2095</v>
      </c>
      <c r="M2734">
        <v>10</v>
      </c>
      <c r="N2734" t="s">
        <v>194</v>
      </c>
      <c r="O2734" t="s">
        <v>2107</v>
      </c>
    </row>
    <row r="2735" spans="1:15">
      <c r="A2735" t="s">
        <v>976</v>
      </c>
      <c r="B2735" t="s">
        <v>2097</v>
      </c>
      <c r="C2735" t="s">
        <v>2094</v>
      </c>
      <c r="D2735" s="1">
        <v>44468</v>
      </c>
      <c r="E2735" s="1">
        <v>45150</v>
      </c>
      <c r="F2735">
        <v>142</v>
      </c>
      <c r="G2735">
        <v>10</v>
      </c>
      <c r="H2735">
        <v>458.56</v>
      </c>
      <c r="I2735">
        <v>114.31</v>
      </c>
      <c r="J2735" t="s">
        <v>66</v>
      </c>
      <c r="K2735" t="s">
        <v>16</v>
      </c>
      <c r="L2735" t="s">
        <v>2087</v>
      </c>
      <c r="M2735">
        <v>6</v>
      </c>
      <c r="N2735" t="s">
        <v>174</v>
      </c>
      <c r="O2735" t="s">
        <v>2109</v>
      </c>
    </row>
    <row r="2736" spans="1:15">
      <c r="A2736" t="s">
        <v>177</v>
      </c>
      <c r="B2736" t="s">
        <v>2097</v>
      </c>
      <c r="C2736" t="s">
        <v>2094</v>
      </c>
      <c r="D2736" s="1">
        <v>44157</v>
      </c>
      <c r="E2736" s="1">
        <v>45091</v>
      </c>
      <c r="F2736">
        <v>201</v>
      </c>
      <c r="G2736">
        <v>10</v>
      </c>
      <c r="H2736">
        <v>382.03</v>
      </c>
      <c r="I2736">
        <v>144.69999999999999</v>
      </c>
      <c r="J2736" t="s">
        <v>115</v>
      </c>
      <c r="K2736" t="s">
        <v>16</v>
      </c>
      <c r="L2736" t="s">
        <v>2087</v>
      </c>
      <c r="M2736">
        <v>7</v>
      </c>
      <c r="N2736" t="s">
        <v>174</v>
      </c>
      <c r="O2736" t="s">
        <v>2107</v>
      </c>
    </row>
    <row r="2737" spans="1:15">
      <c r="A2737" t="s">
        <v>4228</v>
      </c>
      <c r="B2737" t="s">
        <v>2099</v>
      </c>
      <c r="C2737" t="s">
        <v>2086</v>
      </c>
      <c r="D2737" s="1">
        <v>44865</v>
      </c>
      <c r="E2737" s="1">
        <v>45053</v>
      </c>
      <c r="F2737">
        <v>239</v>
      </c>
      <c r="G2737">
        <v>2</v>
      </c>
      <c r="H2737">
        <v>75.64</v>
      </c>
      <c r="I2737">
        <v>47.17</v>
      </c>
      <c r="J2737" t="s">
        <v>41</v>
      </c>
      <c r="K2737" t="s">
        <v>20</v>
      </c>
      <c r="L2737" t="s">
        <v>2106</v>
      </c>
      <c r="M2737">
        <v>2</v>
      </c>
      <c r="N2737" t="s">
        <v>232</v>
      </c>
      <c r="O2737" t="s">
        <v>2121</v>
      </c>
    </row>
    <row r="2738" spans="1:15">
      <c r="A2738" t="s">
        <v>4229</v>
      </c>
      <c r="B2738" t="s">
        <v>2097</v>
      </c>
      <c r="C2738" t="s">
        <v>2111</v>
      </c>
      <c r="D2738" s="1">
        <v>43607</v>
      </c>
      <c r="E2738" s="1">
        <v>45104</v>
      </c>
      <c r="F2738">
        <v>188</v>
      </c>
      <c r="G2738">
        <v>10</v>
      </c>
      <c r="H2738">
        <v>610.07000000000005</v>
      </c>
      <c r="I2738">
        <v>133.22999999999999</v>
      </c>
      <c r="J2738" t="s">
        <v>14</v>
      </c>
      <c r="K2738" t="s">
        <v>16</v>
      </c>
      <c r="L2738" t="s">
        <v>2087</v>
      </c>
      <c r="M2738">
        <v>3</v>
      </c>
      <c r="N2738" t="s">
        <v>165</v>
      </c>
      <c r="O2738" t="s">
        <v>2107</v>
      </c>
    </row>
    <row r="2739" spans="1:15">
      <c r="A2739" t="s">
        <v>486</v>
      </c>
      <c r="B2739" t="s">
        <v>2090</v>
      </c>
      <c r="C2739" t="s">
        <v>2086</v>
      </c>
      <c r="D2739" s="1">
        <v>45216</v>
      </c>
      <c r="E2739" s="1">
        <v>45203</v>
      </c>
      <c r="F2739">
        <v>89</v>
      </c>
      <c r="G2739">
        <v>2</v>
      </c>
      <c r="H2739">
        <v>219.73</v>
      </c>
      <c r="I2739">
        <v>77.8</v>
      </c>
      <c r="J2739" t="s">
        <v>66</v>
      </c>
      <c r="K2739" t="s">
        <v>20</v>
      </c>
      <c r="L2739" t="s">
        <v>2095</v>
      </c>
      <c r="M2739">
        <v>4</v>
      </c>
      <c r="N2739" t="s">
        <v>179</v>
      </c>
      <c r="O2739" t="s">
        <v>2109</v>
      </c>
    </row>
    <row r="2740" spans="1:15">
      <c r="A2740" t="s">
        <v>4230</v>
      </c>
      <c r="B2740" t="s">
        <v>2099</v>
      </c>
      <c r="C2740" t="s">
        <v>2091</v>
      </c>
      <c r="D2740" s="1">
        <v>44623</v>
      </c>
      <c r="E2740" s="1">
        <v>44962</v>
      </c>
      <c r="F2740">
        <v>330</v>
      </c>
      <c r="G2740">
        <v>1</v>
      </c>
      <c r="H2740">
        <v>47.98</v>
      </c>
      <c r="I2740">
        <v>90.77</v>
      </c>
      <c r="J2740" t="s">
        <v>115</v>
      </c>
      <c r="K2740" t="s">
        <v>20</v>
      </c>
      <c r="L2740" t="s">
        <v>2095</v>
      </c>
      <c r="M2740">
        <v>3</v>
      </c>
      <c r="N2740" t="s">
        <v>204</v>
      </c>
      <c r="O2740" t="s">
        <v>2096</v>
      </c>
    </row>
    <row r="2741" spans="1:15">
      <c r="A2741" t="s">
        <v>4231</v>
      </c>
      <c r="B2741" t="s">
        <v>2093</v>
      </c>
      <c r="C2741" t="s">
        <v>2091</v>
      </c>
      <c r="D2741" s="1">
        <v>44175</v>
      </c>
      <c r="E2741" s="1">
        <v>45233</v>
      </c>
      <c r="F2741">
        <v>59</v>
      </c>
      <c r="G2741">
        <v>5</v>
      </c>
      <c r="H2741">
        <v>48.64</v>
      </c>
      <c r="I2741">
        <v>79.180000000000007</v>
      </c>
      <c r="J2741" t="s">
        <v>115</v>
      </c>
      <c r="K2741" t="s">
        <v>20</v>
      </c>
      <c r="L2741" t="s">
        <v>2087</v>
      </c>
      <c r="M2741">
        <v>5</v>
      </c>
      <c r="N2741" t="s">
        <v>204</v>
      </c>
      <c r="O2741" t="s">
        <v>2096</v>
      </c>
    </row>
    <row r="2742" spans="1:15">
      <c r="A2742" t="s">
        <v>4232</v>
      </c>
      <c r="B2742" t="s">
        <v>2113</v>
      </c>
      <c r="C2742" t="s">
        <v>2091</v>
      </c>
      <c r="D2742" s="1">
        <v>44329</v>
      </c>
      <c r="E2742" s="1">
        <v>45271</v>
      </c>
      <c r="F2742">
        <v>21</v>
      </c>
      <c r="G2742">
        <v>10</v>
      </c>
      <c r="H2742">
        <v>142.13999999999999</v>
      </c>
      <c r="I2742">
        <v>66.97</v>
      </c>
      <c r="J2742" t="s">
        <v>41</v>
      </c>
      <c r="K2742" t="s">
        <v>16</v>
      </c>
      <c r="L2742" t="s">
        <v>2106</v>
      </c>
      <c r="M2742">
        <v>6</v>
      </c>
      <c r="N2742" t="s">
        <v>179</v>
      </c>
      <c r="O2742" t="s">
        <v>2121</v>
      </c>
    </row>
    <row r="2743" spans="1:15">
      <c r="A2743" t="s">
        <v>4233</v>
      </c>
      <c r="B2743" t="s">
        <v>2090</v>
      </c>
      <c r="C2743" t="s">
        <v>2091</v>
      </c>
      <c r="D2743" s="1">
        <v>45174</v>
      </c>
      <c r="E2743" s="1">
        <v>45055</v>
      </c>
      <c r="F2743">
        <v>237</v>
      </c>
      <c r="G2743">
        <v>2</v>
      </c>
      <c r="H2743">
        <v>94.67</v>
      </c>
      <c r="I2743">
        <v>97.37</v>
      </c>
      <c r="J2743" t="s">
        <v>90</v>
      </c>
      <c r="K2743" t="s">
        <v>16</v>
      </c>
      <c r="L2743" t="s">
        <v>2095</v>
      </c>
      <c r="M2743">
        <v>6</v>
      </c>
      <c r="N2743" t="s">
        <v>194</v>
      </c>
      <c r="O2743" t="s">
        <v>2121</v>
      </c>
    </row>
    <row r="2744" spans="1:15">
      <c r="A2744" t="s">
        <v>4234</v>
      </c>
      <c r="B2744" t="s">
        <v>2113</v>
      </c>
      <c r="C2744" t="s">
        <v>2086</v>
      </c>
      <c r="D2744" s="1">
        <v>44619</v>
      </c>
      <c r="E2744" s="1">
        <v>45141</v>
      </c>
      <c r="F2744">
        <v>151</v>
      </c>
      <c r="G2744">
        <v>11</v>
      </c>
      <c r="H2744">
        <v>511.86</v>
      </c>
      <c r="I2744">
        <v>67.44</v>
      </c>
      <c r="J2744" t="s">
        <v>14</v>
      </c>
      <c r="K2744" t="s">
        <v>16</v>
      </c>
      <c r="L2744" t="s">
        <v>2095</v>
      </c>
      <c r="M2744">
        <v>2</v>
      </c>
      <c r="N2744" t="s">
        <v>165</v>
      </c>
      <c r="O2744" t="s">
        <v>2096</v>
      </c>
    </row>
    <row r="2745" spans="1:15">
      <c r="A2745" t="s">
        <v>602</v>
      </c>
      <c r="B2745" t="s">
        <v>2093</v>
      </c>
      <c r="C2745" t="s">
        <v>2108</v>
      </c>
      <c r="D2745" s="1">
        <v>44370</v>
      </c>
      <c r="E2745" s="1">
        <v>45130</v>
      </c>
      <c r="F2745">
        <v>162</v>
      </c>
      <c r="G2745">
        <v>1</v>
      </c>
      <c r="H2745">
        <v>108.78</v>
      </c>
      <c r="I2745">
        <v>29.01</v>
      </c>
      <c r="J2745" t="s">
        <v>115</v>
      </c>
      <c r="K2745" t="s">
        <v>16</v>
      </c>
      <c r="L2745" t="s">
        <v>2087</v>
      </c>
      <c r="M2745">
        <v>2</v>
      </c>
      <c r="N2745" t="s">
        <v>204</v>
      </c>
      <c r="O2745" t="s">
        <v>2088</v>
      </c>
    </row>
    <row r="2746" spans="1:15">
      <c r="A2746" t="s">
        <v>4235</v>
      </c>
      <c r="B2746" t="s">
        <v>2085</v>
      </c>
      <c r="C2746" t="s">
        <v>2094</v>
      </c>
      <c r="D2746" s="1">
        <v>44379</v>
      </c>
      <c r="E2746" s="1">
        <v>45206</v>
      </c>
      <c r="F2746">
        <v>86</v>
      </c>
      <c r="G2746">
        <v>39</v>
      </c>
      <c r="H2746">
        <v>2179.84</v>
      </c>
      <c r="I2746">
        <v>280.49</v>
      </c>
      <c r="J2746" t="s">
        <v>90</v>
      </c>
      <c r="K2746" t="s">
        <v>16</v>
      </c>
      <c r="L2746" t="s">
        <v>2095</v>
      </c>
      <c r="M2746">
        <v>9</v>
      </c>
      <c r="N2746" t="s">
        <v>157</v>
      </c>
      <c r="O2746" t="s">
        <v>2107</v>
      </c>
    </row>
    <row r="2747" spans="1:15">
      <c r="A2747" t="s">
        <v>4236</v>
      </c>
      <c r="B2747" t="s">
        <v>2090</v>
      </c>
      <c r="C2747" t="s">
        <v>2111</v>
      </c>
      <c r="D2747" s="1">
        <v>43555</v>
      </c>
      <c r="E2747" s="1">
        <v>45228</v>
      </c>
      <c r="F2747">
        <v>64</v>
      </c>
      <c r="G2747">
        <v>8</v>
      </c>
      <c r="H2747">
        <v>199.08</v>
      </c>
      <c r="I2747">
        <v>43.16</v>
      </c>
      <c r="J2747" t="s">
        <v>14</v>
      </c>
      <c r="K2747" t="s">
        <v>20</v>
      </c>
      <c r="L2747" t="s">
        <v>2087</v>
      </c>
      <c r="M2747">
        <v>3</v>
      </c>
      <c r="N2747" t="s">
        <v>165</v>
      </c>
      <c r="O2747" t="s">
        <v>2107</v>
      </c>
    </row>
    <row r="2748" spans="1:15">
      <c r="A2748" t="s">
        <v>4237</v>
      </c>
      <c r="B2748" t="s">
        <v>2113</v>
      </c>
      <c r="C2748" t="s">
        <v>2094</v>
      </c>
      <c r="D2748" s="1">
        <v>44379</v>
      </c>
      <c r="E2748" s="1">
        <v>45096</v>
      </c>
      <c r="F2748">
        <v>196</v>
      </c>
      <c r="G2748">
        <v>18</v>
      </c>
      <c r="H2748">
        <v>422.69</v>
      </c>
      <c r="I2748">
        <v>53.79</v>
      </c>
      <c r="J2748" t="s">
        <v>90</v>
      </c>
      <c r="K2748" t="s">
        <v>16</v>
      </c>
      <c r="L2748" t="s">
        <v>2106</v>
      </c>
      <c r="M2748">
        <v>6</v>
      </c>
      <c r="N2748" t="s">
        <v>174</v>
      </c>
      <c r="O2748" t="s">
        <v>2109</v>
      </c>
    </row>
    <row r="2749" spans="1:15">
      <c r="A2749" t="s">
        <v>4238</v>
      </c>
      <c r="B2749" t="s">
        <v>2097</v>
      </c>
      <c r="C2749" t="s">
        <v>2091</v>
      </c>
      <c r="D2749" s="1">
        <v>44805</v>
      </c>
      <c r="E2749" s="1">
        <v>44941</v>
      </c>
      <c r="F2749">
        <v>351</v>
      </c>
      <c r="G2749">
        <v>11</v>
      </c>
      <c r="H2749">
        <v>577.75</v>
      </c>
      <c r="I2749">
        <v>146.38999999999999</v>
      </c>
      <c r="J2749" t="s">
        <v>66</v>
      </c>
      <c r="K2749" t="s">
        <v>16</v>
      </c>
      <c r="L2749" t="s">
        <v>2087</v>
      </c>
      <c r="M2749">
        <v>10</v>
      </c>
      <c r="N2749" t="s">
        <v>157</v>
      </c>
      <c r="O2749" t="s">
        <v>2107</v>
      </c>
    </row>
    <row r="2750" spans="1:15">
      <c r="A2750" t="s">
        <v>1187</v>
      </c>
      <c r="B2750" t="s">
        <v>2097</v>
      </c>
      <c r="C2750" t="s">
        <v>2100</v>
      </c>
      <c r="D2750" s="1">
        <v>45081</v>
      </c>
      <c r="E2750" s="1">
        <v>45270</v>
      </c>
      <c r="F2750">
        <v>22</v>
      </c>
      <c r="G2750">
        <v>7</v>
      </c>
      <c r="H2750">
        <v>683.03</v>
      </c>
      <c r="I2750">
        <v>85.37</v>
      </c>
      <c r="J2750" t="s">
        <v>115</v>
      </c>
      <c r="K2750" t="s">
        <v>16</v>
      </c>
      <c r="L2750" t="s">
        <v>2095</v>
      </c>
      <c r="M2750">
        <v>5</v>
      </c>
      <c r="N2750" t="s">
        <v>194</v>
      </c>
      <c r="O2750" t="s">
        <v>2109</v>
      </c>
    </row>
    <row r="2751" spans="1:15">
      <c r="A2751" t="s">
        <v>1191</v>
      </c>
      <c r="B2751" t="s">
        <v>2093</v>
      </c>
      <c r="C2751" t="s">
        <v>2094</v>
      </c>
      <c r="D2751" s="1">
        <v>44479</v>
      </c>
      <c r="E2751" s="1">
        <v>45031</v>
      </c>
      <c r="F2751">
        <v>261</v>
      </c>
      <c r="G2751">
        <v>2</v>
      </c>
      <c r="H2751">
        <v>86.59</v>
      </c>
      <c r="I2751">
        <v>47.93</v>
      </c>
      <c r="J2751" t="s">
        <v>14</v>
      </c>
      <c r="K2751" t="s">
        <v>20</v>
      </c>
      <c r="L2751" t="s">
        <v>2087</v>
      </c>
      <c r="M2751">
        <v>1</v>
      </c>
      <c r="N2751" t="s">
        <v>179</v>
      </c>
      <c r="O2751" t="s">
        <v>2109</v>
      </c>
    </row>
    <row r="2752" spans="1:15">
      <c r="A2752" t="s">
        <v>4239</v>
      </c>
      <c r="B2752" t="s">
        <v>2099</v>
      </c>
      <c r="C2752" t="s">
        <v>2100</v>
      </c>
      <c r="D2752" s="1">
        <v>44205</v>
      </c>
      <c r="E2752" s="1">
        <v>45223</v>
      </c>
      <c r="F2752">
        <v>69</v>
      </c>
      <c r="G2752">
        <v>2</v>
      </c>
      <c r="H2752">
        <v>66.67</v>
      </c>
      <c r="I2752">
        <v>85.36</v>
      </c>
      <c r="J2752" t="s">
        <v>66</v>
      </c>
      <c r="K2752" t="s">
        <v>16</v>
      </c>
      <c r="L2752" t="s">
        <v>2095</v>
      </c>
      <c r="M2752">
        <v>0</v>
      </c>
      <c r="N2752" t="s">
        <v>179</v>
      </c>
      <c r="O2752" t="s">
        <v>2107</v>
      </c>
    </row>
    <row r="2753" spans="1:15">
      <c r="A2753" t="s">
        <v>4240</v>
      </c>
      <c r="B2753" t="s">
        <v>2093</v>
      </c>
      <c r="C2753" t="s">
        <v>2100</v>
      </c>
      <c r="D2753" s="1">
        <v>43839</v>
      </c>
      <c r="E2753" s="1">
        <v>45218</v>
      </c>
      <c r="F2753">
        <v>74</v>
      </c>
      <c r="G2753">
        <v>2</v>
      </c>
      <c r="H2753">
        <v>106.11</v>
      </c>
      <c r="I2753">
        <v>38.89</v>
      </c>
      <c r="J2753" t="s">
        <v>66</v>
      </c>
      <c r="K2753" t="s">
        <v>20</v>
      </c>
      <c r="L2753" t="s">
        <v>2087</v>
      </c>
      <c r="M2753">
        <v>10</v>
      </c>
      <c r="N2753" t="s">
        <v>157</v>
      </c>
      <c r="O2753" t="s">
        <v>2096</v>
      </c>
    </row>
    <row r="2754" spans="1:15">
      <c r="A2754" t="s">
        <v>1517</v>
      </c>
      <c r="B2754" t="s">
        <v>2085</v>
      </c>
      <c r="C2754" t="s">
        <v>2111</v>
      </c>
      <c r="D2754" s="1">
        <v>43727</v>
      </c>
      <c r="E2754" s="1">
        <v>45093</v>
      </c>
      <c r="F2754">
        <v>199</v>
      </c>
      <c r="G2754">
        <v>30</v>
      </c>
      <c r="H2754">
        <v>1151.46</v>
      </c>
      <c r="I2754">
        <v>294.14999999999998</v>
      </c>
      <c r="J2754" t="s">
        <v>66</v>
      </c>
      <c r="K2754" t="s">
        <v>16</v>
      </c>
      <c r="L2754" t="s">
        <v>2087</v>
      </c>
      <c r="M2754">
        <v>7</v>
      </c>
      <c r="N2754" t="s">
        <v>232</v>
      </c>
      <c r="O2754" t="s">
        <v>2121</v>
      </c>
    </row>
    <row r="2755" spans="1:15">
      <c r="A2755" t="s">
        <v>4241</v>
      </c>
      <c r="B2755" t="s">
        <v>2093</v>
      </c>
      <c r="C2755" t="s">
        <v>2100</v>
      </c>
      <c r="D2755" s="1">
        <v>44458</v>
      </c>
      <c r="E2755" s="1">
        <v>45130</v>
      </c>
      <c r="F2755">
        <v>162</v>
      </c>
      <c r="G2755">
        <v>2</v>
      </c>
      <c r="H2755">
        <v>107.04</v>
      </c>
      <c r="I2755">
        <v>27.83</v>
      </c>
      <c r="J2755" t="s">
        <v>14</v>
      </c>
      <c r="K2755" t="s">
        <v>16</v>
      </c>
      <c r="L2755" t="s">
        <v>2095</v>
      </c>
      <c r="M2755">
        <v>4</v>
      </c>
      <c r="N2755" t="s">
        <v>157</v>
      </c>
      <c r="O2755" t="s">
        <v>2109</v>
      </c>
    </row>
    <row r="2756" spans="1:15">
      <c r="A2756" t="s">
        <v>4242</v>
      </c>
      <c r="B2756" t="s">
        <v>2113</v>
      </c>
      <c r="C2756" t="s">
        <v>2086</v>
      </c>
      <c r="D2756" s="1">
        <v>44432</v>
      </c>
      <c r="E2756" s="1">
        <v>44950</v>
      </c>
      <c r="F2756">
        <v>342</v>
      </c>
      <c r="G2756">
        <v>11</v>
      </c>
      <c r="H2756">
        <v>128.71</v>
      </c>
      <c r="I2756">
        <v>60.94</v>
      </c>
      <c r="J2756" t="s">
        <v>14</v>
      </c>
      <c r="K2756" t="s">
        <v>16</v>
      </c>
      <c r="L2756" t="s">
        <v>2087</v>
      </c>
      <c r="M2756">
        <v>2</v>
      </c>
      <c r="N2756" t="s">
        <v>157</v>
      </c>
      <c r="O2756" t="s">
        <v>2088</v>
      </c>
    </row>
    <row r="2757" spans="1:15">
      <c r="A2757" t="s">
        <v>4243</v>
      </c>
      <c r="B2757" t="s">
        <v>2090</v>
      </c>
      <c r="C2757" t="s">
        <v>2108</v>
      </c>
      <c r="D2757" s="1">
        <v>43876</v>
      </c>
      <c r="E2757" s="1">
        <v>45112</v>
      </c>
      <c r="F2757">
        <v>180</v>
      </c>
      <c r="G2757">
        <v>3</v>
      </c>
      <c r="H2757">
        <v>119</v>
      </c>
      <c r="I2757">
        <v>89.59</v>
      </c>
      <c r="J2757" t="s">
        <v>41</v>
      </c>
      <c r="K2757" t="s">
        <v>16</v>
      </c>
      <c r="L2757" t="s">
        <v>2106</v>
      </c>
      <c r="M2757">
        <v>3</v>
      </c>
      <c r="N2757" t="s">
        <v>232</v>
      </c>
      <c r="O2757" t="s">
        <v>2107</v>
      </c>
    </row>
    <row r="2758" spans="1:15">
      <c r="A2758" t="s">
        <v>750</v>
      </c>
      <c r="B2758" t="s">
        <v>2097</v>
      </c>
      <c r="C2758" t="s">
        <v>2094</v>
      </c>
      <c r="D2758" s="1">
        <v>44845</v>
      </c>
      <c r="E2758" s="1">
        <v>45268</v>
      </c>
      <c r="F2758">
        <v>24</v>
      </c>
      <c r="G2758">
        <v>8</v>
      </c>
      <c r="H2758">
        <v>171.41</v>
      </c>
      <c r="I2758">
        <v>121.63</v>
      </c>
      <c r="J2758" t="s">
        <v>115</v>
      </c>
      <c r="K2758" t="s">
        <v>16</v>
      </c>
      <c r="L2758" t="s">
        <v>2095</v>
      </c>
      <c r="M2758">
        <v>8</v>
      </c>
      <c r="N2758" t="s">
        <v>194</v>
      </c>
      <c r="O2758" t="s">
        <v>2096</v>
      </c>
    </row>
    <row r="2759" spans="1:15">
      <c r="A2759" t="s">
        <v>876</v>
      </c>
      <c r="B2759" t="s">
        <v>2099</v>
      </c>
      <c r="C2759" t="s">
        <v>2091</v>
      </c>
      <c r="D2759" s="1">
        <v>45124</v>
      </c>
      <c r="E2759" s="1">
        <v>45095</v>
      </c>
      <c r="F2759">
        <v>197</v>
      </c>
      <c r="G2759">
        <v>2</v>
      </c>
      <c r="H2759">
        <v>107.99</v>
      </c>
      <c r="I2759">
        <v>73.41</v>
      </c>
      <c r="J2759" t="s">
        <v>115</v>
      </c>
      <c r="K2759" t="s">
        <v>16</v>
      </c>
      <c r="L2759" t="s">
        <v>2106</v>
      </c>
      <c r="M2759">
        <v>7</v>
      </c>
      <c r="N2759" t="s">
        <v>232</v>
      </c>
      <c r="O2759" t="s">
        <v>2107</v>
      </c>
    </row>
    <row r="2760" spans="1:15">
      <c r="A2760" t="s">
        <v>648</v>
      </c>
      <c r="B2760" t="s">
        <v>2093</v>
      </c>
      <c r="C2760" t="s">
        <v>2111</v>
      </c>
      <c r="D2760" s="1">
        <v>44873</v>
      </c>
      <c r="E2760" s="1">
        <v>45246</v>
      </c>
      <c r="F2760">
        <v>46</v>
      </c>
      <c r="G2760">
        <v>3</v>
      </c>
      <c r="H2760">
        <v>157.76</v>
      </c>
      <c r="I2760">
        <v>44.17</v>
      </c>
      <c r="J2760" t="s">
        <v>14</v>
      </c>
      <c r="K2760" t="s">
        <v>16</v>
      </c>
      <c r="L2760" t="s">
        <v>2106</v>
      </c>
      <c r="M2760">
        <v>2</v>
      </c>
      <c r="N2760" t="s">
        <v>194</v>
      </c>
      <c r="O2760" t="s">
        <v>2121</v>
      </c>
    </row>
    <row r="2761" spans="1:15">
      <c r="A2761" t="s">
        <v>579</v>
      </c>
      <c r="B2761" t="s">
        <v>2099</v>
      </c>
      <c r="C2761" t="s">
        <v>2086</v>
      </c>
      <c r="D2761" s="1">
        <v>44098</v>
      </c>
      <c r="E2761" s="1">
        <v>45279</v>
      </c>
      <c r="F2761">
        <v>13</v>
      </c>
      <c r="G2761">
        <v>2</v>
      </c>
      <c r="H2761">
        <v>147.47</v>
      </c>
      <c r="I2761">
        <v>50.18</v>
      </c>
      <c r="J2761" t="s">
        <v>41</v>
      </c>
      <c r="K2761" t="s">
        <v>16</v>
      </c>
      <c r="L2761" t="s">
        <v>2106</v>
      </c>
      <c r="M2761">
        <v>0</v>
      </c>
      <c r="N2761" t="s">
        <v>165</v>
      </c>
      <c r="O2761" t="s">
        <v>2088</v>
      </c>
    </row>
    <row r="2762" spans="1:15">
      <c r="A2762" t="s">
        <v>4244</v>
      </c>
      <c r="B2762" t="s">
        <v>2093</v>
      </c>
      <c r="C2762" t="s">
        <v>2108</v>
      </c>
      <c r="D2762" s="1">
        <v>43791</v>
      </c>
      <c r="E2762" s="1">
        <v>45276</v>
      </c>
      <c r="F2762">
        <v>16</v>
      </c>
      <c r="G2762">
        <v>3</v>
      </c>
      <c r="H2762">
        <v>65.760000000000005</v>
      </c>
      <c r="I2762">
        <v>44.51</v>
      </c>
      <c r="J2762" t="s">
        <v>66</v>
      </c>
      <c r="K2762" t="s">
        <v>20</v>
      </c>
      <c r="L2762" t="s">
        <v>2095</v>
      </c>
      <c r="M2762">
        <v>8</v>
      </c>
      <c r="N2762" t="s">
        <v>194</v>
      </c>
      <c r="O2762" t="s">
        <v>2121</v>
      </c>
    </row>
    <row r="2763" spans="1:15">
      <c r="A2763" t="s">
        <v>4245</v>
      </c>
      <c r="B2763" t="s">
        <v>2090</v>
      </c>
      <c r="C2763" t="s">
        <v>2100</v>
      </c>
      <c r="D2763" s="1">
        <v>43804</v>
      </c>
      <c r="E2763" s="1">
        <v>45219</v>
      </c>
      <c r="F2763">
        <v>73</v>
      </c>
      <c r="G2763">
        <v>3</v>
      </c>
      <c r="H2763">
        <v>186.94</v>
      </c>
      <c r="I2763">
        <v>90.66</v>
      </c>
      <c r="J2763" t="s">
        <v>41</v>
      </c>
      <c r="K2763" t="s">
        <v>16</v>
      </c>
      <c r="L2763" t="s">
        <v>2087</v>
      </c>
      <c r="M2763">
        <v>9</v>
      </c>
      <c r="N2763" t="s">
        <v>179</v>
      </c>
      <c r="O2763" t="s">
        <v>2107</v>
      </c>
    </row>
    <row r="2764" spans="1:15">
      <c r="A2764" t="s">
        <v>4246</v>
      </c>
      <c r="B2764" t="s">
        <v>2097</v>
      </c>
      <c r="C2764" t="s">
        <v>2091</v>
      </c>
      <c r="D2764" s="1">
        <v>43791</v>
      </c>
      <c r="E2764" s="1">
        <v>45176</v>
      </c>
      <c r="F2764">
        <v>116</v>
      </c>
      <c r="G2764">
        <v>5</v>
      </c>
      <c r="H2764">
        <v>362.81</v>
      </c>
      <c r="I2764">
        <v>123.44</v>
      </c>
      <c r="J2764" t="s">
        <v>66</v>
      </c>
      <c r="K2764" t="s">
        <v>20</v>
      </c>
      <c r="L2764" t="s">
        <v>2087</v>
      </c>
      <c r="M2764">
        <v>8</v>
      </c>
      <c r="N2764" t="s">
        <v>179</v>
      </c>
      <c r="O2764" t="s">
        <v>2088</v>
      </c>
    </row>
    <row r="2765" spans="1:15">
      <c r="A2765" t="s">
        <v>4247</v>
      </c>
      <c r="B2765" t="s">
        <v>2093</v>
      </c>
      <c r="C2765" t="s">
        <v>2100</v>
      </c>
      <c r="D2765" s="1">
        <v>44862</v>
      </c>
      <c r="E2765" s="1">
        <v>45065</v>
      </c>
      <c r="F2765">
        <v>227</v>
      </c>
      <c r="G2765">
        <v>2</v>
      </c>
      <c r="H2765">
        <v>110.51</v>
      </c>
      <c r="I2765">
        <v>23.29</v>
      </c>
      <c r="J2765" t="s">
        <v>41</v>
      </c>
      <c r="K2765" t="s">
        <v>16</v>
      </c>
      <c r="L2765" t="s">
        <v>2106</v>
      </c>
      <c r="M2765">
        <v>10</v>
      </c>
      <c r="N2765" t="s">
        <v>157</v>
      </c>
      <c r="O2765" t="s">
        <v>2121</v>
      </c>
    </row>
    <row r="2766" spans="1:15">
      <c r="A2766" t="s">
        <v>4248</v>
      </c>
      <c r="B2766" t="s">
        <v>2093</v>
      </c>
      <c r="C2766" t="s">
        <v>2111</v>
      </c>
      <c r="D2766" s="1">
        <v>44318</v>
      </c>
      <c r="E2766" s="1">
        <v>45130</v>
      </c>
      <c r="F2766">
        <v>162</v>
      </c>
      <c r="G2766">
        <v>3</v>
      </c>
      <c r="H2766">
        <v>178.79</v>
      </c>
      <c r="I2766">
        <v>78.69</v>
      </c>
      <c r="J2766" t="s">
        <v>14</v>
      </c>
      <c r="K2766" t="s">
        <v>16</v>
      </c>
      <c r="L2766" t="s">
        <v>2095</v>
      </c>
      <c r="M2766">
        <v>4</v>
      </c>
      <c r="N2766" t="s">
        <v>232</v>
      </c>
      <c r="O2766" t="s">
        <v>2109</v>
      </c>
    </row>
    <row r="2767" spans="1:15">
      <c r="A2767" t="s">
        <v>4249</v>
      </c>
      <c r="B2767" t="s">
        <v>2085</v>
      </c>
      <c r="C2767" t="s">
        <v>2091</v>
      </c>
      <c r="D2767" s="1">
        <v>44517</v>
      </c>
      <c r="E2767" s="1">
        <v>45129</v>
      </c>
      <c r="F2767">
        <v>163</v>
      </c>
      <c r="G2767">
        <v>29</v>
      </c>
      <c r="H2767">
        <v>906.03</v>
      </c>
      <c r="I2767">
        <v>175.69</v>
      </c>
      <c r="J2767" t="s">
        <v>115</v>
      </c>
      <c r="K2767" t="s">
        <v>20</v>
      </c>
      <c r="L2767" t="s">
        <v>2087</v>
      </c>
      <c r="M2767">
        <v>8</v>
      </c>
      <c r="N2767" t="s">
        <v>165</v>
      </c>
      <c r="O2767" t="s">
        <v>2088</v>
      </c>
    </row>
    <row r="2768" spans="1:15">
      <c r="A2768" t="s">
        <v>4250</v>
      </c>
      <c r="B2768" t="s">
        <v>2099</v>
      </c>
      <c r="C2768" t="s">
        <v>2091</v>
      </c>
      <c r="D2768" s="1">
        <v>43987</v>
      </c>
      <c r="E2768" s="1">
        <v>44936</v>
      </c>
      <c r="F2768">
        <v>356</v>
      </c>
      <c r="G2768">
        <v>1</v>
      </c>
      <c r="H2768">
        <v>55.34</v>
      </c>
      <c r="I2768">
        <v>40.049999999999997</v>
      </c>
      <c r="J2768" t="s">
        <v>115</v>
      </c>
      <c r="K2768" t="s">
        <v>16</v>
      </c>
      <c r="L2768" t="s">
        <v>2095</v>
      </c>
      <c r="M2768">
        <v>8</v>
      </c>
      <c r="N2768" t="s">
        <v>204</v>
      </c>
      <c r="O2768" t="s">
        <v>2088</v>
      </c>
    </row>
    <row r="2769" spans="1:15">
      <c r="A2769" t="s">
        <v>4251</v>
      </c>
      <c r="B2769" t="s">
        <v>2093</v>
      </c>
      <c r="C2769" t="s">
        <v>2094</v>
      </c>
      <c r="D2769" s="1">
        <v>44832</v>
      </c>
      <c r="E2769" s="1">
        <v>45080</v>
      </c>
      <c r="F2769">
        <v>212</v>
      </c>
      <c r="G2769">
        <v>3</v>
      </c>
      <c r="H2769">
        <v>100.9</v>
      </c>
      <c r="I2769">
        <v>25.2</v>
      </c>
      <c r="J2769" t="s">
        <v>14</v>
      </c>
      <c r="K2769" t="s">
        <v>20</v>
      </c>
      <c r="L2769" t="s">
        <v>2106</v>
      </c>
      <c r="M2769">
        <v>3</v>
      </c>
      <c r="N2769" t="s">
        <v>165</v>
      </c>
      <c r="O2769" t="s">
        <v>2107</v>
      </c>
    </row>
    <row r="2770" spans="1:15">
      <c r="A2770" t="s">
        <v>4252</v>
      </c>
      <c r="B2770" t="s">
        <v>2085</v>
      </c>
      <c r="C2770" t="s">
        <v>2108</v>
      </c>
      <c r="D2770" s="1">
        <v>44275</v>
      </c>
      <c r="E2770" s="1">
        <v>45223</v>
      </c>
      <c r="F2770">
        <v>69</v>
      </c>
      <c r="G2770">
        <v>29</v>
      </c>
      <c r="H2770">
        <v>1344.66</v>
      </c>
      <c r="I2770">
        <v>105.53</v>
      </c>
      <c r="J2770" t="s">
        <v>41</v>
      </c>
      <c r="K2770" t="s">
        <v>16</v>
      </c>
      <c r="L2770" t="s">
        <v>2087</v>
      </c>
      <c r="M2770">
        <v>6</v>
      </c>
      <c r="N2770" t="s">
        <v>232</v>
      </c>
      <c r="O2770" t="s">
        <v>2096</v>
      </c>
    </row>
    <row r="2771" spans="1:15">
      <c r="A2771" t="s">
        <v>4253</v>
      </c>
      <c r="B2771" t="s">
        <v>2097</v>
      </c>
      <c r="C2771" t="s">
        <v>2108</v>
      </c>
      <c r="D2771" s="1">
        <v>45073</v>
      </c>
      <c r="E2771" s="1">
        <v>45053</v>
      </c>
      <c r="F2771">
        <v>239</v>
      </c>
      <c r="G2771">
        <v>6</v>
      </c>
      <c r="H2771">
        <v>471.07</v>
      </c>
      <c r="I2771">
        <v>99.38</v>
      </c>
      <c r="J2771" t="s">
        <v>115</v>
      </c>
      <c r="K2771" t="s">
        <v>20</v>
      </c>
      <c r="L2771" t="s">
        <v>2095</v>
      </c>
      <c r="M2771">
        <v>1</v>
      </c>
      <c r="N2771" t="s">
        <v>179</v>
      </c>
      <c r="O2771" t="s">
        <v>2107</v>
      </c>
    </row>
    <row r="2772" spans="1:15">
      <c r="A2772" t="s">
        <v>4254</v>
      </c>
      <c r="B2772" t="s">
        <v>2097</v>
      </c>
      <c r="C2772" t="s">
        <v>2091</v>
      </c>
      <c r="D2772" s="1">
        <v>44492</v>
      </c>
      <c r="E2772" s="1">
        <v>45114</v>
      </c>
      <c r="F2772">
        <v>178</v>
      </c>
      <c r="G2772">
        <v>3</v>
      </c>
      <c r="H2772">
        <v>199.91</v>
      </c>
      <c r="I2772">
        <v>71.510000000000005</v>
      </c>
      <c r="J2772" t="s">
        <v>14</v>
      </c>
      <c r="K2772" t="s">
        <v>16</v>
      </c>
      <c r="L2772" t="s">
        <v>2106</v>
      </c>
      <c r="M2772">
        <v>2</v>
      </c>
      <c r="N2772" t="s">
        <v>157</v>
      </c>
      <c r="O2772" t="s">
        <v>2088</v>
      </c>
    </row>
    <row r="2773" spans="1:15">
      <c r="A2773" t="s">
        <v>4255</v>
      </c>
      <c r="B2773" t="s">
        <v>2085</v>
      </c>
      <c r="C2773" t="s">
        <v>2100</v>
      </c>
      <c r="D2773" s="1">
        <v>43865</v>
      </c>
      <c r="E2773" s="1">
        <v>45051</v>
      </c>
      <c r="F2773">
        <v>241</v>
      </c>
      <c r="G2773">
        <v>23</v>
      </c>
      <c r="H2773">
        <v>1134.19</v>
      </c>
      <c r="I2773">
        <v>114.64</v>
      </c>
      <c r="J2773" t="s">
        <v>41</v>
      </c>
      <c r="K2773" t="s">
        <v>20</v>
      </c>
      <c r="L2773" t="s">
        <v>2095</v>
      </c>
      <c r="M2773">
        <v>4</v>
      </c>
      <c r="N2773" t="s">
        <v>179</v>
      </c>
      <c r="O2773" t="s">
        <v>2096</v>
      </c>
    </row>
    <row r="2774" spans="1:15">
      <c r="A2774" t="s">
        <v>4256</v>
      </c>
      <c r="B2774" t="s">
        <v>2090</v>
      </c>
      <c r="C2774" t="s">
        <v>2091</v>
      </c>
      <c r="D2774" s="1">
        <v>43559</v>
      </c>
      <c r="E2774" s="1">
        <v>45020</v>
      </c>
      <c r="F2774">
        <v>272</v>
      </c>
      <c r="G2774">
        <v>6</v>
      </c>
      <c r="H2774">
        <v>136.78</v>
      </c>
      <c r="I2774">
        <v>53.44</v>
      </c>
      <c r="J2774" t="s">
        <v>14</v>
      </c>
      <c r="K2774" t="s">
        <v>20</v>
      </c>
      <c r="L2774" t="s">
        <v>2106</v>
      </c>
      <c r="M2774">
        <v>6</v>
      </c>
      <c r="N2774" t="s">
        <v>204</v>
      </c>
      <c r="O2774" t="s">
        <v>2107</v>
      </c>
    </row>
    <row r="2775" spans="1:15">
      <c r="A2775" t="s">
        <v>714</v>
      </c>
      <c r="B2775" t="s">
        <v>2085</v>
      </c>
      <c r="C2775" t="s">
        <v>2091</v>
      </c>
      <c r="D2775" s="1">
        <v>44703</v>
      </c>
      <c r="E2775" s="1">
        <v>44936</v>
      </c>
      <c r="F2775">
        <v>356</v>
      </c>
      <c r="G2775">
        <v>38</v>
      </c>
      <c r="H2775">
        <v>1047.27</v>
      </c>
      <c r="I2775">
        <v>224.49</v>
      </c>
      <c r="J2775" t="s">
        <v>14</v>
      </c>
      <c r="K2775" t="s">
        <v>20</v>
      </c>
      <c r="L2775" t="s">
        <v>2087</v>
      </c>
      <c r="M2775">
        <v>7</v>
      </c>
      <c r="N2775" t="s">
        <v>165</v>
      </c>
      <c r="O2775" t="s">
        <v>2121</v>
      </c>
    </row>
    <row r="2776" spans="1:15">
      <c r="A2776" t="s">
        <v>4257</v>
      </c>
      <c r="B2776" t="s">
        <v>2099</v>
      </c>
      <c r="C2776" t="s">
        <v>2086</v>
      </c>
      <c r="D2776" s="1">
        <v>43681</v>
      </c>
      <c r="E2776" s="1">
        <v>45262</v>
      </c>
      <c r="F2776">
        <v>30</v>
      </c>
      <c r="G2776">
        <v>1</v>
      </c>
      <c r="H2776">
        <v>21.01</v>
      </c>
      <c r="I2776">
        <v>20.46</v>
      </c>
      <c r="J2776" t="s">
        <v>14</v>
      </c>
      <c r="K2776" t="s">
        <v>16</v>
      </c>
      <c r="L2776" t="s">
        <v>2087</v>
      </c>
      <c r="M2776">
        <v>5</v>
      </c>
      <c r="N2776" t="s">
        <v>179</v>
      </c>
      <c r="O2776" t="s">
        <v>2107</v>
      </c>
    </row>
    <row r="2777" spans="1:15">
      <c r="A2777" t="s">
        <v>4258</v>
      </c>
      <c r="B2777" t="s">
        <v>2097</v>
      </c>
      <c r="C2777" t="s">
        <v>2086</v>
      </c>
      <c r="D2777" s="1">
        <v>43992</v>
      </c>
      <c r="E2777" s="1">
        <v>45038</v>
      </c>
      <c r="F2777">
        <v>254</v>
      </c>
      <c r="G2777">
        <v>7</v>
      </c>
      <c r="H2777">
        <v>702.46</v>
      </c>
      <c r="I2777">
        <v>102.96</v>
      </c>
      <c r="J2777" t="s">
        <v>90</v>
      </c>
      <c r="K2777" t="s">
        <v>16</v>
      </c>
      <c r="L2777" t="s">
        <v>2087</v>
      </c>
      <c r="M2777">
        <v>1</v>
      </c>
      <c r="N2777" t="s">
        <v>194</v>
      </c>
      <c r="O2777" t="s">
        <v>2121</v>
      </c>
    </row>
    <row r="2778" spans="1:15">
      <c r="A2778" t="s">
        <v>4259</v>
      </c>
      <c r="B2778" t="s">
        <v>2093</v>
      </c>
      <c r="C2778" t="s">
        <v>2108</v>
      </c>
      <c r="D2778" s="1">
        <v>43698</v>
      </c>
      <c r="E2778" s="1">
        <v>45165</v>
      </c>
      <c r="F2778">
        <v>127</v>
      </c>
      <c r="G2778">
        <v>4</v>
      </c>
      <c r="H2778">
        <v>81.760000000000005</v>
      </c>
      <c r="I2778">
        <v>57.13</v>
      </c>
      <c r="J2778" t="s">
        <v>14</v>
      </c>
      <c r="K2778" t="s">
        <v>20</v>
      </c>
      <c r="L2778" t="s">
        <v>2106</v>
      </c>
      <c r="M2778">
        <v>8</v>
      </c>
      <c r="N2778" t="s">
        <v>204</v>
      </c>
      <c r="O2778" t="s">
        <v>2096</v>
      </c>
    </row>
    <row r="2779" spans="1:15">
      <c r="A2779" t="s">
        <v>512</v>
      </c>
      <c r="B2779" t="s">
        <v>2097</v>
      </c>
      <c r="C2779" t="s">
        <v>2111</v>
      </c>
      <c r="D2779" s="1">
        <v>43533</v>
      </c>
      <c r="E2779" s="1">
        <v>45057</v>
      </c>
      <c r="F2779">
        <v>235</v>
      </c>
      <c r="G2779">
        <v>10</v>
      </c>
      <c r="H2779">
        <v>241.41</v>
      </c>
      <c r="I2779">
        <v>146.74</v>
      </c>
      <c r="J2779" t="s">
        <v>14</v>
      </c>
      <c r="K2779" t="s">
        <v>20</v>
      </c>
      <c r="L2779" t="s">
        <v>2095</v>
      </c>
      <c r="M2779">
        <v>10</v>
      </c>
      <c r="N2779" t="s">
        <v>165</v>
      </c>
      <c r="O2779" t="s">
        <v>2088</v>
      </c>
    </row>
    <row r="2780" spans="1:15">
      <c r="A2780" t="s">
        <v>1090</v>
      </c>
      <c r="B2780" t="s">
        <v>2085</v>
      </c>
      <c r="C2780" t="s">
        <v>2108</v>
      </c>
      <c r="D2780" s="1">
        <v>43879</v>
      </c>
      <c r="E2780" s="1">
        <v>45071</v>
      </c>
      <c r="F2780">
        <v>221</v>
      </c>
      <c r="G2780">
        <v>39</v>
      </c>
      <c r="H2780">
        <v>2713.05</v>
      </c>
      <c r="I2780">
        <v>286.62</v>
      </c>
      <c r="J2780" t="s">
        <v>115</v>
      </c>
      <c r="K2780" t="s">
        <v>20</v>
      </c>
      <c r="L2780" t="s">
        <v>2095</v>
      </c>
      <c r="M2780">
        <v>2</v>
      </c>
      <c r="N2780" t="s">
        <v>179</v>
      </c>
      <c r="O2780" t="s">
        <v>2107</v>
      </c>
    </row>
    <row r="2781" spans="1:15">
      <c r="A2781" t="s">
        <v>4260</v>
      </c>
      <c r="B2781" t="s">
        <v>2097</v>
      </c>
      <c r="C2781" t="s">
        <v>2086</v>
      </c>
      <c r="D2781" s="1">
        <v>43517</v>
      </c>
      <c r="E2781" s="1">
        <v>45118</v>
      </c>
      <c r="F2781">
        <v>174</v>
      </c>
      <c r="G2781">
        <v>4</v>
      </c>
      <c r="H2781">
        <v>397.29</v>
      </c>
      <c r="I2781">
        <v>118.13</v>
      </c>
      <c r="J2781" t="s">
        <v>41</v>
      </c>
      <c r="K2781" t="s">
        <v>16</v>
      </c>
      <c r="L2781" t="s">
        <v>2087</v>
      </c>
      <c r="M2781">
        <v>1</v>
      </c>
      <c r="N2781" t="s">
        <v>232</v>
      </c>
      <c r="O2781" t="s">
        <v>2107</v>
      </c>
    </row>
    <row r="2782" spans="1:15">
      <c r="A2782" t="s">
        <v>4261</v>
      </c>
      <c r="B2782" t="s">
        <v>2097</v>
      </c>
      <c r="C2782" t="s">
        <v>2091</v>
      </c>
      <c r="D2782" s="1">
        <v>43794</v>
      </c>
      <c r="E2782" s="1">
        <v>45111</v>
      </c>
      <c r="F2782">
        <v>181</v>
      </c>
      <c r="G2782">
        <v>8</v>
      </c>
      <c r="H2782">
        <v>271.49</v>
      </c>
      <c r="I2782">
        <v>95.09</v>
      </c>
      <c r="J2782" t="s">
        <v>14</v>
      </c>
      <c r="K2782" t="s">
        <v>16</v>
      </c>
      <c r="L2782" t="s">
        <v>2095</v>
      </c>
      <c r="M2782">
        <v>3</v>
      </c>
      <c r="N2782" t="s">
        <v>174</v>
      </c>
      <c r="O2782" t="s">
        <v>2096</v>
      </c>
    </row>
    <row r="2783" spans="1:15">
      <c r="A2783" t="s">
        <v>4262</v>
      </c>
      <c r="B2783" t="s">
        <v>2099</v>
      </c>
      <c r="C2783" t="s">
        <v>2108</v>
      </c>
      <c r="D2783" s="1">
        <v>43805</v>
      </c>
      <c r="E2783" s="1">
        <v>45197</v>
      </c>
      <c r="F2783">
        <v>95</v>
      </c>
      <c r="G2783">
        <v>2</v>
      </c>
      <c r="H2783">
        <v>93.32</v>
      </c>
      <c r="I2783">
        <v>78.040000000000006</v>
      </c>
      <c r="J2783" t="s">
        <v>41</v>
      </c>
      <c r="K2783" t="s">
        <v>16</v>
      </c>
      <c r="L2783" t="s">
        <v>2087</v>
      </c>
      <c r="M2783">
        <v>7</v>
      </c>
      <c r="N2783" t="s">
        <v>165</v>
      </c>
      <c r="O2783" t="s">
        <v>2096</v>
      </c>
    </row>
    <row r="2784" spans="1:15">
      <c r="A2784" t="s">
        <v>4263</v>
      </c>
      <c r="B2784" t="s">
        <v>2085</v>
      </c>
      <c r="C2784" t="s">
        <v>2111</v>
      </c>
      <c r="D2784" s="1">
        <v>44501</v>
      </c>
      <c r="E2784" s="1">
        <v>44983</v>
      </c>
      <c r="F2784">
        <v>309</v>
      </c>
      <c r="G2784">
        <v>35</v>
      </c>
      <c r="H2784">
        <v>2466.41</v>
      </c>
      <c r="I2784">
        <v>180.18</v>
      </c>
      <c r="J2784" t="s">
        <v>90</v>
      </c>
      <c r="K2784" t="s">
        <v>16</v>
      </c>
      <c r="L2784" t="s">
        <v>2106</v>
      </c>
      <c r="M2784">
        <v>8</v>
      </c>
      <c r="N2784" t="s">
        <v>204</v>
      </c>
      <c r="O2784" t="s">
        <v>2107</v>
      </c>
    </row>
    <row r="2785" spans="1:15">
      <c r="A2785" t="s">
        <v>4264</v>
      </c>
      <c r="B2785" t="s">
        <v>2090</v>
      </c>
      <c r="C2785" t="s">
        <v>2100</v>
      </c>
      <c r="D2785" s="1">
        <v>43852</v>
      </c>
      <c r="E2785" s="1">
        <v>45186</v>
      </c>
      <c r="F2785">
        <v>106</v>
      </c>
      <c r="G2785">
        <v>2</v>
      </c>
      <c r="H2785">
        <v>137.44999999999999</v>
      </c>
      <c r="I2785">
        <v>47.67</v>
      </c>
      <c r="J2785" t="s">
        <v>66</v>
      </c>
      <c r="K2785" t="s">
        <v>16</v>
      </c>
      <c r="L2785" t="s">
        <v>2087</v>
      </c>
      <c r="M2785">
        <v>7</v>
      </c>
      <c r="N2785" t="s">
        <v>157</v>
      </c>
      <c r="O2785" t="s">
        <v>2096</v>
      </c>
    </row>
    <row r="2786" spans="1:15">
      <c r="A2786" t="s">
        <v>4265</v>
      </c>
      <c r="B2786" t="s">
        <v>2097</v>
      </c>
      <c r="C2786" t="s">
        <v>2108</v>
      </c>
      <c r="D2786" s="1">
        <v>43637</v>
      </c>
      <c r="E2786" s="1">
        <v>45174</v>
      </c>
      <c r="F2786">
        <v>118</v>
      </c>
      <c r="G2786">
        <v>5</v>
      </c>
      <c r="H2786">
        <v>176.52</v>
      </c>
      <c r="I2786">
        <v>107.34</v>
      </c>
      <c r="J2786" t="s">
        <v>66</v>
      </c>
      <c r="K2786" t="s">
        <v>16</v>
      </c>
      <c r="L2786" t="s">
        <v>2106</v>
      </c>
      <c r="M2786">
        <v>0</v>
      </c>
      <c r="N2786" t="s">
        <v>194</v>
      </c>
      <c r="O2786" t="s">
        <v>2096</v>
      </c>
    </row>
    <row r="2787" spans="1:15">
      <c r="A2787" t="s">
        <v>4266</v>
      </c>
      <c r="B2787" t="s">
        <v>2113</v>
      </c>
      <c r="C2787" t="s">
        <v>2111</v>
      </c>
      <c r="D2787" s="1">
        <v>45062</v>
      </c>
      <c r="E2787" s="1">
        <v>44965</v>
      </c>
      <c r="F2787">
        <v>327</v>
      </c>
      <c r="G2787">
        <v>11</v>
      </c>
      <c r="H2787">
        <v>138.80000000000001</v>
      </c>
      <c r="I2787">
        <v>56.1</v>
      </c>
      <c r="J2787" t="s">
        <v>66</v>
      </c>
      <c r="K2787" t="s">
        <v>16</v>
      </c>
      <c r="L2787" t="s">
        <v>2087</v>
      </c>
      <c r="M2787">
        <v>5</v>
      </c>
      <c r="N2787" t="s">
        <v>179</v>
      </c>
      <c r="O2787" t="s">
        <v>2121</v>
      </c>
    </row>
    <row r="2788" spans="1:15">
      <c r="A2788" t="s">
        <v>569</v>
      </c>
      <c r="B2788" t="s">
        <v>2085</v>
      </c>
      <c r="C2788" t="s">
        <v>2100</v>
      </c>
      <c r="D2788" s="1">
        <v>44587</v>
      </c>
      <c r="E2788" s="1">
        <v>45076</v>
      </c>
      <c r="F2788">
        <v>216</v>
      </c>
      <c r="G2788">
        <v>28</v>
      </c>
      <c r="H2788">
        <v>1370.81</v>
      </c>
      <c r="I2788">
        <v>163.98</v>
      </c>
      <c r="J2788" t="s">
        <v>90</v>
      </c>
      <c r="K2788" t="s">
        <v>16</v>
      </c>
      <c r="L2788" t="s">
        <v>2095</v>
      </c>
      <c r="M2788">
        <v>3</v>
      </c>
      <c r="N2788" t="s">
        <v>179</v>
      </c>
      <c r="O2788" t="s">
        <v>2109</v>
      </c>
    </row>
    <row r="2789" spans="1:15">
      <c r="A2789" t="s">
        <v>1257</v>
      </c>
      <c r="B2789" t="s">
        <v>2090</v>
      </c>
      <c r="C2789" t="s">
        <v>2086</v>
      </c>
      <c r="D2789" s="1">
        <v>43567</v>
      </c>
      <c r="E2789" s="1">
        <v>44930</v>
      </c>
      <c r="F2789">
        <v>362</v>
      </c>
      <c r="G2789">
        <v>4</v>
      </c>
      <c r="H2789">
        <v>219.57</v>
      </c>
      <c r="I2789">
        <v>88.8</v>
      </c>
      <c r="J2789" t="s">
        <v>41</v>
      </c>
      <c r="K2789" t="s">
        <v>16</v>
      </c>
      <c r="L2789" t="s">
        <v>2106</v>
      </c>
      <c r="M2789">
        <v>7</v>
      </c>
      <c r="N2789" t="s">
        <v>204</v>
      </c>
      <c r="O2789" t="s">
        <v>2121</v>
      </c>
    </row>
    <row r="2790" spans="1:15">
      <c r="A2790" t="s">
        <v>4267</v>
      </c>
      <c r="B2790" t="s">
        <v>2093</v>
      </c>
      <c r="C2790" t="s">
        <v>2094</v>
      </c>
      <c r="D2790" s="1">
        <v>44510</v>
      </c>
      <c r="E2790" s="1">
        <v>45045</v>
      </c>
      <c r="F2790">
        <v>247</v>
      </c>
      <c r="G2790">
        <v>3</v>
      </c>
      <c r="H2790">
        <v>171.23</v>
      </c>
      <c r="I2790">
        <v>40.380000000000003</v>
      </c>
      <c r="J2790" t="s">
        <v>66</v>
      </c>
      <c r="K2790" t="s">
        <v>20</v>
      </c>
      <c r="L2790" t="s">
        <v>2095</v>
      </c>
      <c r="M2790">
        <v>1</v>
      </c>
      <c r="N2790" t="s">
        <v>204</v>
      </c>
      <c r="O2790" t="s">
        <v>2107</v>
      </c>
    </row>
    <row r="2791" spans="1:15">
      <c r="A2791" t="s">
        <v>4268</v>
      </c>
      <c r="B2791" t="s">
        <v>2099</v>
      </c>
      <c r="C2791" t="s">
        <v>2108</v>
      </c>
      <c r="D2791" s="1">
        <v>44372</v>
      </c>
      <c r="E2791" s="1">
        <v>45051</v>
      </c>
      <c r="F2791">
        <v>241</v>
      </c>
      <c r="G2791">
        <v>1</v>
      </c>
      <c r="H2791">
        <v>79.09</v>
      </c>
      <c r="I2791">
        <v>67.599999999999994</v>
      </c>
      <c r="J2791" t="s">
        <v>41</v>
      </c>
      <c r="K2791" t="s">
        <v>20</v>
      </c>
      <c r="L2791" t="s">
        <v>2095</v>
      </c>
      <c r="M2791">
        <v>9</v>
      </c>
      <c r="N2791" t="s">
        <v>174</v>
      </c>
      <c r="O2791" t="s">
        <v>2096</v>
      </c>
    </row>
    <row r="2792" spans="1:15">
      <c r="A2792" t="s">
        <v>4269</v>
      </c>
      <c r="B2792" t="s">
        <v>2093</v>
      </c>
      <c r="C2792" t="s">
        <v>2111</v>
      </c>
      <c r="D2792" s="1">
        <v>44205</v>
      </c>
      <c r="E2792" s="1">
        <v>44982</v>
      </c>
      <c r="F2792">
        <v>310</v>
      </c>
      <c r="G2792">
        <v>5</v>
      </c>
      <c r="H2792">
        <v>184.32</v>
      </c>
      <c r="I2792">
        <v>27.83</v>
      </c>
      <c r="J2792" t="s">
        <v>41</v>
      </c>
      <c r="K2792" t="s">
        <v>16</v>
      </c>
      <c r="L2792" t="s">
        <v>2095</v>
      </c>
      <c r="M2792">
        <v>4</v>
      </c>
      <c r="N2792" t="s">
        <v>174</v>
      </c>
      <c r="O2792" t="s">
        <v>2109</v>
      </c>
    </row>
    <row r="2793" spans="1:15">
      <c r="A2793" t="s">
        <v>1284</v>
      </c>
      <c r="B2793" t="s">
        <v>2097</v>
      </c>
      <c r="C2793" t="s">
        <v>2111</v>
      </c>
      <c r="D2793" s="1">
        <v>44731</v>
      </c>
      <c r="E2793" s="1">
        <v>45232</v>
      </c>
      <c r="F2793">
        <v>60</v>
      </c>
      <c r="G2793">
        <v>9</v>
      </c>
      <c r="H2793">
        <v>497.21</v>
      </c>
      <c r="I2793">
        <v>57.3</v>
      </c>
      <c r="J2793" t="s">
        <v>66</v>
      </c>
      <c r="K2793" t="s">
        <v>16</v>
      </c>
      <c r="L2793" t="s">
        <v>2095</v>
      </c>
      <c r="M2793">
        <v>4</v>
      </c>
      <c r="N2793" t="s">
        <v>174</v>
      </c>
      <c r="O2793" t="s">
        <v>2109</v>
      </c>
    </row>
    <row r="2794" spans="1:15">
      <c r="A2794" t="s">
        <v>4270</v>
      </c>
      <c r="B2794" t="s">
        <v>2113</v>
      </c>
      <c r="C2794" t="s">
        <v>2100</v>
      </c>
      <c r="D2794" s="1">
        <v>44926</v>
      </c>
      <c r="E2794" s="1">
        <v>45066</v>
      </c>
      <c r="F2794">
        <v>226</v>
      </c>
      <c r="G2794">
        <v>7</v>
      </c>
      <c r="H2794">
        <v>133.07</v>
      </c>
      <c r="I2794">
        <v>53.45</v>
      </c>
      <c r="J2794" t="s">
        <v>14</v>
      </c>
      <c r="K2794" t="s">
        <v>20</v>
      </c>
      <c r="L2794" t="s">
        <v>2095</v>
      </c>
      <c r="M2794">
        <v>7</v>
      </c>
      <c r="N2794" t="s">
        <v>174</v>
      </c>
      <c r="O2794" t="s">
        <v>2109</v>
      </c>
    </row>
    <row r="2795" spans="1:15">
      <c r="A2795" t="s">
        <v>4271</v>
      </c>
      <c r="B2795" t="s">
        <v>2113</v>
      </c>
      <c r="C2795" t="s">
        <v>2086</v>
      </c>
      <c r="D2795" s="1">
        <v>44626</v>
      </c>
      <c r="E2795" s="1">
        <v>45150</v>
      </c>
      <c r="F2795">
        <v>142</v>
      </c>
      <c r="G2795">
        <v>16</v>
      </c>
      <c r="H2795">
        <v>569.58000000000004</v>
      </c>
      <c r="I2795">
        <v>72.89</v>
      </c>
      <c r="J2795" t="s">
        <v>115</v>
      </c>
      <c r="K2795" t="s">
        <v>16</v>
      </c>
      <c r="L2795" t="s">
        <v>2095</v>
      </c>
      <c r="M2795">
        <v>10</v>
      </c>
      <c r="N2795" t="s">
        <v>165</v>
      </c>
      <c r="O2795" t="s">
        <v>2096</v>
      </c>
    </row>
    <row r="2796" spans="1:15">
      <c r="A2796" t="s">
        <v>4272</v>
      </c>
      <c r="B2796" t="s">
        <v>2097</v>
      </c>
      <c r="C2796" t="s">
        <v>2111</v>
      </c>
      <c r="D2796" s="1">
        <v>44818</v>
      </c>
      <c r="E2796" s="1">
        <v>45236</v>
      </c>
      <c r="F2796">
        <v>56</v>
      </c>
      <c r="G2796">
        <v>7</v>
      </c>
      <c r="H2796">
        <v>689.15</v>
      </c>
      <c r="I2796">
        <v>94.78</v>
      </c>
      <c r="J2796" t="s">
        <v>66</v>
      </c>
      <c r="K2796" t="s">
        <v>20</v>
      </c>
      <c r="L2796" t="s">
        <v>2087</v>
      </c>
      <c r="M2796">
        <v>8</v>
      </c>
      <c r="N2796" t="s">
        <v>165</v>
      </c>
      <c r="O2796" t="s">
        <v>2096</v>
      </c>
    </row>
    <row r="2797" spans="1:15">
      <c r="A2797" t="s">
        <v>4273</v>
      </c>
      <c r="B2797" t="s">
        <v>2097</v>
      </c>
      <c r="C2797" t="s">
        <v>2111</v>
      </c>
      <c r="D2797" s="1">
        <v>44648</v>
      </c>
      <c r="E2797" s="1">
        <v>44958</v>
      </c>
      <c r="F2797">
        <v>334</v>
      </c>
      <c r="G2797">
        <v>11</v>
      </c>
      <c r="H2797">
        <v>788.73</v>
      </c>
      <c r="I2797">
        <v>102.12</v>
      </c>
      <c r="J2797" t="s">
        <v>14</v>
      </c>
      <c r="K2797" t="s">
        <v>16</v>
      </c>
      <c r="L2797" t="s">
        <v>2087</v>
      </c>
      <c r="M2797">
        <v>6</v>
      </c>
      <c r="N2797" t="s">
        <v>204</v>
      </c>
      <c r="O2797" t="s">
        <v>2109</v>
      </c>
    </row>
    <row r="2798" spans="1:15">
      <c r="A2798" t="s">
        <v>4274</v>
      </c>
      <c r="B2798" t="s">
        <v>2099</v>
      </c>
      <c r="C2798" t="s">
        <v>2091</v>
      </c>
      <c r="D2798" s="1">
        <v>45228</v>
      </c>
      <c r="E2798" s="1">
        <v>45100</v>
      </c>
      <c r="F2798">
        <v>192</v>
      </c>
      <c r="G2798">
        <v>2</v>
      </c>
      <c r="H2798">
        <v>74.09</v>
      </c>
      <c r="I2798">
        <v>25.7</v>
      </c>
      <c r="J2798" t="s">
        <v>66</v>
      </c>
      <c r="K2798" t="s">
        <v>20</v>
      </c>
      <c r="L2798" t="s">
        <v>2087</v>
      </c>
      <c r="M2798">
        <v>0</v>
      </c>
      <c r="N2798" t="s">
        <v>174</v>
      </c>
      <c r="O2798" t="s">
        <v>2109</v>
      </c>
    </row>
    <row r="2799" spans="1:15">
      <c r="A2799" t="s">
        <v>4275</v>
      </c>
      <c r="B2799" t="s">
        <v>2085</v>
      </c>
      <c r="C2799" t="s">
        <v>2094</v>
      </c>
      <c r="D2799" s="1">
        <v>44330</v>
      </c>
      <c r="E2799" s="1">
        <v>45083</v>
      </c>
      <c r="F2799">
        <v>209</v>
      </c>
      <c r="G2799">
        <v>30</v>
      </c>
      <c r="H2799">
        <v>1137.21</v>
      </c>
      <c r="I2799">
        <v>118.91</v>
      </c>
      <c r="J2799" t="s">
        <v>14</v>
      </c>
      <c r="K2799" t="s">
        <v>16</v>
      </c>
      <c r="L2799" t="s">
        <v>2087</v>
      </c>
      <c r="M2799">
        <v>0</v>
      </c>
      <c r="N2799" t="s">
        <v>157</v>
      </c>
      <c r="O2799" t="s">
        <v>2107</v>
      </c>
    </row>
    <row r="2800" spans="1:15">
      <c r="A2800" t="s">
        <v>4276</v>
      </c>
      <c r="B2800" t="s">
        <v>2093</v>
      </c>
      <c r="C2800" t="s">
        <v>2094</v>
      </c>
      <c r="D2800" s="1">
        <v>44182</v>
      </c>
      <c r="E2800" s="1">
        <v>45044</v>
      </c>
      <c r="F2800">
        <v>248</v>
      </c>
      <c r="G2800">
        <v>2</v>
      </c>
      <c r="H2800">
        <v>124.37</v>
      </c>
      <c r="I2800">
        <v>35.090000000000003</v>
      </c>
      <c r="J2800" t="s">
        <v>90</v>
      </c>
      <c r="K2800" t="s">
        <v>20</v>
      </c>
      <c r="L2800" t="s">
        <v>2095</v>
      </c>
      <c r="M2800">
        <v>7</v>
      </c>
      <c r="N2800" t="s">
        <v>204</v>
      </c>
      <c r="O2800" t="s">
        <v>2107</v>
      </c>
    </row>
    <row r="2801" spans="1:15">
      <c r="A2801" t="s">
        <v>4277</v>
      </c>
      <c r="B2801" t="s">
        <v>2113</v>
      </c>
      <c r="C2801" t="s">
        <v>2086</v>
      </c>
      <c r="D2801" s="1">
        <v>44189</v>
      </c>
      <c r="E2801" s="1">
        <v>45252</v>
      </c>
      <c r="F2801">
        <v>40</v>
      </c>
      <c r="G2801">
        <v>11</v>
      </c>
      <c r="H2801">
        <v>464.26</v>
      </c>
      <c r="I2801">
        <v>32.97</v>
      </c>
      <c r="J2801" t="s">
        <v>41</v>
      </c>
      <c r="K2801" t="s">
        <v>20</v>
      </c>
      <c r="L2801" t="s">
        <v>2087</v>
      </c>
      <c r="M2801">
        <v>8</v>
      </c>
      <c r="N2801" t="s">
        <v>232</v>
      </c>
      <c r="O2801" t="s">
        <v>2088</v>
      </c>
    </row>
    <row r="2802" spans="1:15">
      <c r="A2802" t="s">
        <v>4278</v>
      </c>
      <c r="B2802" t="s">
        <v>2099</v>
      </c>
      <c r="C2802" t="s">
        <v>2091</v>
      </c>
      <c r="D2802" s="1">
        <v>43823</v>
      </c>
      <c r="E2802" s="1">
        <v>45161</v>
      </c>
      <c r="F2802">
        <v>131</v>
      </c>
      <c r="G2802">
        <v>1</v>
      </c>
      <c r="H2802">
        <v>66.900000000000006</v>
      </c>
      <c r="I2802">
        <v>60.16</v>
      </c>
      <c r="J2802" t="s">
        <v>115</v>
      </c>
      <c r="K2802" t="s">
        <v>20</v>
      </c>
      <c r="L2802" t="s">
        <v>2095</v>
      </c>
      <c r="M2802">
        <v>3</v>
      </c>
      <c r="N2802" t="s">
        <v>165</v>
      </c>
      <c r="O2802" t="s">
        <v>2121</v>
      </c>
    </row>
    <row r="2803" spans="1:15">
      <c r="A2803" t="s">
        <v>1471</v>
      </c>
      <c r="B2803" t="s">
        <v>2093</v>
      </c>
      <c r="C2803" t="s">
        <v>2094</v>
      </c>
      <c r="D2803" s="1">
        <v>43800</v>
      </c>
      <c r="E2803" s="1">
        <v>45285</v>
      </c>
      <c r="F2803">
        <v>7</v>
      </c>
      <c r="G2803">
        <v>4</v>
      </c>
      <c r="H2803">
        <v>181.6</v>
      </c>
      <c r="I2803">
        <v>57.62</v>
      </c>
      <c r="J2803" t="s">
        <v>14</v>
      </c>
      <c r="K2803" t="s">
        <v>20</v>
      </c>
      <c r="L2803" t="s">
        <v>2095</v>
      </c>
      <c r="M2803">
        <v>9</v>
      </c>
      <c r="N2803" t="s">
        <v>232</v>
      </c>
      <c r="O2803" t="s">
        <v>2109</v>
      </c>
    </row>
    <row r="2804" spans="1:15">
      <c r="A2804" t="s">
        <v>1210</v>
      </c>
      <c r="B2804" t="s">
        <v>2093</v>
      </c>
      <c r="C2804" t="s">
        <v>2100</v>
      </c>
      <c r="D2804" s="1">
        <v>44548</v>
      </c>
      <c r="E2804" s="1">
        <v>45084</v>
      </c>
      <c r="F2804">
        <v>208</v>
      </c>
      <c r="G2804">
        <v>4</v>
      </c>
      <c r="H2804">
        <v>63.23</v>
      </c>
      <c r="I2804">
        <v>56.39</v>
      </c>
      <c r="J2804" t="s">
        <v>66</v>
      </c>
      <c r="K2804" t="s">
        <v>20</v>
      </c>
      <c r="L2804" t="s">
        <v>2087</v>
      </c>
      <c r="M2804">
        <v>4</v>
      </c>
      <c r="N2804" t="s">
        <v>157</v>
      </c>
      <c r="O2804" t="s">
        <v>2109</v>
      </c>
    </row>
    <row r="2805" spans="1:15">
      <c r="A2805" t="s">
        <v>4279</v>
      </c>
      <c r="B2805" t="s">
        <v>2097</v>
      </c>
      <c r="C2805" t="s">
        <v>2094</v>
      </c>
      <c r="D2805" s="1">
        <v>44270</v>
      </c>
      <c r="E2805" s="1">
        <v>45273</v>
      </c>
      <c r="F2805">
        <v>19</v>
      </c>
      <c r="G2805">
        <v>11</v>
      </c>
      <c r="H2805">
        <v>301.14</v>
      </c>
      <c r="I2805">
        <v>122.28</v>
      </c>
      <c r="J2805" t="s">
        <v>41</v>
      </c>
      <c r="K2805" t="s">
        <v>20</v>
      </c>
      <c r="L2805" t="s">
        <v>2095</v>
      </c>
      <c r="M2805">
        <v>9</v>
      </c>
      <c r="N2805" t="s">
        <v>174</v>
      </c>
      <c r="O2805" t="s">
        <v>2088</v>
      </c>
    </row>
    <row r="2806" spans="1:15">
      <c r="A2806" t="s">
        <v>4280</v>
      </c>
      <c r="B2806" t="s">
        <v>2093</v>
      </c>
      <c r="C2806" t="s">
        <v>2100</v>
      </c>
      <c r="D2806" s="1">
        <v>43806</v>
      </c>
      <c r="E2806" s="1">
        <v>45006</v>
      </c>
      <c r="F2806">
        <v>286</v>
      </c>
      <c r="G2806">
        <v>5</v>
      </c>
      <c r="H2806">
        <v>100.77</v>
      </c>
      <c r="I2806">
        <v>47.24</v>
      </c>
      <c r="J2806" t="s">
        <v>41</v>
      </c>
      <c r="K2806" t="s">
        <v>16</v>
      </c>
      <c r="L2806" t="s">
        <v>2095</v>
      </c>
      <c r="M2806">
        <v>3</v>
      </c>
      <c r="N2806" t="s">
        <v>179</v>
      </c>
      <c r="O2806" t="s">
        <v>2121</v>
      </c>
    </row>
    <row r="2807" spans="1:15">
      <c r="A2807" t="s">
        <v>4281</v>
      </c>
      <c r="B2807" t="s">
        <v>2085</v>
      </c>
      <c r="C2807" t="s">
        <v>2100</v>
      </c>
      <c r="D2807" s="1">
        <v>43679</v>
      </c>
      <c r="E2807" s="1">
        <v>45137</v>
      </c>
      <c r="F2807">
        <v>155</v>
      </c>
      <c r="G2807">
        <v>24</v>
      </c>
      <c r="H2807">
        <v>2187.69</v>
      </c>
      <c r="I2807">
        <v>111.3</v>
      </c>
      <c r="J2807" t="s">
        <v>41</v>
      </c>
      <c r="K2807" t="s">
        <v>16</v>
      </c>
      <c r="L2807" t="s">
        <v>2087</v>
      </c>
      <c r="M2807">
        <v>0</v>
      </c>
      <c r="N2807" t="s">
        <v>174</v>
      </c>
      <c r="O2807" t="s">
        <v>2121</v>
      </c>
    </row>
    <row r="2808" spans="1:15">
      <c r="A2808" t="s">
        <v>1702</v>
      </c>
      <c r="B2808" t="s">
        <v>2093</v>
      </c>
      <c r="C2808" t="s">
        <v>2108</v>
      </c>
      <c r="D2808" s="1">
        <v>43867</v>
      </c>
      <c r="E2808" s="1">
        <v>45057</v>
      </c>
      <c r="F2808">
        <v>235</v>
      </c>
      <c r="G2808">
        <v>2</v>
      </c>
      <c r="H2808">
        <v>45.62</v>
      </c>
      <c r="I2808">
        <v>43.9</v>
      </c>
      <c r="J2808" t="s">
        <v>66</v>
      </c>
      <c r="K2808" t="s">
        <v>16</v>
      </c>
      <c r="L2808" t="s">
        <v>2087</v>
      </c>
      <c r="M2808">
        <v>3</v>
      </c>
      <c r="N2808" t="s">
        <v>204</v>
      </c>
      <c r="O2808" t="s">
        <v>2107</v>
      </c>
    </row>
    <row r="2809" spans="1:15">
      <c r="A2809" t="s">
        <v>4282</v>
      </c>
      <c r="B2809" t="s">
        <v>2090</v>
      </c>
      <c r="C2809" t="s">
        <v>2100</v>
      </c>
      <c r="D2809" s="1">
        <v>43865</v>
      </c>
      <c r="E2809" s="1">
        <v>45113</v>
      </c>
      <c r="F2809">
        <v>179</v>
      </c>
      <c r="G2809">
        <v>6</v>
      </c>
      <c r="H2809">
        <v>214.27</v>
      </c>
      <c r="I2809">
        <v>110.95</v>
      </c>
      <c r="J2809" t="s">
        <v>14</v>
      </c>
      <c r="K2809" t="s">
        <v>16</v>
      </c>
      <c r="L2809" t="s">
        <v>2087</v>
      </c>
      <c r="M2809">
        <v>4</v>
      </c>
      <c r="N2809" t="s">
        <v>194</v>
      </c>
      <c r="O2809" t="s">
        <v>2121</v>
      </c>
    </row>
    <row r="2810" spans="1:15">
      <c r="A2810" t="s">
        <v>4283</v>
      </c>
      <c r="B2810" t="s">
        <v>2093</v>
      </c>
      <c r="C2810" t="s">
        <v>2094</v>
      </c>
      <c r="D2810" s="1">
        <v>44093</v>
      </c>
      <c r="E2810" s="1">
        <v>45031</v>
      </c>
      <c r="F2810">
        <v>261</v>
      </c>
      <c r="G2810">
        <v>1</v>
      </c>
      <c r="H2810">
        <v>155.83000000000001</v>
      </c>
      <c r="I2810">
        <v>73.040000000000006</v>
      </c>
      <c r="J2810" t="s">
        <v>66</v>
      </c>
      <c r="K2810" t="s">
        <v>16</v>
      </c>
      <c r="L2810" t="s">
        <v>2095</v>
      </c>
      <c r="M2810">
        <v>1</v>
      </c>
      <c r="N2810" t="s">
        <v>174</v>
      </c>
      <c r="O2810" t="s">
        <v>2109</v>
      </c>
    </row>
    <row r="2811" spans="1:15">
      <c r="A2811" t="s">
        <v>4284</v>
      </c>
      <c r="B2811" t="s">
        <v>2113</v>
      </c>
      <c r="C2811" t="s">
        <v>2100</v>
      </c>
      <c r="D2811" s="1">
        <v>44628</v>
      </c>
      <c r="E2811" s="1">
        <v>45097</v>
      </c>
      <c r="F2811">
        <v>195</v>
      </c>
      <c r="G2811">
        <v>13</v>
      </c>
      <c r="H2811">
        <v>544.70000000000005</v>
      </c>
      <c r="I2811">
        <v>43.25</v>
      </c>
      <c r="J2811" t="s">
        <v>66</v>
      </c>
      <c r="K2811" t="s">
        <v>16</v>
      </c>
      <c r="L2811" t="s">
        <v>2095</v>
      </c>
      <c r="M2811">
        <v>10</v>
      </c>
      <c r="N2811" t="s">
        <v>232</v>
      </c>
      <c r="O2811" t="s">
        <v>2088</v>
      </c>
    </row>
    <row r="2812" spans="1:15">
      <c r="A2812" t="s">
        <v>4285</v>
      </c>
      <c r="B2812" t="s">
        <v>2093</v>
      </c>
      <c r="C2812" t="s">
        <v>2091</v>
      </c>
      <c r="D2812" s="1">
        <v>44080</v>
      </c>
      <c r="E2812" s="1">
        <v>45120</v>
      </c>
      <c r="F2812">
        <v>172</v>
      </c>
      <c r="G2812">
        <v>3</v>
      </c>
      <c r="H2812">
        <v>60.54</v>
      </c>
      <c r="I2812">
        <v>57.53</v>
      </c>
      <c r="J2812" t="s">
        <v>115</v>
      </c>
      <c r="K2812" t="s">
        <v>16</v>
      </c>
      <c r="L2812" t="s">
        <v>2087</v>
      </c>
      <c r="M2812">
        <v>1</v>
      </c>
      <c r="N2812" t="s">
        <v>157</v>
      </c>
      <c r="O2812" t="s">
        <v>2088</v>
      </c>
    </row>
    <row r="2813" spans="1:15">
      <c r="A2813" t="s">
        <v>262</v>
      </c>
      <c r="B2813" t="s">
        <v>2085</v>
      </c>
      <c r="C2813" t="s">
        <v>2108</v>
      </c>
      <c r="D2813" s="1">
        <v>45006</v>
      </c>
      <c r="E2813" s="1">
        <v>45178</v>
      </c>
      <c r="F2813">
        <v>114</v>
      </c>
      <c r="G2813">
        <v>15</v>
      </c>
      <c r="H2813">
        <v>2953.15</v>
      </c>
      <c r="I2813">
        <v>181.57</v>
      </c>
      <c r="J2813" t="s">
        <v>115</v>
      </c>
      <c r="K2813" t="s">
        <v>16</v>
      </c>
      <c r="L2813" t="s">
        <v>2087</v>
      </c>
      <c r="M2813">
        <v>10</v>
      </c>
      <c r="N2813" t="s">
        <v>204</v>
      </c>
      <c r="O2813" t="s">
        <v>2121</v>
      </c>
    </row>
    <row r="2814" spans="1:15">
      <c r="A2814" t="s">
        <v>4286</v>
      </c>
      <c r="B2814" t="s">
        <v>2097</v>
      </c>
      <c r="C2814" t="s">
        <v>2094</v>
      </c>
      <c r="D2814" s="1">
        <v>44369</v>
      </c>
      <c r="E2814" s="1">
        <v>45031</v>
      </c>
      <c r="F2814">
        <v>261</v>
      </c>
      <c r="G2814">
        <v>11</v>
      </c>
      <c r="H2814">
        <v>793.95</v>
      </c>
      <c r="I2814">
        <v>67.349999999999994</v>
      </c>
      <c r="J2814" t="s">
        <v>41</v>
      </c>
      <c r="K2814" t="s">
        <v>20</v>
      </c>
      <c r="L2814" t="s">
        <v>2106</v>
      </c>
      <c r="M2814">
        <v>9</v>
      </c>
      <c r="N2814" t="s">
        <v>232</v>
      </c>
      <c r="O2814" t="s">
        <v>2109</v>
      </c>
    </row>
    <row r="2815" spans="1:15">
      <c r="A2815" t="s">
        <v>4287</v>
      </c>
      <c r="B2815" t="s">
        <v>2113</v>
      </c>
      <c r="C2815" t="s">
        <v>2094</v>
      </c>
      <c r="D2815" s="1">
        <v>43591</v>
      </c>
      <c r="E2815" s="1">
        <v>45164</v>
      </c>
      <c r="F2815">
        <v>128</v>
      </c>
      <c r="G2815">
        <v>8</v>
      </c>
      <c r="H2815">
        <v>280.07</v>
      </c>
      <c r="I2815">
        <v>72.7</v>
      </c>
      <c r="J2815" t="s">
        <v>14</v>
      </c>
      <c r="K2815" t="s">
        <v>16</v>
      </c>
      <c r="L2815" t="s">
        <v>2087</v>
      </c>
      <c r="M2815">
        <v>10</v>
      </c>
      <c r="N2815" t="s">
        <v>174</v>
      </c>
      <c r="O2815" t="s">
        <v>2088</v>
      </c>
    </row>
    <row r="2816" spans="1:15">
      <c r="A2816" t="s">
        <v>4288</v>
      </c>
      <c r="B2816" t="s">
        <v>2097</v>
      </c>
      <c r="C2816" t="s">
        <v>2111</v>
      </c>
      <c r="D2816" s="1">
        <v>44873</v>
      </c>
      <c r="E2816" s="1">
        <v>45047</v>
      </c>
      <c r="F2816">
        <v>245</v>
      </c>
      <c r="G2816">
        <v>7</v>
      </c>
      <c r="H2816">
        <v>462.07</v>
      </c>
      <c r="I2816">
        <v>106.88</v>
      </c>
      <c r="J2816" t="s">
        <v>66</v>
      </c>
      <c r="K2816" t="s">
        <v>16</v>
      </c>
      <c r="L2816" t="s">
        <v>2106</v>
      </c>
      <c r="M2816">
        <v>2</v>
      </c>
      <c r="N2816" t="s">
        <v>194</v>
      </c>
      <c r="O2816" t="s">
        <v>2121</v>
      </c>
    </row>
    <row r="2817" spans="1:15">
      <c r="A2817" t="s">
        <v>4289</v>
      </c>
      <c r="B2817" t="s">
        <v>2093</v>
      </c>
      <c r="C2817" t="s">
        <v>2091</v>
      </c>
      <c r="D2817" s="1">
        <v>44496</v>
      </c>
      <c r="E2817" s="1">
        <v>44973</v>
      </c>
      <c r="F2817">
        <v>319</v>
      </c>
      <c r="G2817">
        <v>2</v>
      </c>
      <c r="H2817">
        <v>199.6</v>
      </c>
      <c r="I2817">
        <v>21.54</v>
      </c>
      <c r="J2817" t="s">
        <v>66</v>
      </c>
      <c r="K2817" t="s">
        <v>16</v>
      </c>
      <c r="L2817" t="s">
        <v>2087</v>
      </c>
      <c r="M2817">
        <v>3</v>
      </c>
      <c r="N2817" t="s">
        <v>165</v>
      </c>
      <c r="O2817" t="s">
        <v>2109</v>
      </c>
    </row>
    <row r="2818" spans="1:15">
      <c r="A2818" t="s">
        <v>4290</v>
      </c>
      <c r="B2818" t="s">
        <v>2090</v>
      </c>
      <c r="C2818" t="s">
        <v>2091</v>
      </c>
      <c r="D2818" s="1">
        <v>43810</v>
      </c>
      <c r="E2818" s="1">
        <v>45084</v>
      </c>
      <c r="F2818">
        <v>208</v>
      </c>
      <c r="G2818">
        <v>7</v>
      </c>
      <c r="H2818">
        <v>297.77999999999997</v>
      </c>
      <c r="I2818">
        <v>118.28</v>
      </c>
      <c r="J2818" t="s">
        <v>14</v>
      </c>
      <c r="K2818" t="s">
        <v>20</v>
      </c>
      <c r="L2818" t="s">
        <v>2095</v>
      </c>
      <c r="M2818">
        <v>4</v>
      </c>
      <c r="N2818" t="s">
        <v>165</v>
      </c>
      <c r="O2818" t="s">
        <v>2109</v>
      </c>
    </row>
    <row r="2819" spans="1:15">
      <c r="A2819" t="s">
        <v>1345</v>
      </c>
      <c r="B2819" t="s">
        <v>2085</v>
      </c>
      <c r="C2819" t="s">
        <v>2108</v>
      </c>
      <c r="D2819" s="1">
        <v>44263</v>
      </c>
      <c r="E2819" s="1">
        <v>44985</v>
      </c>
      <c r="F2819">
        <v>307</v>
      </c>
      <c r="G2819">
        <v>25</v>
      </c>
      <c r="H2819">
        <v>1725.58</v>
      </c>
      <c r="I2819">
        <v>248.69</v>
      </c>
      <c r="J2819" t="s">
        <v>14</v>
      </c>
      <c r="K2819" t="s">
        <v>16</v>
      </c>
      <c r="L2819" t="s">
        <v>2106</v>
      </c>
      <c r="M2819">
        <v>10</v>
      </c>
      <c r="N2819" t="s">
        <v>204</v>
      </c>
      <c r="O2819" t="s">
        <v>2107</v>
      </c>
    </row>
    <row r="2820" spans="1:15">
      <c r="A2820" t="s">
        <v>4291</v>
      </c>
      <c r="B2820" t="s">
        <v>2093</v>
      </c>
      <c r="C2820" t="s">
        <v>2111</v>
      </c>
      <c r="D2820" s="1">
        <v>45129</v>
      </c>
      <c r="E2820" s="1">
        <v>45002</v>
      </c>
      <c r="F2820">
        <v>290</v>
      </c>
      <c r="G2820">
        <v>4</v>
      </c>
      <c r="H2820">
        <v>185.23</v>
      </c>
      <c r="I2820">
        <v>56.43</v>
      </c>
      <c r="J2820" t="s">
        <v>115</v>
      </c>
      <c r="K2820" t="s">
        <v>16</v>
      </c>
      <c r="L2820" t="s">
        <v>2106</v>
      </c>
      <c r="M2820">
        <v>10</v>
      </c>
      <c r="N2820" t="s">
        <v>174</v>
      </c>
      <c r="O2820" t="s">
        <v>2109</v>
      </c>
    </row>
    <row r="2821" spans="1:15">
      <c r="A2821" t="s">
        <v>4292</v>
      </c>
      <c r="B2821" t="s">
        <v>2113</v>
      </c>
      <c r="C2821" t="s">
        <v>2111</v>
      </c>
      <c r="D2821" s="1">
        <v>44011</v>
      </c>
      <c r="E2821" s="1">
        <v>45151</v>
      </c>
      <c r="F2821">
        <v>141</v>
      </c>
      <c r="G2821">
        <v>5</v>
      </c>
      <c r="H2821">
        <v>312.37</v>
      </c>
      <c r="I2821">
        <v>72.48</v>
      </c>
      <c r="J2821" t="s">
        <v>66</v>
      </c>
      <c r="K2821" t="s">
        <v>20</v>
      </c>
      <c r="L2821" t="s">
        <v>2095</v>
      </c>
      <c r="M2821">
        <v>1</v>
      </c>
      <c r="N2821" t="s">
        <v>174</v>
      </c>
      <c r="O2821" t="s">
        <v>2107</v>
      </c>
    </row>
    <row r="2822" spans="1:15">
      <c r="A2822" t="s">
        <v>4293</v>
      </c>
      <c r="B2822" t="s">
        <v>2113</v>
      </c>
      <c r="C2822" t="s">
        <v>2111</v>
      </c>
      <c r="D2822" s="1">
        <v>43632</v>
      </c>
      <c r="E2822" s="1">
        <v>45139</v>
      </c>
      <c r="F2822">
        <v>153</v>
      </c>
      <c r="G2822">
        <v>5</v>
      </c>
      <c r="H2822">
        <v>169.4</v>
      </c>
      <c r="I2822">
        <v>79.55</v>
      </c>
      <c r="J2822" t="s">
        <v>14</v>
      </c>
      <c r="K2822" t="s">
        <v>16</v>
      </c>
      <c r="L2822" t="s">
        <v>2095</v>
      </c>
      <c r="M2822">
        <v>2</v>
      </c>
      <c r="N2822" t="s">
        <v>204</v>
      </c>
      <c r="O2822" t="s">
        <v>2107</v>
      </c>
    </row>
    <row r="2823" spans="1:15">
      <c r="A2823" t="s">
        <v>4294</v>
      </c>
      <c r="B2823" t="s">
        <v>2090</v>
      </c>
      <c r="C2823" t="s">
        <v>2091</v>
      </c>
      <c r="D2823" s="1">
        <v>45227</v>
      </c>
      <c r="E2823" s="1">
        <v>45188</v>
      </c>
      <c r="F2823">
        <v>104</v>
      </c>
      <c r="G2823">
        <v>8</v>
      </c>
      <c r="H2823">
        <v>278.70999999999998</v>
      </c>
      <c r="I2823">
        <v>73.25</v>
      </c>
      <c r="J2823" t="s">
        <v>41</v>
      </c>
      <c r="K2823" t="s">
        <v>16</v>
      </c>
      <c r="L2823" t="s">
        <v>2095</v>
      </c>
      <c r="M2823">
        <v>0</v>
      </c>
      <c r="N2823" t="s">
        <v>232</v>
      </c>
      <c r="O2823" t="s">
        <v>2109</v>
      </c>
    </row>
    <row r="2824" spans="1:15">
      <c r="A2824" t="s">
        <v>4295</v>
      </c>
      <c r="B2824" t="s">
        <v>2085</v>
      </c>
      <c r="C2824" t="s">
        <v>2094</v>
      </c>
      <c r="D2824" s="1">
        <v>44070</v>
      </c>
      <c r="E2824" s="1">
        <v>44999</v>
      </c>
      <c r="F2824">
        <v>293</v>
      </c>
      <c r="G2824">
        <v>20</v>
      </c>
      <c r="H2824">
        <v>2444.5700000000002</v>
      </c>
      <c r="I2824">
        <v>223.42</v>
      </c>
      <c r="J2824" t="s">
        <v>14</v>
      </c>
      <c r="K2824" t="s">
        <v>16</v>
      </c>
      <c r="L2824" t="s">
        <v>2106</v>
      </c>
      <c r="M2824">
        <v>6</v>
      </c>
      <c r="N2824" t="s">
        <v>179</v>
      </c>
      <c r="O2824" t="s">
        <v>2109</v>
      </c>
    </row>
    <row r="2825" spans="1:15">
      <c r="A2825" t="s">
        <v>4296</v>
      </c>
      <c r="B2825" t="s">
        <v>2090</v>
      </c>
      <c r="C2825" t="s">
        <v>2094</v>
      </c>
      <c r="D2825" s="1">
        <v>44393</v>
      </c>
      <c r="E2825" s="1">
        <v>45185</v>
      </c>
      <c r="F2825">
        <v>107</v>
      </c>
      <c r="G2825">
        <v>6</v>
      </c>
      <c r="H2825">
        <v>340.61</v>
      </c>
      <c r="I2825">
        <v>100.2</v>
      </c>
      <c r="J2825" t="s">
        <v>41</v>
      </c>
      <c r="K2825" t="s">
        <v>16</v>
      </c>
      <c r="L2825" t="s">
        <v>2095</v>
      </c>
      <c r="M2825">
        <v>10</v>
      </c>
      <c r="N2825" t="s">
        <v>174</v>
      </c>
      <c r="O2825" t="s">
        <v>2121</v>
      </c>
    </row>
    <row r="2826" spans="1:15">
      <c r="A2826" t="s">
        <v>4297</v>
      </c>
      <c r="B2826" t="s">
        <v>2085</v>
      </c>
      <c r="C2826" t="s">
        <v>2108</v>
      </c>
      <c r="D2826" s="1">
        <v>44269</v>
      </c>
      <c r="E2826" s="1">
        <v>44934</v>
      </c>
      <c r="F2826">
        <v>358</v>
      </c>
      <c r="G2826">
        <v>20</v>
      </c>
      <c r="H2826">
        <v>2643.92</v>
      </c>
      <c r="I2826">
        <v>127.28</v>
      </c>
      <c r="J2826" t="s">
        <v>90</v>
      </c>
      <c r="K2826" t="s">
        <v>16</v>
      </c>
      <c r="L2826" t="s">
        <v>2087</v>
      </c>
      <c r="M2826">
        <v>2</v>
      </c>
      <c r="N2826" t="s">
        <v>157</v>
      </c>
      <c r="O2826" t="s">
        <v>2088</v>
      </c>
    </row>
    <row r="2827" spans="1:15">
      <c r="A2827" t="s">
        <v>4298</v>
      </c>
      <c r="B2827" t="s">
        <v>2099</v>
      </c>
      <c r="C2827" t="s">
        <v>2086</v>
      </c>
      <c r="D2827" s="1">
        <v>44220</v>
      </c>
      <c r="E2827" s="1">
        <v>45013</v>
      </c>
      <c r="F2827">
        <v>279</v>
      </c>
      <c r="G2827">
        <v>1</v>
      </c>
      <c r="H2827">
        <v>113.39</v>
      </c>
      <c r="I2827">
        <v>48.32</v>
      </c>
      <c r="J2827" t="s">
        <v>66</v>
      </c>
      <c r="K2827" t="s">
        <v>20</v>
      </c>
      <c r="L2827" t="s">
        <v>2106</v>
      </c>
      <c r="M2827">
        <v>9</v>
      </c>
      <c r="N2827" t="s">
        <v>194</v>
      </c>
      <c r="O2827" t="s">
        <v>2109</v>
      </c>
    </row>
    <row r="2828" spans="1:15">
      <c r="A2828" t="s">
        <v>4299</v>
      </c>
      <c r="B2828" t="s">
        <v>2113</v>
      </c>
      <c r="C2828" t="s">
        <v>2108</v>
      </c>
      <c r="D2828" s="1">
        <v>45009</v>
      </c>
      <c r="E2828" s="1">
        <v>45177</v>
      </c>
      <c r="F2828">
        <v>115</v>
      </c>
      <c r="G2828">
        <v>20</v>
      </c>
      <c r="H2828">
        <v>448.76</v>
      </c>
      <c r="I2828">
        <v>40.67</v>
      </c>
      <c r="J2828" t="s">
        <v>115</v>
      </c>
      <c r="K2828" t="s">
        <v>20</v>
      </c>
      <c r="L2828" t="s">
        <v>2095</v>
      </c>
      <c r="M2828">
        <v>9</v>
      </c>
      <c r="N2828" t="s">
        <v>157</v>
      </c>
      <c r="O2828" t="s">
        <v>2096</v>
      </c>
    </row>
    <row r="2829" spans="1:15">
      <c r="A2829" t="s">
        <v>4300</v>
      </c>
      <c r="B2829" t="s">
        <v>2113</v>
      </c>
      <c r="C2829" t="s">
        <v>2108</v>
      </c>
      <c r="D2829" s="1">
        <v>44817</v>
      </c>
      <c r="E2829" s="1">
        <v>45234</v>
      </c>
      <c r="F2829">
        <v>58</v>
      </c>
      <c r="G2829">
        <v>15</v>
      </c>
      <c r="H2829">
        <v>349.46</v>
      </c>
      <c r="I2829">
        <v>58.74</v>
      </c>
      <c r="J2829" t="s">
        <v>115</v>
      </c>
      <c r="K2829" t="s">
        <v>16</v>
      </c>
      <c r="L2829" t="s">
        <v>2087</v>
      </c>
      <c r="M2829">
        <v>7</v>
      </c>
      <c r="N2829" t="s">
        <v>204</v>
      </c>
      <c r="O2829" t="s">
        <v>2096</v>
      </c>
    </row>
    <row r="2830" spans="1:15">
      <c r="A2830" t="s">
        <v>1138</v>
      </c>
      <c r="B2830" t="s">
        <v>2099</v>
      </c>
      <c r="C2830" t="s">
        <v>2091</v>
      </c>
      <c r="D2830" s="1">
        <v>44221</v>
      </c>
      <c r="E2830" s="1">
        <v>45227</v>
      </c>
      <c r="F2830">
        <v>65</v>
      </c>
      <c r="G2830">
        <v>2</v>
      </c>
      <c r="H2830">
        <v>113.59</v>
      </c>
      <c r="I2830">
        <v>27.98</v>
      </c>
      <c r="J2830" t="s">
        <v>115</v>
      </c>
      <c r="K2830" t="s">
        <v>16</v>
      </c>
      <c r="L2830" t="s">
        <v>2106</v>
      </c>
      <c r="M2830">
        <v>10</v>
      </c>
      <c r="N2830" t="s">
        <v>232</v>
      </c>
      <c r="O2830" t="s">
        <v>2096</v>
      </c>
    </row>
    <row r="2831" spans="1:15">
      <c r="A2831" t="s">
        <v>4301</v>
      </c>
      <c r="B2831" t="s">
        <v>2113</v>
      </c>
      <c r="C2831" t="s">
        <v>2111</v>
      </c>
      <c r="D2831" s="1">
        <v>43936</v>
      </c>
      <c r="E2831" s="1">
        <v>45218</v>
      </c>
      <c r="F2831">
        <v>74</v>
      </c>
      <c r="G2831">
        <v>5</v>
      </c>
      <c r="H2831">
        <v>485.94</v>
      </c>
      <c r="I2831">
        <v>70.87</v>
      </c>
      <c r="J2831" t="s">
        <v>41</v>
      </c>
      <c r="K2831" t="s">
        <v>16</v>
      </c>
      <c r="L2831" t="s">
        <v>2087</v>
      </c>
      <c r="M2831">
        <v>0</v>
      </c>
      <c r="N2831" t="s">
        <v>179</v>
      </c>
      <c r="O2831" t="s">
        <v>2107</v>
      </c>
    </row>
    <row r="2832" spans="1:15">
      <c r="A2832" t="s">
        <v>4302</v>
      </c>
      <c r="B2832" t="s">
        <v>2090</v>
      </c>
      <c r="C2832" t="s">
        <v>2100</v>
      </c>
      <c r="D2832" s="1">
        <v>44733</v>
      </c>
      <c r="E2832" s="1">
        <v>45250</v>
      </c>
      <c r="F2832">
        <v>42</v>
      </c>
      <c r="G2832">
        <v>4</v>
      </c>
      <c r="H2832">
        <v>325.60000000000002</v>
      </c>
      <c r="I2832">
        <v>90.61</v>
      </c>
      <c r="J2832" t="s">
        <v>90</v>
      </c>
      <c r="K2832" t="s">
        <v>20</v>
      </c>
      <c r="L2832" t="s">
        <v>2095</v>
      </c>
      <c r="M2832">
        <v>9</v>
      </c>
      <c r="N2832" t="s">
        <v>204</v>
      </c>
      <c r="O2832" t="s">
        <v>2107</v>
      </c>
    </row>
    <row r="2833" spans="1:15">
      <c r="A2833" t="s">
        <v>4303</v>
      </c>
      <c r="B2833" t="s">
        <v>2113</v>
      </c>
      <c r="C2833" t="s">
        <v>2100</v>
      </c>
      <c r="D2833" s="1">
        <v>44270</v>
      </c>
      <c r="E2833" s="1">
        <v>44935</v>
      </c>
      <c r="F2833">
        <v>357</v>
      </c>
      <c r="G2833">
        <v>14</v>
      </c>
      <c r="H2833">
        <v>438.26</v>
      </c>
      <c r="I2833">
        <v>75.36</v>
      </c>
      <c r="J2833" t="s">
        <v>66</v>
      </c>
      <c r="K2833" t="s">
        <v>16</v>
      </c>
      <c r="L2833" t="s">
        <v>2095</v>
      </c>
      <c r="M2833">
        <v>1</v>
      </c>
      <c r="N2833" t="s">
        <v>174</v>
      </c>
      <c r="O2833" t="s">
        <v>2096</v>
      </c>
    </row>
    <row r="2834" spans="1:15">
      <c r="A2834" t="s">
        <v>4304</v>
      </c>
      <c r="B2834" t="s">
        <v>2090</v>
      </c>
      <c r="C2834" t="s">
        <v>2094</v>
      </c>
      <c r="D2834" s="1">
        <v>43746</v>
      </c>
      <c r="E2834" s="1">
        <v>45121</v>
      </c>
      <c r="F2834">
        <v>171</v>
      </c>
      <c r="G2834">
        <v>4</v>
      </c>
      <c r="H2834">
        <v>121.45</v>
      </c>
      <c r="I2834">
        <v>53.22</v>
      </c>
      <c r="J2834" t="s">
        <v>66</v>
      </c>
      <c r="K2834" t="s">
        <v>16</v>
      </c>
      <c r="L2834" t="s">
        <v>2106</v>
      </c>
      <c r="M2834">
        <v>0</v>
      </c>
      <c r="N2834" t="s">
        <v>179</v>
      </c>
      <c r="O2834" t="s">
        <v>2107</v>
      </c>
    </row>
    <row r="2835" spans="1:15">
      <c r="A2835" t="s">
        <v>4305</v>
      </c>
      <c r="B2835" t="s">
        <v>2113</v>
      </c>
      <c r="C2835" t="s">
        <v>2108</v>
      </c>
      <c r="D2835" s="1">
        <v>44180</v>
      </c>
      <c r="E2835" s="1">
        <v>45237</v>
      </c>
      <c r="F2835">
        <v>55</v>
      </c>
      <c r="G2835">
        <v>16</v>
      </c>
      <c r="H2835">
        <v>391.21</v>
      </c>
      <c r="I2835">
        <v>33.04</v>
      </c>
      <c r="J2835" t="s">
        <v>41</v>
      </c>
      <c r="K2835" t="s">
        <v>16</v>
      </c>
      <c r="L2835" t="s">
        <v>2087</v>
      </c>
      <c r="M2835">
        <v>5</v>
      </c>
      <c r="N2835" t="s">
        <v>157</v>
      </c>
      <c r="O2835" t="s">
        <v>2121</v>
      </c>
    </row>
    <row r="2836" spans="1:15">
      <c r="A2836" t="s">
        <v>4306</v>
      </c>
      <c r="B2836" t="s">
        <v>2097</v>
      </c>
      <c r="C2836" t="s">
        <v>2094</v>
      </c>
      <c r="D2836" s="1">
        <v>44394</v>
      </c>
      <c r="E2836" s="1">
        <v>45229</v>
      </c>
      <c r="F2836">
        <v>63</v>
      </c>
      <c r="G2836">
        <v>7</v>
      </c>
      <c r="H2836">
        <v>566.59</v>
      </c>
      <c r="I2836">
        <v>97.06</v>
      </c>
      <c r="J2836" t="s">
        <v>14</v>
      </c>
      <c r="K2836" t="s">
        <v>16</v>
      </c>
      <c r="L2836" t="s">
        <v>2106</v>
      </c>
      <c r="M2836">
        <v>6</v>
      </c>
      <c r="N2836" t="s">
        <v>165</v>
      </c>
      <c r="O2836" t="s">
        <v>2121</v>
      </c>
    </row>
    <row r="2837" spans="1:15">
      <c r="A2837" t="s">
        <v>1718</v>
      </c>
      <c r="B2837" t="s">
        <v>2113</v>
      </c>
      <c r="C2837" t="s">
        <v>2086</v>
      </c>
      <c r="D2837" s="1">
        <v>45226</v>
      </c>
      <c r="E2837" s="1">
        <v>45056</v>
      </c>
      <c r="F2837">
        <v>236</v>
      </c>
      <c r="G2837">
        <v>19</v>
      </c>
      <c r="H2837">
        <v>548.03</v>
      </c>
      <c r="I2837">
        <v>54.29</v>
      </c>
      <c r="J2837" t="s">
        <v>66</v>
      </c>
      <c r="K2837" t="s">
        <v>20</v>
      </c>
      <c r="L2837" t="s">
        <v>2106</v>
      </c>
      <c r="M2837">
        <v>2</v>
      </c>
      <c r="N2837" t="s">
        <v>194</v>
      </c>
      <c r="O2837" t="s">
        <v>2096</v>
      </c>
    </row>
    <row r="2838" spans="1:15">
      <c r="A2838" t="s">
        <v>4307</v>
      </c>
      <c r="B2838" t="s">
        <v>2097</v>
      </c>
      <c r="C2838" t="s">
        <v>2094</v>
      </c>
      <c r="D2838" s="1">
        <v>44990</v>
      </c>
      <c r="E2838" s="1">
        <v>45209</v>
      </c>
      <c r="F2838">
        <v>83</v>
      </c>
      <c r="G2838">
        <v>5</v>
      </c>
      <c r="H2838">
        <v>763.06</v>
      </c>
      <c r="I2838">
        <v>143.82</v>
      </c>
      <c r="J2838" t="s">
        <v>90</v>
      </c>
      <c r="K2838" t="s">
        <v>16</v>
      </c>
      <c r="L2838" t="s">
        <v>2106</v>
      </c>
      <c r="M2838">
        <v>10</v>
      </c>
      <c r="N2838" t="s">
        <v>174</v>
      </c>
      <c r="O2838" t="s">
        <v>2096</v>
      </c>
    </row>
    <row r="2839" spans="1:15">
      <c r="A2839" t="s">
        <v>623</v>
      </c>
      <c r="B2839" t="s">
        <v>2093</v>
      </c>
      <c r="C2839" t="s">
        <v>2100</v>
      </c>
      <c r="D2839" s="1">
        <v>45211</v>
      </c>
      <c r="E2839" s="1">
        <v>45007</v>
      </c>
      <c r="F2839">
        <v>285</v>
      </c>
      <c r="G2839">
        <v>4</v>
      </c>
      <c r="H2839">
        <v>166.92</v>
      </c>
      <c r="I2839">
        <v>66.37</v>
      </c>
      <c r="J2839" t="s">
        <v>115</v>
      </c>
      <c r="K2839" t="s">
        <v>20</v>
      </c>
      <c r="L2839" t="s">
        <v>2095</v>
      </c>
      <c r="M2839">
        <v>9</v>
      </c>
      <c r="N2839" t="s">
        <v>194</v>
      </c>
      <c r="O2839" t="s">
        <v>2088</v>
      </c>
    </row>
    <row r="2840" spans="1:15">
      <c r="A2840" t="s">
        <v>4308</v>
      </c>
      <c r="B2840" t="s">
        <v>2093</v>
      </c>
      <c r="C2840" t="s">
        <v>2100</v>
      </c>
      <c r="D2840" s="1">
        <v>45076</v>
      </c>
      <c r="E2840" s="1">
        <v>45246</v>
      </c>
      <c r="F2840">
        <v>46</v>
      </c>
      <c r="G2840">
        <v>4</v>
      </c>
      <c r="H2840">
        <v>85.72</v>
      </c>
      <c r="I2840">
        <v>29.73</v>
      </c>
      <c r="J2840" t="s">
        <v>90</v>
      </c>
      <c r="K2840" t="s">
        <v>16</v>
      </c>
      <c r="L2840" t="s">
        <v>2106</v>
      </c>
      <c r="M2840">
        <v>9</v>
      </c>
      <c r="N2840" t="s">
        <v>232</v>
      </c>
      <c r="O2840" t="s">
        <v>2088</v>
      </c>
    </row>
    <row r="2841" spans="1:15">
      <c r="A2841" t="s">
        <v>4309</v>
      </c>
      <c r="B2841" t="s">
        <v>2085</v>
      </c>
      <c r="C2841" t="s">
        <v>2094</v>
      </c>
      <c r="D2841" s="1">
        <v>44524</v>
      </c>
      <c r="E2841" s="1">
        <v>45100</v>
      </c>
      <c r="F2841">
        <v>192</v>
      </c>
      <c r="G2841">
        <v>16</v>
      </c>
      <c r="H2841">
        <v>932.49</v>
      </c>
      <c r="I2841">
        <v>144.81</v>
      </c>
      <c r="J2841" t="s">
        <v>14</v>
      </c>
      <c r="K2841" t="s">
        <v>16</v>
      </c>
      <c r="L2841" t="s">
        <v>2095</v>
      </c>
      <c r="M2841">
        <v>0</v>
      </c>
      <c r="N2841" t="s">
        <v>232</v>
      </c>
      <c r="O2841" t="s">
        <v>2121</v>
      </c>
    </row>
    <row r="2842" spans="1:15">
      <c r="A2842" t="s">
        <v>782</v>
      </c>
      <c r="B2842" t="s">
        <v>2085</v>
      </c>
      <c r="C2842" t="s">
        <v>2091</v>
      </c>
      <c r="D2842" s="1">
        <v>43729</v>
      </c>
      <c r="E2842" s="1">
        <v>45071</v>
      </c>
      <c r="F2842">
        <v>221</v>
      </c>
      <c r="G2842">
        <v>22</v>
      </c>
      <c r="H2842">
        <v>2054.77</v>
      </c>
      <c r="I2842">
        <v>116.43</v>
      </c>
      <c r="J2842" t="s">
        <v>90</v>
      </c>
      <c r="K2842" t="s">
        <v>20</v>
      </c>
      <c r="L2842" t="s">
        <v>2106</v>
      </c>
      <c r="M2842">
        <v>5</v>
      </c>
      <c r="N2842" t="s">
        <v>204</v>
      </c>
      <c r="O2842" t="s">
        <v>2121</v>
      </c>
    </row>
    <row r="2843" spans="1:15">
      <c r="A2843" t="s">
        <v>4310</v>
      </c>
      <c r="B2843" t="s">
        <v>2097</v>
      </c>
      <c r="C2843" t="s">
        <v>2086</v>
      </c>
      <c r="D2843" s="1">
        <v>43879</v>
      </c>
      <c r="E2843" s="1">
        <v>45272</v>
      </c>
      <c r="F2843">
        <v>20</v>
      </c>
      <c r="G2843">
        <v>11</v>
      </c>
      <c r="H2843">
        <v>371.46</v>
      </c>
      <c r="I2843">
        <v>120.72</v>
      </c>
      <c r="J2843" t="s">
        <v>90</v>
      </c>
      <c r="K2843" t="s">
        <v>16</v>
      </c>
      <c r="L2843" t="s">
        <v>2106</v>
      </c>
      <c r="M2843">
        <v>3</v>
      </c>
      <c r="N2843" t="s">
        <v>194</v>
      </c>
      <c r="O2843" t="s">
        <v>2107</v>
      </c>
    </row>
    <row r="2844" spans="1:15">
      <c r="A2844" t="s">
        <v>4311</v>
      </c>
      <c r="B2844" t="s">
        <v>2090</v>
      </c>
      <c r="C2844" t="s">
        <v>2108</v>
      </c>
      <c r="D2844" s="1">
        <v>44946</v>
      </c>
      <c r="E2844" s="1">
        <v>45149</v>
      </c>
      <c r="F2844">
        <v>143</v>
      </c>
      <c r="G2844">
        <v>4</v>
      </c>
      <c r="H2844">
        <v>213.51</v>
      </c>
      <c r="I2844">
        <v>64.98</v>
      </c>
      <c r="J2844" t="s">
        <v>41</v>
      </c>
      <c r="K2844" t="s">
        <v>16</v>
      </c>
      <c r="L2844" t="s">
        <v>2087</v>
      </c>
      <c r="M2844">
        <v>0</v>
      </c>
      <c r="N2844" t="s">
        <v>232</v>
      </c>
      <c r="O2844" t="s">
        <v>2121</v>
      </c>
    </row>
    <row r="2845" spans="1:15">
      <c r="A2845" t="s">
        <v>4312</v>
      </c>
      <c r="B2845" t="s">
        <v>2097</v>
      </c>
      <c r="C2845" t="s">
        <v>2111</v>
      </c>
      <c r="D2845" s="1">
        <v>44005</v>
      </c>
      <c r="E2845" s="1">
        <v>45135</v>
      </c>
      <c r="F2845">
        <v>157</v>
      </c>
      <c r="G2845">
        <v>3</v>
      </c>
      <c r="H2845">
        <v>408.62</v>
      </c>
      <c r="I2845">
        <v>74.61</v>
      </c>
      <c r="J2845" t="s">
        <v>14</v>
      </c>
      <c r="K2845" t="s">
        <v>20</v>
      </c>
      <c r="L2845" t="s">
        <v>2106</v>
      </c>
      <c r="M2845">
        <v>7</v>
      </c>
      <c r="N2845" t="s">
        <v>232</v>
      </c>
      <c r="O2845" t="s">
        <v>2109</v>
      </c>
    </row>
    <row r="2846" spans="1:15">
      <c r="A2846" t="s">
        <v>4313</v>
      </c>
      <c r="B2846" t="s">
        <v>2097</v>
      </c>
      <c r="C2846" t="s">
        <v>2086</v>
      </c>
      <c r="D2846" s="1">
        <v>44249</v>
      </c>
      <c r="E2846" s="1">
        <v>45105</v>
      </c>
      <c r="F2846">
        <v>187</v>
      </c>
      <c r="G2846">
        <v>10</v>
      </c>
      <c r="H2846">
        <v>243.55</v>
      </c>
      <c r="I2846">
        <v>67.959999999999994</v>
      </c>
      <c r="J2846" t="s">
        <v>41</v>
      </c>
      <c r="K2846" t="s">
        <v>20</v>
      </c>
      <c r="L2846" t="s">
        <v>2095</v>
      </c>
      <c r="M2846">
        <v>8</v>
      </c>
      <c r="N2846" t="s">
        <v>174</v>
      </c>
      <c r="O2846" t="s">
        <v>2121</v>
      </c>
    </row>
    <row r="2847" spans="1:15">
      <c r="A2847" t="s">
        <v>1523</v>
      </c>
      <c r="B2847" t="s">
        <v>2085</v>
      </c>
      <c r="C2847" t="s">
        <v>2111</v>
      </c>
      <c r="D2847" s="1">
        <v>43640</v>
      </c>
      <c r="E2847" s="1">
        <v>45123</v>
      </c>
      <c r="F2847">
        <v>169</v>
      </c>
      <c r="G2847">
        <v>34</v>
      </c>
      <c r="H2847">
        <v>2899.79</v>
      </c>
      <c r="I2847">
        <v>113.19</v>
      </c>
      <c r="J2847" t="s">
        <v>41</v>
      </c>
      <c r="K2847" t="s">
        <v>16</v>
      </c>
      <c r="L2847" t="s">
        <v>2106</v>
      </c>
      <c r="M2847">
        <v>10</v>
      </c>
      <c r="N2847" t="s">
        <v>157</v>
      </c>
      <c r="O2847" t="s">
        <v>2096</v>
      </c>
    </row>
    <row r="2848" spans="1:15">
      <c r="A2848" t="s">
        <v>4314</v>
      </c>
      <c r="B2848" t="s">
        <v>2090</v>
      </c>
      <c r="C2848" t="s">
        <v>2094</v>
      </c>
      <c r="D2848" s="1">
        <v>44549</v>
      </c>
      <c r="E2848" s="1">
        <v>45259</v>
      </c>
      <c r="F2848">
        <v>33</v>
      </c>
      <c r="G2848">
        <v>8</v>
      </c>
      <c r="H2848">
        <v>199.59</v>
      </c>
      <c r="I2848">
        <v>62.51</v>
      </c>
      <c r="J2848" t="s">
        <v>41</v>
      </c>
      <c r="K2848" t="s">
        <v>16</v>
      </c>
      <c r="L2848" t="s">
        <v>2106</v>
      </c>
      <c r="M2848">
        <v>6</v>
      </c>
      <c r="N2848" t="s">
        <v>174</v>
      </c>
      <c r="O2848" t="s">
        <v>2107</v>
      </c>
    </row>
    <row r="2849" spans="1:15">
      <c r="A2849" t="s">
        <v>1452</v>
      </c>
      <c r="B2849" t="s">
        <v>2093</v>
      </c>
      <c r="C2849" t="s">
        <v>2100</v>
      </c>
      <c r="D2849" s="1">
        <v>43644</v>
      </c>
      <c r="E2849" s="1">
        <v>45040</v>
      </c>
      <c r="F2849">
        <v>252</v>
      </c>
      <c r="G2849">
        <v>1</v>
      </c>
      <c r="H2849">
        <v>137.18</v>
      </c>
      <c r="I2849">
        <v>75.08</v>
      </c>
      <c r="J2849" t="s">
        <v>115</v>
      </c>
      <c r="K2849" t="s">
        <v>20</v>
      </c>
      <c r="L2849" t="s">
        <v>2095</v>
      </c>
      <c r="M2849">
        <v>2</v>
      </c>
      <c r="N2849" t="s">
        <v>165</v>
      </c>
      <c r="O2849" t="s">
        <v>2096</v>
      </c>
    </row>
    <row r="2850" spans="1:15">
      <c r="A2850" t="s">
        <v>4315</v>
      </c>
      <c r="B2850" t="s">
        <v>2085</v>
      </c>
      <c r="C2850" t="s">
        <v>2100</v>
      </c>
      <c r="D2850" s="1">
        <v>44950</v>
      </c>
      <c r="E2850" s="1">
        <v>45138</v>
      </c>
      <c r="F2850">
        <v>154</v>
      </c>
      <c r="G2850">
        <v>30</v>
      </c>
      <c r="H2850">
        <v>1328.65</v>
      </c>
      <c r="I2850">
        <v>183.1</v>
      </c>
      <c r="J2850" t="s">
        <v>90</v>
      </c>
      <c r="K2850" t="s">
        <v>16</v>
      </c>
      <c r="L2850" t="s">
        <v>2087</v>
      </c>
      <c r="M2850">
        <v>3</v>
      </c>
      <c r="N2850" t="s">
        <v>179</v>
      </c>
      <c r="O2850" t="s">
        <v>2109</v>
      </c>
    </row>
    <row r="2851" spans="1:15">
      <c r="A2851" t="s">
        <v>4316</v>
      </c>
      <c r="B2851" t="s">
        <v>2113</v>
      </c>
      <c r="C2851" t="s">
        <v>2086</v>
      </c>
      <c r="D2851" s="1">
        <v>44077</v>
      </c>
      <c r="E2851" s="1">
        <v>45096</v>
      </c>
      <c r="F2851">
        <v>196</v>
      </c>
      <c r="G2851">
        <v>19</v>
      </c>
      <c r="H2851">
        <v>288.74</v>
      </c>
      <c r="I2851">
        <v>47.85</v>
      </c>
      <c r="J2851" t="s">
        <v>14</v>
      </c>
      <c r="K2851" t="s">
        <v>16</v>
      </c>
      <c r="L2851" t="s">
        <v>2087</v>
      </c>
      <c r="M2851">
        <v>8</v>
      </c>
      <c r="N2851" t="s">
        <v>174</v>
      </c>
      <c r="O2851" t="s">
        <v>2088</v>
      </c>
    </row>
    <row r="2852" spans="1:15">
      <c r="A2852" t="s">
        <v>1874</v>
      </c>
      <c r="B2852" t="s">
        <v>2113</v>
      </c>
      <c r="C2852" t="s">
        <v>2111</v>
      </c>
      <c r="D2852" s="1">
        <v>44944</v>
      </c>
      <c r="E2852" s="1">
        <v>44983</v>
      </c>
      <c r="F2852">
        <v>309</v>
      </c>
      <c r="G2852">
        <v>13</v>
      </c>
      <c r="H2852">
        <v>201.02</v>
      </c>
      <c r="I2852">
        <v>68.58</v>
      </c>
      <c r="J2852" t="s">
        <v>14</v>
      </c>
      <c r="K2852" t="s">
        <v>16</v>
      </c>
      <c r="L2852" t="s">
        <v>2087</v>
      </c>
      <c r="M2852">
        <v>9</v>
      </c>
      <c r="N2852" t="s">
        <v>157</v>
      </c>
      <c r="O2852" t="s">
        <v>2088</v>
      </c>
    </row>
    <row r="2853" spans="1:15">
      <c r="A2853" t="s">
        <v>1088</v>
      </c>
      <c r="B2853" t="s">
        <v>2113</v>
      </c>
      <c r="C2853" t="s">
        <v>2108</v>
      </c>
      <c r="D2853" s="1">
        <v>44566</v>
      </c>
      <c r="E2853" s="1">
        <v>45243</v>
      </c>
      <c r="F2853">
        <v>49</v>
      </c>
      <c r="G2853">
        <v>16</v>
      </c>
      <c r="H2853">
        <v>202.71</v>
      </c>
      <c r="I2853">
        <v>71.13</v>
      </c>
      <c r="J2853" t="s">
        <v>41</v>
      </c>
      <c r="K2853" t="s">
        <v>16</v>
      </c>
      <c r="L2853" t="s">
        <v>2106</v>
      </c>
      <c r="M2853">
        <v>3</v>
      </c>
      <c r="N2853" t="s">
        <v>157</v>
      </c>
      <c r="O2853" t="s">
        <v>2096</v>
      </c>
    </row>
    <row r="2854" spans="1:15">
      <c r="A2854" t="s">
        <v>4317</v>
      </c>
      <c r="B2854" t="s">
        <v>2097</v>
      </c>
      <c r="C2854" t="s">
        <v>2086</v>
      </c>
      <c r="D2854" s="1">
        <v>44103</v>
      </c>
      <c r="E2854" s="1">
        <v>45262</v>
      </c>
      <c r="F2854">
        <v>30</v>
      </c>
      <c r="G2854">
        <v>8</v>
      </c>
      <c r="H2854">
        <v>591.16</v>
      </c>
      <c r="I2854">
        <v>148.34</v>
      </c>
      <c r="J2854" t="s">
        <v>66</v>
      </c>
      <c r="K2854" t="s">
        <v>16</v>
      </c>
      <c r="L2854" t="s">
        <v>2106</v>
      </c>
      <c r="M2854">
        <v>0</v>
      </c>
      <c r="N2854" t="s">
        <v>204</v>
      </c>
      <c r="O2854" t="s">
        <v>2096</v>
      </c>
    </row>
    <row r="2855" spans="1:15">
      <c r="A2855" t="s">
        <v>4318</v>
      </c>
      <c r="B2855" t="s">
        <v>2097</v>
      </c>
      <c r="C2855" t="s">
        <v>2111</v>
      </c>
      <c r="D2855" s="1">
        <v>45104</v>
      </c>
      <c r="E2855" s="1">
        <v>45143</v>
      </c>
      <c r="F2855">
        <v>149</v>
      </c>
      <c r="G2855">
        <v>9</v>
      </c>
      <c r="H2855">
        <v>312.76</v>
      </c>
      <c r="I2855">
        <v>93.22</v>
      </c>
      <c r="J2855" t="s">
        <v>90</v>
      </c>
      <c r="K2855" t="s">
        <v>16</v>
      </c>
      <c r="L2855" t="s">
        <v>2087</v>
      </c>
      <c r="M2855">
        <v>1</v>
      </c>
      <c r="N2855" t="s">
        <v>194</v>
      </c>
      <c r="O2855" t="s">
        <v>2096</v>
      </c>
    </row>
    <row r="2856" spans="1:15">
      <c r="A2856" t="s">
        <v>901</v>
      </c>
      <c r="B2856" t="s">
        <v>2093</v>
      </c>
      <c r="C2856" t="s">
        <v>2111</v>
      </c>
      <c r="D2856" s="1">
        <v>44360</v>
      </c>
      <c r="E2856" s="1">
        <v>45007</v>
      </c>
      <c r="F2856">
        <v>285</v>
      </c>
      <c r="G2856">
        <v>3</v>
      </c>
      <c r="H2856">
        <v>81.97</v>
      </c>
      <c r="I2856">
        <v>50.42</v>
      </c>
      <c r="J2856" t="s">
        <v>90</v>
      </c>
      <c r="K2856" t="s">
        <v>16</v>
      </c>
      <c r="L2856" t="s">
        <v>2106</v>
      </c>
      <c r="M2856">
        <v>3</v>
      </c>
      <c r="N2856" t="s">
        <v>165</v>
      </c>
      <c r="O2856" t="s">
        <v>2121</v>
      </c>
    </row>
    <row r="2857" spans="1:15">
      <c r="A2857" t="s">
        <v>4319</v>
      </c>
      <c r="B2857" t="s">
        <v>2093</v>
      </c>
      <c r="C2857" t="s">
        <v>2091</v>
      </c>
      <c r="D2857" s="1">
        <v>44651</v>
      </c>
      <c r="E2857" s="1">
        <v>45159</v>
      </c>
      <c r="F2857">
        <v>133</v>
      </c>
      <c r="G2857">
        <v>2</v>
      </c>
      <c r="H2857">
        <v>107.04</v>
      </c>
      <c r="I2857">
        <v>72.73</v>
      </c>
      <c r="J2857" t="s">
        <v>14</v>
      </c>
      <c r="K2857" t="s">
        <v>16</v>
      </c>
      <c r="L2857" t="s">
        <v>2106</v>
      </c>
      <c r="M2857">
        <v>4</v>
      </c>
      <c r="N2857" t="s">
        <v>174</v>
      </c>
      <c r="O2857" t="s">
        <v>2109</v>
      </c>
    </row>
    <row r="2858" spans="1:15">
      <c r="A2858" t="s">
        <v>4320</v>
      </c>
      <c r="B2858" t="s">
        <v>2090</v>
      </c>
      <c r="C2858" t="s">
        <v>2108</v>
      </c>
      <c r="D2858" s="1">
        <v>44172</v>
      </c>
      <c r="E2858" s="1">
        <v>45012</v>
      </c>
      <c r="F2858">
        <v>280</v>
      </c>
      <c r="G2858">
        <v>4</v>
      </c>
      <c r="H2858">
        <v>344.02</v>
      </c>
      <c r="I2858">
        <v>113.46</v>
      </c>
      <c r="J2858" t="s">
        <v>14</v>
      </c>
      <c r="K2858" t="s">
        <v>16</v>
      </c>
      <c r="L2858" t="s">
        <v>2095</v>
      </c>
      <c r="M2858">
        <v>5</v>
      </c>
      <c r="N2858" t="s">
        <v>232</v>
      </c>
      <c r="O2858" t="s">
        <v>2088</v>
      </c>
    </row>
    <row r="2859" spans="1:15">
      <c r="A2859" t="s">
        <v>4321</v>
      </c>
      <c r="B2859" t="s">
        <v>2097</v>
      </c>
      <c r="C2859" t="s">
        <v>2091</v>
      </c>
      <c r="D2859" s="1">
        <v>44232</v>
      </c>
      <c r="E2859" s="1">
        <v>45206</v>
      </c>
      <c r="F2859">
        <v>86</v>
      </c>
      <c r="G2859">
        <v>10</v>
      </c>
      <c r="H2859">
        <v>450.36</v>
      </c>
      <c r="I2859">
        <v>61.17</v>
      </c>
      <c r="J2859" t="s">
        <v>115</v>
      </c>
      <c r="K2859" t="s">
        <v>16</v>
      </c>
      <c r="L2859" t="s">
        <v>2106</v>
      </c>
      <c r="M2859">
        <v>8</v>
      </c>
      <c r="N2859" t="s">
        <v>232</v>
      </c>
      <c r="O2859" t="s">
        <v>2096</v>
      </c>
    </row>
    <row r="2860" spans="1:15">
      <c r="A2860" t="s">
        <v>1431</v>
      </c>
      <c r="B2860" t="s">
        <v>2090</v>
      </c>
      <c r="C2860" t="s">
        <v>2094</v>
      </c>
      <c r="D2860" s="1">
        <v>44080</v>
      </c>
      <c r="E2860" s="1">
        <v>45235</v>
      </c>
      <c r="F2860">
        <v>57</v>
      </c>
      <c r="G2860">
        <v>7</v>
      </c>
      <c r="H2860">
        <v>364.91</v>
      </c>
      <c r="I2860">
        <v>97.47</v>
      </c>
      <c r="J2860" t="s">
        <v>14</v>
      </c>
      <c r="K2860" t="s">
        <v>16</v>
      </c>
      <c r="L2860" t="s">
        <v>2106</v>
      </c>
      <c r="M2860">
        <v>5</v>
      </c>
      <c r="N2860" t="s">
        <v>232</v>
      </c>
      <c r="O2860" t="s">
        <v>2088</v>
      </c>
    </row>
    <row r="2861" spans="1:15">
      <c r="A2861" t="s">
        <v>4322</v>
      </c>
      <c r="B2861" t="s">
        <v>2085</v>
      </c>
      <c r="C2861" t="s">
        <v>2108</v>
      </c>
      <c r="D2861" s="1">
        <v>44108</v>
      </c>
      <c r="E2861" s="1">
        <v>45128</v>
      </c>
      <c r="F2861">
        <v>164</v>
      </c>
      <c r="G2861">
        <v>35</v>
      </c>
      <c r="H2861">
        <v>2355.11</v>
      </c>
      <c r="I2861">
        <v>216.8</v>
      </c>
      <c r="J2861" t="s">
        <v>66</v>
      </c>
      <c r="K2861" t="s">
        <v>16</v>
      </c>
      <c r="L2861" t="s">
        <v>2087</v>
      </c>
      <c r="M2861">
        <v>4</v>
      </c>
      <c r="N2861" t="s">
        <v>179</v>
      </c>
      <c r="O2861" t="s">
        <v>2121</v>
      </c>
    </row>
    <row r="2862" spans="1:15">
      <c r="A2862" t="s">
        <v>4323</v>
      </c>
      <c r="B2862" t="s">
        <v>2097</v>
      </c>
      <c r="C2862" t="s">
        <v>2094</v>
      </c>
      <c r="D2862" s="1">
        <v>43994</v>
      </c>
      <c r="E2862" s="1">
        <v>44964</v>
      </c>
      <c r="F2862">
        <v>328</v>
      </c>
      <c r="G2862">
        <v>6</v>
      </c>
      <c r="H2862">
        <v>686.03</v>
      </c>
      <c r="I2862">
        <v>50.59</v>
      </c>
      <c r="J2862" t="s">
        <v>41</v>
      </c>
      <c r="K2862" t="s">
        <v>16</v>
      </c>
      <c r="L2862" t="s">
        <v>2095</v>
      </c>
      <c r="M2862">
        <v>8</v>
      </c>
      <c r="N2862" t="s">
        <v>204</v>
      </c>
      <c r="O2862" t="s">
        <v>2109</v>
      </c>
    </row>
    <row r="2863" spans="1:15">
      <c r="A2863" t="s">
        <v>4324</v>
      </c>
      <c r="B2863" t="s">
        <v>2090</v>
      </c>
      <c r="C2863" t="s">
        <v>2086</v>
      </c>
      <c r="D2863" s="1">
        <v>43485</v>
      </c>
      <c r="E2863" s="1">
        <v>44962</v>
      </c>
      <c r="F2863">
        <v>330</v>
      </c>
      <c r="G2863">
        <v>4</v>
      </c>
      <c r="H2863">
        <v>185.67</v>
      </c>
      <c r="I2863">
        <v>79.5</v>
      </c>
      <c r="J2863" t="s">
        <v>115</v>
      </c>
      <c r="K2863" t="s">
        <v>16</v>
      </c>
      <c r="L2863" t="s">
        <v>2087</v>
      </c>
      <c r="M2863">
        <v>9</v>
      </c>
      <c r="N2863" t="s">
        <v>165</v>
      </c>
      <c r="O2863" t="s">
        <v>2121</v>
      </c>
    </row>
    <row r="2864" spans="1:15">
      <c r="A2864" t="s">
        <v>4325</v>
      </c>
      <c r="B2864" t="s">
        <v>2085</v>
      </c>
      <c r="C2864" t="s">
        <v>2108</v>
      </c>
      <c r="D2864" s="1">
        <v>44390</v>
      </c>
      <c r="E2864" s="1">
        <v>44949</v>
      </c>
      <c r="F2864">
        <v>343</v>
      </c>
      <c r="G2864">
        <v>15</v>
      </c>
      <c r="H2864">
        <v>2765.24</v>
      </c>
      <c r="I2864">
        <v>160.25</v>
      </c>
      <c r="J2864" t="s">
        <v>115</v>
      </c>
      <c r="K2864" t="s">
        <v>20</v>
      </c>
      <c r="L2864" t="s">
        <v>2095</v>
      </c>
      <c r="M2864">
        <v>6</v>
      </c>
      <c r="N2864" t="s">
        <v>204</v>
      </c>
      <c r="O2864" t="s">
        <v>2107</v>
      </c>
    </row>
    <row r="2865" spans="1:15">
      <c r="A2865" t="s">
        <v>4326</v>
      </c>
      <c r="B2865" t="s">
        <v>2093</v>
      </c>
      <c r="C2865" t="s">
        <v>2111</v>
      </c>
      <c r="D2865" s="1">
        <v>44497</v>
      </c>
      <c r="E2865" s="1">
        <v>45284</v>
      </c>
      <c r="F2865">
        <v>8</v>
      </c>
      <c r="G2865">
        <v>3</v>
      </c>
      <c r="H2865">
        <v>183.63</v>
      </c>
      <c r="I2865">
        <v>64.569999999999993</v>
      </c>
      <c r="J2865" t="s">
        <v>14</v>
      </c>
      <c r="K2865" t="s">
        <v>20</v>
      </c>
      <c r="L2865" t="s">
        <v>2087</v>
      </c>
      <c r="M2865">
        <v>10</v>
      </c>
      <c r="N2865" t="s">
        <v>174</v>
      </c>
      <c r="O2865" t="s">
        <v>2109</v>
      </c>
    </row>
    <row r="2866" spans="1:15">
      <c r="A2866" t="s">
        <v>4327</v>
      </c>
      <c r="B2866" t="s">
        <v>2099</v>
      </c>
      <c r="C2866" t="s">
        <v>2100</v>
      </c>
      <c r="D2866" s="1">
        <v>44018</v>
      </c>
      <c r="E2866" s="1">
        <v>45285</v>
      </c>
      <c r="F2866">
        <v>7</v>
      </c>
      <c r="G2866">
        <v>1</v>
      </c>
      <c r="H2866">
        <v>127.73</v>
      </c>
      <c r="I2866">
        <v>59.62</v>
      </c>
      <c r="J2866" t="s">
        <v>14</v>
      </c>
      <c r="K2866" t="s">
        <v>20</v>
      </c>
      <c r="L2866" t="s">
        <v>2095</v>
      </c>
      <c r="M2866">
        <v>1</v>
      </c>
      <c r="N2866" t="s">
        <v>204</v>
      </c>
      <c r="O2866" t="s">
        <v>2096</v>
      </c>
    </row>
    <row r="2867" spans="1:15">
      <c r="A2867" t="s">
        <v>4328</v>
      </c>
      <c r="B2867" t="s">
        <v>2097</v>
      </c>
      <c r="C2867" t="s">
        <v>2108</v>
      </c>
      <c r="D2867" s="1">
        <v>44731</v>
      </c>
      <c r="E2867" s="1">
        <v>44992</v>
      </c>
      <c r="F2867">
        <v>300</v>
      </c>
      <c r="G2867">
        <v>7</v>
      </c>
      <c r="H2867">
        <v>158.16999999999999</v>
      </c>
      <c r="I2867">
        <v>98.73</v>
      </c>
      <c r="J2867" t="s">
        <v>14</v>
      </c>
      <c r="K2867" t="s">
        <v>16</v>
      </c>
      <c r="L2867" t="s">
        <v>2087</v>
      </c>
      <c r="M2867">
        <v>5</v>
      </c>
      <c r="N2867" t="s">
        <v>204</v>
      </c>
      <c r="O2867" t="s">
        <v>2121</v>
      </c>
    </row>
    <row r="2868" spans="1:15">
      <c r="A2868" t="s">
        <v>4329</v>
      </c>
      <c r="B2868" t="s">
        <v>2097</v>
      </c>
      <c r="C2868" t="s">
        <v>2108</v>
      </c>
      <c r="D2868" s="1">
        <v>44935</v>
      </c>
      <c r="E2868" s="1">
        <v>45184</v>
      </c>
      <c r="F2868">
        <v>108</v>
      </c>
      <c r="G2868">
        <v>10</v>
      </c>
      <c r="H2868">
        <v>374.45</v>
      </c>
      <c r="I2868">
        <v>114.76</v>
      </c>
      <c r="J2868" t="s">
        <v>41</v>
      </c>
      <c r="K2868" t="s">
        <v>16</v>
      </c>
      <c r="L2868" t="s">
        <v>2106</v>
      </c>
      <c r="M2868">
        <v>6</v>
      </c>
      <c r="N2868" t="s">
        <v>204</v>
      </c>
      <c r="O2868" t="s">
        <v>2088</v>
      </c>
    </row>
    <row r="2869" spans="1:15">
      <c r="A2869" t="s">
        <v>4330</v>
      </c>
      <c r="B2869" t="s">
        <v>2113</v>
      </c>
      <c r="C2869" t="s">
        <v>2086</v>
      </c>
      <c r="D2869" s="1">
        <v>44332</v>
      </c>
      <c r="E2869" s="1">
        <v>45127</v>
      </c>
      <c r="F2869">
        <v>165</v>
      </c>
      <c r="G2869">
        <v>7</v>
      </c>
      <c r="H2869">
        <v>579.74</v>
      </c>
      <c r="I2869">
        <v>64</v>
      </c>
      <c r="J2869" t="s">
        <v>115</v>
      </c>
      <c r="K2869" t="s">
        <v>16</v>
      </c>
      <c r="L2869" t="s">
        <v>2087</v>
      </c>
      <c r="M2869">
        <v>5</v>
      </c>
      <c r="N2869" t="s">
        <v>165</v>
      </c>
      <c r="O2869" t="s">
        <v>2109</v>
      </c>
    </row>
    <row r="2870" spans="1:15">
      <c r="A2870" t="s">
        <v>640</v>
      </c>
      <c r="B2870" t="s">
        <v>2085</v>
      </c>
      <c r="C2870" t="s">
        <v>2111</v>
      </c>
      <c r="D2870" s="1">
        <v>44853</v>
      </c>
      <c r="E2870" s="1">
        <v>45140</v>
      </c>
      <c r="F2870">
        <v>152</v>
      </c>
      <c r="G2870">
        <v>34</v>
      </c>
      <c r="H2870">
        <v>1515.22</v>
      </c>
      <c r="I2870">
        <v>267.17</v>
      </c>
      <c r="J2870" t="s">
        <v>90</v>
      </c>
      <c r="K2870" t="s">
        <v>16</v>
      </c>
      <c r="L2870" t="s">
        <v>2106</v>
      </c>
      <c r="M2870">
        <v>9</v>
      </c>
      <c r="N2870" t="s">
        <v>194</v>
      </c>
      <c r="O2870" t="s">
        <v>2096</v>
      </c>
    </row>
    <row r="2871" spans="1:15">
      <c r="A2871" t="s">
        <v>4331</v>
      </c>
      <c r="B2871" t="s">
        <v>2090</v>
      </c>
      <c r="C2871" t="s">
        <v>2100</v>
      </c>
      <c r="D2871" s="1">
        <v>44260</v>
      </c>
      <c r="E2871" s="1">
        <v>45055</v>
      </c>
      <c r="F2871">
        <v>237</v>
      </c>
      <c r="G2871">
        <v>3</v>
      </c>
      <c r="H2871">
        <v>214.58</v>
      </c>
      <c r="I2871">
        <v>99.7</v>
      </c>
      <c r="J2871" t="s">
        <v>14</v>
      </c>
      <c r="K2871" t="s">
        <v>16</v>
      </c>
      <c r="L2871" t="s">
        <v>2106</v>
      </c>
      <c r="M2871">
        <v>5</v>
      </c>
      <c r="N2871" t="s">
        <v>194</v>
      </c>
      <c r="O2871" t="s">
        <v>2096</v>
      </c>
    </row>
    <row r="2872" spans="1:15">
      <c r="A2872" t="s">
        <v>4332</v>
      </c>
      <c r="B2872" t="s">
        <v>2093</v>
      </c>
      <c r="C2872" t="s">
        <v>2086</v>
      </c>
      <c r="D2872" s="1">
        <v>43914</v>
      </c>
      <c r="E2872" s="1">
        <v>45033</v>
      </c>
      <c r="F2872">
        <v>259</v>
      </c>
      <c r="G2872">
        <v>4</v>
      </c>
      <c r="H2872">
        <v>49.82</v>
      </c>
      <c r="I2872">
        <v>74.39</v>
      </c>
      <c r="J2872" t="s">
        <v>66</v>
      </c>
      <c r="K2872" t="s">
        <v>16</v>
      </c>
      <c r="L2872" t="s">
        <v>2095</v>
      </c>
      <c r="M2872">
        <v>2</v>
      </c>
      <c r="N2872" t="s">
        <v>157</v>
      </c>
      <c r="O2872" t="s">
        <v>2121</v>
      </c>
    </row>
    <row r="2873" spans="1:15">
      <c r="A2873" t="s">
        <v>4333</v>
      </c>
      <c r="B2873" t="s">
        <v>2113</v>
      </c>
      <c r="C2873" t="s">
        <v>2111</v>
      </c>
      <c r="D2873" s="1">
        <v>44709</v>
      </c>
      <c r="E2873" s="1">
        <v>45133</v>
      </c>
      <c r="F2873">
        <v>159</v>
      </c>
      <c r="G2873">
        <v>7</v>
      </c>
      <c r="H2873">
        <v>355.38</v>
      </c>
      <c r="I2873">
        <v>48.66</v>
      </c>
      <c r="J2873" t="s">
        <v>115</v>
      </c>
      <c r="K2873" t="s">
        <v>16</v>
      </c>
      <c r="L2873" t="s">
        <v>2095</v>
      </c>
      <c r="M2873">
        <v>2</v>
      </c>
      <c r="N2873" t="s">
        <v>165</v>
      </c>
      <c r="O2873" t="s">
        <v>2109</v>
      </c>
    </row>
    <row r="2874" spans="1:15">
      <c r="A2874" t="s">
        <v>1395</v>
      </c>
      <c r="B2874" t="s">
        <v>2090</v>
      </c>
      <c r="C2874" t="s">
        <v>2100</v>
      </c>
      <c r="D2874" s="1">
        <v>44608</v>
      </c>
      <c r="E2874" s="1">
        <v>45285</v>
      </c>
      <c r="F2874">
        <v>7</v>
      </c>
      <c r="G2874">
        <v>5</v>
      </c>
      <c r="H2874">
        <v>350.61</v>
      </c>
      <c r="I2874">
        <v>111.36</v>
      </c>
      <c r="J2874" t="s">
        <v>115</v>
      </c>
      <c r="K2874" t="s">
        <v>16</v>
      </c>
      <c r="L2874" t="s">
        <v>2106</v>
      </c>
      <c r="M2874">
        <v>4</v>
      </c>
      <c r="N2874" t="s">
        <v>232</v>
      </c>
      <c r="O2874" t="s">
        <v>2109</v>
      </c>
    </row>
    <row r="2875" spans="1:15">
      <c r="A2875" t="s">
        <v>4334</v>
      </c>
      <c r="B2875" t="s">
        <v>2090</v>
      </c>
      <c r="C2875" t="s">
        <v>2111</v>
      </c>
      <c r="D2875" s="1">
        <v>44302</v>
      </c>
      <c r="E2875" s="1">
        <v>45028</v>
      </c>
      <c r="F2875">
        <v>264</v>
      </c>
      <c r="G2875">
        <v>8</v>
      </c>
      <c r="H2875">
        <v>344.73</v>
      </c>
      <c r="I2875">
        <v>90.2</v>
      </c>
      <c r="J2875" t="s">
        <v>115</v>
      </c>
      <c r="K2875" t="s">
        <v>16</v>
      </c>
      <c r="L2875" t="s">
        <v>2095</v>
      </c>
      <c r="M2875">
        <v>0</v>
      </c>
      <c r="N2875" t="s">
        <v>194</v>
      </c>
      <c r="O2875" t="s">
        <v>2107</v>
      </c>
    </row>
    <row r="2876" spans="1:15">
      <c r="A2876" t="s">
        <v>4335</v>
      </c>
      <c r="B2876" t="s">
        <v>2099</v>
      </c>
      <c r="C2876" t="s">
        <v>2091</v>
      </c>
      <c r="D2876" s="1">
        <v>44634</v>
      </c>
      <c r="E2876" s="1">
        <v>45020</v>
      </c>
      <c r="F2876">
        <v>272</v>
      </c>
      <c r="G2876">
        <v>1</v>
      </c>
      <c r="H2876">
        <v>53.78</v>
      </c>
      <c r="I2876">
        <v>36.39</v>
      </c>
      <c r="J2876" t="s">
        <v>66</v>
      </c>
      <c r="K2876" t="s">
        <v>20</v>
      </c>
      <c r="L2876" t="s">
        <v>2106</v>
      </c>
      <c r="M2876">
        <v>1</v>
      </c>
      <c r="N2876" t="s">
        <v>204</v>
      </c>
      <c r="O2876" t="s">
        <v>2121</v>
      </c>
    </row>
    <row r="2877" spans="1:15">
      <c r="A2877" t="s">
        <v>4336</v>
      </c>
      <c r="B2877" t="s">
        <v>2097</v>
      </c>
      <c r="C2877" t="s">
        <v>2100</v>
      </c>
      <c r="D2877" s="1">
        <v>44454</v>
      </c>
      <c r="E2877" s="1">
        <v>45071</v>
      </c>
      <c r="F2877">
        <v>221</v>
      </c>
      <c r="G2877">
        <v>6</v>
      </c>
      <c r="H2877">
        <v>152.81</v>
      </c>
      <c r="I2877">
        <v>62.05</v>
      </c>
      <c r="J2877" t="s">
        <v>115</v>
      </c>
      <c r="K2877" t="s">
        <v>20</v>
      </c>
      <c r="L2877" t="s">
        <v>2095</v>
      </c>
      <c r="M2877">
        <v>1</v>
      </c>
      <c r="N2877" t="s">
        <v>204</v>
      </c>
      <c r="O2877" t="s">
        <v>2109</v>
      </c>
    </row>
    <row r="2878" spans="1:15">
      <c r="A2878" t="s">
        <v>4337</v>
      </c>
      <c r="B2878" t="s">
        <v>2097</v>
      </c>
      <c r="C2878" t="s">
        <v>2100</v>
      </c>
      <c r="D2878" s="1">
        <v>45156</v>
      </c>
      <c r="E2878" s="1">
        <v>45184</v>
      </c>
      <c r="F2878">
        <v>108</v>
      </c>
      <c r="G2878">
        <v>4</v>
      </c>
      <c r="H2878">
        <v>639.54</v>
      </c>
      <c r="I2878">
        <v>59.05</v>
      </c>
      <c r="J2878" t="s">
        <v>41</v>
      </c>
      <c r="K2878" t="s">
        <v>16</v>
      </c>
      <c r="L2878" t="s">
        <v>2106</v>
      </c>
      <c r="M2878">
        <v>10</v>
      </c>
      <c r="N2878" t="s">
        <v>174</v>
      </c>
      <c r="O2878" t="s">
        <v>2088</v>
      </c>
    </row>
    <row r="2879" spans="1:15">
      <c r="A2879" t="s">
        <v>4338</v>
      </c>
      <c r="B2879" t="s">
        <v>2113</v>
      </c>
      <c r="C2879" t="s">
        <v>2091</v>
      </c>
      <c r="D2879" s="1">
        <v>44326</v>
      </c>
      <c r="E2879" s="1">
        <v>45003</v>
      </c>
      <c r="F2879">
        <v>289</v>
      </c>
      <c r="G2879">
        <v>16</v>
      </c>
      <c r="H2879">
        <v>213.11</v>
      </c>
      <c r="I2879">
        <v>49.42</v>
      </c>
      <c r="J2879" t="s">
        <v>41</v>
      </c>
      <c r="K2879" t="s">
        <v>16</v>
      </c>
      <c r="L2879" t="s">
        <v>2087</v>
      </c>
      <c r="M2879">
        <v>3</v>
      </c>
      <c r="N2879" t="s">
        <v>194</v>
      </c>
      <c r="O2879" t="s">
        <v>2109</v>
      </c>
    </row>
    <row r="2880" spans="1:15">
      <c r="A2880" t="s">
        <v>4339</v>
      </c>
      <c r="B2880" t="s">
        <v>2099</v>
      </c>
      <c r="C2880" t="s">
        <v>2100</v>
      </c>
      <c r="D2880" s="1">
        <v>44397</v>
      </c>
      <c r="E2880" s="1">
        <v>45118</v>
      </c>
      <c r="F2880">
        <v>174</v>
      </c>
      <c r="G2880">
        <v>1</v>
      </c>
      <c r="H2880">
        <v>103.35</v>
      </c>
      <c r="I2880">
        <v>48.22</v>
      </c>
      <c r="J2880" t="s">
        <v>115</v>
      </c>
      <c r="K2880" t="s">
        <v>20</v>
      </c>
      <c r="L2880" t="s">
        <v>2087</v>
      </c>
      <c r="M2880">
        <v>2</v>
      </c>
      <c r="N2880" t="s">
        <v>179</v>
      </c>
      <c r="O2880" t="s">
        <v>2088</v>
      </c>
    </row>
    <row r="2881" spans="1:15">
      <c r="A2881" t="s">
        <v>4340</v>
      </c>
      <c r="B2881" t="s">
        <v>2090</v>
      </c>
      <c r="C2881" t="s">
        <v>2108</v>
      </c>
      <c r="D2881" s="1">
        <v>44076</v>
      </c>
      <c r="E2881" s="1">
        <v>44931</v>
      </c>
      <c r="F2881">
        <v>361</v>
      </c>
      <c r="G2881">
        <v>4</v>
      </c>
      <c r="H2881">
        <v>336.12</v>
      </c>
      <c r="I2881">
        <v>40.15</v>
      </c>
      <c r="J2881" t="s">
        <v>14</v>
      </c>
      <c r="K2881" t="s">
        <v>16</v>
      </c>
      <c r="L2881" t="s">
        <v>2106</v>
      </c>
      <c r="M2881">
        <v>2</v>
      </c>
      <c r="N2881" t="s">
        <v>204</v>
      </c>
      <c r="O2881" t="s">
        <v>2107</v>
      </c>
    </row>
    <row r="2882" spans="1:15">
      <c r="A2882" t="s">
        <v>654</v>
      </c>
      <c r="B2882" t="s">
        <v>2085</v>
      </c>
      <c r="C2882" t="s">
        <v>2108</v>
      </c>
      <c r="D2882" s="1">
        <v>44538</v>
      </c>
      <c r="E2882" s="1">
        <v>45016</v>
      </c>
      <c r="F2882">
        <v>276</v>
      </c>
      <c r="G2882">
        <v>18</v>
      </c>
      <c r="H2882">
        <v>2455.27</v>
      </c>
      <c r="I2882">
        <v>161.71</v>
      </c>
      <c r="J2882" t="s">
        <v>90</v>
      </c>
      <c r="K2882" t="s">
        <v>16</v>
      </c>
      <c r="L2882" t="s">
        <v>2106</v>
      </c>
      <c r="M2882">
        <v>6</v>
      </c>
      <c r="N2882" t="s">
        <v>157</v>
      </c>
      <c r="O2882" t="s">
        <v>2121</v>
      </c>
    </row>
    <row r="2883" spans="1:15">
      <c r="A2883" t="s">
        <v>930</v>
      </c>
      <c r="B2883" t="s">
        <v>2097</v>
      </c>
      <c r="C2883" t="s">
        <v>2086</v>
      </c>
      <c r="D2883" s="1">
        <v>43631</v>
      </c>
      <c r="E2883" s="1">
        <v>44986</v>
      </c>
      <c r="F2883">
        <v>306</v>
      </c>
      <c r="G2883">
        <v>6</v>
      </c>
      <c r="H2883">
        <v>661.58</v>
      </c>
      <c r="I2883">
        <v>133.91</v>
      </c>
      <c r="J2883" t="s">
        <v>115</v>
      </c>
      <c r="K2883" t="s">
        <v>20</v>
      </c>
      <c r="L2883" t="s">
        <v>2095</v>
      </c>
      <c r="M2883">
        <v>0</v>
      </c>
      <c r="N2883" t="s">
        <v>157</v>
      </c>
      <c r="O2883" t="s">
        <v>2088</v>
      </c>
    </row>
    <row r="2884" spans="1:15">
      <c r="A2884" t="s">
        <v>4341</v>
      </c>
      <c r="B2884" t="s">
        <v>2085</v>
      </c>
      <c r="C2884" t="s">
        <v>2108</v>
      </c>
      <c r="D2884" s="1">
        <v>44843</v>
      </c>
      <c r="E2884" s="1">
        <v>45287</v>
      </c>
      <c r="F2884">
        <v>5</v>
      </c>
      <c r="G2884">
        <v>33</v>
      </c>
      <c r="H2884">
        <v>2654.75</v>
      </c>
      <c r="I2884">
        <v>271.39</v>
      </c>
      <c r="J2884" t="s">
        <v>115</v>
      </c>
      <c r="K2884" t="s">
        <v>16</v>
      </c>
      <c r="L2884" t="s">
        <v>2106</v>
      </c>
      <c r="M2884">
        <v>10</v>
      </c>
      <c r="N2884" t="s">
        <v>204</v>
      </c>
      <c r="O2884" t="s">
        <v>2107</v>
      </c>
    </row>
    <row r="2885" spans="1:15">
      <c r="A2885" t="s">
        <v>520</v>
      </c>
      <c r="B2885" t="s">
        <v>2093</v>
      </c>
      <c r="C2885" t="s">
        <v>2111</v>
      </c>
      <c r="D2885" s="1">
        <v>44796</v>
      </c>
      <c r="E2885" s="1">
        <v>45267</v>
      </c>
      <c r="F2885">
        <v>25</v>
      </c>
      <c r="G2885">
        <v>1</v>
      </c>
      <c r="H2885">
        <v>125.57</v>
      </c>
      <c r="I2885">
        <v>31.99</v>
      </c>
      <c r="J2885" t="s">
        <v>14</v>
      </c>
      <c r="K2885" t="s">
        <v>16</v>
      </c>
      <c r="L2885" t="s">
        <v>2106</v>
      </c>
      <c r="M2885">
        <v>2</v>
      </c>
      <c r="N2885" t="s">
        <v>232</v>
      </c>
      <c r="O2885" t="s">
        <v>2096</v>
      </c>
    </row>
    <row r="2886" spans="1:15">
      <c r="A2886" t="s">
        <v>4342</v>
      </c>
      <c r="B2886" t="s">
        <v>2099</v>
      </c>
      <c r="C2886" t="s">
        <v>2100</v>
      </c>
      <c r="D2886" s="1">
        <v>43894</v>
      </c>
      <c r="E2886" s="1">
        <v>45253</v>
      </c>
      <c r="F2886">
        <v>39</v>
      </c>
      <c r="G2886">
        <v>2</v>
      </c>
      <c r="H2886">
        <v>123.37</v>
      </c>
      <c r="I2886">
        <v>22.4</v>
      </c>
      <c r="J2886" t="s">
        <v>90</v>
      </c>
      <c r="K2886" t="s">
        <v>16</v>
      </c>
      <c r="L2886" t="s">
        <v>2087</v>
      </c>
      <c r="M2886">
        <v>3</v>
      </c>
      <c r="N2886" t="s">
        <v>204</v>
      </c>
      <c r="O2886" t="s">
        <v>2088</v>
      </c>
    </row>
    <row r="2887" spans="1:15">
      <c r="A2887" t="s">
        <v>4343</v>
      </c>
      <c r="B2887" t="s">
        <v>2113</v>
      </c>
      <c r="C2887" t="s">
        <v>2100</v>
      </c>
      <c r="D2887" s="1">
        <v>43970</v>
      </c>
      <c r="E2887" s="1">
        <v>45008</v>
      </c>
      <c r="F2887">
        <v>284</v>
      </c>
      <c r="G2887">
        <v>20</v>
      </c>
      <c r="H2887">
        <v>187.59</v>
      </c>
      <c r="I2887">
        <v>33.68</v>
      </c>
      <c r="J2887" t="s">
        <v>66</v>
      </c>
      <c r="K2887" t="s">
        <v>20</v>
      </c>
      <c r="L2887" t="s">
        <v>2106</v>
      </c>
      <c r="M2887">
        <v>4</v>
      </c>
      <c r="N2887" t="s">
        <v>194</v>
      </c>
      <c r="O2887" t="s">
        <v>2096</v>
      </c>
    </row>
    <row r="2888" spans="1:15">
      <c r="A2888" t="s">
        <v>4344</v>
      </c>
      <c r="B2888" t="s">
        <v>2097</v>
      </c>
      <c r="C2888" t="s">
        <v>2108</v>
      </c>
      <c r="D2888" s="1">
        <v>43566</v>
      </c>
      <c r="E2888" s="1">
        <v>45015</v>
      </c>
      <c r="F2888">
        <v>277</v>
      </c>
      <c r="G2888">
        <v>6</v>
      </c>
      <c r="H2888">
        <v>785.17</v>
      </c>
      <c r="I2888">
        <v>99.13</v>
      </c>
      <c r="J2888" t="s">
        <v>115</v>
      </c>
      <c r="K2888" t="s">
        <v>16</v>
      </c>
      <c r="L2888" t="s">
        <v>2095</v>
      </c>
      <c r="M2888">
        <v>3</v>
      </c>
      <c r="N2888" t="s">
        <v>204</v>
      </c>
      <c r="O2888" t="s">
        <v>2121</v>
      </c>
    </row>
    <row r="2889" spans="1:15">
      <c r="A2889" t="s">
        <v>4345</v>
      </c>
      <c r="B2889" t="s">
        <v>2097</v>
      </c>
      <c r="C2889" t="s">
        <v>2108</v>
      </c>
      <c r="D2889" s="1">
        <v>44986</v>
      </c>
      <c r="E2889" s="1">
        <v>44982</v>
      </c>
      <c r="F2889">
        <v>310</v>
      </c>
      <c r="G2889">
        <v>8</v>
      </c>
      <c r="H2889">
        <v>561.41</v>
      </c>
      <c r="I2889">
        <v>69.790000000000006</v>
      </c>
      <c r="J2889" t="s">
        <v>41</v>
      </c>
      <c r="K2889" t="s">
        <v>16</v>
      </c>
      <c r="L2889" t="s">
        <v>2106</v>
      </c>
      <c r="M2889">
        <v>4</v>
      </c>
      <c r="N2889" t="s">
        <v>165</v>
      </c>
      <c r="O2889" t="s">
        <v>2121</v>
      </c>
    </row>
    <row r="2890" spans="1:15">
      <c r="A2890" t="s">
        <v>4346</v>
      </c>
      <c r="B2890" t="s">
        <v>2097</v>
      </c>
      <c r="C2890" t="s">
        <v>2086</v>
      </c>
      <c r="D2890" s="1">
        <v>44390</v>
      </c>
      <c r="E2890" s="1">
        <v>44977</v>
      </c>
      <c r="F2890">
        <v>315</v>
      </c>
      <c r="G2890">
        <v>10</v>
      </c>
      <c r="H2890">
        <v>769.36</v>
      </c>
      <c r="I2890">
        <v>83</v>
      </c>
      <c r="J2890" t="s">
        <v>66</v>
      </c>
      <c r="K2890" t="s">
        <v>16</v>
      </c>
      <c r="L2890" t="s">
        <v>2106</v>
      </c>
      <c r="M2890">
        <v>3</v>
      </c>
      <c r="N2890" t="s">
        <v>174</v>
      </c>
      <c r="O2890" t="s">
        <v>2121</v>
      </c>
    </row>
    <row r="2891" spans="1:15">
      <c r="A2891" t="s">
        <v>4347</v>
      </c>
      <c r="B2891" t="s">
        <v>2099</v>
      </c>
      <c r="C2891" t="s">
        <v>2108</v>
      </c>
      <c r="D2891" s="1">
        <v>43603</v>
      </c>
      <c r="E2891" s="1">
        <v>44991</v>
      </c>
      <c r="F2891">
        <v>301</v>
      </c>
      <c r="G2891">
        <v>2</v>
      </c>
      <c r="H2891">
        <v>92.21</v>
      </c>
      <c r="I2891">
        <v>56.49</v>
      </c>
      <c r="J2891" t="s">
        <v>90</v>
      </c>
      <c r="K2891" t="s">
        <v>16</v>
      </c>
      <c r="L2891" t="s">
        <v>2095</v>
      </c>
      <c r="M2891">
        <v>4</v>
      </c>
      <c r="N2891" t="s">
        <v>179</v>
      </c>
      <c r="O2891" t="s">
        <v>2088</v>
      </c>
    </row>
    <row r="2892" spans="1:15">
      <c r="A2892" t="s">
        <v>4348</v>
      </c>
      <c r="B2892" t="s">
        <v>2113</v>
      </c>
      <c r="C2892" t="s">
        <v>2086</v>
      </c>
      <c r="D2892" s="1">
        <v>44947</v>
      </c>
      <c r="E2892" s="1">
        <v>45233</v>
      </c>
      <c r="F2892">
        <v>59</v>
      </c>
      <c r="G2892">
        <v>7</v>
      </c>
      <c r="H2892">
        <v>350.25</v>
      </c>
      <c r="I2892">
        <v>38</v>
      </c>
      <c r="J2892" t="s">
        <v>41</v>
      </c>
      <c r="K2892" t="s">
        <v>20</v>
      </c>
      <c r="L2892" t="s">
        <v>2106</v>
      </c>
      <c r="M2892">
        <v>2</v>
      </c>
      <c r="N2892" t="s">
        <v>174</v>
      </c>
      <c r="O2892" t="s">
        <v>2096</v>
      </c>
    </row>
    <row r="2893" spans="1:15">
      <c r="A2893" t="s">
        <v>4349</v>
      </c>
      <c r="B2893" t="s">
        <v>2113</v>
      </c>
      <c r="C2893" t="s">
        <v>2094</v>
      </c>
      <c r="D2893" s="1">
        <v>44483</v>
      </c>
      <c r="E2893" s="1">
        <v>45138</v>
      </c>
      <c r="F2893">
        <v>154</v>
      </c>
      <c r="G2893">
        <v>8</v>
      </c>
      <c r="H2893">
        <v>238.27</v>
      </c>
      <c r="I2893">
        <v>53.34</v>
      </c>
      <c r="J2893" t="s">
        <v>115</v>
      </c>
      <c r="K2893" t="s">
        <v>16</v>
      </c>
      <c r="L2893" t="s">
        <v>2095</v>
      </c>
      <c r="M2893">
        <v>6</v>
      </c>
      <c r="N2893" t="s">
        <v>165</v>
      </c>
      <c r="O2893" t="s">
        <v>2096</v>
      </c>
    </row>
    <row r="2894" spans="1:15">
      <c r="A2894" t="s">
        <v>4350</v>
      </c>
      <c r="B2894" t="s">
        <v>2099</v>
      </c>
      <c r="C2894" t="s">
        <v>2091</v>
      </c>
      <c r="D2894" s="1">
        <v>43747</v>
      </c>
      <c r="E2894" s="1">
        <v>45187</v>
      </c>
      <c r="F2894">
        <v>105</v>
      </c>
      <c r="G2894">
        <v>2</v>
      </c>
      <c r="H2894">
        <v>77.260000000000005</v>
      </c>
      <c r="I2894">
        <v>87.13</v>
      </c>
      <c r="J2894" t="s">
        <v>41</v>
      </c>
      <c r="K2894" t="s">
        <v>20</v>
      </c>
      <c r="L2894" t="s">
        <v>2087</v>
      </c>
      <c r="M2894">
        <v>1</v>
      </c>
      <c r="N2894" t="s">
        <v>179</v>
      </c>
      <c r="O2894" t="s">
        <v>2088</v>
      </c>
    </row>
    <row r="2895" spans="1:15">
      <c r="A2895" t="s">
        <v>4351</v>
      </c>
      <c r="B2895" t="s">
        <v>2093</v>
      </c>
      <c r="C2895" t="s">
        <v>2111</v>
      </c>
      <c r="D2895" s="1">
        <v>44620</v>
      </c>
      <c r="E2895" s="1">
        <v>45268</v>
      </c>
      <c r="F2895">
        <v>24</v>
      </c>
      <c r="G2895">
        <v>3</v>
      </c>
      <c r="H2895">
        <v>141.61000000000001</v>
      </c>
      <c r="I2895">
        <v>62.51</v>
      </c>
      <c r="J2895" t="s">
        <v>41</v>
      </c>
      <c r="K2895" t="s">
        <v>20</v>
      </c>
      <c r="L2895" t="s">
        <v>2087</v>
      </c>
      <c r="M2895">
        <v>8</v>
      </c>
      <c r="N2895" t="s">
        <v>179</v>
      </c>
      <c r="O2895" t="s">
        <v>2121</v>
      </c>
    </row>
    <row r="2896" spans="1:15">
      <c r="A2896" t="s">
        <v>4352</v>
      </c>
      <c r="B2896" t="s">
        <v>2090</v>
      </c>
      <c r="C2896" t="s">
        <v>2108</v>
      </c>
      <c r="D2896" s="1">
        <v>44991</v>
      </c>
      <c r="E2896" s="1">
        <v>45058</v>
      </c>
      <c r="F2896">
        <v>234</v>
      </c>
      <c r="G2896">
        <v>8</v>
      </c>
      <c r="H2896">
        <v>174.88</v>
      </c>
      <c r="I2896">
        <v>93.67</v>
      </c>
      <c r="J2896" t="s">
        <v>66</v>
      </c>
      <c r="K2896" t="s">
        <v>16</v>
      </c>
      <c r="L2896" t="s">
        <v>2087</v>
      </c>
      <c r="M2896">
        <v>6</v>
      </c>
      <c r="N2896" t="s">
        <v>179</v>
      </c>
      <c r="O2896" t="s">
        <v>2109</v>
      </c>
    </row>
    <row r="2897" spans="1:15">
      <c r="A2897" t="s">
        <v>4353</v>
      </c>
      <c r="B2897" t="s">
        <v>2085</v>
      </c>
      <c r="C2897" t="s">
        <v>2094</v>
      </c>
      <c r="D2897" s="1">
        <v>44563</v>
      </c>
      <c r="E2897" s="1">
        <v>45150</v>
      </c>
      <c r="F2897">
        <v>142</v>
      </c>
      <c r="G2897">
        <v>35</v>
      </c>
      <c r="H2897">
        <v>2739.1</v>
      </c>
      <c r="I2897">
        <v>283.70999999999998</v>
      </c>
      <c r="J2897" t="s">
        <v>66</v>
      </c>
      <c r="K2897" t="s">
        <v>16</v>
      </c>
      <c r="L2897" t="s">
        <v>2106</v>
      </c>
      <c r="M2897">
        <v>0</v>
      </c>
      <c r="N2897" t="s">
        <v>165</v>
      </c>
      <c r="O2897" t="s">
        <v>2088</v>
      </c>
    </row>
    <row r="2898" spans="1:15">
      <c r="A2898" t="s">
        <v>4354</v>
      </c>
      <c r="B2898" t="s">
        <v>2085</v>
      </c>
      <c r="C2898" t="s">
        <v>2086</v>
      </c>
      <c r="D2898" s="1">
        <v>44285</v>
      </c>
      <c r="E2898" s="1">
        <v>45154</v>
      </c>
      <c r="F2898">
        <v>138</v>
      </c>
      <c r="G2898">
        <v>34</v>
      </c>
      <c r="H2898">
        <v>1608.51</v>
      </c>
      <c r="I2898">
        <v>169.34</v>
      </c>
      <c r="J2898" t="s">
        <v>41</v>
      </c>
      <c r="K2898" t="s">
        <v>16</v>
      </c>
      <c r="L2898" t="s">
        <v>2095</v>
      </c>
      <c r="M2898">
        <v>9</v>
      </c>
      <c r="N2898" t="s">
        <v>165</v>
      </c>
      <c r="O2898" t="s">
        <v>2121</v>
      </c>
    </row>
    <row r="2899" spans="1:15">
      <c r="A2899" t="s">
        <v>4355</v>
      </c>
      <c r="B2899" t="s">
        <v>2090</v>
      </c>
      <c r="C2899" t="s">
        <v>2094</v>
      </c>
      <c r="D2899" s="1">
        <v>43705</v>
      </c>
      <c r="E2899" s="1">
        <v>45223</v>
      </c>
      <c r="F2899">
        <v>69</v>
      </c>
      <c r="G2899">
        <v>8</v>
      </c>
      <c r="H2899">
        <v>140.25</v>
      </c>
      <c r="I2899">
        <v>104.57</v>
      </c>
      <c r="J2899" t="s">
        <v>14</v>
      </c>
      <c r="K2899" t="s">
        <v>16</v>
      </c>
      <c r="L2899" t="s">
        <v>2106</v>
      </c>
      <c r="M2899">
        <v>7</v>
      </c>
      <c r="N2899" t="s">
        <v>174</v>
      </c>
      <c r="O2899" t="s">
        <v>2109</v>
      </c>
    </row>
    <row r="2900" spans="1:15">
      <c r="A2900" t="s">
        <v>4356</v>
      </c>
      <c r="B2900" t="s">
        <v>2099</v>
      </c>
      <c r="C2900" t="s">
        <v>2111</v>
      </c>
      <c r="D2900" s="1">
        <v>43936</v>
      </c>
      <c r="E2900" s="1">
        <v>45136</v>
      </c>
      <c r="F2900">
        <v>156</v>
      </c>
      <c r="G2900">
        <v>1</v>
      </c>
      <c r="H2900">
        <v>93.05</v>
      </c>
      <c r="I2900">
        <v>46.17</v>
      </c>
      <c r="J2900" t="s">
        <v>115</v>
      </c>
      <c r="K2900" t="s">
        <v>16</v>
      </c>
      <c r="L2900" t="s">
        <v>2106</v>
      </c>
      <c r="M2900">
        <v>0</v>
      </c>
      <c r="N2900" t="s">
        <v>204</v>
      </c>
      <c r="O2900" t="s">
        <v>2107</v>
      </c>
    </row>
    <row r="2901" spans="1:15">
      <c r="A2901" t="s">
        <v>860</v>
      </c>
      <c r="B2901" t="s">
        <v>2085</v>
      </c>
      <c r="C2901" t="s">
        <v>2108</v>
      </c>
      <c r="D2901" s="1">
        <v>43923</v>
      </c>
      <c r="E2901" s="1">
        <v>45251</v>
      </c>
      <c r="F2901">
        <v>41</v>
      </c>
      <c r="G2901">
        <v>33</v>
      </c>
      <c r="H2901">
        <v>1107.68</v>
      </c>
      <c r="I2901">
        <v>280.48</v>
      </c>
      <c r="J2901" t="s">
        <v>41</v>
      </c>
      <c r="K2901" t="s">
        <v>20</v>
      </c>
      <c r="L2901" t="s">
        <v>2106</v>
      </c>
      <c r="M2901">
        <v>1</v>
      </c>
      <c r="N2901" t="s">
        <v>174</v>
      </c>
      <c r="O2901" t="s">
        <v>2107</v>
      </c>
    </row>
    <row r="2902" spans="1:15">
      <c r="A2902" t="s">
        <v>2043</v>
      </c>
      <c r="B2902" t="s">
        <v>2085</v>
      </c>
      <c r="C2902" t="s">
        <v>2100</v>
      </c>
      <c r="D2902" s="1">
        <v>44277</v>
      </c>
      <c r="E2902" s="1">
        <v>45171</v>
      </c>
      <c r="F2902">
        <v>121</v>
      </c>
      <c r="G2902">
        <v>36</v>
      </c>
      <c r="H2902">
        <v>2808.5</v>
      </c>
      <c r="I2902">
        <v>223.56</v>
      </c>
      <c r="J2902" t="s">
        <v>41</v>
      </c>
      <c r="K2902" t="s">
        <v>16</v>
      </c>
      <c r="L2902" t="s">
        <v>2095</v>
      </c>
      <c r="M2902">
        <v>0</v>
      </c>
      <c r="N2902" t="s">
        <v>157</v>
      </c>
      <c r="O2902" t="s">
        <v>2109</v>
      </c>
    </row>
    <row r="2903" spans="1:15">
      <c r="A2903" t="s">
        <v>1951</v>
      </c>
      <c r="B2903" t="s">
        <v>2097</v>
      </c>
      <c r="C2903" t="s">
        <v>2100</v>
      </c>
      <c r="D2903" s="1">
        <v>44234</v>
      </c>
      <c r="E2903" s="1">
        <v>45112</v>
      </c>
      <c r="F2903">
        <v>180</v>
      </c>
      <c r="G2903">
        <v>7</v>
      </c>
      <c r="H2903">
        <v>653.32000000000005</v>
      </c>
      <c r="I2903">
        <v>100.33</v>
      </c>
      <c r="J2903" t="s">
        <v>90</v>
      </c>
      <c r="K2903" t="s">
        <v>16</v>
      </c>
      <c r="L2903" t="s">
        <v>2087</v>
      </c>
      <c r="M2903">
        <v>10</v>
      </c>
      <c r="N2903" t="s">
        <v>174</v>
      </c>
      <c r="O2903" t="s">
        <v>2088</v>
      </c>
    </row>
    <row r="2904" spans="1:15">
      <c r="A2904" t="s">
        <v>4357</v>
      </c>
      <c r="B2904" t="s">
        <v>2093</v>
      </c>
      <c r="C2904" t="s">
        <v>2094</v>
      </c>
      <c r="D2904" s="1">
        <v>44133</v>
      </c>
      <c r="E2904" s="1">
        <v>45178</v>
      </c>
      <c r="F2904">
        <v>114</v>
      </c>
      <c r="G2904">
        <v>1</v>
      </c>
      <c r="H2904">
        <v>89.08</v>
      </c>
      <c r="I2904">
        <v>59.56</v>
      </c>
      <c r="J2904" t="s">
        <v>41</v>
      </c>
      <c r="K2904" t="s">
        <v>20</v>
      </c>
      <c r="L2904" t="s">
        <v>2087</v>
      </c>
      <c r="M2904">
        <v>7</v>
      </c>
      <c r="N2904" t="s">
        <v>204</v>
      </c>
      <c r="O2904" t="s">
        <v>2096</v>
      </c>
    </row>
    <row r="2905" spans="1:15">
      <c r="A2905" t="s">
        <v>4358</v>
      </c>
      <c r="B2905" t="s">
        <v>2113</v>
      </c>
      <c r="C2905" t="s">
        <v>2111</v>
      </c>
      <c r="D2905" s="1">
        <v>44696</v>
      </c>
      <c r="E2905" s="1">
        <v>45051</v>
      </c>
      <c r="F2905">
        <v>241</v>
      </c>
      <c r="G2905">
        <v>13</v>
      </c>
      <c r="H2905">
        <v>295.55</v>
      </c>
      <c r="I2905">
        <v>52.53</v>
      </c>
      <c r="J2905" t="s">
        <v>90</v>
      </c>
      <c r="K2905" t="s">
        <v>16</v>
      </c>
      <c r="L2905" t="s">
        <v>2106</v>
      </c>
      <c r="M2905">
        <v>9</v>
      </c>
      <c r="N2905" t="s">
        <v>174</v>
      </c>
      <c r="O2905" t="s">
        <v>2088</v>
      </c>
    </row>
    <row r="2906" spans="1:15">
      <c r="A2906" t="s">
        <v>4359</v>
      </c>
      <c r="B2906" t="s">
        <v>2093</v>
      </c>
      <c r="C2906" t="s">
        <v>2086</v>
      </c>
      <c r="D2906" s="1">
        <v>44591</v>
      </c>
      <c r="E2906" s="1">
        <v>45261</v>
      </c>
      <c r="F2906">
        <v>31</v>
      </c>
      <c r="G2906">
        <v>3</v>
      </c>
      <c r="H2906">
        <v>75.989999999999995</v>
      </c>
      <c r="I2906">
        <v>45.54</v>
      </c>
      <c r="J2906" t="s">
        <v>90</v>
      </c>
      <c r="K2906" t="s">
        <v>20</v>
      </c>
      <c r="L2906" t="s">
        <v>2095</v>
      </c>
      <c r="M2906">
        <v>10</v>
      </c>
      <c r="N2906" t="s">
        <v>174</v>
      </c>
      <c r="O2906" t="s">
        <v>2121</v>
      </c>
    </row>
    <row r="2907" spans="1:15">
      <c r="A2907" t="s">
        <v>4360</v>
      </c>
      <c r="B2907" t="s">
        <v>2090</v>
      </c>
      <c r="C2907" t="s">
        <v>2094</v>
      </c>
      <c r="D2907" s="1">
        <v>45206</v>
      </c>
      <c r="E2907" s="1">
        <v>45009</v>
      </c>
      <c r="F2907">
        <v>283</v>
      </c>
      <c r="G2907">
        <v>6</v>
      </c>
      <c r="H2907">
        <v>217.2</v>
      </c>
      <c r="I2907">
        <v>49.96</v>
      </c>
      <c r="J2907" t="s">
        <v>41</v>
      </c>
      <c r="K2907" t="s">
        <v>16</v>
      </c>
      <c r="L2907" t="s">
        <v>2095</v>
      </c>
      <c r="M2907">
        <v>9</v>
      </c>
      <c r="N2907" t="s">
        <v>179</v>
      </c>
      <c r="O2907" t="s">
        <v>2107</v>
      </c>
    </row>
    <row r="2908" spans="1:15">
      <c r="A2908" t="s">
        <v>524</v>
      </c>
      <c r="B2908" t="s">
        <v>2099</v>
      </c>
      <c r="C2908" t="s">
        <v>2111</v>
      </c>
      <c r="D2908" s="1">
        <v>44480</v>
      </c>
      <c r="E2908" s="1">
        <v>45187</v>
      </c>
      <c r="F2908">
        <v>105</v>
      </c>
      <c r="G2908">
        <v>2</v>
      </c>
      <c r="H2908">
        <v>36.61</v>
      </c>
      <c r="I2908">
        <v>41.77</v>
      </c>
      <c r="J2908" t="s">
        <v>14</v>
      </c>
      <c r="K2908" t="s">
        <v>20</v>
      </c>
      <c r="L2908" t="s">
        <v>2087</v>
      </c>
      <c r="M2908">
        <v>8</v>
      </c>
      <c r="N2908" t="s">
        <v>174</v>
      </c>
      <c r="O2908" t="s">
        <v>2121</v>
      </c>
    </row>
    <row r="2909" spans="1:15">
      <c r="A2909" t="s">
        <v>4361</v>
      </c>
      <c r="B2909" t="s">
        <v>2085</v>
      </c>
      <c r="C2909" t="s">
        <v>2086</v>
      </c>
      <c r="D2909" s="1">
        <v>43716</v>
      </c>
      <c r="E2909" s="1">
        <v>45088</v>
      </c>
      <c r="F2909">
        <v>204</v>
      </c>
      <c r="G2909">
        <v>39</v>
      </c>
      <c r="H2909">
        <v>999.37</v>
      </c>
      <c r="I2909">
        <v>158.78</v>
      </c>
      <c r="J2909" t="s">
        <v>90</v>
      </c>
      <c r="K2909" t="s">
        <v>20</v>
      </c>
      <c r="L2909" t="s">
        <v>2095</v>
      </c>
      <c r="M2909">
        <v>0</v>
      </c>
      <c r="N2909" t="s">
        <v>174</v>
      </c>
      <c r="O2909" t="s">
        <v>2096</v>
      </c>
    </row>
    <row r="2910" spans="1:15">
      <c r="A2910" t="s">
        <v>4362</v>
      </c>
      <c r="B2910" t="s">
        <v>2090</v>
      </c>
      <c r="C2910" t="s">
        <v>2091</v>
      </c>
      <c r="D2910" s="1">
        <v>43537</v>
      </c>
      <c r="E2910" s="1">
        <v>45157</v>
      </c>
      <c r="F2910">
        <v>135</v>
      </c>
      <c r="G2910">
        <v>7</v>
      </c>
      <c r="H2910">
        <v>97.79</v>
      </c>
      <c r="I2910">
        <v>111.12</v>
      </c>
      <c r="J2910" t="s">
        <v>115</v>
      </c>
      <c r="K2910" t="s">
        <v>20</v>
      </c>
      <c r="L2910" t="s">
        <v>2087</v>
      </c>
      <c r="M2910">
        <v>4</v>
      </c>
      <c r="N2910" t="s">
        <v>204</v>
      </c>
      <c r="O2910" t="s">
        <v>2109</v>
      </c>
    </row>
    <row r="2911" spans="1:15">
      <c r="A2911" t="s">
        <v>1959</v>
      </c>
      <c r="B2911" t="s">
        <v>2093</v>
      </c>
      <c r="C2911" t="s">
        <v>2100</v>
      </c>
      <c r="D2911" s="1">
        <v>44045</v>
      </c>
      <c r="E2911" s="1">
        <v>45051</v>
      </c>
      <c r="F2911">
        <v>241</v>
      </c>
      <c r="G2911">
        <v>2</v>
      </c>
      <c r="H2911">
        <v>137.24</v>
      </c>
      <c r="I2911">
        <v>63.71</v>
      </c>
      <c r="J2911" t="s">
        <v>115</v>
      </c>
      <c r="K2911" t="s">
        <v>16</v>
      </c>
      <c r="L2911" t="s">
        <v>2106</v>
      </c>
      <c r="M2911">
        <v>10</v>
      </c>
      <c r="N2911" t="s">
        <v>174</v>
      </c>
      <c r="O2911" t="s">
        <v>2088</v>
      </c>
    </row>
    <row r="2912" spans="1:15">
      <c r="A2912" t="s">
        <v>4363</v>
      </c>
      <c r="B2912" t="s">
        <v>2090</v>
      </c>
      <c r="C2912" t="s">
        <v>2086</v>
      </c>
      <c r="D2912" s="1">
        <v>44553</v>
      </c>
      <c r="E2912" s="1">
        <v>45089</v>
      </c>
      <c r="F2912">
        <v>203</v>
      </c>
      <c r="G2912">
        <v>4</v>
      </c>
      <c r="H2912">
        <v>113.48</v>
      </c>
      <c r="I2912">
        <v>48.59</v>
      </c>
      <c r="J2912" t="s">
        <v>90</v>
      </c>
      <c r="K2912" t="s">
        <v>16</v>
      </c>
      <c r="L2912" t="s">
        <v>2095</v>
      </c>
      <c r="M2912">
        <v>8</v>
      </c>
      <c r="N2912" t="s">
        <v>157</v>
      </c>
      <c r="O2912" t="s">
        <v>2107</v>
      </c>
    </row>
    <row r="2913" spans="1:15">
      <c r="A2913" t="s">
        <v>4364</v>
      </c>
      <c r="B2913" t="s">
        <v>2085</v>
      </c>
      <c r="C2913" t="s">
        <v>2086</v>
      </c>
      <c r="D2913" s="1">
        <v>43723</v>
      </c>
      <c r="E2913" s="1">
        <v>45265</v>
      </c>
      <c r="F2913">
        <v>27</v>
      </c>
      <c r="G2913">
        <v>18</v>
      </c>
      <c r="H2913">
        <v>2909.92</v>
      </c>
      <c r="I2913">
        <v>170.03</v>
      </c>
      <c r="J2913" t="s">
        <v>66</v>
      </c>
      <c r="K2913" t="s">
        <v>20</v>
      </c>
      <c r="L2913" t="s">
        <v>2106</v>
      </c>
      <c r="M2913">
        <v>2</v>
      </c>
      <c r="N2913" t="s">
        <v>194</v>
      </c>
      <c r="O2913" t="s">
        <v>2096</v>
      </c>
    </row>
    <row r="2914" spans="1:15">
      <c r="A2914" t="s">
        <v>4365</v>
      </c>
      <c r="B2914" t="s">
        <v>2085</v>
      </c>
      <c r="C2914" t="s">
        <v>2094</v>
      </c>
      <c r="D2914" s="1">
        <v>43551</v>
      </c>
      <c r="E2914" s="1">
        <v>45027</v>
      </c>
      <c r="F2914">
        <v>265</v>
      </c>
      <c r="G2914">
        <v>14</v>
      </c>
      <c r="H2914">
        <v>2926.25</v>
      </c>
      <c r="I2914">
        <v>216.58</v>
      </c>
      <c r="J2914" t="s">
        <v>115</v>
      </c>
      <c r="K2914" t="s">
        <v>16</v>
      </c>
      <c r="L2914" t="s">
        <v>2106</v>
      </c>
      <c r="M2914">
        <v>0</v>
      </c>
      <c r="N2914" t="s">
        <v>232</v>
      </c>
      <c r="O2914" t="s">
        <v>2121</v>
      </c>
    </row>
    <row r="2915" spans="1:15">
      <c r="A2915" t="s">
        <v>4366</v>
      </c>
      <c r="B2915" t="s">
        <v>2097</v>
      </c>
      <c r="C2915" t="s">
        <v>2086</v>
      </c>
      <c r="D2915" s="1">
        <v>44622</v>
      </c>
      <c r="E2915" s="1">
        <v>45156</v>
      </c>
      <c r="F2915">
        <v>136</v>
      </c>
      <c r="G2915">
        <v>7</v>
      </c>
      <c r="H2915">
        <v>190.98</v>
      </c>
      <c r="I2915">
        <v>68.14</v>
      </c>
      <c r="J2915" t="s">
        <v>115</v>
      </c>
      <c r="K2915" t="s">
        <v>20</v>
      </c>
      <c r="L2915" t="s">
        <v>2106</v>
      </c>
      <c r="M2915">
        <v>0</v>
      </c>
      <c r="N2915" t="s">
        <v>165</v>
      </c>
      <c r="O2915" t="s">
        <v>2107</v>
      </c>
    </row>
    <row r="2916" spans="1:15">
      <c r="A2916" t="s">
        <v>4367</v>
      </c>
      <c r="B2916" t="s">
        <v>2097</v>
      </c>
      <c r="C2916" t="s">
        <v>2100</v>
      </c>
      <c r="D2916" s="1">
        <v>44857</v>
      </c>
      <c r="E2916" s="1">
        <v>45141</v>
      </c>
      <c r="F2916">
        <v>151</v>
      </c>
      <c r="G2916">
        <v>6</v>
      </c>
      <c r="H2916">
        <v>512.58000000000004</v>
      </c>
      <c r="I2916">
        <v>120.97</v>
      </c>
      <c r="J2916" t="s">
        <v>90</v>
      </c>
      <c r="K2916" t="s">
        <v>16</v>
      </c>
      <c r="L2916" t="s">
        <v>2095</v>
      </c>
      <c r="M2916">
        <v>10</v>
      </c>
      <c r="N2916" t="s">
        <v>204</v>
      </c>
      <c r="O2916" t="s">
        <v>2107</v>
      </c>
    </row>
    <row r="2917" spans="1:15">
      <c r="A2917" t="s">
        <v>4368</v>
      </c>
      <c r="B2917" t="s">
        <v>2093</v>
      </c>
      <c r="C2917" t="s">
        <v>2091</v>
      </c>
      <c r="D2917" s="1">
        <v>45181</v>
      </c>
      <c r="E2917" s="1">
        <v>44963</v>
      </c>
      <c r="F2917">
        <v>329</v>
      </c>
      <c r="G2917">
        <v>5</v>
      </c>
      <c r="H2917">
        <v>128.13</v>
      </c>
      <c r="I2917">
        <v>39.21</v>
      </c>
      <c r="J2917" t="s">
        <v>66</v>
      </c>
      <c r="K2917" t="s">
        <v>16</v>
      </c>
      <c r="L2917" t="s">
        <v>2106</v>
      </c>
      <c r="M2917">
        <v>3</v>
      </c>
      <c r="N2917" t="s">
        <v>232</v>
      </c>
      <c r="O2917" t="s">
        <v>2088</v>
      </c>
    </row>
    <row r="2918" spans="1:15">
      <c r="A2918" t="s">
        <v>4369</v>
      </c>
      <c r="B2918" t="s">
        <v>2099</v>
      </c>
      <c r="C2918" t="s">
        <v>2108</v>
      </c>
      <c r="D2918" s="1">
        <v>44836</v>
      </c>
      <c r="E2918" s="1">
        <v>45285</v>
      </c>
      <c r="F2918">
        <v>7</v>
      </c>
      <c r="G2918">
        <v>1</v>
      </c>
      <c r="H2918">
        <v>89.39</v>
      </c>
      <c r="I2918">
        <v>42.94</v>
      </c>
      <c r="J2918" t="s">
        <v>41</v>
      </c>
      <c r="K2918" t="s">
        <v>16</v>
      </c>
      <c r="L2918" t="s">
        <v>2106</v>
      </c>
      <c r="M2918">
        <v>1</v>
      </c>
      <c r="N2918" t="s">
        <v>232</v>
      </c>
      <c r="O2918" t="s">
        <v>2107</v>
      </c>
    </row>
    <row r="2919" spans="1:15">
      <c r="A2919" t="s">
        <v>4370</v>
      </c>
      <c r="B2919" t="s">
        <v>2099</v>
      </c>
      <c r="C2919" t="s">
        <v>2108</v>
      </c>
      <c r="D2919" s="1">
        <v>44826</v>
      </c>
      <c r="E2919" s="1">
        <v>45031</v>
      </c>
      <c r="F2919">
        <v>261</v>
      </c>
      <c r="G2919">
        <v>1</v>
      </c>
      <c r="H2919">
        <v>40.94</v>
      </c>
      <c r="I2919">
        <v>80.5</v>
      </c>
      <c r="J2919" t="s">
        <v>115</v>
      </c>
      <c r="K2919" t="s">
        <v>20</v>
      </c>
      <c r="L2919" t="s">
        <v>2087</v>
      </c>
      <c r="M2919">
        <v>0</v>
      </c>
      <c r="N2919" t="s">
        <v>157</v>
      </c>
      <c r="O2919" t="s">
        <v>2109</v>
      </c>
    </row>
    <row r="2920" spans="1:15">
      <c r="A2920" t="s">
        <v>4371</v>
      </c>
      <c r="B2920" t="s">
        <v>2099</v>
      </c>
      <c r="C2920" t="s">
        <v>2094</v>
      </c>
      <c r="D2920" s="1">
        <v>44432</v>
      </c>
      <c r="E2920" s="1">
        <v>44989</v>
      </c>
      <c r="F2920">
        <v>303</v>
      </c>
      <c r="G2920">
        <v>1</v>
      </c>
      <c r="H2920">
        <v>86.27</v>
      </c>
      <c r="I2920">
        <v>90.2</v>
      </c>
      <c r="J2920" t="s">
        <v>66</v>
      </c>
      <c r="K2920" t="s">
        <v>20</v>
      </c>
      <c r="L2920" t="s">
        <v>2095</v>
      </c>
      <c r="M2920">
        <v>8</v>
      </c>
      <c r="N2920" t="s">
        <v>194</v>
      </c>
      <c r="O2920" t="s">
        <v>2096</v>
      </c>
    </row>
    <row r="2921" spans="1:15">
      <c r="A2921" t="s">
        <v>4372</v>
      </c>
      <c r="B2921" t="s">
        <v>2097</v>
      </c>
      <c r="C2921" t="s">
        <v>2086</v>
      </c>
      <c r="D2921" s="1">
        <v>45130</v>
      </c>
      <c r="E2921" s="1">
        <v>45167</v>
      </c>
      <c r="F2921">
        <v>125</v>
      </c>
      <c r="G2921">
        <v>6</v>
      </c>
      <c r="H2921">
        <v>686.19</v>
      </c>
      <c r="I2921">
        <v>60.54</v>
      </c>
      <c r="J2921" t="s">
        <v>90</v>
      </c>
      <c r="K2921" t="s">
        <v>16</v>
      </c>
      <c r="L2921" t="s">
        <v>2087</v>
      </c>
      <c r="M2921">
        <v>7</v>
      </c>
      <c r="N2921" t="s">
        <v>179</v>
      </c>
      <c r="O2921" t="s">
        <v>2109</v>
      </c>
    </row>
    <row r="2922" spans="1:15">
      <c r="A2922" t="s">
        <v>722</v>
      </c>
      <c r="B2922" t="s">
        <v>2099</v>
      </c>
      <c r="C2922" t="s">
        <v>2086</v>
      </c>
      <c r="D2922" s="1">
        <v>44908</v>
      </c>
      <c r="E2922" s="1">
        <v>45267</v>
      </c>
      <c r="F2922">
        <v>25</v>
      </c>
      <c r="G2922">
        <v>2</v>
      </c>
      <c r="H2922">
        <v>84.13</v>
      </c>
      <c r="I2922">
        <v>67.430000000000007</v>
      </c>
      <c r="J2922" t="s">
        <v>115</v>
      </c>
      <c r="K2922" t="s">
        <v>20</v>
      </c>
      <c r="L2922" t="s">
        <v>2095</v>
      </c>
      <c r="M2922">
        <v>0</v>
      </c>
      <c r="N2922" t="s">
        <v>179</v>
      </c>
      <c r="O2922" t="s">
        <v>2107</v>
      </c>
    </row>
    <row r="2923" spans="1:15">
      <c r="A2923" t="s">
        <v>4373</v>
      </c>
      <c r="B2923" t="s">
        <v>2085</v>
      </c>
      <c r="C2923" t="s">
        <v>2100</v>
      </c>
      <c r="D2923" s="1">
        <v>44375</v>
      </c>
      <c r="E2923" s="1">
        <v>45090</v>
      </c>
      <c r="F2923">
        <v>202</v>
      </c>
      <c r="G2923">
        <v>16</v>
      </c>
      <c r="H2923">
        <v>1967.47</v>
      </c>
      <c r="I2923">
        <v>296.51</v>
      </c>
      <c r="J2923" t="s">
        <v>66</v>
      </c>
      <c r="K2923" t="s">
        <v>16</v>
      </c>
      <c r="L2923" t="s">
        <v>2087</v>
      </c>
      <c r="M2923">
        <v>8</v>
      </c>
      <c r="N2923" t="s">
        <v>232</v>
      </c>
      <c r="O2923" t="s">
        <v>2107</v>
      </c>
    </row>
    <row r="2924" spans="1:15">
      <c r="A2924" t="s">
        <v>4374</v>
      </c>
      <c r="B2924" t="s">
        <v>2097</v>
      </c>
      <c r="C2924" t="s">
        <v>2086</v>
      </c>
      <c r="D2924" s="1">
        <v>44362</v>
      </c>
      <c r="E2924" s="1">
        <v>45177</v>
      </c>
      <c r="F2924">
        <v>115</v>
      </c>
      <c r="G2924">
        <v>3</v>
      </c>
      <c r="H2924">
        <v>285.99</v>
      </c>
      <c r="I2924">
        <v>51.3</v>
      </c>
      <c r="J2924" t="s">
        <v>90</v>
      </c>
      <c r="K2924" t="s">
        <v>16</v>
      </c>
      <c r="L2924" t="s">
        <v>2106</v>
      </c>
      <c r="M2924">
        <v>10</v>
      </c>
      <c r="N2924" t="s">
        <v>157</v>
      </c>
      <c r="O2924" t="s">
        <v>2121</v>
      </c>
    </row>
    <row r="2925" spans="1:15">
      <c r="A2925" t="s">
        <v>1558</v>
      </c>
      <c r="B2925" t="s">
        <v>2090</v>
      </c>
      <c r="C2925" t="s">
        <v>2100</v>
      </c>
      <c r="D2925" s="1">
        <v>44128</v>
      </c>
      <c r="E2925" s="1">
        <v>45101</v>
      </c>
      <c r="F2925">
        <v>191</v>
      </c>
      <c r="G2925">
        <v>5</v>
      </c>
      <c r="H2925">
        <v>291.95999999999998</v>
      </c>
      <c r="I2925">
        <v>54</v>
      </c>
      <c r="J2925" t="s">
        <v>14</v>
      </c>
      <c r="K2925" t="s">
        <v>16</v>
      </c>
      <c r="L2925" t="s">
        <v>2087</v>
      </c>
      <c r="M2925">
        <v>4</v>
      </c>
      <c r="N2925" t="s">
        <v>232</v>
      </c>
      <c r="O2925" t="s">
        <v>2109</v>
      </c>
    </row>
    <row r="2926" spans="1:15">
      <c r="A2926" t="s">
        <v>4375</v>
      </c>
      <c r="B2926" t="s">
        <v>2099</v>
      </c>
      <c r="C2926" t="s">
        <v>2094</v>
      </c>
      <c r="D2926" s="1">
        <v>44991</v>
      </c>
      <c r="E2926" s="1">
        <v>45085</v>
      </c>
      <c r="F2926">
        <v>207</v>
      </c>
      <c r="G2926">
        <v>2</v>
      </c>
      <c r="H2926">
        <v>110.74</v>
      </c>
      <c r="I2926">
        <v>27.58</v>
      </c>
      <c r="J2926" t="s">
        <v>41</v>
      </c>
      <c r="K2926" t="s">
        <v>16</v>
      </c>
      <c r="L2926" t="s">
        <v>2087</v>
      </c>
      <c r="M2926">
        <v>2</v>
      </c>
      <c r="N2926" t="s">
        <v>194</v>
      </c>
      <c r="O2926" t="s">
        <v>2109</v>
      </c>
    </row>
    <row r="2927" spans="1:15">
      <c r="A2927" t="s">
        <v>4376</v>
      </c>
      <c r="B2927" t="s">
        <v>2093</v>
      </c>
      <c r="C2927" t="s">
        <v>2086</v>
      </c>
      <c r="D2927" s="1">
        <v>45126</v>
      </c>
      <c r="E2927" s="1">
        <v>45192</v>
      </c>
      <c r="F2927">
        <v>100</v>
      </c>
      <c r="G2927">
        <v>3</v>
      </c>
      <c r="H2927">
        <v>195.34</v>
      </c>
      <c r="I2927">
        <v>37.83</v>
      </c>
      <c r="J2927" t="s">
        <v>41</v>
      </c>
      <c r="K2927" t="s">
        <v>16</v>
      </c>
      <c r="L2927" t="s">
        <v>2095</v>
      </c>
      <c r="M2927">
        <v>6</v>
      </c>
      <c r="N2927" t="s">
        <v>165</v>
      </c>
      <c r="O2927" t="s">
        <v>2088</v>
      </c>
    </row>
    <row r="2928" spans="1:15">
      <c r="A2928" t="s">
        <v>4377</v>
      </c>
      <c r="B2928" t="s">
        <v>2090</v>
      </c>
      <c r="C2928" t="s">
        <v>2111</v>
      </c>
      <c r="D2928" s="1">
        <v>44214</v>
      </c>
      <c r="E2928" s="1">
        <v>44980</v>
      </c>
      <c r="F2928">
        <v>312</v>
      </c>
      <c r="G2928">
        <v>2</v>
      </c>
      <c r="H2928">
        <v>306.3</v>
      </c>
      <c r="I2928">
        <v>105.31</v>
      </c>
      <c r="J2928" t="s">
        <v>14</v>
      </c>
      <c r="K2928" t="s">
        <v>16</v>
      </c>
      <c r="L2928" t="s">
        <v>2106</v>
      </c>
      <c r="M2928">
        <v>6</v>
      </c>
      <c r="N2928" t="s">
        <v>204</v>
      </c>
      <c r="O2928" t="s">
        <v>2107</v>
      </c>
    </row>
    <row r="2929" spans="1:15">
      <c r="A2929" t="s">
        <v>4378</v>
      </c>
      <c r="B2929" t="s">
        <v>2097</v>
      </c>
      <c r="C2929" t="s">
        <v>2094</v>
      </c>
      <c r="D2929" s="1">
        <v>44407</v>
      </c>
      <c r="E2929" s="1">
        <v>45146</v>
      </c>
      <c r="F2929">
        <v>146</v>
      </c>
      <c r="G2929">
        <v>11</v>
      </c>
      <c r="H2929">
        <v>711.99</v>
      </c>
      <c r="I2929">
        <v>57.46</v>
      </c>
      <c r="J2929" t="s">
        <v>90</v>
      </c>
      <c r="K2929" t="s">
        <v>16</v>
      </c>
      <c r="L2929" t="s">
        <v>2095</v>
      </c>
      <c r="M2929">
        <v>10</v>
      </c>
      <c r="N2929" t="s">
        <v>194</v>
      </c>
      <c r="O2929" t="s">
        <v>2096</v>
      </c>
    </row>
    <row r="2930" spans="1:15">
      <c r="A2930" t="s">
        <v>4379</v>
      </c>
      <c r="B2930" t="s">
        <v>2093</v>
      </c>
      <c r="C2930" t="s">
        <v>2086</v>
      </c>
      <c r="D2930" s="1">
        <v>44555</v>
      </c>
      <c r="E2930" s="1">
        <v>44931</v>
      </c>
      <c r="F2930">
        <v>361</v>
      </c>
      <c r="G2930">
        <v>4</v>
      </c>
      <c r="H2930">
        <v>157.65</v>
      </c>
      <c r="I2930">
        <v>70.790000000000006</v>
      </c>
      <c r="J2930" t="s">
        <v>115</v>
      </c>
      <c r="K2930" t="s">
        <v>16</v>
      </c>
      <c r="L2930" t="s">
        <v>2106</v>
      </c>
      <c r="M2930">
        <v>3</v>
      </c>
      <c r="N2930" t="s">
        <v>174</v>
      </c>
      <c r="O2930" t="s">
        <v>2088</v>
      </c>
    </row>
    <row r="2931" spans="1:15">
      <c r="A2931" t="s">
        <v>2049</v>
      </c>
      <c r="B2931" t="s">
        <v>2097</v>
      </c>
      <c r="C2931" t="s">
        <v>2094</v>
      </c>
      <c r="D2931" s="1">
        <v>43829</v>
      </c>
      <c r="E2931" s="1">
        <v>45175</v>
      </c>
      <c r="F2931">
        <v>117</v>
      </c>
      <c r="G2931">
        <v>7</v>
      </c>
      <c r="H2931">
        <v>432.05</v>
      </c>
      <c r="I2931">
        <v>120.25</v>
      </c>
      <c r="J2931" t="s">
        <v>115</v>
      </c>
      <c r="K2931" t="s">
        <v>16</v>
      </c>
      <c r="L2931" t="s">
        <v>2095</v>
      </c>
      <c r="M2931">
        <v>3</v>
      </c>
      <c r="N2931" t="s">
        <v>165</v>
      </c>
      <c r="O2931" t="s">
        <v>2121</v>
      </c>
    </row>
    <row r="2932" spans="1:15">
      <c r="A2932" t="s">
        <v>4380</v>
      </c>
      <c r="B2932" t="s">
        <v>2093</v>
      </c>
      <c r="C2932" t="s">
        <v>2086</v>
      </c>
      <c r="D2932" s="1">
        <v>45215</v>
      </c>
      <c r="E2932" s="1">
        <v>45032</v>
      </c>
      <c r="F2932">
        <v>260</v>
      </c>
      <c r="G2932">
        <v>3</v>
      </c>
      <c r="H2932">
        <v>94.06</v>
      </c>
      <c r="I2932">
        <v>61.29</v>
      </c>
      <c r="J2932" t="s">
        <v>115</v>
      </c>
      <c r="K2932" t="s">
        <v>16</v>
      </c>
      <c r="L2932" t="s">
        <v>2095</v>
      </c>
      <c r="M2932">
        <v>4</v>
      </c>
      <c r="N2932" t="s">
        <v>232</v>
      </c>
      <c r="O2932" t="s">
        <v>2121</v>
      </c>
    </row>
    <row r="2933" spans="1:15">
      <c r="A2933" t="s">
        <v>1825</v>
      </c>
      <c r="B2933" t="s">
        <v>2097</v>
      </c>
      <c r="C2933" t="s">
        <v>2094</v>
      </c>
      <c r="D2933" s="1">
        <v>44160</v>
      </c>
      <c r="E2933" s="1">
        <v>44966</v>
      </c>
      <c r="F2933">
        <v>326</v>
      </c>
      <c r="G2933">
        <v>7</v>
      </c>
      <c r="H2933">
        <v>650.04999999999995</v>
      </c>
      <c r="I2933">
        <v>95.21</v>
      </c>
      <c r="J2933" t="s">
        <v>66</v>
      </c>
      <c r="K2933" t="s">
        <v>20</v>
      </c>
      <c r="L2933" t="s">
        <v>2087</v>
      </c>
      <c r="M2933">
        <v>8</v>
      </c>
      <c r="N2933" t="s">
        <v>165</v>
      </c>
      <c r="O2933" t="s">
        <v>2107</v>
      </c>
    </row>
    <row r="2934" spans="1:15">
      <c r="A2934" t="s">
        <v>4381</v>
      </c>
      <c r="B2934" t="s">
        <v>2099</v>
      </c>
      <c r="C2934" t="s">
        <v>2091</v>
      </c>
      <c r="D2934" s="1">
        <v>44776</v>
      </c>
      <c r="E2934" s="1">
        <v>45030</v>
      </c>
      <c r="F2934">
        <v>262</v>
      </c>
      <c r="G2934">
        <v>1</v>
      </c>
      <c r="H2934">
        <v>89.6</v>
      </c>
      <c r="I2934">
        <v>20.6</v>
      </c>
      <c r="J2934" t="s">
        <v>66</v>
      </c>
      <c r="K2934" t="s">
        <v>20</v>
      </c>
      <c r="L2934" t="s">
        <v>2106</v>
      </c>
      <c r="M2934">
        <v>2</v>
      </c>
      <c r="N2934" t="s">
        <v>204</v>
      </c>
      <c r="O2934" t="s">
        <v>2096</v>
      </c>
    </row>
    <row r="2935" spans="1:15">
      <c r="A2935" t="s">
        <v>4382</v>
      </c>
      <c r="B2935" t="s">
        <v>2099</v>
      </c>
      <c r="C2935" t="s">
        <v>2108</v>
      </c>
      <c r="D2935" s="1">
        <v>44264</v>
      </c>
      <c r="E2935" s="1">
        <v>45009</v>
      </c>
      <c r="F2935">
        <v>283</v>
      </c>
      <c r="G2935">
        <v>1</v>
      </c>
      <c r="H2935">
        <v>106.46</v>
      </c>
      <c r="I2935">
        <v>79.8</v>
      </c>
      <c r="J2935" t="s">
        <v>115</v>
      </c>
      <c r="K2935" t="s">
        <v>20</v>
      </c>
      <c r="L2935" t="s">
        <v>2087</v>
      </c>
      <c r="M2935">
        <v>9</v>
      </c>
      <c r="N2935" t="s">
        <v>204</v>
      </c>
      <c r="O2935" t="s">
        <v>2121</v>
      </c>
    </row>
    <row r="2936" spans="1:15">
      <c r="A2936" t="s">
        <v>4383</v>
      </c>
      <c r="B2936" t="s">
        <v>2099</v>
      </c>
      <c r="C2936" t="s">
        <v>2100</v>
      </c>
      <c r="D2936" s="1">
        <v>43907</v>
      </c>
      <c r="E2936" s="1">
        <v>45250</v>
      </c>
      <c r="F2936">
        <v>42</v>
      </c>
      <c r="G2936">
        <v>2</v>
      </c>
      <c r="H2936">
        <v>114.03</v>
      </c>
      <c r="I2936">
        <v>34.39</v>
      </c>
      <c r="J2936" t="s">
        <v>14</v>
      </c>
      <c r="K2936" t="s">
        <v>16</v>
      </c>
      <c r="L2936" t="s">
        <v>2106</v>
      </c>
      <c r="M2936">
        <v>8</v>
      </c>
      <c r="N2936" t="s">
        <v>194</v>
      </c>
      <c r="O2936" t="s">
        <v>2121</v>
      </c>
    </row>
    <row r="2937" spans="1:15">
      <c r="A2937" t="s">
        <v>4384</v>
      </c>
      <c r="B2937" t="s">
        <v>2099</v>
      </c>
      <c r="C2937" t="s">
        <v>2111</v>
      </c>
      <c r="D2937" s="1">
        <v>44312</v>
      </c>
      <c r="E2937" s="1">
        <v>45196</v>
      </c>
      <c r="F2937">
        <v>96</v>
      </c>
      <c r="G2937">
        <v>2</v>
      </c>
      <c r="H2937">
        <v>117.77</v>
      </c>
      <c r="I2937">
        <v>75.61</v>
      </c>
      <c r="J2937" t="s">
        <v>115</v>
      </c>
      <c r="K2937" t="s">
        <v>16</v>
      </c>
      <c r="L2937" t="s">
        <v>2095</v>
      </c>
      <c r="M2937">
        <v>9</v>
      </c>
      <c r="N2937" t="s">
        <v>157</v>
      </c>
      <c r="O2937" t="s">
        <v>2107</v>
      </c>
    </row>
    <row r="2938" spans="1:15">
      <c r="A2938" t="s">
        <v>4385</v>
      </c>
      <c r="B2938" t="s">
        <v>2093</v>
      </c>
      <c r="C2938" t="s">
        <v>2091</v>
      </c>
      <c r="D2938" s="1">
        <v>45092</v>
      </c>
      <c r="E2938" s="1">
        <v>45291</v>
      </c>
      <c r="F2938">
        <v>1</v>
      </c>
      <c r="G2938">
        <v>5</v>
      </c>
      <c r="H2938">
        <v>191.74</v>
      </c>
      <c r="I2938">
        <v>25.42</v>
      </c>
      <c r="J2938" t="s">
        <v>41</v>
      </c>
      <c r="K2938" t="s">
        <v>16</v>
      </c>
      <c r="L2938" t="s">
        <v>2106</v>
      </c>
      <c r="M2938">
        <v>0</v>
      </c>
      <c r="N2938" t="s">
        <v>179</v>
      </c>
      <c r="O2938" t="s">
        <v>2109</v>
      </c>
    </row>
    <row r="2939" spans="1:15">
      <c r="A2939" t="s">
        <v>1696</v>
      </c>
      <c r="B2939" t="s">
        <v>2097</v>
      </c>
      <c r="C2939" t="s">
        <v>2086</v>
      </c>
      <c r="D2939" s="1">
        <v>45242</v>
      </c>
      <c r="E2939" s="1">
        <v>44975</v>
      </c>
      <c r="F2939">
        <v>317</v>
      </c>
      <c r="G2939">
        <v>8</v>
      </c>
      <c r="H2939">
        <v>306.42</v>
      </c>
      <c r="I2939">
        <v>107.98</v>
      </c>
      <c r="J2939" t="s">
        <v>66</v>
      </c>
      <c r="K2939" t="s">
        <v>16</v>
      </c>
      <c r="L2939" t="s">
        <v>2087</v>
      </c>
      <c r="M2939">
        <v>5</v>
      </c>
      <c r="N2939" t="s">
        <v>194</v>
      </c>
      <c r="O2939" t="s">
        <v>2096</v>
      </c>
    </row>
    <row r="2940" spans="1:15">
      <c r="A2940" t="s">
        <v>1923</v>
      </c>
      <c r="B2940" t="s">
        <v>2090</v>
      </c>
      <c r="C2940" t="s">
        <v>2111</v>
      </c>
      <c r="D2940" s="1">
        <v>44551</v>
      </c>
      <c r="E2940" s="1">
        <v>45049</v>
      </c>
      <c r="F2940">
        <v>243</v>
      </c>
      <c r="G2940">
        <v>6</v>
      </c>
      <c r="H2940">
        <v>132.54</v>
      </c>
      <c r="I2940">
        <v>83.1</v>
      </c>
      <c r="J2940" t="s">
        <v>66</v>
      </c>
      <c r="K2940" t="s">
        <v>16</v>
      </c>
      <c r="L2940" t="s">
        <v>2095</v>
      </c>
      <c r="M2940">
        <v>3</v>
      </c>
      <c r="N2940" t="s">
        <v>194</v>
      </c>
      <c r="O2940" t="s">
        <v>2109</v>
      </c>
    </row>
    <row r="2941" spans="1:15">
      <c r="A2941" t="s">
        <v>4386</v>
      </c>
      <c r="B2941" t="s">
        <v>2097</v>
      </c>
      <c r="C2941" t="s">
        <v>2100</v>
      </c>
      <c r="D2941" s="1">
        <v>44500</v>
      </c>
      <c r="E2941" s="1">
        <v>45004</v>
      </c>
      <c r="F2941">
        <v>288</v>
      </c>
      <c r="G2941">
        <v>3</v>
      </c>
      <c r="H2941">
        <v>281.97000000000003</v>
      </c>
      <c r="I2941">
        <v>141.49</v>
      </c>
      <c r="J2941" t="s">
        <v>90</v>
      </c>
      <c r="K2941" t="s">
        <v>16</v>
      </c>
      <c r="L2941" t="s">
        <v>2087</v>
      </c>
      <c r="M2941">
        <v>10</v>
      </c>
      <c r="N2941" t="s">
        <v>194</v>
      </c>
      <c r="O2941" t="s">
        <v>2088</v>
      </c>
    </row>
    <row r="2942" spans="1:15">
      <c r="A2942" t="s">
        <v>4387</v>
      </c>
      <c r="B2942" t="s">
        <v>2085</v>
      </c>
      <c r="C2942" t="s">
        <v>2100</v>
      </c>
      <c r="D2942" s="1">
        <v>45012</v>
      </c>
      <c r="E2942" s="1">
        <v>45206</v>
      </c>
      <c r="F2942">
        <v>86</v>
      </c>
      <c r="G2942">
        <v>21</v>
      </c>
      <c r="H2942">
        <v>2964.48</v>
      </c>
      <c r="I2942">
        <v>215.91</v>
      </c>
      <c r="J2942" t="s">
        <v>66</v>
      </c>
      <c r="K2942" t="s">
        <v>16</v>
      </c>
      <c r="L2942" t="s">
        <v>2095</v>
      </c>
      <c r="M2942">
        <v>6</v>
      </c>
      <c r="N2942" t="s">
        <v>179</v>
      </c>
      <c r="O2942" t="s">
        <v>2088</v>
      </c>
    </row>
    <row r="2943" spans="1:15">
      <c r="A2943" t="s">
        <v>4388</v>
      </c>
      <c r="B2943" t="s">
        <v>2090</v>
      </c>
      <c r="C2943" t="s">
        <v>2108</v>
      </c>
      <c r="D2943" s="1">
        <v>43864</v>
      </c>
      <c r="E2943" s="1">
        <v>45002</v>
      </c>
      <c r="F2943">
        <v>290</v>
      </c>
      <c r="G2943">
        <v>7</v>
      </c>
      <c r="H2943">
        <v>219.74</v>
      </c>
      <c r="I2943">
        <v>51.14</v>
      </c>
      <c r="J2943" t="s">
        <v>66</v>
      </c>
      <c r="K2943" t="s">
        <v>16</v>
      </c>
      <c r="L2943" t="s">
        <v>2106</v>
      </c>
      <c r="M2943">
        <v>6</v>
      </c>
      <c r="N2943" t="s">
        <v>157</v>
      </c>
      <c r="O2943" t="s">
        <v>2088</v>
      </c>
    </row>
    <row r="2944" spans="1:15">
      <c r="A2944" t="s">
        <v>4389</v>
      </c>
      <c r="B2944" t="s">
        <v>2099</v>
      </c>
      <c r="C2944" t="s">
        <v>2100</v>
      </c>
      <c r="D2944" s="1">
        <v>43896</v>
      </c>
      <c r="E2944" s="1">
        <v>45079</v>
      </c>
      <c r="F2944">
        <v>213</v>
      </c>
      <c r="G2944">
        <v>2</v>
      </c>
      <c r="H2944">
        <v>70.17</v>
      </c>
      <c r="I2944">
        <v>96.83</v>
      </c>
      <c r="J2944" t="s">
        <v>90</v>
      </c>
      <c r="K2944" t="s">
        <v>16</v>
      </c>
      <c r="L2944" t="s">
        <v>2106</v>
      </c>
      <c r="M2944">
        <v>10</v>
      </c>
      <c r="N2944" t="s">
        <v>232</v>
      </c>
      <c r="O2944" t="s">
        <v>2088</v>
      </c>
    </row>
    <row r="2945" spans="1:15">
      <c r="A2945" t="s">
        <v>4390</v>
      </c>
      <c r="B2945" t="s">
        <v>2097</v>
      </c>
      <c r="C2945" t="s">
        <v>2100</v>
      </c>
      <c r="D2945" s="1">
        <v>44206</v>
      </c>
      <c r="E2945" s="1">
        <v>45205</v>
      </c>
      <c r="F2945">
        <v>87</v>
      </c>
      <c r="G2945">
        <v>6</v>
      </c>
      <c r="H2945">
        <v>163.19</v>
      </c>
      <c r="I2945">
        <v>67</v>
      </c>
      <c r="J2945" t="s">
        <v>41</v>
      </c>
      <c r="K2945" t="s">
        <v>20</v>
      </c>
      <c r="L2945" t="s">
        <v>2106</v>
      </c>
      <c r="M2945">
        <v>10</v>
      </c>
      <c r="N2945" t="s">
        <v>165</v>
      </c>
      <c r="O2945" t="s">
        <v>2121</v>
      </c>
    </row>
    <row r="2946" spans="1:15">
      <c r="A2946" t="s">
        <v>4391</v>
      </c>
      <c r="B2946" t="s">
        <v>2099</v>
      </c>
      <c r="C2946" t="s">
        <v>2111</v>
      </c>
      <c r="D2946" s="1">
        <v>44270</v>
      </c>
      <c r="E2946" s="1">
        <v>45034</v>
      </c>
      <c r="F2946">
        <v>258</v>
      </c>
      <c r="G2946">
        <v>2</v>
      </c>
      <c r="H2946">
        <v>141.28</v>
      </c>
      <c r="I2946">
        <v>73.150000000000006</v>
      </c>
      <c r="J2946" t="s">
        <v>90</v>
      </c>
      <c r="K2946" t="s">
        <v>16</v>
      </c>
      <c r="L2946" t="s">
        <v>2095</v>
      </c>
      <c r="M2946">
        <v>0</v>
      </c>
      <c r="N2946" t="s">
        <v>179</v>
      </c>
      <c r="O2946" t="s">
        <v>2088</v>
      </c>
    </row>
    <row r="2947" spans="1:15">
      <c r="A2947" t="s">
        <v>4392</v>
      </c>
      <c r="B2947" t="s">
        <v>2113</v>
      </c>
      <c r="C2947" t="s">
        <v>2091</v>
      </c>
      <c r="D2947" s="1">
        <v>44990</v>
      </c>
      <c r="E2947" s="1">
        <v>45128</v>
      </c>
      <c r="F2947">
        <v>164</v>
      </c>
      <c r="G2947">
        <v>17</v>
      </c>
      <c r="H2947">
        <v>120.94</v>
      </c>
      <c r="I2947">
        <v>53.45</v>
      </c>
      <c r="J2947" t="s">
        <v>115</v>
      </c>
      <c r="K2947" t="s">
        <v>16</v>
      </c>
      <c r="L2947" t="s">
        <v>2095</v>
      </c>
      <c r="M2947">
        <v>3</v>
      </c>
      <c r="N2947" t="s">
        <v>165</v>
      </c>
      <c r="O2947" t="s">
        <v>2109</v>
      </c>
    </row>
    <row r="2948" spans="1:15">
      <c r="A2948" t="s">
        <v>4393</v>
      </c>
      <c r="B2948" t="s">
        <v>2113</v>
      </c>
      <c r="C2948" t="s">
        <v>2100</v>
      </c>
      <c r="D2948" s="1">
        <v>45069</v>
      </c>
      <c r="E2948" s="1">
        <v>45268</v>
      </c>
      <c r="F2948">
        <v>24</v>
      </c>
      <c r="G2948">
        <v>6</v>
      </c>
      <c r="H2948">
        <v>357.78</v>
      </c>
      <c r="I2948">
        <v>70.5</v>
      </c>
      <c r="J2948" t="s">
        <v>66</v>
      </c>
      <c r="K2948" t="s">
        <v>20</v>
      </c>
      <c r="L2948" t="s">
        <v>2095</v>
      </c>
      <c r="M2948">
        <v>10</v>
      </c>
      <c r="N2948" t="s">
        <v>174</v>
      </c>
      <c r="O2948" t="s">
        <v>2109</v>
      </c>
    </row>
    <row r="2949" spans="1:15">
      <c r="A2949" t="s">
        <v>4394</v>
      </c>
      <c r="B2949" t="s">
        <v>2097</v>
      </c>
      <c r="C2949" t="s">
        <v>2111</v>
      </c>
      <c r="D2949" s="1">
        <v>45224</v>
      </c>
      <c r="E2949" s="1">
        <v>45275</v>
      </c>
      <c r="F2949">
        <v>17</v>
      </c>
      <c r="G2949">
        <v>7</v>
      </c>
      <c r="H2949">
        <v>704.6</v>
      </c>
      <c r="I2949">
        <v>120.74</v>
      </c>
      <c r="J2949" t="s">
        <v>41</v>
      </c>
      <c r="K2949" t="s">
        <v>16</v>
      </c>
      <c r="L2949" t="s">
        <v>2095</v>
      </c>
      <c r="M2949">
        <v>1</v>
      </c>
      <c r="N2949" t="s">
        <v>204</v>
      </c>
      <c r="O2949" t="s">
        <v>2109</v>
      </c>
    </row>
    <row r="2950" spans="1:15">
      <c r="A2950" t="s">
        <v>1716</v>
      </c>
      <c r="B2950" t="s">
        <v>2097</v>
      </c>
      <c r="C2950" t="s">
        <v>2094</v>
      </c>
      <c r="D2950" s="1">
        <v>43760</v>
      </c>
      <c r="E2950" s="1">
        <v>45195</v>
      </c>
      <c r="F2950">
        <v>97</v>
      </c>
      <c r="G2950">
        <v>9</v>
      </c>
      <c r="H2950">
        <v>430.5</v>
      </c>
      <c r="I2950">
        <v>148.47</v>
      </c>
      <c r="J2950" t="s">
        <v>66</v>
      </c>
      <c r="K2950" t="s">
        <v>16</v>
      </c>
      <c r="L2950" t="s">
        <v>2087</v>
      </c>
      <c r="M2950">
        <v>1</v>
      </c>
      <c r="N2950" t="s">
        <v>194</v>
      </c>
      <c r="O2950" t="s">
        <v>2096</v>
      </c>
    </row>
    <row r="2951" spans="1:15">
      <c r="A2951" t="s">
        <v>1487</v>
      </c>
      <c r="B2951" t="s">
        <v>2090</v>
      </c>
      <c r="C2951" t="s">
        <v>2091</v>
      </c>
      <c r="D2951" s="1">
        <v>45214</v>
      </c>
      <c r="E2951" s="1">
        <v>45120</v>
      </c>
      <c r="F2951">
        <v>172</v>
      </c>
      <c r="G2951">
        <v>7</v>
      </c>
      <c r="H2951">
        <v>186.01</v>
      </c>
      <c r="I2951">
        <v>89.23</v>
      </c>
      <c r="J2951" t="s">
        <v>41</v>
      </c>
      <c r="K2951" t="s">
        <v>20</v>
      </c>
      <c r="L2951" t="s">
        <v>2087</v>
      </c>
      <c r="M2951">
        <v>1</v>
      </c>
      <c r="N2951" t="s">
        <v>179</v>
      </c>
      <c r="O2951" t="s">
        <v>2096</v>
      </c>
    </row>
    <row r="2952" spans="1:15">
      <c r="A2952" t="s">
        <v>1228</v>
      </c>
      <c r="B2952" t="s">
        <v>2093</v>
      </c>
      <c r="C2952" t="s">
        <v>2100</v>
      </c>
      <c r="D2952" s="1">
        <v>43629</v>
      </c>
      <c r="E2952" s="1">
        <v>44945</v>
      </c>
      <c r="F2952">
        <v>347</v>
      </c>
      <c r="G2952">
        <v>1</v>
      </c>
      <c r="H2952">
        <v>116.95</v>
      </c>
      <c r="I2952">
        <v>51.62</v>
      </c>
      <c r="J2952" t="s">
        <v>90</v>
      </c>
      <c r="K2952" t="s">
        <v>20</v>
      </c>
      <c r="L2952" t="s">
        <v>2095</v>
      </c>
      <c r="M2952">
        <v>10</v>
      </c>
      <c r="N2952" t="s">
        <v>179</v>
      </c>
      <c r="O2952" t="s">
        <v>2096</v>
      </c>
    </row>
    <row r="2953" spans="1:15">
      <c r="A2953" t="s">
        <v>4395</v>
      </c>
      <c r="B2953" t="s">
        <v>2097</v>
      </c>
      <c r="C2953" t="s">
        <v>2108</v>
      </c>
      <c r="D2953" s="1">
        <v>44676</v>
      </c>
      <c r="E2953" s="1">
        <v>44936</v>
      </c>
      <c r="F2953">
        <v>356</v>
      </c>
      <c r="G2953">
        <v>9</v>
      </c>
      <c r="H2953">
        <v>729.16</v>
      </c>
      <c r="I2953">
        <v>79.62</v>
      </c>
      <c r="J2953" t="s">
        <v>14</v>
      </c>
      <c r="K2953" t="s">
        <v>16</v>
      </c>
      <c r="L2953" t="s">
        <v>2087</v>
      </c>
      <c r="M2953">
        <v>9</v>
      </c>
      <c r="N2953" t="s">
        <v>165</v>
      </c>
      <c r="O2953" t="s">
        <v>2121</v>
      </c>
    </row>
    <row r="2954" spans="1:15">
      <c r="A2954" t="s">
        <v>4396</v>
      </c>
      <c r="B2954" t="s">
        <v>2097</v>
      </c>
      <c r="C2954" t="s">
        <v>2091</v>
      </c>
      <c r="D2954" s="1">
        <v>45151</v>
      </c>
      <c r="E2954" s="1">
        <v>45121</v>
      </c>
      <c r="F2954">
        <v>171</v>
      </c>
      <c r="G2954">
        <v>11</v>
      </c>
      <c r="H2954">
        <v>689.05</v>
      </c>
      <c r="I2954">
        <v>112.43</v>
      </c>
      <c r="J2954" t="s">
        <v>66</v>
      </c>
      <c r="K2954" t="s">
        <v>16</v>
      </c>
      <c r="L2954" t="s">
        <v>2095</v>
      </c>
      <c r="M2954">
        <v>0</v>
      </c>
      <c r="N2954" t="s">
        <v>204</v>
      </c>
      <c r="O2954" t="s">
        <v>2109</v>
      </c>
    </row>
    <row r="2955" spans="1:15">
      <c r="A2955" t="s">
        <v>583</v>
      </c>
      <c r="B2955" t="s">
        <v>2093</v>
      </c>
      <c r="C2955" t="s">
        <v>2091</v>
      </c>
      <c r="D2955" s="1">
        <v>44429</v>
      </c>
      <c r="E2955" s="1">
        <v>45040</v>
      </c>
      <c r="F2955">
        <v>252</v>
      </c>
      <c r="G2955">
        <v>4</v>
      </c>
      <c r="H2955">
        <v>122.77</v>
      </c>
      <c r="I2955">
        <v>37.270000000000003</v>
      </c>
      <c r="J2955" t="s">
        <v>14</v>
      </c>
      <c r="K2955" t="s">
        <v>16</v>
      </c>
      <c r="L2955" t="s">
        <v>2087</v>
      </c>
      <c r="M2955">
        <v>0</v>
      </c>
      <c r="N2955" t="s">
        <v>179</v>
      </c>
      <c r="O2955" t="s">
        <v>2107</v>
      </c>
    </row>
    <row r="2956" spans="1:15">
      <c r="A2956" t="s">
        <v>250</v>
      </c>
      <c r="B2956" t="s">
        <v>2093</v>
      </c>
      <c r="C2956" t="s">
        <v>2091</v>
      </c>
      <c r="D2956" s="1">
        <v>44540</v>
      </c>
      <c r="E2956" s="1">
        <v>45219</v>
      </c>
      <c r="F2956">
        <v>73</v>
      </c>
      <c r="G2956">
        <v>3</v>
      </c>
      <c r="H2956">
        <v>55.99</v>
      </c>
      <c r="I2956">
        <v>32.69</v>
      </c>
      <c r="J2956" t="s">
        <v>66</v>
      </c>
      <c r="K2956" t="s">
        <v>16</v>
      </c>
      <c r="L2956" t="s">
        <v>2106</v>
      </c>
      <c r="M2956">
        <v>4</v>
      </c>
      <c r="N2956" t="s">
        <v>179</v>
      </c>
      <c r="O2956" t="s">
        <v>2096</v>
      </c>
    </row>
    <row r="2957" spans="1:15">
      <c r="A2957" t="s">
        <v>4397</v>
      </c>
      <c r="B2957" t="s">
        <v>2099</v>
      </c>
      <c r="C2957" t="s">
        <v>2100</v>
      </c>
      <c r="D2957" s="1">
        <v>43497</v>
      </c>
      <c r="E2957" s="1">
        <v>45278</v>
      </c>
      <c r="F2957">
        <v>14</v>
      </c>
      <c r="G2957">
        <v>1</v>
      </c>
      <c r="H2957">
        <v>124.03</v>
      </c>
      <c r="I2957">
        <v>71.38</v>
      </c>
      <c r="J2957" t="s">
        <v>41</v>
      </c>
      <c r="K2957" t="s">
        <v>20</v>
      </c>
      <c r="L2957" t="s">
        <v>2106</v>
      </c>
      <c r="M2957">
        <v>5</v>
      </c>
      <c r="N2957" t="s">
        <v>174</v>
      </c>
      <c r="O2957" t="s">
        <v>2107</v>
      </c>
    </row>
    <row r="2958" spans="1:15">
      <c r="A2958" t="s">
        <v>4398</v>
      </c>
      <c r="B2958" t="s">
        <v>2097</v>
      </c>
      <c r="C2958" t="s">
        <v>2100</v>
      </c>
      <c r="D2958" s="1">
        <v>45000</v>
      </c>
      <c r="E2958" s="1">
        <v>44942</v>
      </c>
      <c r="F2958">
        <v>350</v>
      </c>
      <c r="G2958">
        <v>3</v>
      </c>
      <c r="H2958">
        <v>793.81</v>
      </c>
      <c r="I2958">
        <v>113.87</v>
      </c>
      <c r="J2958" t="s">
        <v>90</v>
      </c>
      <c r="K2958" t="s">
        <v>16</v>
      </c>
      <c r="L2958" t="s">
        <v>2095</v>
      </c>
      <c r="M2958">
        <v>4</v>
      </c>
      <c r="N2958" t="s">
        <v>232</v>
      </c>
      <c r="O2958" t="s">
        <v>2121</v>
      </c>
    </row>
    <row r="2959" spans="1:15">
      <c r="A2959" t="s">
        <v>4399</v>
      </c>
      <c r="B2959" t="s">
        <v>2097</v>
      </c>
      <c r="C2959" t="s">
        <v>2094</v>
      </c>
      <c r="D2959" s="1">
        <v>44489</v>
      </c>
      <c r="E2959" s="1">
        <v>44968</v>
      </c>
      <c r="F2959">
        <v>324</v>
      </c>
      <c r="G2959">
        <v>6</v>
      </c>
      <c r="H2959">
        <v>577.09</v>
      </c>
      <c r="I2959">
        <v>127.62</v>
      </c>
      <c r="J2959" t="s">
        <v>90</v>
      </c>
      <c r="K2959" t="s">
        <v>20</v>
      </c>
      <c r="L2959" t="s">
        <v>2087</v>
      </c>
      <c r="M2959">
        <v>5</v>
      </c>
      <c r="N2959" t="s">
        <v>194</v>
      </c>
      <c r="O2959" t="s">
        <v>2096</v>
      </c>
    </row>
    <row r="2960" spans="1:15">
      <c r="A2960" t="s">
        <v>4400</v>
      </c>
      <c r="B2960" t="s">
        <v>2097</v>
      </c>
      <c r="C2960" t="s">
        <v>2091</v>
      </c>
      <c r="D2960" s="1">
        <v>45019</v>
      </c>
      <c r="E2960" s="1">
        <v>45223</v>
      </c>
      <c r="F2960">
        <v>69</v>
      </c>
      <c r="G2960">
        <v>11</v>
      </c>
      <c r="H2960">
        <v>601.75</v>
      </c>
      <c r="I2960">
        <v>79.27</v>
      </c>
      <c r="J2960" t="s">
        <v>41</v>
      </c>
      <c r="K2960" t="s">
        <v>16</v>
      </c>
      <c r="L2960" t="s">
        <v>2095</v>
      </c>
      <c r="M2960">
        <v>8</v>
      </c>
      <c r="N2960" t="s">
        <v>165</v>
      </c>
      <c r="O2960" t="s">
        <v>2088</v>
      </c>
    </row>
    <row r="2961" spans="1:15">
      <c r="A2961" t="s">
        <v>4401</v>
      </c>
      <c r="B2961" t="s">
        <v>2085</v>
      </c>
      <c r="C2961" t="s">
        <v>2108</v>
      </c>
      <c r="D2961" s="1">
        <v>44508</v>
      </c>
      <c r="E2961" s="1">
        <v>45227</v>
      </c>
      <c r="F2961">
        <v>65</v>
      </c>
      <c r="G2961">
        <v>23</v>
      </c>
      <c r="H2961">
        <v>2529.5</v>
      </c>
      <c r="I2961">
        <v>136.19999999999999</v>
      </c>
      <c r="J2961" t="s">
        <v>66</v>
      </c>
      <c r="K2961" t="s">
        <v>16</v>
      </c>
      <c r="L2961" t="s">
        <v>2095</v>
      </c>
      <c r="M2961">
        <v>7</v>
      </c>
      <c r="N2961" t="s">
        <v>179</v>
      </c>
      <c r="O2961" t="s">
        <v>2109</v>
      </c>
    </row>
    <row r="2962" spans="1:15">
      <c r="A2962" t="s">
        <v>4402</v>
      </c>
      <c r="B2962" t="s">
        <v>2090</v>
      </c>
      <c r="C2962" t="s">
        <v>2100</v>
      </c>
      <c r="D2962" s="1">
        <v>44320</v>
      </c>
      <c r="E2962" s="1">
        <v>45237</v>
      </c>
      <c r="F2962">
        <v>55</v>
      </c>
      <c r="G2962">
        <v>2</v>
      </c>
      <c r="H2962">
        <v>118.46</v>
      </c>
      <c r="I2962">
        <v>105.23</v>
      </c>
      <c r="J2962" t="s">
        <v>41</v>
      </c>
      <c r="K2962" t="s">
        <v>16</v>
      </c>
      <c r="L2962" t="s">
        <v>2095</v>
      </c>
      <c r="M2962">
        <v>5</v>
      </c>
      <c r="N2962" t="s">
        <v>179</v>
      </c>
      <c r="O2962" t="s">
        <v>2096</v>
      </c>
    </row>
    <row r="2963" spans="1:15">
      <c r="A2963" t="s">
        <v>2026</v>
      </c>
      <c r="B2963" t="s">
        <v>2099</v>
      </c>
      <c r="C2963" t="s">
        <v>2111</v>
      </c>
      <c r="D2963" s="1">
        <v>45001</v>
      </c>
      <c r="E2963" s="1">
        <v>45234</v>
      </c>
      <c r="F2963">
        <v>58</v>
      </c>
      <c r="G2963">
        <v>1</v>
      </c>
      <c r="H2963">
        <v>148.29</v>
      </c>
      <c r="I2963">
        <v>30.87</v>
      </c>
      <c r="J2963" t="s">
        <v>41</v>
      </c>
      <c r="K2963" t="s">
        <v>20</v>
      </c>
      <c r="L2963" t="s">
        <v>2087</v>
      </c>
      <c r="M2963">
        <v>3</v>
      </c>
      <c r="N2963" t="s">
        <v>174</v>
      </c>
      <c r="O2963" t="s">
        <v>2107</v>
      </c>
    </row>
    <row r="2964" spans="1:15">
      <c r="A2964" t="s">
        <v>4403</v>
      </c>
      <c r="B2964" t="s">
        <v>2093</v>
      </c>
      <c r="C2964" t="s">
        <v>2094</v>
      </c>
      <c r="D2964" s="1">
        <v>43810</v>
      </c>
      <c r="E2964" s="1">
        <v>45176</v>
      </c>
      <c r="F2964">
        <v>116</v>
      </c>
      <c r="G2964">
        <v>2</v>
      </c>
      <c r="H2964">
        <v>92.11</v>
      </c>
      <c r="I2964">
        <v>64.510000000000005</v>
      </c>
      <c r="J2964" t="s">
        <v>115</v>
      </c>
      <c r="K2964" t="s">
        <v>16</v>
      </c>
      <c r="L2964" t="s">
        <v>2095</v>
      </c>
      <c r="M2964">
        <v>3</v>
      </c>
      <c r="N2964" t="s">
        <v>232</v>
      </c>
      <c r="O2964" t="s">
        <v>2107</v>
      </c>
    </row>
    <row r="2965" spans="1:15">
      <c r="A2965" t="s">
        <v>1424</v>
      </c>
      <c r="B2965" t="s">
        <v>2090</v>
      </c>
      <c r="C2965" t="s">
        <v>2100</v>
      </c>
      <c r="D2965" s="1">
        <v>44856</v>
      </c>
      <c r="E2965" s="1">
        <v>45045</v>
      </c>
      <c r="F2965">
        <v>247</v>
      </c>
      <c r="G2965">
        <v>4</v>
      </c>
      <c r="H2965">
        <v>174.62</v>
      </c>
      <c r="I2965">
        <v>100.69</v>
      </c>
      <c r="J2965" t="s">
        <v>90</v>
      </c>
      <c r="K2965" t="s">
        <v>16</v>
      </c>
      <c r="L2965" t="s">
        <v>2087</v>
      </c>
      <c r="M2965">
        <v>3</v>
      </c>
      <c r="N2965" t="s">
        <v>232</v>
      </c>
      <c r="O2965" t="s">
        <v>2088</v>
      </c>
    </row>
    <row r="2966" spans="1:15">
      <c r="A2966" t="s">
        <v>450</v>
      </c>
      <c r="B2966" t="s">
        <v>2090</v>
      </c>
      <c r="C2966" t="s">
        <v>2108</v>
      </c>
      <c r="D2966" s="1">
        <v>45017</v>
      </c>
      <c r="E2966" s="1">
        <v>45109</v>
      </c>
      <c r="F2966">
        <v>183</v>
      </c>
      <c r="G2966">
        <v>4</v>
      </c>
      <c r="H2966">
        <v>129.4</v>
      </c>
      <c r="I2966">
        <v>98.51</v>
      </c>
      <c r="J2966" t="s">
        <v>115</v>
      </c>
      <c r="K2966" t="s">
        <v>16</v>
      </c>
      <c r="L2966" t="s">
        <v>2095</v>
      </c>
      <c r="M2966">
        <v>3</v>
      </c>
      <c r="N2966" t="s">
        <v>174</v>
      </c>
      <c r="O2966" t="s">
        <v>2088</v>
      </c>
    </row>
    <row r="2967" spans="1:15">
      <c r="A2967" t="s">
        <v>1999</v>
      </c>
      <c r="B2967" t="s">
        <v>2099</v>
      </c>
      <c r="C2967" t="s">
        <v>2091</v>
      </c>
      <c r="D2967" s="1">
        <v>44308</v>
      </c>
      <c r="E2967" s="1">
        <v>45262</v>
      </c>
      <c r="F2967">
        <v>30</v>
      </c>
      <c r="G2967">
        <v>2</v>
      </c>
      <c r="H2967">
        <v>126.75</v>
      </c>
      <c r="I2967">
        <v>43</v>
      </c>
      <c r="J2967" t="s">
        <v>41</v>
      </c>
      <c r="K2967" t="s">
        <v>20</v>
      </c>
      <c r="L2967" t="s">
        <v>2106</v>
      </c>
      <c r="M2967">
        <v>0</v>
      </c>
      <c r="N2967" t="s">
        <v>232</v>
      </c>
      <c r="O2967" t="s">
        <v>2121</v>
      </c>
    </row>
    <row r="2968" spans="1:15">
      <c r="A2968" t="s">
        <v>672</v>
      </c>
      <c r="B2968" t="s">
        <v>2085</v>
      </c>
      <c r="C2968" t="s">
        <v>2086</v>
      </c>
      <c r="D2968" s="1">
        <v>44023</v>
      </c>
      <c r="E2968" s="1">
        <v>45270</v>
      </c>
      <c r="F2968">
        <v>22</v>
      </c>
      <c r="G2968">
        <v>22</v>
      </c>
      <c r="H2968">
        <v>2944.11</v>
      </c>
      <c r="I2968">
        <v>250.79</v>
      </c>
      <c r="J2968" t="s">
        <v>90</v>
      </c>
      <c r="K2968" t="s">
        <v>20</v>
      </c>
      <c r="L2968" t="s">
        <v>2095</v>
      </c>
      <c r="M2968">
        <v>5</v>
      </c>
      <c r="N2968" t="s">
        <v>232</v>
      </c>
      <c r="O2968" t="s">
        <v>2096</v>
      </c>
    </row>
    <row r="2969" spans="1:15">
      <c r="A2969" t="s">
        <v>4404</v>
      </c>
      <c r="B2969" t="s">
        <v>2113</v>
      </c>
      <c r="C2969" t="s">
        <v>2091</v>
      </c>
      <c r="D2969" s="1">
        <v>44421</v>
      </c>
      <c r="E2969" s="1">
        <v>45176</v>
      </c>
      <c r="F2969">
        <v>116</v>
      </c>
      <c r="G2969">
        <v>8</v>
      </c>
      <c r="H2969">
        <v>378.55</v>
      </c>
      <c r="I2969">
        <v>75.569999999999993</v>
      </c>
      <c r="J2969" t="s">
        <v>14</v>
      </c>
      <c r="K2969" t="s">
        <v>16</v>
      </c>
      <c r="L2969" t="s">
        <v>2106</v>
      </c>
      <c r="M2969">
        <v>0</v>
      </c>
      <c r="N2969" t="s">
        <v>204</v>
      </c>
      <c r="O2969" t="s">
        <v>2121</v>
      </c>
    </row>
    <row r="2970" spans="1:15">
      <c r="A2970" t="s">
        <v>4405</v>
      </c>
      <c r="B2970" t="s">
        <v>2113</v>
      </c>
      <c r="C2970" t="s">
        <v>2108</v>
      </c>
      <c r="D2970" s="1">
        <v>44629</v>
      </c>
      <c r="E2970" s="1">
        <v>44981</v>
      </c>
      <c r="F2970">
        <v>311</v>
      </c>
      <c r="G2970">
        <v>13</v>
      </c>
      <c r="H2970">
        <v>335.26</v>
      </c>
      <c r="I2970">
        <v>64.540000000000006</v>
      </c>
      <c r="J2970" t="s">
        <v>14</v>
      </c>
      <c r="K2970" t="s">
        <v>16</v>
      </c>
      <c r="L2970" t="s">
        <v>2095</v>
      </c>
      <c r="M2970">
        <v>7</v>
      </c>
      <c r="N2970" t="s">
        <v>194</v>
      </c>
      <c r="O2970" t="s">
        <v>2096</v>
      </c>
    </row>
    <row r="2971" spans="1:15">
      <c r="A2971" t="s">
        <v>4406</v>
      </c>
      <c r="B2971" t="s">
        <v>2085</v>
      </c>
      <c r="C2971" t="s">
        <v>2086</v>
      </c>
      <c r="D2971" s="1">
        <v>44547</v>
      </c>
      <c r="E2971" s="1">
        <v>45274</v>
      </c>
      <c r="F2971">
        <v>18</v>
      </c>
      <c r="G2971">
        <v>18</v>
      </c>
      <c r="H2971">
        <v>2362.06</v>
      </c>
      <c r="I2971">
        <v>171.31</v>
      </c>
      <c r="J2971" t="s">
        <v>66</v>
      </c>
      <c r="K2971" t="s">
        <v>20</v>
      </c>
      <c r="L2971" t="s">
        <v>2087</v>
      </c>
      <c r="M2971">
        <v>5</v>
      </c>
      <c r="N2971" t="s">
        <v>165</v>
      </c>
      <c r="O2971" t="s">
        <v>2109</v>
      </c>
    </row>
    <row r="2972" spans="1:15">
      <c r="A2972" t="s">
        <v>1844</v>
      </c>
      <c r="B2972" t="s">
        <v>2097</v>
      </c>
      <c r="C2972" t="s">
        <v>2100</v>
      </c>
      <c r="D2972" s="1">
        <v>44240</v>
      </c>
      <c r="E2972" s="1">
        <v>45134</v>
      </c>
      <c r="F2972">
        <v>158</v>
      </c>
      <c r="G2972">
        <v>10</v>
      </c>
      <c r="H2972">
        <v>340.95</v>
      </c>
      <c r="I2972">
        <v>77.81</v>
      </c>
      <c r="J2972" t="s">
        <v>14</v>
      </c>
      <c r="K2972" t="s">
        <v>16</v>
      </c>
      <c r="L2972" t="s">
        <v>2095</v>
      </c>
      <c r="M2972">
        <v>3</v>
      </c>
      <c r="N2972" t="s">
        <v>204</v>
      </c>
      <c r="O2972" t="s">
        <v>2109</v>
      </c>
    </row>
    <row r="2973" spans="1:15">
      <c r="A2973" t="s">
        <v>4407</v>
      </c>
      <c r="B2973" t="s">
        <v>2093</v>
      </c>
      <c r="C2973" t="s">
        <v>2094</v>
      </c>
      <c r="D2973" s="1">
        <v>45094</v>
      </c>
      <c r="E2973" s="1">
        <v>45167</v>
      </c>
      <c r="F2973">
        <v>125</v>
      </c>
      <c r="G2973">
        <v>1</v>
      </c>
      <c r="H2973">
        <v>160.47</v>
      </c>
      <c r="I2973">
        <v>71.069999999999993</v>
      </c>
      <c r="J2973" t="s">
        <v>14</v>
      </c>
      <c r="K2973" t="s">
        <v>16</v>
      </c>
      <c r="L2973" t="s">
        <v>2095</v>
      </c>
      <c r="M2973">
        <v>8</v>
      </c>
      <c r="N2973" t="s">
        <v>174</v>
      </c>
      <c r="O2973" t="s">
        <v>2088</v>
      </c>
    </row>
    <row r="2974" spans="1:15">
      <c r="A2974" t="s">
        <v>4408</v>
      </c>
      <c r="B2974" t="s">
        <v>2085</v>
      </c>
      <c r="C2974" t="s">
        <v>2091</v>
      </c>
      <c r="D2974" s="1">
        <v>44492</v>
      </c>
      <c r="E2974" s="1">
        <v>45254</v>
      </c>
      <c r="F2974">
        <v>38</v>
      </c>
      <c r="G2974">
        <v>18</v>
      </c>
      <c r="H2974">
        <v>1759.98</v>
      </c>
      <c r="I2974">
        <v>218.84</v>
      </c>
      <c r="J2974" t="s">
        <v>66</v>
      </c>
      <c r="K2974" t="s">
        <v>16</v>
      </c>
      <c r="L2974" t="s">
        <v>2106</v>
      </c>
      <c r="M2974">
        <v>10</v>
      </c>
      <c r="N2974" t="s">
        <v>232</v>
      </c>
      <c r="O2974" t="s">
        <v>2121</v>
      </c>
    </row>
    <row r="2975" spans="1:15">
      <c r="A2975" t="s">
        <v>4409</v>
      </c>
      <c r="B2975" t="s">
        <v>2085</v>
      </c>
      <c r="C2975" t="s">
        <v>2100</v>
      </c>
      <c r="D2975" s="1">
        <v>44213</v>
      </c>
      <c r="E2975" s="1">
        <v>44986</v>
      </c>
      <c r="F2975">
        <v>306</v>
      </c>
      <c r="G2975">
        <v>21</v>
      </c>
      <c r="H2975">
        <v>1275.08</v>
      </c>
      <c r="I2975">
        <v>149.41</v>
      </c>
      <c r="J2975" t="s">
        <v>14</v>
      </c>
      <c r="K2975" t="s">
        <v>16</v>
      </c>
      <c r="L2975" t="s">
        <v>2087</v>
      </c>
      <c r="M2975">
        <v>9</v>
      </c>
      <c r="N2975" t="s">
        <v>179</v>
      </c>
      <c r="O2975" t="s">
        <v>2121</v>
      </c>
    </row>
    <row r="2976" spans="1:15">
      <c r="A2976" t="s">
        <v>4410</v>
      </c>
      <c r="B2976" t="s">
        <v>2099</v>
      </c>
      <c r="C2976" t="s">
        <v>2086</v>
      </c>
      <c r="D2976" s="1">
        <v>44347</v>
      </c>
      <c r="E2976" s="1">
        <v>45141</v>
      </c>
      <c r="F2976">
        <v>151</v>
      </c>
      <c r="G2976">
        <v>2</v>
      </c>
      <c r="H2976">
        <v>68.55</v>
      </c>
      <c r="I2976">
        <v>75.2</v>
      </c>
      <c r="J2976" t="s">
        <v>66</v>
      </c>
      <c r="K2976" t="s">
        <v>20</v>
      </c>
      <c r="L2976" t="s">
        <v>2095</v>
      </c>
      <c r="M2976">
        <v>3</v>
      </c>
      <c r="N2976" t="s">
        <v>165</v>
      </c>
      <c r="O2976" t="s">
        <v>2096</v>
      </c>
    </row>
    <row r="2977" spans="1:15">
      <c r="A2977" t="s">
        <v>4411</v>
      </c>
      <c r="B2977" t="s">
        <v>2099</v>
      </c>
      <c r="C2977" t="s">
        <v>2091</v>
      </c>
      <c r="D2977" s="1">
        <v>44407</v>
      </c>
      <c r="E2977" s="1">
        <v>45088</v>
      </c>
      <c r="F2977">
        <v>204</v>
      </c>
      <c r="G2977">
        <v>1</v>
      </c>
      <c r="H2977">
        <v>72.05</v>
      </c>
      <c r="I2977">
        <v>61.86</v>
      </c>
      <c r="J2977" t="s">
        <v>66</v>
      </c>
      <c r="K2977" t="s">
        <v>20</v>
      </c>
      <c r="L2977" t="s">
        <v>2106</v>
      </c>
      <c r="M2977">
        <v>1</v>
      </c>
      <c r="N2977" t="s">
        <v>157</v>
      </c>
      <c r="O2977" t="s">
        <v>2121</v>
      </c>
    </row>
    <row r="2978" spans="1:15">
      <c r="A2978" t="s">
        <v>4412</v>
      </c>
      <c r="B2978" t="s">
        <v>2097</v>
      </c>
      <c r="C2978" t="s">
        <v>2091</v>
      </c>
      <c r="D2978" s="1">
        <v>44714</v>
      </c>
      <c r="E2978" s="1">
        <v>45190</v>
      </c>
      <c r="F2978">
        <v>102</v>
      </c>
      <c r="G2978">
        <v>10</v>
      </c>
      <c r="H2978">
        <v>400.56</v>
      </c>
      <c r="I2978">
        <v>76.760000000000005</v>
      </c>
      <c r="J2978" t="s">
        <v>115</v>
      </c>
      <c r="K2978" t="s">
        <v>16</v>
      </c>
      <c r="L2978" t="s">
        <v>2095</v>
      </c>
      <c r="M2978">
        <v>3</v>
      </c>
      <c r="N2978" t="s">
        <v>232</v>
      </c>
      <c r="O2978" t="s">
        <v>2121</v>
      </c>
    </row>
    <row r="2979" spans="1:15">
      <c r="A2979" t="s">
        <v>4413</v>
      </c>
      <c r="B2979" t="s">
        <v>2097</v>
      </c>
      <c r="C2979" t="s">
        <v>2111</v>
      </c>
      <c r="D2979" s="1">
        <v>45205</v>
      </c>
      <c r="E2979" s="1">
        <v>45130</v>
      </c>
      <c r="F2979">
        <v>162</v>
      </c>
      <c r="G2979">
        <v>8</v>
      </c>
      <c r="H2979">
        <v>238.17</v>
      </c>
      <c r="I2979">
        <v>119.82</v>
      </c>
      <c r="J2979" t="s">
        <v>115</v>
      </c>
      <c r="K2979" t="s">
        <v>20</v>
      </c>
      <c r="L2979" t="s">
        <v>2106</v>
      </c>
      <c r="M2979">
        <v>5</v>
      </c>
      <c r="N2979" t="s">
        <v>157</v>
      </c>
      <c r="O2979" t="s">
        <v>2107</v>
      </c>
    </row>
    <row r="2980" spans="1:15">
      <c r="A2980" t="s">
        <v>379</v>
      </c>
      <c r="B2980" t="s">
        <v>2090</v>
      </c>
      <c r="C2980" t="s">
        <v>2108</v>
      </c>
      <c r="D2980" s="1">
        <v>43950</v>
      </c>
      <c r="E2980" s="1">
        <v>45075</v>
      </c>
      <c r="F2980">
        <v>217</v>
      </c>
      <c r="G2980">
        <v>8</v>
      </c>
      <c r="H2980">
        <v>258.83</v>
      </c>
      <c r="I2980">
        <v>77.44</v>
      </c>
      <c r="J2980" t="s">
        <v>14</v>
      </c>
      <c r="K2980" t="s">
        <v>16</v>
      </c>
      <c r="L2980" t="s">
        <v>2095</v>
      </c>
      <c r="M2980">
        <v>4</v>
      </c>
      <c r="N2980" t="s">
        <v>232</v>
      </c>
      <c r="O2980" t="s">
        <v>2088</v>
      </c>
    </row>
    <row r="2981" spans="1:15">
      <c r="A2981" t="s">
        <v>4414</v>
      </c>
      <c r="B2981" t="s">
        <v>2099</v>
      </c>
      <c r="C2981" t="s">
        <v>2091</v>
      </c>
      <c r="D2981" s="1">
        <v>44955</v>
      </c>
      <c r="E2981" s="1">
        <v>45177</v>
      </c>
      <c r="F2981">
        <v>115</v>
      </c>
      <c r="G2981">
        <v>2</v>
      </c>
      <c r="H2981">
        <v>79.19</v>
      </c>
      <c r="I2981">
        <v>46.32</v>
      </c>
      <c r="J2981" t="s">
        <v>90</v>
      </c>
      <c r="K2981" t="s">
        <v>16</v>
      </c>
      <c r="L2981" t="s">
        <v>2095</v>
      </c>
      <c r="M2981">
        <v>4</v>
      </c>
      <c r="N2981" t="s">
        <v>179</v>
      </c>
      <c r="O2981" t="s">
        <v>2088</v>
      </c>
    </row>
    <row r="2982" spans="1:15">
      <c r="A2982" t="s">
        <v>1659</v>
      </c>
      <c r="B2982" t="s">
        <v>2090</v>
      </c>
      <c r="C2982" t="s">
        <v>2086</v>
      </c>
      <c r="D2982" s="1">
        <v>44559</v>
      </c>
      <c r="E2982" s="1">
        <v>44961</v>
      </c>
      <c r="F2982">
        <v>331</v>
      </c>
      <c r="G2982">
        <v>2</v>
      </c>
      <c r="H2982">
        <v>264.3</v>
      </c>
      <c r="I2982">
        <v>73.36</v>
      </c>
      <c r="J2982" t="s">
        <v>66</v>
      </c>
      <c r="K2982" t="s">
        <v>16</v>
      </c>
      <c r="L2982" t="s">
        <v>2087</v>
      </c>
      <c r="M2982">
        <v>5</v>
      </c>
      <c r="N2982" t="s">
        <v>232</v>
      </c>
      <c r="O2982" t="s">
        <v>2109</v>
      </c>
    </row>
    <row r="2983" spans="1:15">
      <c r="A2983" t="s">
        <v>4415</v>
      </c>
      <c r="B2983" t="s">
        <v>2099</v>
      </c>
      <c r="C2983" t="s">
        <v>2091</v>
      </c>
      <c r="D2983" s="1">
        <v>43530</v>
      </c>
      <c r="E2983" s="1">
        <v>45266</v>
      </c>
      <c r="F2983">
        <v>26</v>
      </c>
      <c r="G2983">
        <v>1</v>
      </c>
      <c r="H2983">
        <v>99.25</v>
      </c>
      <c r="I2983">
        <v>27.53</v>
      </c>
      <c r="J2983" t="s">
        <v>66</v>
      </c>
      <c r="K2983" t="s">
        <v>16</v>
      </c>
      <c r="L2983" t="s">
        <v>2087</v>
      </c>
      <c r="M2983">
        <v>7</v>
      </c>
      <c r="N2983" t="s">
        <v>157</v>
      </c>
      <c r="O2983" t="s">
        <v>2109</v>
      </c>
    </row>
    <row r="2984" spans="1:15">
      <c r="A2984" t="s">
        <v>4416</v>
      </c>
      <c r="B2984" t="s">
        <v>2090</v>
      </c>
      <c r="C2984" t="s">
        <v>2108</v>
      </c>
      <c r="D2984" s="1">
        <v>43570</v>
      </c>
      <c r="E2984" s="1">
        <v>45192</v>
      </c>
      <c r="F2984">
        <v>100</v>
      </c>
      <c r="G2984">
        <v>8</v>
      </c>
      <c r="H2984">
        <v>313.38</v>
      </c>
      <c r="I2984">
        <v>47.73</v>
      </c>
      <c r="J2984" t="s">
        <v>14</v>
      </c>
      <c r="K2984" t="s">
        <v>16</v>
      </c>
      <c r="L2984" t="s">
        <v>2095</v>
      </c>
      <c r="M2984">
        <v>10</v>
      </c>
      <c r="N2984" t="s">
        <v>204</v>
      </c>
      <c r="O2984" t="s">
        <v>2121</v>
      </c>
    </row>
    <row r="2985" spans="1:15">
      <c r="A2985" t="s">
        <v>4417</v>
      </c>
      <c r="B2985" t="s">
        <v>2099</v>
      </c>
      <c r="C2985" t="s">
        <v>2111</v>
      </c>
      <c r="D2985" s="1">
        <v>45218</v>
      </c>
      <c r="E2985" s="1">
        <v>45009</v>
      </c>
      <c r="F2985">
        <v>283</v>
      </c>
      <c r="G2985">
        <v>2</v>
      </c>
      <c r="H2985">
        <v>135.75</v>
      </c>
      <c r="I2985">
        <v>22.54</v>
      </c>
      <c r="J2985" t="s">
        <v>115</v>
      </c>
      <c r="K2985" t="s">
        <v>20</v>
      </c>
      <c r="L2985" t="s">
        <v>2106</v>
      </c>
      <c r="M2985">
        <v>7</v>
      </c>
      <c r="N2985" t="s">
        <v>165</v>
      </c>
      <c r="O2985" t="s">
        <v>2109</v>
      </c>
    </row>
    <row r="2986" spans="1:15">
      <c r="A2986" t="s">
        <v>1768</v>
      </c>
      <c r="B2986" t="s">
        <v>2085</v>
      </c>
      <c r="C2986" t="s">
        <v>2111</v>
      </c>
      <c r="D2986" s="1">
        <v>44646</v>
      </c>
      <c r="E2986" s="1">
        <v>45228</v>
      </c>
      <c r="F2986">
        <v>64</v>
      </c>
      <c r="G2986">
        <v>33</v>
      </c>
      <c r="H2986">
        <v>2381.6</v>
      </c>
      <c r="I2986">
        <v>290.58</v>
      </c>
      <c r="J2986" t="s">
        <v>90</v>
      </c>
      <c r="K2986" t="s">
        <v>16</v>
      </c>
      <c r="L2986" t="s">
        <v>2106</v>
      </c>
      <c r="M2986">
        <v>7</v>
      </c>
      <c r="N2986" t="s">
        <v>157</v>
      </c>
      <c r="O2986" t="s">
        <v>2107</v>
      </c>
    </row>
    <row r="2987" spans="1:15">
      <c r="A2987" t="s">
        <v>4418</v>
      </c>
      <c r="B2987" t="s">
        <v>2099</v>
      </c>
      <c r="C2987" t="s">
        <v>2086</v>
      </c>
      <c r="D2987" s="1">
        <v>43531</v>
      </c>
      <c r="E2987" s="1">
        <v>45062</v>
      </c>
      <c r="F2987">
        <v>230</v>
      </c>
      <c r="G2987">
        <v>1</v>
      </c>
      <c r="H2987">
        <v>60.07</v>
      </c>
      <c r="I2987">
        <v>25.61</v>
      </c>
      <c r="J2987" t="s">
        <v>66</v>
      </c>
      <c r="K2987" t="s">
        <v>16</v>
      </c>
      <c r="L2987" t="s">
        <v>2106</v>
      </c>
      <c r="M2987">
        <v>6</v>
      </c>
      <c r="N2987" t="s">
        <v>204</v>
      </c>
      <c r="O2987" t="s">
        <v>2096</v>
      </c>
    </row>
    <row r="2988" spans="1:15">
      <c r="A2988" t="s">
        <v>4419</v>
      </c>
      <c r="B2988" t="s">
        <v>2097</v>
      </c>
      <c r="C2988" t="s">
        <v>2111</v>
      </c>
      <c r="D2988" s="1">
        <v>43793</v>
      </c>
      <c r="E2988" s="1">
        <v>45208</v>
      </c>
      <c r="F2988">
        <v>84</v>
      </c>
      <c r="G2988">
        <v>9</v>
      </c>
      <c r="H2988">
        <v>363</v>
      </c>
      <c r="I2988">
        <v>97.71</v>
      </c>
      <c r="J2988" t="s">
        <v>115</v>
      </c>
      <c r="K2988" t="s">
        <v>16</v>
      </c>
      <c r="L2988" t="s">
        <v>2106</v>
      </c>
      <c r="M2988">
        <v>1</v>
      </c>
      <c r="N2988" t="s">
        <v>157</v>
      </c>
      <c r="O2988" t="s">
        <v>2109</v>
      </c>
    </row>
    <row r="2989" spans="1:15">
      <c r="A2989" t="s">
        <v>4420</v>
      </c>
      <c r="B2989" t="s">
        <v>2090</v>
      </c>
      <c r="C2989" t="s">
        <v>2091</v>
      </c>
      <c r="D2989" s="1">
        <v>44217</v>
      </c>
      <c r="E2989" s="1">
        <v>45259</v>
      </c>
      <c r="F2989">
        <v>33</v>
      </c>
      <c r="G2989">
        <v>6</v>
      </c>
      <c r="H2989">
        <v>285.23</v>
      </c>
      <c r="I2989">
        <v>82.72</v>
      </c>
      <c r="J2989" t="s">
        <v>66</v>
      </c>
      <c r="K2989" t="s">
        <v>20</v>
      </c>
      <c r="L2989" t="s">
        <v>2106</v>
      </c>
      <c r="M2989">
        <v>9</v>
      </c>
      <c r="N2989" t="s">
        <v>174</v>
      </c>
      <c r="O2989" t="s">
        <v>2088</v>
      </c>
    </row>
    <row r="2990" spans="1:15">
      <c r="A2990" t="s">
        <v>4421</v>
      </c>
      <c r="B2990" t="s">
        <v>2099</v>
      </c>
      <c r="C2990" t="s">
        <v>2094</v>
      </c>
      <c r="D2990" s="1">
        <v>44938</v>
      </c>
      <c r="E2990" s="1">
        <v>45283</v>
      </c>
      <c r="F2990">
        <v>9</v>
      </c>
      <c r="G2990">
        <v>1</v>
      </c>
      <c r="H2990">
        <v>102.96</v>
      </c>
      <c r="I2990">
        <v>43.38</v>
      </c>
      <c r="J2990" t="s">
        <v>115</v>
      </c>
      <c r="K2990" t="s">
        <v>16</v>
      </c>
      <c r="L2990" t="s">
        <v>2087</v>
      </c>
      <c r="M2990">
        <v>3</v>
      </c>
      <c r="N2990" t="s">
        <v>204</v>
      </c>
      <c r="O2990" t="s">
        <v>2107</v>
      </c>
    </row>
    <row r="2991" spans="1:15">
      <c r="A2991" t="s">
        <v>4422</v>
      </c>
      <c r="B2991" t="s">
        <v>2085</v>
      </c>
      <c r="C2991" t="s">
        <v>2111</v>
      </c>
      <c r="D2991" s="1">
        <v>44318</v>
      </c>
      <c r="E2991" s="1">
        <v>45031</v>
      </c>
      <c r="F2991">
        <v>261</v>
      </c>
      <c r="G2991">
        <v>34</v>
      </c>
      <c r="H2991">
        <v>2548.56</v>
      </c>
      <c r="I2991">
        <v>142.9</v>
      </c>
      <c r="J2991" t="s">
        <v>115</v>
      </c>
      <c r="K2991" t="s">
        <v>16</v>
      </c>
      <c r="L2991" t="s">
        <v>2087</v>
      </c>
      <c r="M2991">
        <v>9</v>
      </c>
      <c r="N2991" t="s">
        <v>204</v>
      </c>
      <c r="O2991" t="s">
        <v>2109</v>
      </c>
    </row>
    <row r="2992" spans="1:15">
      <c r="A2992" t="s">
        <v>4423</v>
      </c>
      <c r="B2992" t="s">
        <v>2085</v>
      </c>
      <c r="C2992" t="s">
        <v>2094</v>
      </c>
      <c r="D2992" s="1">
        <v>44740</v>
      </c>
      <c r="E2992" s="1">
        <v>45057</v>
      </c>
      <c r="F2992">
        <v>235</v>
      </c>
      <c r="G2992">
        <v>27</v>
      </c>
      <c r="H2992">
        <v>2607.48</v>
      </c>
      <c r="I2992">
        <v>187.04</v>
      </c>
      <c r="J2992" t="s">
        <v>115</v>
      </c>
      <c r="K2992" t="s">
        <v>20</v>
      </c>
      <c r="L2992" t="s">
        <v>2095</v>
      </c>
      <c r="M2992">
        <v>4</v>
      </c>
      <c r="N2992" t="s">
        <v>165</v>
      </c>
      <c r="O2992" t="s">
        <v>2121</v>
      </c>
    </row>
    <row r="2993" spans="1:15">
      <c r="A2993" t="s">
        <v>4424</v>
      </c>
      <c r="B2993" t="s">
        <v>2085</v>
      </c>
      <c r="C2993" t="s">
        <v>2094</v>
      </c>
      <c r="D2993" s="1">
        <v>43540</v>
      </c>
      <c r="E2993" s="1">
        <v>45154</v>
      </c>
      <c r="F2993">
        <v>138</v>
      </c>
      <c r="G2993">
        <v>12</v>
      </c>
      <c r="H2993">
        <v>930.04</v>
      </c>
      <c r="I2993">
        <v>246.85</v>
      </c>
      <c r="J2993" t="s">
        <v>90</v>
      </c>
      <c r="K2993" t="s">
        <v>16</v>
      </c>
      <c r="L2993" t="s">
        <v>2095</v>
      </c>
      <c r="M2993">
        <v>3</v>
      </c>
      <c r="N2993" t="s">
        <v>179</v>
      </c>
      <c r="O2993" t="s">
        <v>2096</v>
      </c>
    </row>
    <row r="2994" spans="1:15">
      <c r="A2994" t="s">
        <v>4425</v>
      </c>
      <c r="B2994" t="s">
        <v>2085</v>
      </c>
      <c r="C2994" t="s">
        <v>2086</v>
      </c>
      <c r="D2994" s="1">
        <v>43548</v>
      </c>
      <c r="E2994" s="1">
        <v>45154</v>
      </c>
      <c r="F2994">
        <v>138</v>
      </c>
      <c r="G2994">
        <v>35</v>
      </c>
      <c r="H2994">
        <v>1730.18</v>
      </c>
      <c r="I2994">
        <v>293.8</v>
      </c>
      <c r="J2994" t="s">
        <v>90</v>
      </c>
      <c r="K2994" t="s">
        <v>16</v>
      </c>
      <c r="L2994" t="s">
        <v>2106</v>
      </c>
      <c r="M2994">
        <v>6</v>
      </c>
      <c r="N2994" t="s">
        <v>232</v>
      </c>
      <c r="O2994" t="s">
        <v>2107</v>
      </c>
    </row>
    <row r="2995" spans="1:15">
      <c r="A2995" t="s">
        <v>4426</v>
      </c>
      <c r="B2995" t="s">
        <v>2097</v>
      </c>
      <c r="C2995" t="s">
        <v>2091</v>
      </c>
      <c r="D2995" s="1">
        <v>45000</v>
      </c>
      <c r="E2995" s="1">
        <v>45083</v>
      </c>
      <c r="F2995">
        <v>209</v>
      </c>
      <c r="G2995">
        <v>11</v>
      </c>
      <c r="H2995">
        <v>477.15</v>
      </c>
      <c r="I2995">
        <v>139.84</v>
      </c>
      <c r="J2995" t="s">
        <v>90</v>
      </c>
      <c r="K2995" t="s">
        <v>16</v>
      </c>
      <c r="L2995" t="s">
        <v>2106</v>
      </c>
      <c r="M2995">
        <v>4</v>
      </c>
      <c r="N2995" t="s">
        <v>194</v>
      </c>
      <c r="O2995" t="s">
        <v>2088</v>
      </c>
    </row>
    <row r="2996" spans="1:15">
      <c r="A2996" t="s">
        <v>4427</v>
      </c>
      <c r="B2996" t="s">
        <v>2093</v>
      </c>
      <c r="C2996" t="s">
        <v>2111</v>
      </c>
      <c r="D2996" s="1">
        <v>43771</v>
      </c>
      <c r="E2996" s="1">
        <v>45118</v>
      </c>
      <c r="F2996">
        <v>174</v>
      </c>
      <c r="G2996">
        <v>4</v>
      </c>
      <c r="H2996">
        <v>127.87</v>
      </c>
      <c r="I2996">
        <v>64.45</v>
      </c>
      <c r="J2996" t="s">
        <v>115</v>
      </c>
      <c r="K2996" t="s">
        <v>16</v>
      </c>
      <c r="L2996" t="s">
        <v>2106</v>
      </c>
      <c r="M2996">
        <v>3</v>
      </c>
      <c r="N2996" t="s">
        <v>179</v>
      </c>
      <c r="O2996" t="s">
        <v>2109</v>
      </c>
    </row>
    <row r="2997" spans="1:15">
      <c r="A2997" t="s">
        <v>4428</v>
      </c>
      <c r="B2997" t="s">
        <v>2099</v>
      </c>
      <c r="C2997" t="s">
        <v>2100</v>
      </c>
      <c r="D2997" s="1">
        <v>44216</v>
      </c>
      <c r="E2997" s="1">
        <v>45187</v>
      </c>
      <c r="F2997">
        <v>105</v>
      </c>
      <c r="G2997">
        <v>2</v>
      </c>
      <c r="H2997">
        <v>148.93</v>
      </c>
      <c r="I2997">
        <v>55.63</v>
      </c>
      <c r="J2997" t="s">
        <v>115</v>
      </c>
      <c r="K2997" t="s">
        <v>20</v>
      </c>
      <c r="L2997" t="s">
        <v>2106</v>
      </c>
      <c r="M2997">
        <v>3</v>
      </c>
      <c r="N2997" t="s">
        <v>165</v>
      </c>
      <c r="O2997" t="s">
        <v>2109</v>
      </c>
    </row>
    <row r="2998" spans="1:15">
      <c r="A2998" t="s">
        <v>4429</v>
      </c>
      <c r="B2998" t="s">
        <v>2085</v>
      </c>
      <c r="C2998" t="s">
        <v>2091</v>
      </c>
      <c r="D2998" s="1">
        <v>44668</v>
      </c>
      <c r="E2998" s="1">
        <v>45283</v>
      </c>
      <c r="F2998">
        <v>9</v>
      </c>
      <c r="G2998">
        <v>13</v>
      </c>
      <c r="H2998">
        <v>2646.92</v>
      </c>
      <c r="I2998">
        <v>164.52</v>
      </c>
      <c r="J2998" t="s">
        <v>66</v>
      </c>
      <c r="K2998" t="s">
        <v>20</v>
      </c>
      <c r="L2998" t="s">
        <v>2106</v>
      </c>
      <c r="M2998">
        <v>9</v>
      </c>
      <c r="N2998" t="s">
        <v>174</v>
      </c>
      <c r="O2998" t="s">
        <v>2109</v>
      </c>
    </row>
    <row r="2999" spans="1:15">
      <c r="A2999" t="s">
        <v>4430</v>
      </c>
      <c r="B2999" t="s">
        <v>2093</v>
      </c>
      <c r="C2999" t="s">
        <v>2111</v>
      </c>
      <c r="D2999" s="1">
        <v>43865</v>
      </c>
      <c r="E2999" s="1">
        <v>45132</v>
      </c>
      <c r="F2999">
        <v>160</v>
      </c>
      <c r="G2999">
        <v>4</v>
      </c>
      <c r="H2999">
        <v>108.13</v>
      </c>
      <c r="I2999">
        <v>53.49</v>
      </c>
      <c r="J2999" t="s">
        <v>14</v>
      </c>
      <c r="K2999" t="s">
        <v>16</v>
      </c>
      <c r="L2999" t="s">
        <v>2087</v>
      </c>
      <c r="M2999">
        <v>3</v>
      </c>
      <c r="N2999" t="s">
        <v>165</v>
      </c>
      <c r="O2999" t="s">
        <v>2096</v>
      </c>
    </row>
    <row r="3000" spans="1:15">
      <c r="A3000" t="s">
        <v>4431</v>
      </c>
      <c r="B3000" t="s">
        <v>2113</v>
      </c>
      <c r="C3000" t="s">
        <v>2111</v>
      </c>
      <c r="D3000" s="1">
        <v>44238</v>
      </c>
      <c r="E3000" s="1">
        <v>44957</v>
      </c>
      <c r="F3000">
        <v>335</v>
      </c>
      <c r="G3000">
        <v>6</v>
      </c>
      <c r="H3000">
        <v>581.51</v>
      </c>
      <c r="I3000">
        <v>37.89</v>
      </c>
      <c r="J3000" t="s">
        <v>66</v>
      </c>
      <c r="K3000" t="s">
        <v>16</v>
      </c>
      <c r="L3000" t="s">
        <v>2095</v>
      </c>
      <c r="M3000">
        <v>1</v>
      </c>
      <c r="N3000" t="s">
        <v>204</v>
      </c>
      <c r="O3000" t="s">
        <v>2109</v>
      </c>
    </row>
    <row r="3001" spans="1:15">
      <c r="A3001" t="s">
        <v>942</v>
      </c>
      <c r="B3001" t="s">
        <v>2099</v>
      </c>
      <c r="C3001" t="s">
        <v>2111</v>
      </c>
      <c r="D3001" s="1">
        <v>43467</v>
      </c>
      <c r="E3001" s="1">
        <v>45151</v>
      </c>
      <c r="F3001">
        <v>141</v>
      </c>
      <c r="G3001">
        <v>2</v>
      </c>
      <c r="H3001">
        <v>65.78</v>
      </c>
      <c r="I3001">
        <v>58.42</v>
      </c>
      <c r="J3001" t="s">
        <v>41</v>
      </c>
      <c r="K3001" t="s">
        <v>16</v>
      </c>
      <c r="L3001" t="s">
        <v>2106</v>
      </c>
      <c r="M3001">
        <v>7</v>
      </c>
      <c r="N3001" t="s">
        <v>174</v>
      </c>
      <c r="O3001" t="s">
        <v>2109</v>
      </c>
    </row>
    <row r="3002" spans="1:15">
      <c r="A3002" t="s">
        <v>4432</v>
      </c>
      <c r="B3002" t="s">
        <v>2099</v>
      </c>
      <c r="C3002" t="s">
        <v>2091</v>
      </c>
      <c r="D3002" s="1">
        <v>44306</v>
      </c>
      <c r="E3002" s="1">
        <v>45078</v>
      </c>
      <c r="F3002">
        <v>214</v>
      </c>
      <c r="G3002">
        <v>1</v>
      </c>
      <c r="H3002">
        <v>116.37</v>
      </c>
      <c r="I3002">
        <v>46.06</v>
      </c>
      <c r="J3002" t="s">
        <v>90</v>
      </c>
      <c r="K3002" t="s">
        <v>16</v>
      </c>
      <c r="L3002" t="s">
        <v>2106</v>
      </c>
      <c r="M3002">
        <v>9</v>
      </c>
      <c r="N3002" t="s">
        <v>174</v>
      </c>
      <c r="O3002" t="s">
        <v>2121</v>
      </c>
    </row>
    <row r="3003" spans="1:15">
      <c r="A3003" t="s">
        <v>4433</v>
      </c>
      <c r="B3003" t="s">
        <v>2097</v>
      </c>
      <c r="C3003" t="s">
        <v>2100</v>
      </c>
      <c r="D3003" s="1">
        <v>44939</v>
      </c>
      <c r="E3003" s="1">
        <v>45135</v>
      </c>
      <c r="F3003">
        <v>157</v>
      </c>
      <c r="G3003">
        <v>11</v>
      </c>
      <c r="H3003">
        <v>506.04</v>
      </c>
      <c r="I3003">
        <v>60.07</v>
      </c>
      <c r="J3003" t="s">
        <v>90</v>
      </c>
      <c r="K3003" t="s">
        <v>16</v>
      </c>
      <c r="L3003" t="s">
        <v>2095</v>
      </c>
      <c r="M3003">
        <v>7</v>
      </c>
      <c r="N3003" t="s">
        <v>174</v>
      </c>
      <c r="O3003" t="s">
        <v>2107</v>
      </c>
    </row>
    <row r="3004" spans="1:15">
      <c r="A3004" t="s">
        <v>490</v>
      </c>
      <c r="B3004" t="s">
        <v>2093</v>
      </c>
      <c r="C3004" t="s">
        <v>2091</v>
      </c>
      <c r="D3004" s="1">
        <v>44277</v>
      </c>
      <c r="E3004" s="1">
        <v>45254</v>
      </c>
      <c r="F3004">
        <v>38</v>
      </c>
      <c r="G3004">
        <v>3</v>
      </c>
      <c r="H3004">
        <v>83.04</v>
      </c>
      <c r="I3004">
        <v>77.05</v>
      </c>
      <c r="J3004" t="s">
        <v>115</v>
      </c>
      <c r="K3004" t="s">
        <v>16</v>
      </c>
      <c r="L3004" t="s">
        <v>2087</v>
      </c>
      <c r="M3004">
        <v>8</v>
      </c>
      <c r="N3004" t="s">
        <v>194</v>
      </c>
      <c r="O3004" t="s">
        <v>2109</v>
      </c>
    </row>
    <row r="3005" spans="1:15">
      <c r="A3005" t="s">
        <v>4434</v>
      </c>
      <c r="B3005" t="s">
        <v>2113</v>
      </c>
      <c r="C3005" t="s">
        <v>2100</v>
      </c>
      <c r="D3005" s="1">
        <v>45157</v>
      </c>
      <c r="E3005" s="1">
        <v>45071</v>
      </c>
      <c r="F3005">
        <v>221</v>
      </c>
      <c r="G3005">
        <v>20</v>
      </c>
      <c r="H3005">
        <v>163.06</v>
      </c>
      <c r="I3005">
        <v>50.93</v>
      </c>
      <c r="J3005" t="s">
        <v>90</v>
      </c>
      <c r="K3005" t="s">
        <v>20</v>
      </c>
      <c r="L3005" t="s">
        <v>2095</v>
      </c>
      <c r="M3005">
        <v>10</v>
      </c>
      <c r="N3005" t="s">
        <v>174</v>
      </c>
      <c r="O3005" t="s">
        <v>2107</v>
      </c>
    </row>
    <row r="3006" spans="1:15">
      <c r="A3006" t="s">
        <v>4435</v>
      </c>
      <c r="B3006" t="s">
        <v>2099</v>
      </c>
      <c r="C3006" t="s">
        <v>2108</v>
      </c>
      <c r="D3006" s="1">
        <v>44121</v>
      </c>
      <c r="E3006" s="1">
        <v>45290</v>
      </c>
      <c r="F3006">
        <v>2</v>
      </c>
      <c r="G3006">
        <v>1</v>
      </c>
      <c r="H3006">
        <v>70.8</v>
      </c>
      <c r="I3006">
        <v>92.64</v>
      </c>
      <c r="J3006" t="s">
        <v>66</v>
      </c>
      <c r="K3006" t="s">
        <v>16</v>
      </c>
      <c r="L3006" t="s">
        <v>2106</v>
      </c>
      <c r="M3006">
        <v>2</v>
      </c>
      <c r="N3006" t="s">
        <v>204</v>
      </c>
      <c r="O3006" t="s">
        <v>2096</v>
      </c>
    </row>
    <row r="3007" spans="1:15">
      <c r="A3007" t="s">
        <v>4436</v>
      </c>
      <c r="B3007" t="s">
        <v>2097</v>
      </c>
      <c r="C3007" t="s">
        <v>2111</v>
      </c>
      <c r="D3007" s="1">
        <v>44431</v>
      </c>
      <c r="E3007" s="1">
        <v>45042</v>
      </c>
      <c r="F3007">
        <v>250</v>
      </c>
      <c r="G3007">
        <v>7</v>
      </c>
      <c r="H3007">
        <v>169.18</v>
      </c>
      <c r="I3007">
        <v>112.38</v>
      </c>
      <c r="J3007" t="s">
        <v>41</v>
      </c>
      <c r="K3007" t="s">
        <v>16</v>
      </c>
      <c r="L3007" t="s">
        <v>2106</v>
      </c>
      <c r="M3007">
        <v>0</v>
      </c>
      <c r="N3007" t="s">
        <v>179</v>
      </c>
      <c r="O3007" t="s">
        <v>2109</v>
      </c>
    </row>
    <row r="3008" spans="1:15">
      <c r="A3008" t="s">
        <v>4437</v>
      </c>
      <c r="B3008" t="s">
        <v>2099</v>
      </c>
      <c r="C3008" t="s">
        <v>2111</v>
      </c>
      <c r="D3008" s="1">
        <v>44052</v>
      </c>
      <c r="E3008" s="1">
        <v>45262</v>
      </c>
      <c r="F3008">
        <v>30</v>
      </c>
      <c r="G3008">
        <v>2</v>
      </c>
      <c r="H3008">
        <v>76.61</v>
      </c>
      <c r="I3008">
        <v>97.61</v>
      </c>
      <c r="J3008" t="s">
        <v>66</v>
      </c>
      <c r="K3008" t="s">
        <v>16</v>
      </c>
      <c r="L3008" t="s">
        <v>2106</v>
      </c>
      <c r="M3008">
        <v>10</v>
      </c>
      <c r="N3008" t="s">
        <v>157</v>
      </c>
      <c r="O3008" t="s">
        <v>2121</v>
      </c>
    </row>
    <row r="3009" spans="1:15">
      <c r="A3009" t="s">
        <v>552</v>
      </c>
      <c r="B3009" t="s">
        <v>2097</v>
      </c>
      <c r="C3009" t="s">
        <v>2091</v>
      </c>
      <c r="D3009" s="1">
        <v>44623</v>
      </c>
      <c r="E3009" s="1">
        <v>45069</v>
      </c>
      <c r="F3009">
        <v>223</v>
      </c>
      <c r="G3009">
        <v>4</v>
      </c>
      <c r="H3009">
        <v>599.54</v>
      </c>
      <c r="I3009">
        <v>91.19</v>
      </c>
      <c r="J3009" t="s">
        <v>66</v>
      </c>
      <c r="K3009" t="s">
        <v>16</v>
      </c>
      <c r="L3009" t="s">
        <v>2106</v>
      </c>
      <c r="M3009">
        <v>2</v>
      </c>
      <c r="N3009" t="s">
        <v>232</v>
      </c>
      <c r="O3009" t="s">
        <v>2109</v>
      </c>
    </row>
    <row r="3010" spans="1:15">
      <c r="A3010" t="s">
        <v>4438</v>
      </c>
      <c r="B3010" t="s">
        <v>2085</v>
      </c>
      <c r="C3010" t="s">
        <v>2091</v>
      </c>
      <c r="D3010" s="1">
        <v>44600</v>
      </c>
      <c r="E3010" s="1">
        <v>44961</v>
      </c>
      <c r="F3010">
        <v>331</v>
      </c>
      <c r="G3010">
        <v>26</v>
      </c>
      <c r="H3010">
        <v>2010.33</v>
      </c>
      <c r="I3010">
        <v>102.41</v>
      </c>
      <c r="J3010" t="s">
        <v>115</v>
      </c>
      <c r="K3010" t="s">
        <v>16</v>
      </c>
      <c r="L3010" t="s">
        <v>2087</v>
      </c>
      <c r="M3010">
        <v>7</v>
      </c>
      <c r="N3010" t="s">
        <v>157</v>
      </c>
      <c r="O3010" t="s">
        <v>2107</v>
      </c>
    </row>
    <row r="3011" spans="1:15">
      <c r="A3011" t="s">
        <v>4439</v>
      </c>
      <c r="B3011" t="s">
        <v>2085</v>
      </c>
      <c r="C3011" t="s">
        <v>2108</v>
      </c>
      <c r="D3011" s="1">
        <v>45221</v>
      </c>
      <c r="E3011" s="1">
        <v>45212</v>
      </c>
      <c r="F3011">
        <v>80</v>
      </c>
      <c r="G3011">
        <v>19</v>
      </c>
      <c r="H3011">
        <v>1631.96</v>
      </c>
      <c r="I3011">
        <v>261.29000000000002</v>
      </c>
      <c r="J3011" t="s">
        <v>115</v>
      </c>
      <c r="K3011" t="s">
        <v>16</v>
      </c>
      <c r="L3011" t="s">
        <v>2087</v>
      </c>
      <c r="M3011">
        <v>5</v>
      </c>
      <c r="N3011" t="s">
        <v>194</v>
      </c>
      <c r="O3011" t="s">
        <v>2121</v>
      </c>
    </row>
    <row r="3012" spans="1:15">
      <c r="A3012" t="s">
        <v>4440</v>
      </c>
      <c r="B3012" t="s">
        <v>2097</v>
      </c>
      <c r="C3012" t="s">
        <v>2108</v>
      </c>
      <c r="D3012" s="1">
        <v>44368</v>
      </c>
      <c r="E3012" s="1">
        <v>44932</v>
      </c>
      <c r="F3012">
        <v>360</v>
      </c>
      <c r="G3012">
        <v>9</v>
      </c>
      <c r="H3012">
        <v>221.64</v>
      </c>
      <c r="I3012">
        <v>61.91</v>
      </c>
      <c r="J3012" t="s">
        <v>66</v>
      </c>
      <c r="K3012" t="s">
        <v>20</v>
      </c>
      <c r="L3012" t="s">
        <v>2087</v>
      </c>
      <c r="M3012">
        <v>7</v>
      </c>
      <c r="N3012" t="s">
        <v>174</v>
      </c>
      <c r="O3012" t="s">
        <v>2121</v>
      </c>
    </row>
    <row r="3013" spans="1:15">
      <c r="A3013" t="s">
        <v>4441</v>
      </c>
      <c r="B3013" t="s">
        <v>2097</v>
      </c>
      <c r="C3013" t="s">
        <v>2094</v>
      </c>
      <c r="D3013" s="1">
        <v>44475</v>
      </c>
      <c r="E3013" s="1">
        <v>45063</v>
      </c>
      <c r="F3013">
        <v>229</v>
      </c>
      <c r="G3013">
        <v>8</v>
      </c>
      <c r="H3013">
        <v>173.48</v>
      </c>
      <c r="I3013">
        <v>89.85</v>
      </c>
      <c r="J3013" t="s">
        <v>14</v>
      </c>
      <c r="K3013" t="s">
        <v>16</v>
      </c>
      <c r="L3013" t="s">
        <v>2095</v>
      </c>
      <c r="M3013">
        <v>5</v>
      </c>
      <c r="N3013" t="s">
        <v>165</v>
      </c>
      <c r="O3013" t="s">
        <v>2088</v>
      </c>
    </row>
    <row r="3014" spans="1:15">
      <c r="A3014" t="s">
        <v>4442</v>
      </c>
      <c r="B3014" t="s">
        <v>2090</v>
      </c>
      <c r="C3014" t="s">
        <v>2108</v>
      </c>
      <c r="D3014" s="1">
        <v>44672</v>
      </c>
      <c r="E3014" s="1">
        <v>45149</v>
      </c>
      <c r="F3014">
        <v>143</v>
      </c>
      <c r="G3014">
        <v>8</v>
      </c>
      <c r="H3014">
        <v>352.28</v>
      </c>
      <c r="I3014">
        <v>95.89</v>
      </c>
      <c r="J3014" t="s">
        <v>41</v>
      </c>
      <c r="K3014" t="s">
        <v>16</v>
      </c>
      <c r="L3014" t="s">
        <v>2106</v>
      </c>
      <c r="M3014">
        <v>6</v>
      </c>
      <c r="N3014" t="s">
        <v>232</v>
      </c>
      <c r="O3014" t="s">
        <v>2107</v>
      </c>
    </row>
    <row r="3015" spans="1:15">
      <c r="A3015" t="s">
        <v>4443</v>
      </c>
      <c r="B3015" t="s">
        <v>2099</v>
      </c>
      <c r="C3015" t="s">
        <v>2091</v>
      </c>
      <c r="D3015" s="1">
        <v>44250</v>
      </c>
      <c r="E3015" s="1">
        <v>45258</v>
      </c>
      <c r="F3015">
        <v>34</v>
      </c>
      <c r="G3015">
        <v>1</v>
      </c>
      <c r="H3015">
        <v>60.77</v>
      </c>
      <c r="I3015">
        <v>22</v>
      </c>
      <c r="J3015" t="s">
        <v>66</v>
      </c>
      <c r="K3015" t="s">
        <v>20</v>
      </c>
      <c r="L3015" t="s">
        <v>2087</v>
      </c>
      <c r="M3015">
        <v>1</v>
      </c>
      <c r="N3015" t="s">
        <v>194</v>
      </c>
      <c r="O3015" t="s">
        <v>2096</v>
      </c>
    </row>
    <row r="3016" spans="1:15">
      <c r="A3016" t="s">
        <v>798</v>
      </c>
      <c r="B3016" t="s">
        <v>2099</v>
      </c>
      <c r="C3016" t="s">
        <v>2091</v>
      </c>
      <c r="D3016" s="1">
        <v>45239</v>
      </c>
      <c r="E3016" s="1">
        <v>45226</v>
      </c>
      <c r="F3016">
        <v>66</v>
      </c>
      <c r="G3016">
        <v>2</v>
      </c>
      <c r="H3016">
        <v>110.32</v>
      </c>
      <c r="I3016">
        <v>49.06</v>
      </c>
      <c r="J3016" t="s">
        <v>90</v>
      </c>
      <c r="K3016" t="s">
        <v>20</v>
      </c>
      <c r="L3016" t="s">
        <v>2087</v>
      </c>
      <c r="M3016">
        <v>9</v>
      </c>
      <c r="N3016" t="s">
        <v>194</v>
      </c>
      <c r="O3016" t="s">
        <v>2107</v>
      </c>
    </row>
    <row r="3017" spans="1:15">
      <c r="A3017" t="s">
        <v>4444</v>
      </c>
      <c r="B3017" t="s">
        <v>2085</v>
      </c>
      <c r="C3017" t="s">
        <v>2094</v>
      </c>
      <c r="D3017" s="1">
        <v>43871</v>
      </c>
      <c r="E3017" s="1">
        <v>45063</v>
      </c>
      <c r="F3017">
        <v>229</v>
      </c>
      <c r="G3017">
        <v>38</v>
      </c>
      <c r="H3017">
        <v>2954.37</v>
      </c>
      <c r="I3017">
        <v>190.87</v>
      </c>
      <c r="J3017" t="s">
        <v>66</v>
      </c>
      <c r="K3017" t="s">
        <v>20</v>
      </c>
      <c r="L3017" t="s">
        <v>2106</v>
      </c>
      <c r="M3017">
        <v>0</v>
      </c>
      <c r="N3017" t="s">
        <v>165</v>
      </c>
      <c r="O3017" t="s">
        <v>2096</v>
      </c>
    </row>
    <row r="3018" spans="1:15">
      <c r="A3018" t="s">
        <v>4445</v>
      </c>
      <c r="B3018" t="s">
        <v>2090</v>
      </c>
      <c r="C3018" t="s">
        <v>2100</v>
      </c>
      <c r="D3018" s="1">
        <v>43870</v>
      </c>
      <c r="E3018" s="1">
        <v>45064</v>
      </c>
      <c r="F3018">
        <v>228</v>
      </c>
      <c r="G3018">
        <v>5</v>
      </c>
      <c r="H3018">
        <v>215.4</v>
      </c>
      <c r="I3018">
        <v>52.76</v>
      </c>
      <c r="J3018" t="s">
        <v>14</v>
      </c>
      <c r="K3018" t="s">
        <v>16</v>
      </c>
      <c r="L3018" t="s">
        <v>2087</v>
      </c>
      <c r="M3018">
        <v>10</v>
      </c>
      <c r="N3018" t="s">
        <v>204</v>
      </c>
      <c r="O3018" t="s">
        <v>2096</v>
      </c>
    </row>
    <row r="3019" spans="1:15">
      <c r="A3019" t="s">
        <v>4446</v>
      </c>
      <c r="B3019" t="s">
        <v>2113</v>
      </c>
      <c r="C3019" t="s">
        <v>2091</v>
      </c>
      <c r="D3019" s="1">
        <v>44349</v>
      </c>
      <c r="E3019" s="1">
        <v>45098</v>
      </c>
      <c r="F3019">
        <v>194</v>
      </c>
      <c r="G3019">
        <v>9</v>
      </c>
      <c r="H3019">
        <v>569.25</v>
      </c>
      <c r="I3019">
        <v>70.23</v>
      </c>
      <c r="J3019" t="s">
        <v>41</v>
      </c>
      <c r="K3019" t="s">
        <v>16</v>
      </c>
      <c r="L3019" t="s">
        <v>2095</v>
      </c>
      <c r="M3019">
        <v>10</v>
      </c>
      <c r="N3019" t="s">
        <v>179</v>
      </c>
      <c r="O3019" t="s">
        <v>2121</v>
      </c>
    </row>
    <row r="3020" spans="1:15">
      <c r="A3020" t="s">
        <v>4447</v>
      </c>
      <c r="B3020" t="s">
        <v>2099</v>
      </c>
      <c r="C3020" t="s">
        <v>2094</v>
      </c>
      <c r="D3020" s="1">
        <v>43470</v>
      </c>
      <c r="E3020" s="1">
        <v>44981</v>
      </c>
      <c r="F3020">
        <v>311</v>
      </c>
      <c r="G3020">
        <v>1</v>
      </c>
      <c r="H3020">
        <v>116.39</v>
      </c>
      <c r="I3020">
        <v>60.8</v>
      </c>
      <c r="J3020" t="s">
        <v>115</v>
      </c>
      <c r="K3020" t="s">
        <v>20</v>
      </c>
      <c r="L3020" t="s">
        <v>2095</v>
      </c>
      <c r="M3020">
        <v>2</v>
      </c>
      <c r="N3020" t="s">
        <v>232</v>
      </c>
      <c r="O3020" t="s">
        <v>2109</v>
      </c>
    </row>
    <row r="3021" spans="1:15">
      <c r="A3021" t="s">
        <v>4448</v>
      </c>
      <c r="B3021" t="s">
        <v>2085</v>
      </c>
      <c r="C3021" t="s">
        <v>2086</v>
      </c>
      <c r="D3021" s="1">
        <v>45051</v>
      </c>
      <c r="E3021" s="1">
        <v>45211</v>
      </c>
      <c r="F3021">
        <v>81</v>
      </c>
      <c r="G3021">
        <v>31</v>
      </c>
      <c r="H3021">
        <v>2028.41</v>
      </c>
      <c r="I3021">
        <v>154.49</v>
      </c>
      <c r="J3021" t="s">
        <v>66</v>
      </c>
      <c r="K3021" t="s">
        <v>16</v>
      </c>
      <c r="L3021" t="s">
        <v>2087</v>
      </c>
      <c r="M3021">
        <v>4</v>
      </c>
      <c r="N3021" t="s">
        <v>232</v>
      </c>
      <c r="O3021" t="s">
        <v>2096</v>
      </c>
    </row>
    <row r="3022" spans="1:15">
      <c r="A3022" t="s">
        <v>4449</v>
      </c>
      <c r="B3022" t="s">
        <v>2097</v>
      </c>
      <c r="C3022" t="s">
        <v>2111</v>
      </c>
      <c r="D3022" s="1">
        <v>44697</v>
      </c>
      <c r="E3022" s="1">
        <v>45054</v>
      </c>
      <c r="F3022">
        <v>238</v>
      </c>
      <c r="G3022">
        <v>9</v>
      </c>
      <c r="H3022">
        <v>484.96</v>
      </c>
      <c r="I3022">
        <v>98.75</v>
      </c>
      <c r="J3022" t="s">
        <v>14</v>
      </c>
      <c r="K3022" t="s">
        <v>20</v>
      </c>
      <c r="L3022" t="s">
        <v>2095</v>
      </c>
      <c r="M3022">
        <v>5</v>
      </c>
      <c r="N3022" t="s">
        <v>232</v>
      </c>
      <c r="O3022" t="s">
        <v>2088</v>
      </c>
    </row>
    <row r="3023" spans="1:15">
      <c r="A3023" t="s">
        <v>4450</v>
      </c>
      <c r="B3023" t="s">
        <v>2090</v>
      </c>
      <c r="C3023" t="s">
        <v>2111</v>
      </c>
      <c r="D3023" s="1">
        <v>44806</v>
      </c>
      <c r="E3023" s="1">
        <v>45187</v>
      </c>
      <c r="F3023">
        <v>105</v>
      </c>
      <c r="G3023">
        <v>6</v>
      </c>
      <c r="H3023">
        <v>359.24</v>
      </c>
      <c r="I3023">
        <v>66.38</v>
      </c>
      <c r="J3023" t="s">
        <v>115</v>
      </c>
      <c r="K3023" t="s">
        <v>16</v>
      </c>
      <c r="L3023" t="s">
        <v>2087</v>
      </c>
      <c r="M3023">
        <v>0</v>
      </c>
      <c r="N3023" t="s">
        <v>157</v>
      </c>
      <c r="O3023" t="s">
        <v>2107</v>
      </c>
    </row>
    <row r="3024" spans="1:15">
      <c r="A3024" t="s">
        <v>4451</v>
      </c>
      <c r="B3024" t="s">
        <v>2113</v>
      </c>
      <c r="C3024" t="s">
        <v>2108</v>
      </c>
      <c r="D3024" s="1">
        <v>45183</v>
      </c>
      <c r="E3024" s="1">
        <v>44984</v>
      </c>
      <c r="F3024">
        <v>308</v>
      </c>
      <c r="G3024">
        <v>5</v>
      </c>
      <c r="H3024">
        <v>269.95999999999998</v>
      </c>
      <c r="I3024">
        <v>31.67</v>
      </c>
      <c r="J3024" t="s">
        <v>14</v>
      </c>
      <c r="K3024" t="s">
        <v>16</v>
      </c>
      <c r="L3024" t="s">
        <v>2087</v>
      </c>
      <c r="M3024">
        <v>3</v>
      </c>
      <c r="N3024" t="s">
        <v>194</v>
      </c>
      <c r="O3024" t="s">
        <v>2088</v>
      </c>
    </row>
    <row r="3025" spans="1:15">
      <c r="A3025" t="s">
        <v>4452</v>
      </c>
      <c r="B3025" t="s">
        <v>2093</v>
      </c>
      <c r="C3025" t="s">
        <v>2091</v>
      </c>
      <c r="D3025" s="1">
        <v>43543</v>
      </c>
      <c r="E3025" s="1">
        <v>45251</v>
      </c>
      <c r="F3025">
        <v>41</v>
      </c>
      <c r="G3025">
        <v>4</v>
      </c>
      <c r="H3025">
        <v>167.76</v>
      </c>
      <c r="I3025">
        <v>55.48</v>
      </c>
      <c r="J3025" t="s">
        <v>14</v>
      </c>
      <c r="K3025" t="s">
        <v>16</v>
      </c>
      <c r="L3025" t="s">
        <v>2095</v>
      </c>
      <c r="M3025">
        <v>1</v>
      </c>
      <c r="N3025" t="s">
        <v>204</v>
      </c>
      <c r="O3025" t="s">
        <v>2109</v>
      </c>
    </row>
    <row r="3026" spans="1:15">
      <c r="A3026" t="s">
        <v>4453</v>
      </c>
      <c r="B3026" t="s">
        <v>2090</v>
      </c>
      <c r="C3026" t="s">
        <v>2091</v>
      </c>
      <c r="D3026" s="1">
        <v>44769</v>
      </c>
      <c r="E3026" s="1">
        <v>44965</v>
      </c>
      <c r="F3026">
        <v>327</v>
      </c>
      <c r="G3026">
        <v>4</v>
      </c>
      <c r="H3026">
        <v>213.77</v>
      </c>
      <c r="I3026">
        <v>111.18</v>
      </c>
      <c r="J3026" t="s">
        <v>66</v>
      </c>
      <c r="K3026" t="s">
        <v>16</v>
      </c>
      <c r="L3026" t="s">
        <v>2087</v>
      </c>
      <c r="M3026">
        <v>6</v>
      </c>
      <c r="N3026" t="s">
        <v>179</v>
      </c>
      <c r="O3026" t="s">
        <v>2121</v>
      </c>
    </row>
    <row r="3027" spans="1:15">
      <c r="A3027" t="s">
        <v>252</v>
      </c>
      <c r="B3027" t="s">
        <v>2097</v>
      </c>
      <c r="C3027" t="s">
        <v>2086</v>
      </c>
      <c r="D3027" s="1">
        <v>44948</v>
      </c>
      <c r="E3027" s="1">
        <v>45104</v>
      </c>
      <c r="F3027">
        <v>188</v>
      </c>
      <c r="G3027">
        <v>11</v>
      </c>
      <c r="H3027">
        <v>224.59</v>
      </c>
      <c r="I3027">
        <v>120.57</v>
      </c>
      <c r="J3027" t="s">
        <v>115</v>
      </c>
      <c r="K3027" t="s">
        <v>16</v>
      </c>
      <c r="L3027" t="s">
        <v>2087</v>
      </c>
      <c r="M3027">
        <v>2</v>
      </c>
      <c r="N3027" t="s">
        <v>174</v>
      </c>
      <c r="O3027" t="s">
        <v>2109</v>
      </c>
    </row>
    <row r="3028" spans="1:15">
      <c r="A3028" t="s">
        <v>4454</v>
      </c>
      <c r="B3028" t="s">
        <v>2113</v>
      </c>
      <c r="C3028" t="s">
        <v>2111</v>
      </c>
      <c r="D3028" s="1">
        <v>44123</v>
      </c>
      <c r="E3028" s="1">
        <v>45233</v>
      </c>
      <c r="F3028">
        <v>59</v>
      </c>
      <c r="G3028">
        <v>13</v>
      </c>
      <c r="H3028">
        <v>392.39</v>
      </c>
      <c r="I3028">
        <v>64.510000000000005</v>
      </c>
      <c r="J3028" t="s">
        <v>41</v>
      </c>
      <c r="K3028" t="s">
        <v>16</v>
      </c>
      <c r="L3028" t="s">
        <v>2095</v>
      </c>
      <c r="M3028">
        <v>9</v>
      </c>
      <c r="N3028" t="s">
        <v>157</v>
      </c>
      <c r="O3028" t="s">
        <v>2096</v>
      </c>
    </row>
    <row r="3029" spans="1:15">
      <c r="A3029" t="s">
        <v>4455</v>
      </c>
      <c r="B3029" t="s">
        <v>2097</v>
      </c>
      <c r="C3029" t="s">
        <v>2094</v>
      </c>
      <c r="D3029" s="1">
        <v>44991</v>
      </c>
      <c r="E3029" s="1">
        <v>45148</v>
      </c>
      <c r="F3029">
        <v>144</v>
      </c>
      <c r="G3029">
        <v>6</v>
      </c>
      <c r="H3029">
        <v>201.37</v>
      </c>
      <c r="I3029">
        <v>134.34</v>
      </c>
      <c r="J3029" t="s">
        <v>90</v>
      </c>
      <c r="K3029" t="s">
        <v>20</v>
      </c>
      <c r="L3029" t="s">
        <v>2087</v>
      </c>
      <c r="M3029">
        <v>7</v>
      </c>
      <c r="N3029" t="s">
        <v>165</v>
      </c>
      <c r="O3029" t="s">
        <v>2096</v>
      </c>
    </row>
    <row r="3030" spans="1:15">
      <c r="A3030" t="s">
        <v>4456</v>
      </c>
      <c r="B3030" t="s">
        <v>2099</v>
      </c>
      <c r="C3030" t="s">
        <v>2111</v>
      </c>
      <c r="D3030" s="1">
        <v>44515</v>
      </c>
      <c r="E3030" s="1">
        <v>45250</v>
      </c>
      <c r="F3030">
        <v>42</v>
      </c>
      <c r="G3030">
        <v>2</v>
      </c>
      <c r="H3030">
        <v>66.069999999999993</v>
      </c>
      <c r="I3030">
        <v>88.05</v>
      </c>
      <c r="J3030" t="s">
        <v>41</v>
      </c>
      <c r="K3030" t="s">
        <v>16</v>
      </c>
      <c r="L3030" t="s">
        <v>2087</v>
      </c>
      <c r="M3030">
        <v>9</v>
      </c>
      <c r="N3030" t="s">
        <v>232</v>
      </c>
      <c r="O3030" t="s">
        <v>2121</v>
      </c>
    </row>
    <row r="3031" spans="1:15">
      <c r="A3031" t="s">
        <v>686</v>
      </c>
      <c r="B3031" t="s">
        <v>2085</v>
      </c>
      <c r="C3031" t="s">
        <v>2094</v>
      </c>
      <c r="D3031" s="1">
        <v>44849</v>
      </c>
      <c r="E3031" s="1">
        <v>45129</v>
      </c>
      <c r="F3031">
        <v>163</v>
      </c>
      <c r="G3031">
        <v>21</v>
      </c>
      <c r="H3031">
        <v>1317.27</v>
      </c>
      <c r="I3031">
        <v>200.26</v>
      </c>
      <c r="J3031" t="s">
        <v>14</v>
      </c>
      <c r="K3031" t="s">
        <v>16</v>
      </c>
      <c r="L3031" t="s">
        <v>2087</v>
      </c>
      <c r="M3031">
        <v>5</v>
      </c>
      <c r="N3031" t="s">
        <v>174</v>
      </c>
      <c r="O3031" t="s">
        <v>2088</v>
      </c>
    </row>
    <row r="3032" spans="1:15">
      <c r="A3032" t="s">
        <v>4457</v>
      </c>
      <c r="B3032" t="s">
        <v>2099</v>
      </c>
      <c r="C3032" t="s">
        <v>2091</v>
      </c>
      <c r="D3032" s="1">
        <v>44620</v>
      </c>
      <c r="E3032" s="1">
        <v>45092</v>
      </c>
      <c r="F3032">
        <v>200</v>
      </c>
      <c r="G3032">
        <v>1</v>
      </c>
      <c r="H3032">
        <v>133.83000000000001</v>
      </c>
      <c r="I3032">
        <v>76.52</v>
      </c>
      <c r="J3032" t="s">
        <v>41</v>
      </c>
      <c r="K3032" t="s">
        <v>16</v>
      </c>
      <c r="L3032" t="s">
        <v>2095</v>
      </c>
      <c r="M3032">
        <v>0</v>
      </c>
      <c r="N3032" t="s">
        <v>204</v>
      </c>
      <c r="O3032" t="s">
        <v>2107</v>
      </c>
    </row>
    <row r="3033" spans="1:15">
      <c r="A3033" t="s">
        <v>4458</v>
      </c>
      <c r="B3033" t="s">
        <v>2113</v>
      </c>
      <c r="C3033" t="s">
        <v>2111</v>
      </c>
      <c r="D3033" s="1">
        <v>43847</v>
      </c>
      <c r="E3033" s="1">
        <v>45138</v>
      </c>
      <c r="F3033">
        <v>154</v>
      </c>
      <c r="G3033">
        <v>20</v>
      </c>
      <c r="H3033">
        <v>292.77</v>
      </c>
      <c r="I3033">
        <v>34.700000000000003</v>
      </c>
      <c r="J3033" t="s">
        <v>41</v>
      </c>
      <c r="K3033" t="s">
        <v>20</v>
      </c>
      <c r="L3033" t="s">
        <v>2106</v>
      </c>
      <c r="M3033">
        <v>5</v>
      </c>
      <c r="N3033" t="s">
        <v>179</v>
      </c>
      <c r="O3033" t="s">
        <v>2121</v>
      </c>
    </row>
    <row r="3034" spans="1:15">
      <c r="A3034" t="s">
        <v>1706</v>
      </c>
      <c r="B3034" t="s">
        <v>2099</v>
      </c>
      <c r="C3034" t="s">
        <v>2108</v>
      </c>
      <c r="D3034" s="1">
        <v>44498</v>
      </c>
      <c r="E3034" s="1">
        <v>44933</v>
      </c>
      <c r="F3034">
        <v>359</v>
      </c>
      <c r="G3034">
        <v>2</v>
      </c>
      <c r="H3034">
        <v>61.68</v>
      </c>
      <c r="I3034">
        <v>51.75</v>
      </c>
      <c r="J3034" t="s">
        <v>66</v>
      </c>
      <c r="K3034" t="s">
        <v>20</v>
      </c>
      <c r="L3034" t="s">
        <v>2095</v>
      </c>
      <c r="M3034">
        <v>9</v>
      </c>
      <c r="N3034" t="s">
        <v>157</v>
      </c>
      <c r="O3034" t="s">
        <v>2121</v>
      </c>
    </row>
    <row r="3035" spans="1:15">
      <c r="A3035" t="s">
        <v>4459</v>
      </c>
      <c r="B3035" t="s">
        <v>2085</v>
      </c>
      <c r="C3035" t="s">
        <v>2091</v>
      </c>
      <c r="D3035" s="1">
        <v>45136</v>
      </c>
      <c r="E3035" s="1">
        <v>45069</v>
      </c>
      <c r="F3035">
        <v>223</v>
      </c>
      <c r="G3035">
        <v>28</v>
      </c>
      <c r="H3035">
        <v>1282.3499999999999</v>
      </c>
      <c r="I3035">
        <v>154.26</v>
      </c>
      <c r="J3035" t="s">
        <v>90</v>
      </c>
      <c r="K3035" t="s">
        <v>20</v>
      </c>
      <c r="L3035" t="s">
        <v>2106</v>
      </c>
      <c r="M3035">
        <v>5</v>
      </c>
      <c r="N3035" t="s">
        <v>232</v>
      </c>
      <c r="O3035" t="s">
        <v>2088</v>
      </c>
    </row>
    <row r="3036" spans="1:15">
      <c r="A3036" t="s">
        <v>1003</v>
      </c>
      <c r="B3036" t="s">
        <v>2090</v>
      </c>
      <c r="C3036" t="s">
        <v>2094</v>
      </c>
      <c r="D3036" s="1">
        <v>44719</v>
      </c>
      <c r="E3036" s="1">
        <v>45123</v>
      </c>
      <c r="F3036">
        <v>169</v>
      </c>
      <c r="G3036">
        <v>2</v>
      </c>
      <c r="H3036">
        <v>268.64</v>
      </c>
      <c r="I3036">
        <v>41.21</v>
      </c>
      <c r="J3036" t="s">
        <v>90</v>
      </c>
      <c r="K3036" t="s">
        <v>20</v>
      </c>
      <c r="L3036" t="s">
        <v>2095</v>
      </c>
      <c r="M3036">
        <v>2</v>
      </c>
      <c r="N3036" t="s">
        <v>194</v>
      </c>
      <c r="O3036" t="s">
        <v>2088</v>
      </c>
    </row>
    <row r="3037" spans="1:15">
      <c r="A3037" t="s">
        <v>405</v>
      </c>
      <c r="B3037" t="s">
        <v>2099</v>
      </c>
      <c r="C3037" t="s">
        <v>2091</v>
      </c>
      <c r="D3037" s="1">
        <v>43800</v>
      </c>
      <c r="E3037" s="1">
        <v>44998</v>
      </c>
      <c r="F3037">
        <v>294</v>
      </c>
      <c r="G3037">
        <v>1</v>
      </c>
      <c r="H3037">
        <v>143.74</v>
      </c>
      <c r="I3037">
        <v>54.85</v>
      </c>
      <c r="J3037" t="s">
        <v>90</v>
      </c>
      <c r="K3037" t="s">
        <v>20</v>
      </c>
      <c r="L3037" t="s">
        <v>2095</v>
      </c>
      <c r="M3037">
        <v>1</v>
      </c>
      <c r="N3037" t="s">
        <v>179</v>
      </c>
      <c r="O3037" t="s">
        <v>2107</v>
      </c>
    </row>
    <row r="3038" spans="1:15">
      <c r="A3038" t="s">
        <v>4460</v>
      </c>
      <c r="B3038" t="s">
        <v>2099</v>
      </c>
      <c r="C3038" t="s">
        <v>2086</v>
      </c>
      <c r="D3038" s="1">
        <v>44556</v>
      </c>
      <c r="E3038" s="1">
        <v>45032</v>
      </c>
      <c r="F3038">
        <v>260</v>
      </c>
      <c r="G3038">
        <v>2</v>
      </c>
      <c r="H3038">
        <v>49.99</v>
      </c>
      <c r="I3038">
        <v>40.35</v>
      </c>
      <c r="J3038" t="s">
        <v>115</v>
      </c>
      <c r="K3038" t="s">
        <v>20</v>
      </c>
      <c r="L3038" t="s">
        <v>2087</v>
      </c>
      <c r="M3038">
        <v>5</v>
      </c>
      <c r="N3038" t="s">
        <v>165</v>
      </c>
      <c r="O3038" t="s">
        <v>2109</v>
      </c>
    </row>
    <row r="3039" spans="1:15">
      <c r="A3039" t="s">
        <v>1781</v>
      </c>
      <c r="B3039" t="s">
        <v>2090</v>
      </c>
      <c r="C3039" t="s">
        <v>2086</v>
      </c>
      <c r="D3039" s="1">
        <v>43795</v>
      </c>
      <c r="E3039" s="1">
        <v>44995</v>
      </c>
      <c r="F3039">
        <v>297</v>
      </c>
      <c r="G3039">
        <v>8</v>
      </c>
      <c r="H3039">
        <v>319.49</v>
      </c>
      <c r="I3039">
        <v>116.08</v>
      </c>
      <c r="J3039" t="s">
        <v>14</v>
      </c>
      <c r="K3039" t="s">
        <v>16</v>
      </c>
      <c r="L3039" t="s">
        <v>2087</v>
      </c>
      <c r="M3039">
        <v>7</v>
      </c>
      <c r="N3039" t="s">
        <v>174</v>
      </c>
      <c r="O3039" t="s">
        <v>2096</v>
      </c>
    </row>
    <row r="3040" spans="1:15">
      <c r="A3040" t="s">
        <v>4461</v>
      </c>
      <c r="B3040" t="s">
        <v>2099</v>
      </c>
      <c r="C3040" t="s">
        <v>2108</v>
      </c>
      <c r="D3040" s="1">
        <v>43502</v>
      </c>
      <c r="E3040" s="1">
        <v>44995</v>
      </c>
      <c r="F3040">
        <v>297</v>
      </c>
      <c r="G3040">
        <v>1</v>
      </c>
      <c r="H3040">
        <v>93.32</v>
      </c>
      <c r="I3040">
        <v>49.03</v>
      </c>
      <c r="J3040" t="s">
        <v>90</v>
      </c>
      <c r="K3040" t="s">
        <v>20</v>
      </c>
      <c r="L3040" t="s">
        <v>2106</v>
      </c>
      <c r="M3040">
        <v>4</v>
      </c>
      <c r="N3040" t="s">
        <v>194</v>
      </c>
      <c r="O3040" t="s">
        <v>2109</v>
      </c>
    </row>
    <row r="3041" spans="1:15">
      <c r="A3041" t="s">
        <v>4462</v>
      </c>
      <c r="B3041" t="s">
        <v>2097</v>
      </c>
      <c r="C3041" t="s">
        <v>2094</v>
      </c>
      <c r="D3041" s="1">
        <v>45184</v>
      </c>
      <c r="E3041" s="1">
        <v>45255</v>
      </c>
      <c r="F3041">
        <v>37</v>
      </c>
      <c r="G3041">
        <v>8</v>
      </c>
      <c r="H3041">
        <v>583.51</v>
      </c>
      <c r="I3041">
        <v>77.760000000000005</v>
      </c>
      <c r="J3041" t="s">
        <v>41</v>
      </c>
      <c r="K3041" t="s">
        <v>20</v>
      </c>
      <c r="L3041" t="s">
        <v>2095</v>
      </c>
      <c r="M3041">
        <v>0</v>
      </c>
      <c r="N3041" t="s">
        <v>165</v>
      </c>
      <c r="O3041" t="s">
        <v>2107</v>
      </c>
    </row>
    <row r="3042" spans="1:15">
      <c r="A3042" t="s">
        <v>4463</v>
      </c>
      <c r="B3042" t="s">
        <v>2097</v>
      </c>
      <c r="C3042" t="s">
        <v>2108</v>
      </c>
      <c r="D3042" s="1">
        <v>44548</v>
      </c>
      <c r="E3042" s="1">
        <v>45147</v>
      </c>
      <c r="F3042">
        <v>145</v>
      </c>
      <c r="G3042">
        <v>6</v>
      </c>
      <c r="H3042">
        <v>628.37</v>
      </c>
      <c r="I3042">
        <v>62.37</v>
      </c>
      <c r="J3042" t="s">
        <v>90</v>
      </c>
      <c r="K3042" t="s">
        <v>16</v>
      </c>
      <c r="L3042" t="s">
        <v>2106</v>
      </c>
      <c r="M3042">
        <v>10</v>
      </c>
      <c r="N3042" t="s">
        <v>174</v>
      </c>
      <c r="O3042" t="s">
        <v>2109</v>
      </c>
    </row>
    <row r="3043" spans="1:15">
      <c r="A3043" t="s">
        <v>4464</v>
      </c>
      <c r="B3043" t="s">
        <v>2099</v>
      </c>
      <c r="C3043" t="s">
        <v>2108</v>
      </c>
      <c r="D3043" s="1">
        <v>44453</v>
      </c>
      <c r="E3043" s="1">
        <v>45257</v>
      </c>
      <c r="F3043">
        <v>35</v>
      </c>
      <c r="G3043">
        <v>2</v>
      </c>
      <c r="H3043">
        <v>144.76</v>
      </c>
      <c r="I3043">
        <v>40.56</v>
      </c>
      <c r="J3043" t="s">
        <v>41</v>
      </c>
      <c r="K3043" t="s">
        <v>16</v>
      </c>
      <c r="L3043" t="s">
        <v>2106</v>
      </c>
      <c r="M3043">
        <v>1</v>
      </c>
      <c r="N3043" t="s">
        <v>174</v>
      </c>
      <c r="O3043" t="s">
        <v>2096</v>
      </c>
    </row>
    <row r="3044" spans="1:15">
      <c r="A3044" t="s">
        <v>4465</v>
      </c>
      <c r="B3044" t="s">
        <v>2113</v>
      </c>
      <c r="C3044" t="s">
        <v>2086</v>
      </c>
      <c r="D3044" s="1">
        <v>43971</v>
      </c>
      <c r="E3044" s="1">
        <v>45166</v>
      </c>
      <c r="F3044">
        <v>126</v>
      </c>
      <c r="G3044">
        <v>5</v>
      </c>
      <c r="H3044">
        <v>375.65</v>
      </c>
      <c r="I3044">
        <v>55.46</v>
      </c>
      <c r="J3044" t="s">
        <v>41</v>
      </c>
      <c r="K3044" t="s">
        <v>16</v>
      </c>
      <c r="L3044" t="s">
        <v>2095</v>
      </c>
      <c r="M3044">
        <v>1</v>
      </c>
      <c r="N3044" t="s">
        <v>165</v>
      </c>
      <c r="O3044" t="s">
        <v>2088</v>
      </c>
    </row>
    <row r="3045" spans="1:15">
      <c r="A3045" t="s">
        <v>4466</v>
      </c>
      <c r="B3045" t="s">
        <v>2099</v>
      </c>
      <c r="C3045" t="s">
        <v>2108</v>
      </c>
      <c r="D3045" s="1">
        <v>45008</v>
      </c>
      <c r="E3045" s="1">
        <v>45104</v>
      </c>
      <c r="F3045">
        <v>188</v>
      </c>
      <c r="G3045">
        <v>2</v>
      </c>
      <c r="H3045">
        <v>112.5</v>
      </c>
      <c r="I3045">
        <v>82.87</v>
      </c>
      <c r="J3045" t="s">
        <v>41</v>
      </c>
      <c r="K3045" t="s">
        <v>16</v>
      </c>
      <c r="L3045" t="s">
        <v>2106</v>
      </c>
      <c r="M3045">
        <v>4</v>
      </c>
      <c r="N3045" t="s">
        <v>157</v>
      </c>
      <c r="O3045" t="s">
        <v>2107</v>
      </c>
    </row>
    <row r="3046" spans="1:15">
      <c r="A3046" t="s">
        <v>4467</v>
      </c>
      <c r="B3046" t="s">
        <v>2113</v>
      </c>
      <c r="C3046" t="s">
        <v>2094</v>
      </c>
      <c r="D3046" s="1">
        <v>43731</v>
      </c>
      <c r="E3046" s="1">
        <v>44995</v>
      </c>
      <c r="F3046">
        <v>297</v>
      </c>
      <c r="G3046">
        <v>11</v>
      </c>
      <c r="H3046">
        <v>395.74</v>
      </c>
      <c r="I3046">
        <v>77.06</v>
      </c>
      <c r="J3046" t="s">
        <v>41</v>
      </c>
      <c r="K3046" t="s">
        <v>16</v>
      </c>
      <c r="L3046" t="s">
        <v>2087</v>
      </c>
      <c r="M3046">
        <v>7</v>
      </c>
      <c r="N3046" t="s">
        <v>204</v>
      </c>
      <c r="O3046" t="s">
        <v>2107</v>
      </c>
    </row>
    <row r="3047" spans="1:15">
      <c r="A3047" t="s">
        <v>1399</v>
      </c>
      <c r="B3047" t="s">
        <v>2099</v>
      </c>
      <c r="C3047" t="s">
        <v>2091</v>
      </c>
      <c r="D3047" s="1">
        <v>44160</v>
      </c>
      <c r="E3047" s="1">
        <v>44951</v>
      </c>
      <c r="F3047">
        <v>341</v>
      </c>
      <c r="G3047">
        <v>2</v>
      </c>
      <c r="H3047">
        <v>52.79</v>
      </c>
      <c r="I3047">
        <v>55.67</v>
      </c>
      <c r="J3047" t="s">
        <v>14</v>
      </c>
      <c r="K3047" t="s">
        <v>20</v>
      </c>
      <c r="L3047" t="s">
        <v>2106</v>
      </c>
      <c r="M3047">
        <v>8</v>
      </c>
      <c r="N3047" t="s">
        <v>194</v>
      </c>
      <c r="O3047" t="s">
        <v>2107</v>
      </c>
    </row>
    <row r="3048" spans="1:15">
      <c r="A3048" t="s">
        <v>4468</v>
      </c>
      <c r="B3048" t="s">
        <v>2085</v>
      </c>
      <c r="C3048" t="s">
        <v>2111</v>
      </c>
      <c r="D3048" s="1">
        <v>44098</v>
      </c>
      <c r="E3048" s="1">
        <v>45148</v>
      </c>
      <c r="F3048">
        <v>144</v>
      </c>
      <c r="G3048">
        <v>15</v>
      </c>
      <c r="H3048">
        <v>2858.51</v>
      </c>
      <c r="I3048">
        <v>156.38999999999999</v>
      </c>
      <c r="J3048" t="s">
        <v>41</v>
      </c>
      <c r="K3048" t="s">
        <v>20</v>
      </c>
      <c r="L3048" t="s">
        <v>2087</v>
      </c>
      <c r="M3048">
        <v>3</v>
      </c>
      <c r="N3048" t="s">
        <v>232</v>
      </c>
      <c r="O3048" t="s">
        <v>2107</v>
      </c>
    </row>
    <row r="3049" spans="1:15">
      <c r="A3049" t="s">
        <v>4469</v>
      </c>
      <c r="B3049" t="s">
        <v>2090</v>
      </c>
      <c r="C3049" t="s">
        <v>2086</v>
      </c>
      <c r="D3049" s="1">
        <v>44467</v>
      </c>
      <c r="E3049" s="1">
        <v>45204</v>
      </c>
      <c r="F3049">
        <v>88</v>
      </c>
      <c r="G3049">
        <v>8</v>
      </c>
      <c r="H3049">
        <v>206.8</v>
      </c>
      <c r="I3049">
        <v>101.27</v>
      </c>
      <c r="J3049" t="s">
        <v>66</v>
      </c>
      <c r="K3049" t="s">
        <v>16</v>
      </c>
      <c r="L3049" t="s">
        <v>2095</v>
      </c>
      <c r="M3049">
        <v>10</v>
      </c>
      <c r="N3049" t="s">
        <v>194</v>
      </c>
      <c r="O3049" t="s">
        <v>2109</v>
      </c>
    </row>
    <row r="3050" spans="1:15">
      <c r="A3050" t="s">
        <v>4470</v>
      </c>
      <c r="B3050" t="s">
        <v>2113</v>
      </c>
      <c r="C3050" t="s">
        <v>2100</v>
      </c>
      <c r="D3050" s="1">
        <v>44682</v>
      </c>
      <c r="E3050" s="1">
        <v>45086</v>
      </c>
      <c r="F3050">
        <v>206</v>
      </c>
      <c r="G3050">
        <v>12</v>
      </c>
      <c r="H3050">
        <v>284.25</v>
      </c>
      <c r="I3050">
        <v>55.15</v>
      </c>
      <c r="J3050" t="s">
        <v>90</v>
      </c>
      <c r="K3050" t="s">
        <v>16</v>
      </c>
      <c r="L3050" t="s">
        <v>2087</v>
      </c>
      <c r="M3050">
        <v>9</v>
      </c>
      <c r="N3050" t="s">
        <v>165</v>
      </c>
      <c r="O3050" t="s">
        <v>2107</v>
      </c>
    </row>
    <row r="3051" spans="1:15">
      <c r="A3051" t="s">
        <v>4471</v>
      </c>
      <c r="B3051" t="s">
        <v>2093</v>
      </c>
      <c r="C3051" t="s">
        <v>2108</v>
      </c>
      <c r="D3051" s="1">
        <v>43733</v>
      </c>
      <c r="E3051" s="1">
        <v>45257</v>
      </c>
      <c r="F3051">
        <v>35</v>
      </c>
      <c r="G3051">
        <v>5</v>
      </c>
      <c r="H3051">
        <v>60.2</v>
      </c>
      <c r="I3051">
        <v>40.42</v>
      </c>
      <c r="J3051" t="s">
        <v>14</v>
      </c>
      <c r="K3051" t="s">
        <v>16</v>
      </c>
      <c r="L3051" t="s">
        <v>2087</v>
      </c>
      <c r="M3051">
        <v>4</v>
      </c>
      <c r="N3051" t="s">
        <v>204</v>
      </c>
      <c r="O3051" t="s">
        <v>2096</v>
      </c>
    </row>
    <row r="3052" spans="1:15">
      <c r="A3052" t="s">
        <v>4472</v>
      </c>
      <c r="B3052" t="s">
        <v>2099</v>
      </c>
      <c r="C3052" t="s">
        <v>2108</v>
      </c>
      <c r="D3052" s="1">
        <v>44994</v>
      </c>
      <c r="E3052" s="1">
        <v>45154</v>
      </c>
      <c r="F3052">
        <v>138</v>
      </c>
      <c r="G3052">
        <v>2</v>
      </c>
      <c r="H3052">
        <v>96.97</v>
      </c>
      <c r="I3052">
        <v>43.18</v>
      </c>
      <c r="J3052" t="s">
        <v>90</v>
      </c>
      <c r="K3052" t="s">
        <v>20</v>
      </c>
      <c r="L3052" t="s">
        <v>2106</v>
      </c>
      <c r="M3052">
        <v>1</v>
      </c>
      <c r="N3052" t="s">
        <v>232</v>
      </c>
      <c r="O3052" t="s">
        <v>2088</v>
      </c>
    </row>
    <row r="3053" spans="1:15">
      <c r="A3053" t="s">
        <v>4473</v>
      </c>
      <c r="B3053" t="s">
        <v>2090</v>
      </c>
      <c r="C3053" t="s">
        <v>2091</v>
      </c>
      <c r="D3053" s="1">
        <v>44994</v>
      </c>
      <c r="E3053" s="1">
        <v>44967</v>
      </c>
      <c r="F3053">
        <v>325</v>
      </c>
      <c r="G3053">
        <v>8</v>
      </c>
      <c r="H3053">
        <v>219.05</v>
      </c>
      <c r="I3053">
        <v>97.41</v>
      </c>
      <c r="J3053" t="s">
        <v>115</v>
      </c>
      <c r="K3053" t="s">
        <v>16</v>
      </c>
      <c r="L3053" t="s">
        <v>2106</v>
      </c>
      <c r="M3053">
        <v>4</v>
      </c>
      <c r="N3053" t="s">
        <v>179</v>
      </c>
      <c r="O3053" t="s">
        <v>2121</v>
      </c>
    </row>
    <row r="3054" spans="1:15">
      <c r="A3054" t="s">
        <v>4474</v>
      </c>
      <c r="B3054" t="s">
        <v>2090</v>
      </c>
      <c r="C3054" t="s">
        <v>2094</v>
      </c>
      <c r="D3054" s="1">
        <v>44924</v>
      </c>
      <c r="E3054" s="1">
        <v>45213</v>
      </c>
      <c r="F3054">
        <v>79</v>
      </c>
      <c r="G3054">
        <v>3</v>
      </c>
      <c r="H3054">
        <v>305.36</v>
      </c>
      <c r="I3054">
        <v>45.17</v>
      </c>
      <c r="J3054" t="s">
        <v>90</v>
      </c>
      <c r="K3054" t="s">
        <v>16</v>
      </c>
      <c r="L3054" t="s">
        <v>2095</v>
      </c>
      <c r="M3054">
        <v>10</v>
      </c>
      <c r="N3054" t="s">
        <v>194</v>
      </c>
      <c r="O3054" t="s">
        <v>2096</v>
      </c>
    </row>
    <row r="3055" spans="1:15">
      <c r="A3055" t="s">
        <v>4475</v>
      </c>
      <c r="B3055" t="s">
        <v>2085</v>
      </c>
      <c r="C3055" t="s">
        <v>2100</v>
      </c>
      <c r="D3055" s="1">
        <v>44464</v>
      </c>
      <c r="E3055" s="1">
        <v>45219</v>
      </c>
      <c r="F3055">
        <v>73</v>
      </c>
      <c r="G3055">
        <v>31</v>
      </c>
      <c r="H3055">
        <v>1417.73</v>
      </c>
      <c r="I3055">
        <v>142.75</v>
      </c>
      <c r="J3055" t="s">
        <v>41</v>
      </c>
      <c r="K3055" t="s">
        <v>16</v>
      </c>
      <c r="L3055" t="s">
        <v>2106</v>
      </c>
      <c r="M3055">
        <v>3</v>
      </c>
      <c r="N3055" t="s">
        <v>232</v>
      </c>
      <c r="O3055" t="s">
        <v>2088</v>
      </c>
    </row>
    <row r="3056" spans="1:15">
      <c r="A3056" t="s">
        <v>426</v>
      </c>
      <c r="B3056" t="s">
        <v>2099</v>
      </c>
      <c r="C3056" t="s">
        <v>2108</v>
      </c>
      <c r="D3056" s="1">
        <v>44740</v>
      </c>
      <c r="E3056" s="1">
        <v>45179</v>
      </c>
      <c r="F3056">
        <v>113</v>
      </c>
      <c r="G3056">
        <v>2</v>
      </c>
      <c r="H3056">
        <v>57.97</v>
      </c>
      <c r="I3056">
        <v>96.79</v>
      </c>
      <c r="J3056" t="s">
        <v>90</v>
      </c>
      <c r="K3056" t="s">
        <v>20</v>
      </c>
      <c r="L3056" t="s">
        <v>2095</v>
      </c>
      <c r="M3056">
        <v>7</v>
      </c>
      <c r="N3056" t="s">
        <v>232</v>
      </c>
      <c r="O3056" t="s">
        <v>2107</v>
      </c>
    </row>
    <row r="3057" spans="1:15">
      <c r="A3057" t="s">
        <v>4476</v>
      </c>
      <c r="B3057" t="s">
        <v>2097</v>
      </c>
      <c r="C3057" t="s">
        <v>2111</v>
      </c>
      <c r="D3057" s="1">
        <v>43718</v>
      </c>
      <c r="E3057" s="1">
        <v>44938</v>
      </c>
      <c r="F3057">
        <v>354</v>
      </c>
      <c r="G3057">
        <v>3</v>
      </c>
      <c r="H3057">
        <v>178.6</v>
      </c>
      <c r="I3057">
        <v>121.81</v>
      </c>
      <c r="J3057" t="s">
        <v>14</v>
      </c>
      <c r="K3057" t="s">
        <v>20</v>
      </c>
      <c r="L3057" t="s">
        <v>2087</v>
      </c>
      <c r="M3057">
        <v>2</v>
      </c>
      <c r="N3057" t="s">
        <v>232</v>
      </c>
      <c r="O3057" t="s">
        <v>2109</v>
      </c>
    </row>
    <row r="3058" spans="1:15">
      <c r="A3058" t="s">
        <v>1634</v>
      </c>
      <c r="B3058" t="s">
        <v>2093</v>
      </c>
      <c r="C3058" t="s">
        <v>2094</v>
      </c>
      <c r="D3058" s="1">
        <v>44120</v>
      </c>
      <c r="E3058" s="1">
        <v>44970</v>
      </c>
      <c r="F3058">
        <v>322</v>
      </c>
      <c r="G3058">
        <v>4</v>
      </c>
      <c r="H3058">
        <v>131.35</v>
      </c>
      <c r="I3058">
        <v>43.71</v>
      </c>
      <c r="J3058" t="s">
        <v>90</v>
      </c>
      <c r="K3058" t="s">
        <v>16</v>
      </c>
      <c r="L3058" t="s">
        <v>2106</v>
      </c>
      <c r="M3058">
        <v>5</v>
      </c>
      <c r="N3058" t="s">
        <v>174</v>
      </c>
      <c r="O3058" t="s">
        <v>2121</v>
      </c>
    </row>
    <row r="3059" spans="1:15">
      <c r="A3059" t="s">
        <v>4477</v>
      </c>
      <c r="B3059" t="s">
        <v>2090</v>
      </c>
      <c r="C3059" t="s">
        <v>2100</v>
      </c>
      <c r="D3059" s="1">
        <v>44898</v>
      </c>
      <c r="E3059" s="1">
        <v>45130</v>
      </c>
      <c r="F3059">
        <v>162</v>
      </c>
      <c r="G3059">
        <v>8</v>
      </c>
      <c r="H3059">
        <v>321.52</v>
      </c>
      <c r="I3059">
        <v>43.42</v>
      </c>
      <c r="J3059" t="s">
        <v>14</v>
      </c>
      <c r="K3059" t="s">
        <v>20</v>
      </c>
      <c r="L3059" t="s">
        <v>2106</v>
      </c>
      <c r="M3059">
        <v>10</v>
      </c>
      <c r="N3059" t="s">
        <v>179</v>
      </c>
      <c r="O3059" t="s">
        <v>2096</v>
      </c>
    </row>
    <row r="3060" spans="1:15">
      <c r="A3060" t="s">
        <v>4478</v>
      </c>
      <c r="B3060" t="s">
        <v>2093</v>
      </c>
      <c r="C3060" t="s">
        <v>2086</v>
      </c>
      <c r="D3060" s="1">
        <v>44758</v>
      </c>
      <c r="E3060" s="1">
        <v>45107</v>
      </c>
      <c r="F3060">
        <v>185</v>
      </c>
      <c r="G3060">
        <v>5</v>
      </c>
      <c r="H3060">
        <v>31.35</v>
      </c>
      <c r="I3060">
        <v>62.79</v>
      </c>
      <c r="J3060" t="s">
        <v>90</v>
      </c>
      <c r="K3060" t="s">
        <v>16</v>
      </c>
      <c r="L3060" t="s">
        <v>2087</v>
      </c>
      <c r="M3060">
        <v>2</v>
      </c>
      <c r="N3060" t="s">
        <v>165</v>
      </c>
      <c r="O3060" t="s">
        <v>2107</v>
      </c>
    </row>
    <row r="3061" spans="1:15">
      <c r="A3061" t="s">
        <v>1168</v>
      </c>
      <c r="B3061" t="s">
        <v>2099</v>
      </c>
      <c r="C3061" t="s">
        <v>2100</v>
      </c>
      <c r="D3061" s="1">
        <v>44672</v>
      </c>
      <c r="E3061" s="1">
        <v>45128</v>
      </c>
      <c r="F3061">
        <v>164</v>
      </c>
      <c r="G3061">
        <v>2</v>
      </c>
      <c r="H3061">
        <v>133.94999999999999</v>
      </c>
      <c r="I3061">
        <v>77.66</v>
      </c>
      <c r="J3061" t="s">
        <v>66</v>
      </c>
      <c r="K3061" t="s">
        <v>20</v>
      </c>
      <c r="L3061" t="s">
        <v>2106</v>
      </c>
      <c r="M3061">
        <v>2</v>
      </c>
      <c r="N3061" t="s">
        <v>232</v>
      </c>
      <c r="O3061" t="s">
        <v>2121</v>
      </c>
    </row>
    <row r="3062" spans="1:15">
      <c r="A3062" t="s">
        <v>1710</v>
      </c>
      <c r="B3062" t="s">
        <v>2090</v>
      </c>
      <c r="C3062" t="s">
        <v>2100</v>
      </c>
      <c r="D3062" s="1">
        <v>44173</v>
      </c>
      <c r="E3062" s="1">
        <v>44985</v>
      </c>
      <c r="F3062">
        <v>307</v>
      </c>
      <c r="G3062">
        <v>3</v>
      </c>
      <c r="H3062">
        <v>353.11</v>
      </c>
      <c r="I3062">
        <v>115.99</v>
      </c>
      <c r="J3062" t="s">
        <v>14</v>
      </c>
      <c r="K3062" t="s">
        <v>20</v>
      </c>
      <c r="L3062" t="s">
        <v>2087</v>
      </c>
      <c r="M3062">
        <v>2</v>
      </c>
      <c r="N3062" t="s">
        <v>165</v>
      </c>
      <c r="O3062" t="s">
        <v>2121</v>
      </c>
    </row>
    <row r="3063" spans="1:15">
      <c r="A3063" t="s">
        <v>4479</v>
      </c>
      <c r="B3063" t="s">
        <v>2085</v>
      </c>
      <c r="C3063" t="s">
        <v>2091</v>
      </c>
      <c r="D3063" s="1">
        <v>43990</v>
      </c>
      <c r="E3063" s="1">
        <v>45032</v>
      </c>
      <c r="F3063">
        <v>260</v>
      </c>
      <c r="G3063">
        <v>17</v>
      </c>
      <c r="H3063">
        <v>2235.58</v>
      </c>
      <c r="I3063">
        <v>272.93</v>
      </c>
      <c r="J3063" t="s">
        <v>66</v>
      </c>
      <c r="K3063" t="s">
        <v>16</v>
      </c>
      <c r="L3063" t="s">
        <v>2087</v>
      </c>
      <c r="M3063">
        <v>7</v>
      </c>
      <c r="N3063" t="s">
        <v>194</v>
      </c>
      <c r="O3063" t="s">
        <v>2109</v>
      </c>
    </row>
    <row r="3064" spans="1:15">
      <c r="A3064" t="s">
        <v>4480</v>
      </c>
      <c r="B3064" t="s">
        <v>2093</v>
      </c>
      <c r="C3064" t="s">
        <v>2100</v>
      </c>
      <c r="D3064" s="1">
        <v>44945</v>
      </c>
      <c r="E3064" s="1">
        <v>44993</v>
      </c>
      <c r="F3064">
        <v>299</v>
      </c>
      <c r="G3064">
        <v>4</v>
      </c>
      <c r="H3064">
        <v>114.61</v>
      </c>
      <c r="I3064">
        <v>32.76</v>
      </c>
      <c r="J3064" t="s">
        <v>66</v>
      </c>
      <c r="K3064" t="s">
        <v>20</v>
      </c>
      <c r="L3064" t="s">
        <v>2087</v>
      </c>
      <c r="M3064">
        <v>5</v>
      </c>
      <c r="N3064" t="s">
        <v>174</v>
      </c>
      <c r="O3064" t="s">
        <v>2107</v>
      </c>
    </row>
    <row r="3065" spans="1:15">
      <c r="A3065" t="s">
        <v>4481</v>
      </c>
      <c r="B3065" t="s">
        <v>2093</v>
      </c>
      <c r="C3065" t="s">
        <v>2086</v>
      </c>
      <c r="D3065" s="1">
        <v>44674</v>
      </c>
      <c r="E3065" s="1">
        <v>45151</v>
      </c>
      <c r="F3065">
        <v>141</v>
      </c>
      <c r="G3065">
        <v>1</v>
      </c>
      <c r="H3065">
        <v>31.54</v>
      </c>
      <c r="I3065">
        <v>62.53</v>
      </c>
      <c r="J3065" t="s">
        <v>14</v>
      </c>
      <c r="K3065" t="s">
        <v>16</v>
      </c>
      <c r="L3065" t="s">
        <v>2095</v>
      </c>
      <c r="M3065">
        <v>7</v>
      </c>
      <c r="N3065" t="s">
        <v>204</v>
      </c>
      <c r="O3065" t="s">
        <v>2096</v>
      </c>
    </row>
    <row r="3066" spans="1:15">
      <c r="A3066" t="s">
        <v>4482</v>
      </c>
      <c r="B3066" t="s">
        <v>2093</v>
      </c>
      <c r="C3066" t="s">
        <v>2111</v>
      </c>
      <c r="D3066" s="1">
        <v>45080</v>
      </c>
      <c r="E3066" s="1">
        <v>45138</v>
      </c>
      <c r="F3066">
        <v>154</v>
      </c>
      <c r="G3066">
        <v>2</v>
      </c>
      <c r="H3066">
        <v>177.47</v>
      </c>
      <c r="I3066">
        <v>21.79</v>
      </c>
      <c r="J3066" t="s">
        <v>115</v>
      </c>
      <c r="K3066" t="s">
        <v>20</v>
      </c>
      <c r="L3066" t="s">
        <v>2095</v>
      </c>
      <c r="M3066">
        <v>7</v>
      </c>
      <c r="N3066" t="s">
        <v>179</v>
      </c>
      <c r="O3066" t="s">
        <v>2121</v>
      </c>
    </row>
    <row r="3067" spans="1:15">
      <c r="A3067" t="s">
        <v>4483</v>
      </c>
      <c r="B3067" t="s">
        <v>2099</v>
      </c>
      <c r="C3067" t="s">
        <v>2108</v>
      </c>
      <c r="D3067" s="1">
        <v>44703</v>
      </c>
      <c r="E3067" s="1">
        <v>45181</v>
      </c>
      <c r="F3067">
        <v>111</v>
      </c>
      <c r="G3067">
        <v>2</v>
      </c>
      <c r="H3067">
        <v>135.36000000000001</v>
      </c>
      <c r="I3067">
        <v>98.35</v>
      </c>
      <c r="J3067" t="s">
        <v>66</v>
      </c>
      <c r="K3067" t="s">
        <v>16</v>
      </c>
      <c r="L3067" t="s">
        <v>2095</v>
      </c>
      <c r="M3067">
        <v>1</v>
      </c>
      <c r="N3067" t="s">
        <v>204</v>
      </c>
      <c r="O3067" t="s">
        <v>2096</v>
      </c>
    </row>
    <row r="3068" spans="1:15">
      <c r="A3068" t="s">
        <v>4484</v>
      </c>
      <c r="B3068" t="s">
        <v>2097</v>
      </c>
      <c r="C3068" t="s">
        <v>2108</v>
      </c>
      <c r="D3068" s="1">
        <v>44332</v>
      </c>
      <c r="E3068" s="1">
        <v>45183</v>
      </c>
      <c r="F3068">
        <v>109</v>
      </c>
      <c r="G3068">
        <v>7</v>
      </c>
      <c r="H3068">
        <v>649.23</v>
      </c>
      <c r="I3068">
        <v>86.83</v>
      </c>
      <c r="J3068" t="s">
        <v>41</v>
      </c>
      <c r="K3068" t="s">
        <v>20</v>
      </c>
      <c r="L3068" t="s">
        <v>2095</v>
      </c>
      <c r="M3068">
        <v>3</v>
      </c>
      <c r="N3068" t="s">
        <v>157</v>
      </c>
      <c r="O3068" t="s">
        <v>2121</v>
      </c>
    </row>
    <row r="3069" spans="1:15">
      <c r="A3069" t="s">
        <v>4485</v>
      </c>
      <c r="B3069" t="s">
        <v>2097</v>
      </c>
      <c r="C3069" t="s">
        <v>2108</v>
      </c>
      <c r="D3069" s="1">
        <v>44639</v>
      </c>
      <c r="E3069" s="1">
        <v>45117</v>
      </c>
      <c r="F3069">
        <v>175</v>
      </c>
      <c r="G3069">
        <v>9</v>
      </c>
      <c r="H3069">
        <v>754.65</v>
      </c>
      <c r="I3069">
        <v>134.76</v>
      </c>
      <c r="J3069" t="s">
        <v>41</v>
      </c>
      <c r="K3069" t="s">
        <v>16</v>
      </c>
      <c r="L3069" t="s">
        <v>2087</v>
      </c>
      <c r="M3069">
        <v>8</v>
      </c>
      <c r="N3069" t="s">
        <v>204</v>
      </c>
      <c r="O3069" t="s">
        <v>2109</v>
      </c>
    </row>
    <row r="3070" spans="1:15">
      <c r="A3070" t="s">
        <v>2028</v>
      </c>
      <c r="B3070" t="s">
        <v>2099</v>
      </c>
      <c r="C3070" t="s">
        <v>2108</v>
      </c>
      <c r="D3070" s="1">
        <v>44613</v>
      </c>
      <c r="E3070" s="1">
        <v>44974</v>
      </c>
      <c r="F3070">
        <v>318</v>
      </c>
      <c r="G3070">
        <v>1</v>
      </c>
      <c r="H3070">
        <v>61.62</v>
      </c>
      <c r="I3070">
        <v>20.84</v>
      </c>
      <c r="J3070" t="s">
        <v>14</v>
      </c>
      <c r="K3070" t="s">
        <v>20</v>
      </c>
      <c r="L3070" t="s">
        <v>2087</v>
      </c>
      <c r="M3070">
        <v>2</v>
      </c>
      <c r="N3070" t="s">
        <v>232</v>
      </c>
      <c r="O3070" t="s">
        <v>2107</v>
      </c>
    </row>
    <row r="3071" spans="1:15">
      <c r="A3071" t="s">
        <v>1620</v>
      </c>
      <c r="B3071" t="s">
        <v>2093</v>
      </c>
      <c r="C3071" t="s">
        <v>2108</v>
      </c>
      <c r="D3071" s="1">
        <v>44256</v>
      </c>
      <c r="E3071" s="1">
        <v>45064</v>
      </c>
      <c r="F3071">
        <v>228</v>
      </c>
      <c r="G3071">
        <v>5</v>
      </c>
      <c r="H3071">
        <v>80.58</v>
      </c>
      <c r="I3071">
        <v>47.68</v>
      </c>
      <c r="J3071" t="s">
        <v>90</v>
      </c>
      <c r="K3071" t="s">
        <v>20</v>
      </c>
      <c r="L3071" t="s">
        <v>2106</v>
      </c>
      <c r="M3071">
        <v>1</v>
      </c>
      <c r="N3071" t="s">
        <v>157</v>
      </c>
      <c r="O3071" t="s">
        <v>2109</v>
      </c>
    </row>
    <row r="3072" spans="1:15">
      <c r="A3072" t="s">
        <v>4486</v>
      </c>
      <c r="B3072" t="s">
        <v>2085</v>
      </c>
      <c r="C3072" t="s">
        <v>2108</v>
      </c>
      <c r="D3072" s="1">
        <v>44710</v>
      </c>
      <c r="E3072" s="1">
        <v>45031</v>
      </c>
      <c r="F3072">
        <v>261</v>
      </c>
      <c r="G3072">
        <v>20</v>
      </c>
      <c r="H3072">
        <v>2140.67</v>
      </c>
      <c r="I3072">
        <v>227.8</v>
      </c>
      <c r="J3072" t="s">
        <v>90</v>
      </c>
      <c r="K3072" t="s">
        <v>20</v>
      </c>
      <c r="L3072" t="s">
        <v>2095</v>
      </c>
      <c r="M3072">
        <v>1</v>
      </c>
      <c r="N3072" t="s">
        <v>179</v>
      </c>
      <c r="O3072" t="s">
        <v>2088</v>
      </c>
    </row>
    <row r="3073" spans="1:15">
      <c r="A3073" t="s">
        <v>4487</v>
      </c>
      <c r="B3073" t="s">
        <v>2099</v>
      </c>
      <c r="C3073" t="s">
        <v>2108</v>
      </c>
      <c r="D3073" s="1">
        <v>44149</v>
      </c>
      <c r="E3073" s="1">
        <v>45128</v>
      </c>
      <c r="F3073">
        <v>164</v>
      </c>
      <c r="G3073">
        <v>1</v>
      </c>
      <c r="H3073">
        <v>131.88</v>
      </c>
      <c r="I3073">
        <v>93.32</v>
      </c>
      <c r="J3073" t="s">
        <v>66</v>
      </c>
      <c r="K3073" t="s">
        <v>16</v>
      </c>
      <c r="L3073" t="s">
        <v>2095</v>
      </c>
      <c r="M3073">
        <v>9</v>
      </c>
      <c r="N3073" t="s">
        <v>179</v>
      </c>
      <c r="O3073" t="s">
        <v>2096</v>
      </c>
    </row>
    <row r="3074" spans="1:15">
      <c r="A3074" t="s">
        <v>4488</v>
      </c>
      <c r="B3074" t="s">
        <v>2090</v>
      </c>
      <c r="C3074" t="s">
        <v>2100</v>
      </c>
      <c r="D3074" s="1">
        <v>44155</v>
      </c>
      <c r="E3074" s="1">
        <v>45128</v>
      </c>
      <c r="F3074">
        <v>164</v>
      </c>
      <c r="G3074">
        <v>4</v>
      </c>
      <c r="H3074">
        <v>100.36</v>
      </c>
      <c r="I3074">
        <v>88.41</v>
      </c>
      <c r="J3074" t="s">
        <v>41</v>
      </c>
      <c r="K3074" t="s">
        <v>16</v>
      </c>
      <c r="L3074" t="s">
        <v>2095</v>
      </c>
      <c r="M3074">
        <v>10</v>
      </c>
      <c r="N3074" t="s">
        <v>204</v>
      </c>
      <c r="O3074" t="s">
        <v>2107</v>
      </c>
    </row>
    <row r="3075" spans="1:15">
      <c r="A3075" t="s">
        <v>4489</v>
      </c>
      <c r="B3075" t="s">
        <v>2099</v>
      </c>
      <c r="C3075" t="s">
        <v>2108</v>
      </c>
      <c r="D3075" s="1">
        <v>43576</v>
      </c>
      <c r="E3075" s="1">
        <v>45110</v>
      </c>
      <c r="F3075">
        <v>182</v>
      </c>
      <c r="G3075">
        <v>1</v>
      </c>
      <c r="H3075">
        <v>112.43</v>
      </c>
      <c r="I3075">
        <v>29.45</v>
      </c>
      <c r="J3075" t="s">
        <v>14</v>
      </c>
      <c r="K3075" t="s">
        <v>16</v>
      </c>
      <c r="L3075" t="s">
        <v>2087</v>
      </c>
      <c r="M3075">
        <v>0</v>
      </c>
      <c r="N3075" t="s">
        <v>204</v>
      </c>
      <c r="O3075" t="s">
        <v>2088</v>
      </c>
    </row>
    <row r="3076" spans="1:15">
      <c r="A3076" t="s">
        <v>4490</v>
      </c>
      <c r="B3076" t="s">
        <v>2099</v>
      </c>
      <c r="C3076" t="s">
        <v>2111</v>
      </c>
      <c r="D3076" s="1">
        <v>44492</v>
      </c>
      <c r="E3076" s="1">
        <v>44982</v>
      </c>
      <c r="F3076">
        <v>310</v>
      </c>
      <c r="G3076">
        <v>1</v>
      </c>
      <c r="H3076">
        <v>133.24</v>
      </c>
      <c r="I3076">
        <v>87.14</v>
      </c>
      <c r="J3076" t="s">
        <v>41</v>
      </c>
      <c r="K3076" t="s">
        <v>20</v>
      </c>
      <c r="L3076" t="s">
        <v>2106</v>
      </c>
      <c r="M3076">
        <v>5</v>
      </c>
      <c r="N3076" t="s">
        <v>179</v>
      </c>
      <c r="O3076" t="s">
        <v>2107</v>
      </c>
    </row>
    <row r="3077" spans="1:15">
      <c r="A3077" t="s">
        <v>4491</v>
      </c>
      <c r="B3077" t="s">
        <v>2093</v>
      </c>
      <c r="C3077" t="s">
        <v>2086</v>
      </c>
      <c r="D3077" s="1">
        <v>44758</v>
      </c>
      <c r="E3077" s="1">
        <v>45053</v>
      </c>
      <c r="F3077">
        <v>239</v>
      </c>
      <c r="G3077">
        <v>4</v>
      </c>
      <c r="H3077">
        <v>157.27000000000001</v>
      </c>
      <c r="I3077">
        <v>79.62</v>
      </c>
      <c r="J3077" t="s">
        <v>90</v>
      </c>
      <c r="K3077" t="s">
        <v>16</v>
      </c>
      <c r="L3077" t="s">
        <v>2095</v>
      </c>
      <c r="M3077">
        <v>7</v>
      </c>
      <c r="N3077" t="s">
        <v>165</v>
      </c>
      <c r="O3077" t="s">
        <v>2107</v>
      </c>
    </row>
    <row r="3078" spans="1:15">
      <c r="A3078" t="s">
        <v>4492</v>
      </c>
      <c r="B3078" t="s">
        <v>2090</v>
      </c>
      <c r="C3078" t="s">
        <v>2100</v>
      </c>
      <c r="D3078" s="1">
        <v>44368</v>
      </c>
      <c r="E3078" s="1">
        <v>45162</v>
      </c>
      <c r="F3078">
        <v>130</v>
      </c>
      <c r="G3078">
        <v>4</v>
      </c>
      <c r="H3078">
        <v>265.83999999999997</v>
      </c>
      <c r="I3078">
        <v>83.53</v>
      </c>
      <c r="J3078" t="s">
        <v>14</v>
      </c>
      <c r="K3078" t="s">
        <v>16</v>
      </c>
      <c r="L3078" t="s">
        <v>2087</v>
      </c>
      <c r="M3078">
        <v>4</v>
      </c>
      <c r="N3078" t="s">
        <v>232</v>
      </c>
      <c r="O3078" t="s">
        <v>2088</v>
      </c>
    </row>
    <row r="3079" spans="1:15">
      <c r="A3079" t="s">
        <v>4493</v>
      </c>
      <c r="B3079" t="s">
        <v>2090</v>
      </c>
      <c r="C3079" t="s">
        <v>2086</v>
      </c>
      <c r="D3079" s="1">
        <v>43839</v>
      </c>
      <c r="E3079" s="1">
        <v>45282</v>
      </c>
      <c r="F3079">
        <v>10</v>
      </c>
      <c r="G3079">
        <v>7</v>
      </c>
      <c r="H3079">
        <v>326.5</v>
      </c>
      <c r="I3079">
        <v>77.94</v>
      </c>
      <c r="J3079" t="s">
        <v>115</v>
      </c>
      <c r="K3079" t="s">
        <v>16</v>
      </c>
      <c r="L3079" t="s">
        <v>2106</v>
      </c>
      <c r="M3079">
        <v>9</v>
      </c>
      <c r="N3079" t="s">
        <v>174</v>
      </c>
      <c r="O3079" t="s">
        <v>2121</v>
      </c>
    </row>
    <row r="3080" spans="1:15">
      <c r="A3080" t="s">
        <v>4494</v>
      </c>
      <c r="B3080" t="s">
        <v>2113</v>
      </c>
      <c r="C3080" t="s">
        <v>2108</v>
      </c>
      <c r="D3080" s="1">
        <v>43485</v>
      </c>
      <c r="E3080" s="1">
        <v>44952</v>
      </c>
      <c r="F3080">
        <v>340</v>
      </c>
      <c r="G3080">
        <v>10</v>
      </c>
      <c r="H3080">
        <v>586.98</v>
      </c>
      <c r="I3080">
        <v>77.040000000000006</v>
      </c>
      <c r="J3080" t="s">
        <v>41</v>
      </c>
      <c r="K3080" t="s">
        <v>20</v>
      </c>
      <c r="L3080" t="s">
        <v>2095</v>
      </c>
      <c r="M3080">
        <v>3</v>
      </c>
      <c r="N3080" t="s">
        <v>179</v>
      </c>
      <c r="O3080" t="s">
        <v>2096</v>
      </c>
    </row>
    <row r="3081" spans="1:15">
      <c r="A3081" t="s">
        <v>4495</v>
      </c>
      <c r="B3081" t="s">
        <v>2097</v>
      </c>
      <c r="C3081" t="s">
        <v>2100</v>
      </c>
      <c r="D3081" s="1">
        <v>44430</v>
      </c>
      <c r="E3081" s="1">
        <v>45061</v>
      </c>
      <c r="F3081">
        <v>231</v>
      </c>
      <c r="G3081">
        <v>5</v>
      </c>
      <c r="H3081">
        <v>404.21</v>
      </c>
      <c r="I3081">
        <v>107.19</v>
      </c>
      <c r="J3081" t="s">
        <v>14</v>
      </c>
      <c r="K3081" t="s">
        <v>16</v>
      </c>
      <c r="L3081" t="s">
        <v>2095</v>
      </c>
      <c r="M3081">
        <v>3</v>
      </c>
      <c r="N3081" t="s">
        <v>204</v>
      </c>
      <c r="O3081" t="s">
        <v>2088</v>
      </c>
    </row>
    <row r="3082" spans="1:15">
      <c r="A3082" t="s">
        <v>4496</v>
      </c>
      <c r="B3082" t="s">
        <v>2090</v>
      </c>
      <c r="C3082" t="s">
        <v>2091</v>
      </c>
      <c r="D3082" s="1">
        <v>43637</v>
      </c>
      <c r="E3082" s="1">
        <v>45281</v>
      </c>
      <c r="F3082">
        <v>11</v>
      </c>
      <c r="G3082">
        <v>4</v>
      </c>
      <c r="H3082">
        <v>104.24</v>
      </c>
      <c r="I3082">
        <v>79.98</v>
      </c>
      <c r="J3082" t="s">
        <v>115</v>
      </c>
      <c r="K3082" t="s">
        <v>16</v>
      </c>
      <c r="L3082" t="s">
        <v>2106</v>
      </c>
      <c r="M3082">
        <v>4</v>
      </c>
      <c r="N3082" t="s">
        <v>157</v>
      </c>
      <c r="O3082" t="s">
        <v>2121</v>
      </c>
    </row>
    <row r="3083" spans="1:15">
      <c r="A3083" t="s">
        <v>4497</v>
      </c>
      <c r="B3083" t="s">
        <v>2085</v>
      </c>
      <c r="C3083" t="s">
        <v>2100</v>
      </c>
      <c r="D3083" s="1">
        <v>45007</v>
      </c>
      <c r="E3083" s="1">
        <v>44970</v>
      </c>
      <c r="F3083">
        <v>322</v>
      </c>
      <c r="G3083">
        <v>35</v>
      </c>
      <c r="H3083">
        <v>2098.96</v>
      </c>
      <c r="I3083">
        <v>259.3</v>
      </c>
      <c r="J3083" t="s">
        <v>90</v>
      </c>
      <c r="K3083" t="s">
        <v>20</v>
      </c>
      <c r="L3083" t="s">
        <v>2087</v>
      </c>
      <c r="M3083">
        <v>5</v>
      </c>
      <c r="N3083" t="s">
        <v>232</v>
      </c>
      <c r="O3083" t="s">
        <v>2088</v>
      </c>
    </row>
    <row r="3084" spans="1:15">
      <c r="A3084" t="s">
        <v>4498</v>
      </c>
      <c r="B3084" t="s">
        <v>2097</v>
      </c>
      <c r="C3084" t="s">
        <v>2086</v>
      </c>
      <c r="D3084" s="1">
        <v>43731</v>
      </c>
      <c r="E3084" s="1">
        <v>45280</v>
      </c>
      <c r="F3084">
        <v>12</v>
      </c>
      <c r="G3084">
        <v>5</v>
      </c>
      <c r="H3084">
        <v>293.07</v>
      </c>
      <c r="I3084">
        <v>86.86</v>
      </c>
      <c r="J3084" t="s">
        <v>66</v>
      </c>
      <c r="K3084" t="s">
        <v>20</v>
      </c>
      <c r="L3084" t="s">
        <v>2087</v>
      </c>
      <c r="M3084">
        <v>10</v>
      </c>
      <c r="N3084" t="s">
        <v>174</v>
      </c>
      <c r="O3084" t="s">
        <v>2109</v>
      </c>
    </row>
    <row r="3085" spans="1:15">
      <c r="A3085" t="s">
        <v>4499</v>
      </c>
      <c r="B3085" t="s">
        <v>2097</v>
      </c>
      <c r="C3085" t="s">
        <v>2108</v>
      </c>
      <c r="D3085" s="1">
        <v>43768</v>
      </c>
      <c r="E3085" s="1">
        <v>45207</v>
      </c>
      <c r="F3085">
        <v>85</v>
      </c>
      <c r="G3085">
        <v>3</v>
      </c>
      <c r="H3085">
        <v>659.49</v>
      </c>
      <c r="I3085">
        <v>65.14</v>
      </c>
      <c r="J3085" t="s">
        <v>41</v>
      </c>
      <c r="K3085" t="s">
        <v>20</v>
      </c>
      <c r="L3085" t="s">
        <v>2095</v>
      </c>
      <c r="M3085">
        <v>3</v>
      </c>
      <c r="N3085" t="s">
        <v>194</v>
      </c>
      <c r="O3085" t="s">
        <v>2107</v>
      </c>
    </row>
    <row r="3086" spans="1:15">
      <c r="A3086" t="s">
        <v>4500</v>
      </c>
      <c r="B3086" t="s">
        <v>2090</v>
      </c>
      <c r="C3086" t="s">
        <v>2108</v>
      </c>
      <c r="D3086" s="1">
        <v>43678</v>
      </c>
      <c r="E3086" s="1">
        <v>45118</v>
      </c>
      <c r="F3086">
        <v>174</v>
      </c>
      <c r="G3086">
        <v>8</v>
      </c>
      <c r="H3086">
        <v>220.42</v>
      </c>
      <c r="I3086">
        <v>89</v>
      </c>
      <c r="J3086" t="s">
        <v>41</v>
      </c>
      <c r="K3086" t="s">
        <v>16</v>
      </c>
      <c r="L3086" t="s">
        <v>2106</v>
      </c>
      <c r="M3086">
        <v>10</v>
      </c>
      <c r="N3086" t="s">
        <v>204</v>
      </c>
      <c r="O3086" t="s">
        <v>2121</v>
      </c>
    </row>
    <row r="3087" spans="1:15">
      <c r="A3087" t="s">
        <v>4501</v>
      </c>
      <c r="B3087" t="s">
        <v>2099</v>
      </c>
      <c r="C3087" t="s">
        <v>2094</v>
      </c>
      <c r="D3087" s="1">
        <v>45207</v>
      </c>
      <c r="E3087" s="1">
        <v>45182</v>
      </c>
      <c r="F3087">
        <v>110</v>
      </c>
      <c r="G3087">
        <v>1</v>
      </c>
      <c r="H3087">
        <v>73.37</v>
      </c>
      <c r="I3087">
        <v>73.14</v>
      </c>
      <c r="J3087" t="s">
        <v>90</v>
      </c>
      <c r="K3087" t="s">
        <v>16</v>
      </c>
      <c r="L3087" t="s">
        <v>2106</v>
      </c>
      <c r="M3087">
        <v>5</v>
      </c>
      <c r="N3087" t="s">
        <v>194</v>
      </c>
      <c r="O3087" t="s">
        <v>2096</v>
      </c>
    </row>
    <row r="3088" spans="1:15">
      <c r="A3088" t="s">
        <v>4502</v>
      </c>
      <c r="B3088" t="s">
        <v>2099</v>
      </c>
      <c r="C3088" t="s">
        <v>2111</v>
      </c>
      <c r="D3088" s="1">
        <v>45018</v>
      </c>
      <c r="E3088" s="1">
        <v>44932</v>
      </c>
      <c r="F3088">
        <v>360</v>
      </c>
      <c r="G3088">
        <v>1</v>
      </c>
      <c r="H3088">
        <v>136.59</v>
      </c>
      <c r="I3088">
        <v>39.630000000000003</v>
      </c>
      <c r="J3088" t="s">
        <v>115</v>
      </c>
      <c r="K3088" t="s">
        <v>16</v>
      </c>
      <c r="L3088" t="s">
        <v>2106</v>
      </c>
      <c r="M3088">
        <v>10</v>
      </c>
      <c r="N3088" t="s">
        <v>174</v>
      </c>
      <c r="O3088" t="s">
        <v>2088</v>
      </c>
    </row>
    <row r="3089" spans="1:15">
      <c r="A3089" t="s">
        <v>4503</v>
      </c>
      <c r="B3089" t="s">
        <v>2090</v>
      </c>
      <c r="C3089" t="s">
        <v>2094</v>
      </c>
      <c r="D3089" s="1">
        <v>44291</v>
      </c>
      <c r="E3089" s="1">
        <v>45085</v>
      </c>
      <c r="F3089">
        <v>207</v>
      </c>
      <c r="G3089">
        <v>2</v>
      </c>
      <c r="H3089">
        <v>379.08</v>
      </c>
      <c r="I3089">
        <v>78.41</v>
      </c>
      <c r="J3089" t="s">
        <v>14</v>
      </c>
      <c r="K3089" t="s">
        <v>20</v>
      </c>
      <c r="L3089" t="s">
        <v>2106</v>
      </c>
      <c r="M3089">
        <v>5</v>
      </c>
      <c r="N3089" t="s">
        <v>232</v>
      </c>
      <c r="O3089" t="s">
        <v>2096</v>
      </c>
    </row>
    <row r="3090" spans="1:15">
      <c r="A3090" t="s">
        <v>4504</v>
      </c>
      <c r="B3090" t="s">
        <v>2093</v>
      </c>
      <c r="C3090" t="s">
        <v>2108</v>
      </c>
      <c r="D3090" s="1">
        <v>43469</v>
      </c>
      <c r="E3090" s="1">
        <v>45214</v>
      </c>
      <c r="F3090">
        <v>78</v>
      </c>
      <c r="G3090">
        <v>1</v>
      </c>
      <c r="H3090">
        <v>84.41</v>
      </c>
      <c r="I3090">
        <v>20.63</v>
      </c>
      <c r="J3090" t="s">
        <v>115</v>
      </c>
      <c r="K3090" t="s">
        <v>20</v>
      </c>
      <c r="L3090" t="s">
        <v>2087</v>
      </c>
      <c r="M3090">
        <v>7</v>
      </c>
      <c r="N3090" t="s">
        <v>232</v>
      </c>
      <c r="O3090" t="s">
        <v>2109</v>
      </c>
    </row>
    <row r="3091" spans="1:15">
      <c r="A3091" t="s">
        <v>656</v>
      </c>
      <c r="B3091" t="s">
        <v>2113</v>
      </c>
      <c r="C3091" t="s">
        <v>2086</v>
      </c>
      <c r="D3091" s="1">
        <v>43900</v>
      </c>
      <c r="E3091" s="1">
        <v>45155</v>
      </c>
      <c r="F3091">
        <v>137</v>
      </c>
      <c r="G3091">
        <v>13</v>
      </c>
      <c r="H3091">
        <v>349.77</v>
      </c>
      <c r="I3091">
        <v>33.97</v>
      </c>
      <c r="J3091" t="s">
        <v>115</v>
      </c>
      <c r="K3091" t="s">
        <v>16</v>
      </c>
      <c r="L3091" t="s">
        <v>2087</v>
      </c>
      <c r="M3091">
        <v>3</v>
      </c>
      <c r="N3091" t="s">
        <v>179</v>
      </c>
      <c r="O3091" t="s">
        <v>2109</v>
      </c>
    </row>
    <row r="3092" spans="1:15">
      <c r="A3092" t="s">
        <v>4505</v>
      </c>
      <c r="B3092" t="s">
        <v>2093</v>
      </c>
      <c r="C3092" t="s">
        <v>2094</v>
      </c>
      <c r="D3092" s="1">
        <v>43915</v>
      </c>
      <c r="E3092" s="1">
        <v>45046</v>
      </c>
      <c r="F3092">
        <v>246</v>
      </c>
      <c r="G3092">
        <v>3</v>
      </c>
      <c r="H3092">
        <v>96.07</v>
      </c>
      <c r="I3092">
        <v>39.83</v>
      </c>
      <c r="J3092" t="s">
        <v>90</v>
      </c>
      <c r="K3092" t="s">
        <v>16</v>
      </c>
      <c r="L3092" t="s">
        <v>2087</v>
      </c>
      <c r="M3092">
        <v>9</v>
      </c>
      <c r="N3092" t="s">
        <v>204</v>
      </c>
      <c r="O3092" t="s">
        <v>2107</v>
      </c>
    </row>
    <row r="3093" spans="1:15">
      <c r="A3093" t="s">
        <v>4506</v>
      </c>
      <c r="B3093" t="s">
        <v>2097</v>
      </c>
      <c r="C3093" t="s">
        <v>2100</v>
      </c>
      <c r="D3093" s="1">
        <v>43785</v>
      </c>
      <c r="E3093" s="1">
        <v>45281</v>
      </c>
      <c r="F3093">
        <v>11</v>
      </c>
      <c r="G3093">
        <v>10</v>
      </c>
      <c r="H3093">
        <v>525.15</v>
      </c>
      <c r="I3093">
        <v>136.06</v>
      </c>
      <c r="J3093" t="s">
        <v>41</v>
      </c>
      <c r="K3093" t="s">
        <v>20</v>
      </c>
      <c r="L3093" t="s">
        <v>2095</v>
      </c>
      <c r="M3093">
        <v>9</v>
      </c>
      <c r="N3093" t="s">
        <v>174</v>
      </c>
      <c r="O3093" t="s">
        <v>2121</v>
      </c>
    </row>
    <row r="3094" spans="1:15">
      <c r="A3094" t="s">
        <v>571</v>
      </c>
      <c r="B3094" t="s">
        <v>2085</v>
      </c>
      <c r="C3094" t="s">
        <v>2100</v>
      </c>
      <c r="D3094" s="1">
        <v>44591</v>
      </c>
      <c r="E3094" s="1">
        <v>45254</v>
      </c>
      <c r="F3094">
        <v>38</v>
      </c>
      <c r="G3094">
        <v>17</v>
      </c>
      <c r="H3094">
        <v>1280.8699999999999</v>
      </c>
      <c r="I3094">
        <v>158.03</v>
      </c>
      <c r="J3094" t="s">
        <v>41</v>
      </c>
      <c r="K3094" t="s">
        <v>16</v>
      </c>
      <c r="L3094" t="s">
        <v>2087</v>
      </c>
      <c r="M3094">
        <v>0</v>
      </c>
      <c r="N3094" t="s">
        <v>194</v>
      </c>
      <c r="O3094" t="s">
        <v>2107</v>
      </c>
    </row>
    <row r="3095" spans="1:15">
      <c r="A3095" t="s">
        <v>4507</v>
      </c>
      <c r="B3095" t="s">
        <v>2085</v>
      </c>
      <c r="C3095" t="s">
        <v>2094</v>
      </c>
      <c r="D3095" s="1">
        <v>44763</v>
      </c>
      <c r="E3095" s="1">
        <v>44928</v>
      </c>
      <c r="F3095">
        <v>364</v>
      </c>
      <c r="G3095">
        <v>31</v>
      </c>
      <c r="H3095">
        <v>1437.54</v>
      </c>
      <c r="I3095">
        <v>163.9</v>
      </c>
      <c r="J3095" t="s">
        <v>90</v>
      </c>
      <c r="K3095" t="s">
        <v>16</v>
      </c>
      <c r="L3095" t="s">
        <v>2087</v>
      </c>
      <c r="M3095">
        <v>0</v>
      </c>
      <c r="N3095" t="s">
        <v>232</v>
      </c>
      <c r="O3095" t="s">
        <v>2109</v>
      </c>
    </row>
    <row r="3096" spans="1:15">
      <c r="A3096" t="s">
        <v>4508</v>
      </c>
      <c r="B3096" t="s">
        <v>2093</v>
      </c>
      <c r="C3096" t="s">
        <v>2086</v>
      </c>
      <c r="D3096" s="1">
        <v>44018</v>
      </c>
      <c r="E3096" s="1">
        <v>45108</v>
      </c>
      <c r="F3096">
        <v>184</v>
      </c>
      <c r="G3096">
        <v>5</v>
      </c>
      <c r="H3096">
        <v>102.6</v>
      </c>
      <c r="I3096">
        <v>55.71</v>
      </c>
      <c r="J3096" t="s">
        <v>90</v>
      </c>
      <c r="K3096" t="s">
        <v>16</v>
      </c>
      <c r="L3096" t="s">
        <v>2095</v>
      </c>
      <c r="M3096">
        <v>6</v>
      </c>
      <c r="N3096" t="s">
        <v>204</v>
      </c>
      <c r="O3096" t="s">
        <v>2096</v>
      </c>
    </row>
    <row r="3097" spans="1:15">
      <c r="A3097" t="s">
        <v>4509</v>
      </c>
      <c r="B3097" t="s">
        <v>2090</v>
      </c>
      <c r="C3097" t="s">
        <v>2086</v>
      </c>
      <c r="D3097" s="1">
        <v>44655</v>
      </c>
      <c r="E3097" s="1">
        <v>44985</v>
      </c>
      <c r="F3097">
        <v>307</v>
      </c>
      <c r="G3097">
        <v>6</v>
      </c>
      <c r="H3097">
        <v>320.33999999999997</v>
      </c>
      <c r="I3097">
        <v>114.86</v>
      </c>
      <c r="J3097" t="s">
        <v>115</v>
      </c>
      <c r="K3097" t="s">
        <v>16</v>
      </c>
      <c r="L3097" t="s">
        <v>2087</v>
      </c>
      <c r="M3097">
        <v>4</v>
      </c>
      <c r="N3097" t="s">
        <v>204</v>
      </c>
      <c r="O3097" t="s">
        <v>2107</v>
      </c>
    </row>
    <row r="3098" spans="1:15">
      <c r="A3098" t="s">
        <v>4510</v>
      </c>
      <c r="B3098" t="s">
        <v>2099</v>
      </c>
      <c r="C3098" t="s">
        <v>2086</v>
      </c>
      <c r="D3098" s="1">
        <v>44788</v>
      </c>
      <c r="E3098" s="1">
        <v>45197</v>
      </c>
      <c r="F3098">
        <v>95</v>
      </c>
      <c r="G3098">
        <v>2</v>
      </c>
      <c r="H3098">
        <v>67.430000000000007</v>
      </c>
      <c r="I3098">
        <v>69.12</v>
      </c>
      <c r="J3098" t="s">
        <v>66</v>
      </c>
      <c r="K3098" t="s">
        <v>20</v>
      </c>
      <c r="L3098" t="s">
        <v>2087</v>
      </c>
      <c r="M3098">
        <v>4</v>
      </c>
      <c r="N3098" t="s">
        <v>232</v>
      </c>
      <c r="O3098" t="s">
        <v>2088</v>
      </c>
    </row>
    <row r="3099" spans="1:15">
      <c r="A3099" t="s">
        <v>1785</v>
      </c>
      <c r="B3099" t="s">
        <v>2093</v>
      </c>
      <c r="C3099" t="s">
        <v>2091</v>
      </c>
      <c r="D3099" s="1">
        <v>44393</v>
      </c>
      <c r="E3099" s="1">
        <v>44986</v>
      </c>
      <c r="F3099">
        <v>306</v>
      </c>
      <c r="G3099">
        <v>3</v>
      </c>
      <c r="H3099">
        <v>183.54</v>
      </c>
      <c r="I3099">
        <v>72.33</v>
      </c>
      <c r="J3099" t="s">
        <v>14</v>
      </c>
      <c r="K3099" t="s">
        <v>20</v>
      </c>
      <c r="L3099" t="s">
        <v>2106</v>
      </c>
      <c r="M3099">
        <v>8</v>
      </c>
      <c r="N3099" t="s">
        <v>194</v>
      </c>
      <c r="O3099" t="s">
        <v>2121</v>
      </c>
    </row>
    <row r="3100" spans="1:15">
      <c r="A3100" t="s">
        <v>4511</v>
      </c>
      <c r="B3100" t="s">
        <v>2113</v>
      </c>
      <c r="C3100" t="s">
        <v>2094</v>
      </c>
      <c r="D3100" s="1">
        <v>45195</v>
      </c>
      <c r="E3100" s="1">
        <v>45216</v>
      </c>
      <c r="F3100">
        <v>76</v>
      </c>
      <c r="G3100">
        <v>17</v>
      </c>
      <c r="H3100">
        <v>132.26</v>
      </c>
      <c r="I3100">
        <v>51.76</v>
      </c>
      <c r="J3100" t="s">
        <v>41</v>
      </c>
      <c r="K3100" t="s">
        <v>16</v>
      </c>
      <c r="L3100" t="s">
        <v>2087</v>
      </c>
      <c r="M3100">
        <v>4</v>
      </c>
      <c r="N3100" t="s">
        <v>204</v>
      </c>
      <c r="O3100" t="s">
        <v>2109</v>
      </c>
    </row>
    <row r="3101" spans="1:15">
      <c r="A3101" t="s">
        <v>4512</v>
      </c>
      <c r="B3101" t="s">
        <v>2099</v>
      </c>
      <c r="C3101" t="s">
        <v>2091</v>
      </c>
      <c r="D3101" s="1">
        <v>43628</v>
      </c>
      <c r="E3101" s="1">
        <v>44999</v>
      </c>
      <c r="F3101">
        <v>293</v>
      </c>
      <c r="G3101">
        <v>2</v>
      </c>
      <c r="H3101">
        <v>50.81</v>
      </c>
      <c r="I3101">
        <v>71.22</v>
      </c>
      <c r="J3101" t="s">
        <v>115</v>
      </c>
      <c r="K3101" t="s">
        <v>16</v>
      </c>
      <c r="L3101" t="s">
        <v>2106</v>
      </c>
      <c r="M3101">
        <v>7</v>
      </c>
      <c r="N3101" t="s">
        <v>204</v>
      </c>
      <c r="O3101" t="s">
        <v>2121</v>
      </c>
    </row>
    <row r="3102" spans="1:15">
      <c r="A3102" t="s">
        <v>4513</v>
      </c>
      <c r="B3102" t="s">
        <v>2099</v>
      </c>
      <c r="C3102" t="s">
        <v>2086</v>
      </c>
      <c r="D3102" s="1">
        <v>43632</v>
      </c>
      <c r="E3102" s="1">
        <v>45207</v>
      </c>
      <c r="F3102">
        <v>85</v>
      </c>
      <c r="G3102">
        <v>1</v>
      </c>
      <c r="H3102">
        <v>122.11</v>
      </c>
      <c r="I3102">
        <v>93.4</v>
      </c>
      <c r="J3102" t="s">
        <v>115</v>
      </c>
      <c r="K3102" t="s">
        <v>16</v>
      </c>
      <c r="L3102" t="s">
        <v>2087</v>
      </c>
      <c r="M3102">
        <v>5</v>
      </c>
      <c r="N3102" t="s">
        <v>204</v>
      </c>
      <c r="O3102" t="s">
        <v>2088</v>
      </c>
    </row>
    <row r="3103" spans="1:15">
      <c r="A3103" t="s">
        <v>4514</v>
      </c>
      <c r="B3103" t="s">
        <v>2093</v>
      </c>
      <c r="C3103" t="s">
        <v>2086</v>
      </c>
      <c r="D3103" s="1">
        <v>44962</v>
      </c>
      <c r="E3103" s="1">
        <v>45022</v>
      </c>
      <c r="F3103">
        <v>270</v>
      </c>
      <c r="G3103">
        <v>5</v>
      </c>
      <c r="H3103">
        <v>174.22</v>
      </c>
      <c r="I3103">
        <v>33.26</v>
      </c>
      <c r="J3103" t="s">
        <v>14</v>
      </c>
      <c r="K3103" t="s">
        <v>20</v>
      </c>
      <c r="L3103" t="s">
        <v>2095</v>
      </c>
      <c r="M3103">
        <v>0</v>
      </c>
      <c r="N3103" t="s">
        <v>194</v>
      </c>
      <c r="O3103" t="s">
        <v>2088</v>
      </c>
    </row>
    <row r="3104" spans="1:15">
      <c r="A3104" t="s">
        <v>4515</v>
      </c>
      <c r="B3104" t="s">
        <v>2085</v>
      </c>
      <c r="C3104" t="s">
        <v>2100</v>
      </c>
      <c r="D3104" s="1">
        <v>44363</v>
      </c>
      <c r="E3104" s="1">
        <v>45044</v>
      </c>
      <c r="F3104">
        <v>248</v>
      </c>
      <c r="G3104">
        <v>22</v>
      </c>
      <c r="H3104">
        <v>1430.64</v>
      </c>
      <c r="I3104">
        <v>247.89</v>
      </c>
      <c r="J3104" t="s">
        <v>66</v>
      </c>
      <c r="K3104" t="s">
        <v>20</v>
      </c>
      <c r="L3104" t="s">
        <v>2087</v>
      </c>
      <c r="M3104">
        <v>4</v>
      </c>
      <c r="N3104" t="s">
        <v>174</v>
      </c>
      <c r="O3104" t="s">
        <v>2121</v>
      </c>
    </row>
    <row r="3105" spans="1:15">
      <c r="A3105" t="s">
        <v>4516</v>
      </c>
      <c r="B3105" t="s">
        <v>2093</v>
      </c>
      <c r="C3105" t="s">
        <v>2094</v>
      </c>
      <c r="D3105" s="1">
        <v>44086</v>
      </c>
      <c r="E3105" s="1">
        <v>45021</v>
      </c>
      <c r="F3105">
        <v>271</v>
      </c>
      <c r="G3105">
        <v>5</v>
      </c>
      <c r="H3105">
        <v>41.42</v>
      </c>
      <c r="I3105">
        <v>33.450000000000003</v>
      </c>
      <c r="J3105" t="s">
        <v>90</v>
      </c>
      <c r="K3105" t="s">
        <v>16</v>
      </c>
      <c r="L3105" t="s">
        <v>2106</v>
      </c>
      <c r="M3105">
        <v>7</v>
      </c>
      <c r="N3105" t="s">
        <v>174</v>
      </c>
      <c r="O3105" t="s">
        <v>2107</v>
      </c>
    </row>
    <row r="3106" spans="1:15">
      <c r="A3106" t="s">
        <v>4517</v>
      </c>
      <c r="B3106" t="s">
        <v>2097</v>
      </c>
      <c r="C3106" t="s">
        <v>2094</v>
      </c>
      <c r="D3106" s="1">
        <v>43579</v>
      </c>
      <c r="E3106" s="1">
        <v>45135</v>
      </c>
      <c r="F3106">
        <v>157</v>
      </c>
      <c r="G3106">
        <v>6</v>
      </c>
      <c r="H3106">
        <v>310.52999999999997</v>
      </c>
      <c r="I3106">
        <v>138.33000000000001</v>
      </c>
      <c r="J3106" t="s">
        <v>41</v>
      </c>
      <c r="K3106" t="s">
        <v>16</v>
      </c>
      <c r="L3106" t="s">
        <v>2087</v>
      </c>
      <c r="M3106">
        <v>3</v>
      </c>
      <c r="N3106" t="s">
        <v>165</v>
      </c>
      <c r="O3106" t="s">
        <v>2121</v>
      </c>
    </row>
    <row r="3107" spans="1:15">
      <c r="A3107" t="s">
        <v>4518</v>
      </c>
      <c r="B3107" t="s">
        <v>2090</v>
      </c>
      <c r="C3107" t="s">
        <v>2086</v>
      </c>
      <c r="D3107" s="1">
        <v>44664</v>
      </c>
      <c r="E3107" s="1">
        <v>45270</v>
      </c>
      <c r="F3107">
        <v>22</v>
      </c>
      <c r="G3107">
        <v>5</v>
      </c>
      <c r="H3107">
        <v>180.41</v>
      </c>
      <c r="I3107">
        <v>112.55</v>
      </c>
      <c r="J3107" t="s">
        <v>14</v>
      </c>
      <c r="K3107" t="s">
        <v>20</v>
      </c>
      <c r="L3107" t="s">
        <v>2087</v>
      </c>
      <c r="M3107">
        <v>2</v>
      </c>
      <c r="N3107" t="s">
        <v>232</v>
      </c>
      <c r="O3107" t="s">
        <v>2107</v>
      </c>
    </row>
    <row r="3108" spans="1:15">
      <c r="A3108" t="s">
        <v>1521</v>
      </c>
      <c r="B3108" t="s">
        <v>2093</v>
      </c>
      <c r="C3108" t="s">
        <v>2086</v>
      </c>
      <c r="D3108" s="1">
        <v>44541</v>
      </c>
      <c r="E3108" s="1">
        <v>45177</v>
      </c>
      <c r="F3108">
        <v>115</v>
      </c>
      <c r="G3108">
        <v>1</v>
      </c>
      <c r="H3108">
        <v>131.05000000000001</v>
      </c>
      <c r="I3108">
        <v>74.97</v>
      </c>
      <c r="J3108" t="s">
        <v>90</v>
      </c>
      <c r="K3108" t="s">
        <v>20</v>
      </c>
      <c r="L3108" t="s">
        <v>2087</v>
      </c>
      <c r="M3108">
        <v>10</v>
      </c>
      <c r="N3108" t="s">
        <v>204</v>
      </c>
      <c r="O3108" t="s">
        <v>2088</v>
      </c>
    </row>
    <row r="3109" spans="1:15">
      <c r="A3109" t="s">
        <v>4519</v>
      </c>
      <c r="B3109" t="s">
        <v>2093</v>
      </c>
      <c r="C3109" t="s">
        <v>2100</v>
      </c>
      <c r="D3109" s="1">
        <v>44441</v>
      </c>
      <c r="E3109" s="1">
        <v>45024</v>
      </c>
      <c r="F3109">
        <v>268</v>
      </c>
      <c r="G3109">
        <v>5</v>
      </c>
      <c r="H3109">
        <v>54.87</v>
      </c>
      <c r="I3109">
        <v>62.09</v>
      </c>
      <c r="J3109" t="s">
        <v>90</v>
      </c>
      <c r="K3109" t="s">
        <v>16</v>
      </c>
      <c r="L3109" t="s">
        <v>2095</v>
      </c>
      <c r="M3109">
        <v>9</v>
      </c>
      <c r="N3109" t="s">
        <v>204</v>
      </c>
      <c r="O3109" t="s">
        <v>2109</v>
      </c>
    </row>
    <row r="3110" spans="1:15">
      <c r="A3110" t="s">
        <v>886</v>
      </c>
      <c r="B3110" t="s">
        <v>2097</v>
      </c>
      <c r="C3110" t="s">
        <v>2100</v>
      </c>
      <c r="D3110" s="1">
        <v>45197</v>
      </c>
      <c r="E3110" s="1">
        <v>45124</v>
      </c>
      <c r="F3110">
        <v>168</v>
      </c>
      <c r="G3110">
        <v>11</v>
      </c>
      <c r="H3110">
        <v>621.08000000000004</v>
      </c>
      <c r="I3110">
        <v>136.76</v>
      </c>
      <c r="J3110" t="s">
        <v>14</v>
      </c>
      <c r="K3110" t="s">
        <v>20</v>
      </c>
      <c r="L3110" t="s">
        <v>2087</v>
      </c>
      <c r="M3110">
        <v>10</v>
      </c>
      <c r="N3110" t="s">
        <v>232</v>
      </c>
      <c r="O3110" t="s">
        <v>2109</v>
      </c>
    </row>
    <row r="3111" spans="1:15">
      <c r="A3111" t="s">
        <v>4520</v>
      </c>
      <c r="B3111" t="s">
        <v>2090</v>
      </c>
      <c r="C3111" t="s">
        <v>2108</v>
      </c>
      <c r="D3111" s="1">
        <v>43488</v>
      </c>
      <c r="E3111" s="1">
        <v>44955</v>
      </c>
      <c r="F3111">
        <v>337</v>
      </c>
      <c r="G3111">
        <v>8</v>
      </c>
      <c r="H3111">
        <v>184.29</v>
      </c>
      <c r="I3111">
        <v>66.8</v>
      </c>
      <c r="J3111" t="s">
        <v>66</v>
      </c>
      <c r="K3111" t="s">
        <v>16</v>
      </c>
      <c r="L3111" t="s">
        <v>2087</v>
      </c>
      <c r="M3111">
        <v>10</v>
      </c>
      <c r="N3111" t="s">
        <v>174</v>
      </c>
      <c r="O3111" t="s">
        <v>2109</v>
      </c>
    </row>
    <row r="3112" spans="1:15">
      <c r="A3112" t="s">
        <v>4521</v>
      </c>
      <c r="B3112" t="s">
        <v>2093</v>
      </c>
      <c r="C3112" t="s">
        <v>2108</v>
      </c>
      <c r="D3112" s="1">
        <v>44714</v>
      </c>
      <c r="E3112" s="1">
        <v>44940</v>
      </c>
      <c r="F3112">
        <v>352</v>
      </c>
      <c r="G3112">
        <v>2</v>
      </c>
      <c r="H3112">
        <v>132.1</v>
      </c>
      <c r="I3112">
        <v>29.42</v>
      </c>
      <c r="J3112" t="s">
        <v>14</v>
      </c>
      <c r="K3112" t="s">
        <v>16</v>
      </c>
      <c r="L3112" t="s">
        <v>2087</v>
      </c>
      <c r="M3112">
        <v>9</v>
      </c>
      <c r="N3112" t="s">
        <v>157</v>
      </c>
      <c r="O3112" t="s">
        <v>2107</v>
      </c>
    </row>
    <row r="3113" spans="1:15">
      <c r="A3113" t="s">
        <v>4522</v>
      </c>
      <c r="B3113" t="s">
        <v>2093</v>
      </c>
      <c r="C3113" t="s">
        <v>2094</v>
      </c>
      <c r="D3113" s="1">
        <v>44524</v>
      </c>
      <c r="E3113" s="1">
        <v>45008</v>
      </c>
      <c r="F3113">
        <v>284</v>
      </c>
      <c r="G3113">
        <v>2</v>
      </c>
      <c r="H3113">
        <v>98.81</v>
      </c>
      <c r="I3113">
        <v>28.86</v>
      </c>
      <c r="J3113" t="s">
        <v>66</v>
      </c>
      <c r="K3113" t="s">
        <v>16</v>
      </c>
      <c r="L3113" t="s">
        <v>2095</v>
      </c>
      <c r="M3113">
        <v>0</v>
      </c>
      <c r="N3113" t="s">
        <v>194</v>
      </c>
      <c r="O3113" t="s">
        <v>2088</v>
      </c>
    </row>
    <row r="3114" spans="1:15">
      <c r="A3114" t="s">
        <v>432</v>
      </c>
      <c r="B3114" t="s">
        <v>2113</v>
      </c>
      <c r="C3114" t="s">
        <v>2100</v>
      </c>
      <c r="D3114" s="1">
        <v>43713</v>
      </c>
      <c r="E3114" s="1">
        <v>44961</v>
      </c>
      <c r="F3114">
        <v>331</v>
      </c>
      <c r="G3114">
        <v>7</v>
      </c>
      <c r="H3114">
        <v>468.92</v>
      </c>
      <c r="I3114">
        <v>51.27</v>
      </c>
      <c r="J3114" t="s">
        <v>90</v>
      </c>
      <c r="K3114" t="s">
        <v>16</v>
      </c>
      <c r="L3114" t="s">
        <v>2095</v>
      </c>
      <c r="M3114">
        <v>9</v>
      </c>
      <c r="N3114" t="s">
        <v>232</v>
      </c>
      <c r="O3114" t="s">
        <v>2109</v>
      </c>
    </row>
    <row r="3115" spans="1:15">
      <c r="A3115" t="s">
        <v>4523</v>
      </c>
      <c r="B3115" t="s">
        <v>2097</v>
      </c>
      <c r="C3115" t="s">
        <v>2086</v>
      </c>
      <c r="D3115" s="1">
        <v>43651</v>
      </c>
      <c r="E3115" s="1">
        <v>45229</v>
      </c>
      <c r="F3115">
        <v>63</v>
      </c>
      <c r="G3115">
        <v>7</v>
      </c>
      <c r="H3115">
        <v>671.01</v>
      </c>
      <c r="I3115">
        <v>81.569999999999993</v>
      </c>
      <c r="J3115" t="s">
        <v>90</v>
      </c>
      <c r="K3115" t="s">
        <v>20</v>
      </c>
      <c r="L3115" t="s">
        <v>2095</v>
      </c>
      <c r="M3115">
        <v>8</v>
      </c>
      <c r="N3115" t="s">
        <v>165</v>
      </c>
      <c r="O3115" t="s">
        <v>2088</v>
      </c>
    </row>
    <row r="3116" spans="1:15">
      <c r="A3116" t="s">
        <v>321</v>
      </c>
      <c r="B3116" t="s">
        <v>2113</v>
      </c>
      <c r="C3116" t="s">
        <v>2108</v>
      </c>
      <c r="D3116" s="1">
        <v>45032</v>
      </c>
      <c r="E3116" s="1">
        <v>45029</v>
      </c>
      <c r="F3116">
        <v>263</v>
      </c>
      <c r="G3116">
        <v>5</v>
      </c>
      <c r="H3116">
        <v>347.42</v>
      </c>
      <c r="I3116">
        <v>65.59</v>
      </c>
      <c r="J3116" t="s">
        <v>115</v>
      </c>
      <c r="K3116" t="s">
        <v>16</v>
      </c>
      <c r="L3116" t="s">
        <v>2087</v>
      </c>
      <c r="M3116">
        <v>3</v>
      </c>
      <c r="N3116" t="s">
        <v>165</v>
      </c>
      <c r="O3116" t="s">
        <v>2109</v>
      </c>
    </row>
    <row r="3117" spans="1:15">
      <c r="A3117" t="s">
        <v>4524</v>
      </c>
      <c r="B3117" t="s">
        <v>2113</v>
      </c>
      <c r="C3117" t="s">
        <v>2094</v>
      </c>
      <c r="D3117" s="1">
        <v>45248</v>
      </c>
      <c r="E3117" s="1">
        <v>45244</v>
      </c>
      <c r="F3117">
        <v>48</v>
      </c>
      <c r="G3117">
        <v>20</v>
      </c>
      <c r="H3117">
        <v>170.97</v>
      </c>
      <c r="I3117">
        <v>56.08</v>
      </c>
      <c r="J3117" t="s">
        <v>14</v>
      </c>
      <c r="K3117" t="s">
        <v>16</v>
      </c>
      <c r="L3117" t="s">
        <v>2106</v>
      </c>
      <c r="M3117">
        <v>0</v>
      </c>
      <c r="N3117" t="s">
        <v>194</v>
      </c>
      <c r="O3117" t="s">
        <v>2096</v>
      </c>
    </row>
    <row r="3118" spans="1:15">
      <c r="A3118" t="s">
        <v>1132</v>
      </c>
      <c r="B3118" t="s">
        <v>2097</v>
      </c>
      <c r="C3118" t="s">
        <v>2091</v>
      </c>
      <c r="D3118" s="1">
        <v>43838</v>
      </c>
      <c r="E3118" s="1">
        <v>44960</v>
      </c>
      <c r="F3118">
        <v>332</v>
      </c>
      <c r="G3118">
        <v>3</v>
      </c>
      <c r="H3118">
        <v>415.68</v>
      </c>
      <c r="I3118">
        <v>91.54</v>
      </c>
      <c r="J3118" t="s">
        <v>115</v>
      </c>
      <c r="K3118" t="s">
        <v>16</v>
      </c>
      <c r="L3118" t="s">
        <v>2087</v>
      </c>
      <c r="M3118">
        <v>6</v>
      </c>
      <c r="N3118" t="s">
        <v>232</v>
      </c>
      <c r="O3118" t="s">
        <v>2107</v>
      </c>
    </row>
    <row r="3119" spans="1:15">
      <c r="A3119" t="s">
        <v>4525</v>
      </c>
      <c r="B3119" t="s">
        <v>2090</v>
      </c>
      <c r="C3119" t="s">
        <v>2086</v>
      </c>
      <c r="D3119" s="1">
        <v>43841</v>
      </c>
      <c r="E3119" s="1">
        <v>45174</v>
      </c>
      <c r="F3119">
        <v>118</v>
      </c>
      <c r="G3119">
        <v>5</v>
      </c>
      <c r="H3119">
        <v>330.04</v>
      </c>
      <c r="I3119">
        <v>106.24</v>
      </c>
      <c r="J3119" t="s">
        <v>66</v>
      </c>
      <c r="K3119" t="s">
        <v>16</v>
      </c>
      <c r="L3119" t="s">
        <v>2087</v>
      </c>
      <c r="M3119">
        <v>9</v>
      </c>
      <c r="N3119" t="s">
        <v>179</v>
      </c>
      <c r="O3119" t="s">
        <v>2088</v>
      </c>
    </row>
    <row r="3120" spans="1:15">
      <c r="A3120" t="s">
        <v>4526</v>
      </c>
      <c r="B3120" t="s">
        <v>2097</v>
      </c>
      <c r="C3120" t="s">
        <v>2094</v>
      </c>
      <c r="D3120" s="1">
        <v>44640</v>
      </c>
      <c r="E3120" s="1">
        <v>45014</v>
      </c>
      <c r="F3120">
        <v>278</v>
      </c>
      <c r="G3120">
        <v>4</v>
      </c>
      <c r="H3120">
        <v>337.71</v>
      </c>
      <c r="I3120">
        <v>146.04</v>
      </c>
      <c r="J3120" t="s">
        <v>14</v>
      </c>
      <c r="K3120" t="s">
        <v>16</v>
      </c>
      <c r="L3120" t="s">
        <v>2087</v>
      </c>
      <c r="M3120">
        <v>1</v>
      </c>
      <c r="N3120" t="s">
        <v>204</v>
      </c>
      <c r="O3120" t="s">
        <v>2107</v>
      </c>
    </row>
    <row r="3121" spans="1:15">
      <c r="A3121" t="s">
        <v>4527</v>
      </c>
      <c r="B3121" t="s">
        <v>2085</v>
      </c>
      <c r="C3121" t="s">
        <v>2086</v>
      </c>
      <c r="D3121" s="1">
        <v>44625</v>
      </c>
      <c r="E3121" s="1">
        <v>44945</v>
      </c>
      <c r="F3121">
        <v>347</v>
      </c>
      <c r="G3121">
        <v>39</v>
      </c>
      <c r="H3121">
        <v>2750</v>
      </c>
      <c r="I3121">
        <v>237.7</v>
      </c>
      <c r="J3121" t="s">
        <v>66</v>
      </c>
      <c r="K3121" t="s">
        <v>20</v>
      </c>
      <c r="L3121" t="s">
        <v>2095</v>
      </c>
      <c r="M3121">
        <v>0</v>
      </c>
      <c r="N3121" t="s">
        <v>204</v>
      </c>
      <c r="O3121" t="s">
        <v>2088</v>
      </c>
    </row>
    <row r="3122" spans="1:15">
      <c r="A3122" t="s">
        <v>4528</v>
      </c>
      <c r="B3122" t="s">
        <v>2113</v>
      </c>
      <c r="C3122" t="s">
        <v>2111</v>
      </c>
      <c r="D3122" s="1">
        <v>45028</v>
      </c>
      <c r="E3122" s="1">
        <v>45191</v>
      </c>
      <c r="F3122">
        <v>101</v>
      </c>
      <c r="G3122">
        <v>11</v>
      </c>
      <c r="H3122">
        <v>588.89</v>
      </c>
      <c r="I3122">
        <v>51.25</v>
      </c>
      <c r="J3122" t="s">
        <v>90</v>
      </c>
      <c r="K3122" t="s">
        <v>16</v>
      </c>
      <c r="L3122" t="s">
        <v>2095</v>
      </c>
      <c r="M3122">
        <v>3</v>
      </c>
      <c r="N3122" t="s">
        <v>232</v>
      </c>
      <c r="O3122" t="s">
        <v>2109</v>
      </c>
    </row>
    <row r="3123" spans="1:15">
      <c r="A3123" t="s">
        <v>4529</v>
      </c>
      <c r="B3123" t="s">
        <v>2099</v>
      </c>
      <c r="C3123" t="s">
        <v>2100</v>
      </c>
      <c r="D3123" s="1">
        <v>44283</v>
      </c>
      <c r="E3123" s="1">
        <v>45170</v>
      </c>
      <c r="F3123">
        <v>122</v>
      </c>
      <c r="G3123">
        <v>2</v>
      </c>
      <c r="H3123">
        <v>106.67</v>
      </c>
      <c r="I3123">
        <v>23.67</v>
      </c>
      <c r="J3123" t="s">
        <v>66</v>
      </c>
      <c r="K3123" t="s">
        <v>16</v>
      </c>
      <c r="L3123" t="s">
        <v>2106</v>
      </c>
      <c r="M3123">
        <v>5</v>
      </c>
      <c r="N3123" t="s">
        <v>204</v>
      </c>
      <c r="O3123" t="s">
        <v>2107</v>
      </c>
    </row>
    <row r="3124" spans="1:15">
      <c r="A3124" t="s">
        <v>4530</v>
      </c>
      <c r="B3124" t="s">
        <v>2093</v>
      </c>
      <c r="C3124" t="s">
        <v>2108</v>
      </c>
      <c r="D3124" s="1">
        <v>44118</v>
      </c>
      <c r="E3124" s="1">
        <v>45254</v>
      </c>
      <c r="F3124">
        <v>38</v>
      </c>
      <c r="G3124">
        <v>3</v>
      </c>
      <c r="H3124">
        <v>79.400000000000006</v>
      </c>
      <c r="I3124">
        <v>68.650000000000006</v>
      </c>
      <c r="J3124" t="s">
        <v>90</v>
      </c>
      <c r="K3124" t="s">
        <v>16</v>
      </c>
      <c r="L3124" t="s">
        <v>2106</v>
      </c>
      <c r="M3124">
        <v>2</v>
      </c>
      <c r="N3124" t="s">
        <v>194</v>
      </c>
      <c r="O3124" t="s">
        <v>2096</v>
      </c>
    </row>
    <row r="3125" spans="1:15">
      <c r="A3125" t="s">
        <v>4531</v>
      </c>
      <c r="B3125" t="s">
        <v>2113</v>
      </c>
      <c r="C3125" t="s">
        <v>2108</v>
      </c>
      <c r="D3125" s="1">
        <v>45110</v>
      </c>
      <c r="E3125" s="1">
        <v>45199</v>
      </c>
      <c r="F3125">
        <v>93</v>
      </c>
      <c r="G3125">
        <v>6</v>
      </c>
      <c r="H3125">
        <v>189.42</v>
      </c>
      <c r="I3125">
        <v>64.42</v>
      </c>
      <c r="J3125" t="s">
        <v>115</v>
      </c>
      <c r="K3125" t="s">
        <v>20</v>
      </c>
      <c r="L3125" t="s">
        <v>2106</v>
      </c>
      <c r="M3125">
        <v>8</v>
      </c>
      <c r="N3125" t="s">
        <v>174</v>
      </c>
      <c r="O3125" t="s">
        <v>2096</v>
      </c>
    </row>
    <row r="3126" spans="1:15">
      <c r="A3126" t="s">
        <v>1035</v>
      </c>
      <c r="B3126" t="s">
        <v>2093</v>
      </c>
      <c r="C3126" t="s">
        <v>2091</v>
      </c>
      <c r="D3126" s="1">
        <v>44548</v>
      </c>
      <c r="E3126" s="1">
        <v>45156</v>
      </c>
      <c r="F3126">
        <v>136</v>
      </c>
      <c r="G3126">
        <v>5</v>
      </c>
      <c r="H3126">
        <v>185.03</v>
      </c>
      <c r="I3126">
        <v>68.36</v>
      </c>
      <c r="J3126" t="s">
        <v>41</v>
      </c>
      <c r="K3126" t="s">
        <v>16</v>
      </c>
      <c r="L3126" t="s">
        <v>2087</v>
      </c>
      <c r="M3126">
        <v>8</v>
      </c>
      <c r="N3126" t="s">
        <v>194</v>
      </c>
      <c r="O3126" t="s">
        <v>2121</v>
      </c>
    </row>
    <row r="3127" spans="1:15">
      <c r="A3127" t="s">
        <v>1930</v>
      </c>
      <c r="B3127" t="s">
        <v>2099</v>
      </c>
      <c r="C3127" t="s">
        <v>2111</v>
      </c>
      <c r="D3127" s="1">
        <v>44056</v>
      </c>
      <c r="E3127" s="1">
        <v>44985</v>
      </c>
      <c r="F3127">
        <v>307</v>
      </c>
      <c r="G3127">
        <v>1</v>
      </c>
      <c r="H3127">
        <v>26.04</v>
      </c>
      <c r="I3127">
        <v>21.7</v>
      </c>
      <c r="J3127" t="s">
        <v>66</v>
      </c>
      <c r="K3127" t="s">
        <v>16</v>
      </c>
      <c r="L3127" t="s">
        <v>2087</v>
      </c>
      <c r="M3127">
        <v>0</v>
      </c>
      <c r="N3127" t="s">
        <v>179</v>
      </c>
      <c r="O3127" t="s">
        <v>2109</v>
      </c>
    </row>
    <row r="3128" spans="1:15">
      <c r="A3128" t="s">
        <v>4532</v>
      </c>
      <c r="B3128" t="s">
        <v>2093</v>
      </c>
      <c r="C3128" t="s">
        <v>2086</v>
      </c>
      <c r="D3128" s="1">
        <v>44242</v>
      </c>
      <c r="E3128" s="1">
        <v>44934</v>
      </c>
      <c r="F3128">
        <v>358</v>
      </c>
      <c r="G3128">
        <v>3</v>
      </c>
      <c r="H3128">
        <v>128.58000000000001</v>
      </c>
      <c r="I3128">
        <v>27.02</v>
      </c>
      <c r="J3128" t="s">
        <v>14</v>
      </c>
      <c r="K3128" t="s">
        <v>16</v>
      </c>
      <c r="L3128" t="s">
        <v>2106</v>
      </c>
      <c r="M3128">
        <v>1</v>
      </c>
      <c r="N3128" t="s">
        <v>174</v>
      </c>
      <c r="O3128" t="s">
        <v>2121</v>
      </c>
    </row>
    <row r="3129" spans="1:15">
      <c r="A3129" t="s">
        <v>4533</v>
      </c>
      <c r="B3129" t="s">
        <v>2093</v>
      </c>
      <c r="C3129" t="s">
        <v>2108</v>
      </c>
      <c r="D3129" s="1">
        <v>43648</v>
      </c>
      <c r="E3129" s="1">
        <v>45045</v>
      </c>
      <c r="F3129">
        <v>247</v>
      </c>
      <c r="G3129">
        <v>3</v>
      </c>
      <c r="H3129">
        <v>137.05000000000001</v>
      </c>
      <c r="I3129">
        <v>78.150000000000006</v>
      </c>
      <c r="J3129" t="s">
        <v>66</v>
      </c>
      <c r="K3129" t="s">
        <v>16</v>
      </c>
      <c r="L3129" t="s">
        <v>2106</v>
      </c>
      <c r="M3129">
        <v>4</v>
      </c>
      <c r="N3129" t="s">
        <v>204</v>
      </c>
      <c r="O3129" t="s">
        <v>2121</v>
      </c>
    </row>
    <row r="3130" spans="1:15">
      <c r="A3130" t="s">
        <v>4534</v>
      </c>
      <c r="B3130" t="s">
        <v>2085</v>
      </c>
      <c r="C3130" t="s">
        <v>2094</v>
      </c>
      <c r="D3130" s="1">
        <v>44153</v>
      </c>
      <c r="E3130" s="1">
        <v>45209</v>
      </c>
      <c r="F3130">
        <v>83</v>
      </c>
      <c r="G3130">
        <v>13</v>
      </c>
      <c r="H3130">
        <v>891.15</v>
      </c>
      <c r="I3130">
        <v>265.85000000000002</v>
      </c>
      <c r="J3130" t="s">
        <v>14</v>
      </c>
      <c r="K3130" t="s">
        <v>20</v>
      </c>
      <c r="L3130" t="s">
        <v>2106</v>
      </c>
      <c r="M3130">
        <v>9</v>
      </c>
      <c r="N3130" t="s">
        <v>157</v>
      </c>
      <c r="O3130" t="s">
        <v>2107</v>
      </c>
    </row>
    <row r="3131" spans="1:15">
      <c r="A3131" t="s">
        <v>4535</v>
      </c>
      <c r="B3131" t="s">
        <v>2093</v>
      </c>
      <c r="C3131" t="s">
        <v>2108</v>
      </c>
      <c r="D3131" s="1">
        <v>44634</v>
      </c>
      <c r="E3131" s="1">
        <v>45245</v>
      </c>
      <c r="F3131">
        <v>47</v>
      </c>
      <c r="G3131">
        <v>4</v>
      </c>
      <c r="H3131">
        <v>33.93</v>
      </c>
      <c r="I3131">
        <v>72.45</v>
      </c>
      <c r="J3131" t="s">
        <v>14</v>
      </c>
      <c r="K3131" t="s">
        <v>20</v>
      </c>
      <c r="L3131" t="s">
        <v>2087</v>
      </c>
      <c r="M3131">
        <v>4</v>
      </c>
      <c r="N3131" t="s">
        <v>232</v>
      </c>
      <c r="O3131" t="s">
        <v>2121</v>
      </c>
    </row>
    <row r="3132" spans="1:15">
      <c r="A3132" t="s">
        <v>4536</v>
      </c>
      <c r="B3132" t="s">
        <v>2090</v>
      </c>
      <c r="C3132" t="s">
        <v>2108</v>
      </c>
      <c r="D3132" s="1">
        <v>44979</v>
      </c>
      <c r="E3132" s="1">
        <v>45283</v>
      </c>
      <c r="F3132">
        <v>9</v>
      </c>
      <c r="G3132">
        <v>3</v>
      </c>
      <c r="H3132">
        <v>186.25</v>
      </c>
      <c r="I3132">
        <v>91.93</v>
      </c>
      <c r="J3132" t="s">
        <v>115</v>
      </c>
      <c r="K3132" t="s">
        <v>16</v>
      </c>
      <c r="L3132" t="s">
        <v>2106</v>
      </c>
      <c r="M3132">
        <v>3</v>
      </c>
      <c r="N3132" t="s">
        <v>179</v>
      </c>
      <c r="O3132" t="s">
        <v>2109</v>
      </c>
    </row>
    <row r="3133" spans="1:15">
      <c r="A3133" t="s">
        <v>4537</v>
      </c>
      <c r="B3133" t="s">
        <v>2097</v>
      </c>
      <c r="C3133" t="s">
        <v>2094</v>
      </c>
      <c r="D3133" s="1">
        <v>43752</v>
      </c>
      <c r="E3133" s="1">
        <v>45011</v>
      </c>
      <c r="F3133">
        <v>281</v>
      </c>
      <c r="G3133">
        <v>11</v>
      </c>
      <c r="H3133">
        <v>291.39999999999998</v>
      </c>
      <c r="I3133">
        <v>79.290000000000006</v>
      </c>
      <c r="J3133" t="s">
        <v>66</v>
      </c>
      <c r="K3133" t="s">
        <v>16</v>
      </c>
      <c r="L3133" t="s">
        <v>2106</v>
      </c>
      <c r="M3133">
        <v>1</v>
      </c>
      <c r="N3133" t="s">
        <v>204</v>
      </c>
      <c r="O3133" t="s">
        <v>2096</v>
      </c>
    </row>
    <row r="3134" spans="1:15">
      <c r="A3134" t="s">
        <v>4538</v>
      </c>
      <c r="B3134" t="s">
        <v>2090</v>
      </c>
      <c r="C3134" t="s">
        <v>2108</v>
      </c>
      <c r="D3134" s="1">
        <v>45068</v>
      </c>
      <c r="E3134" s="1">
        <v>45078</v>
      </c>
      <c r="F3134">
        <v>214</v>
      </c>
      <c r="G3134">
        <v>7</v>
      </c>
      <c r="H3134">
        <v>150.69999999999999</v>
      </c>
      <c r="I3134">
        <v>67.959999999999994</v>
      </c>
      <c r="J3134" t="s">
        <v>41</v>
      </c>
      <c r="K3134" t="s">
        <v>16</v>
      </c>
      <c r="L3134" t="s">
        <v>2087</v>
      </c>
      <c r="M3134">
        <v>10</v>
      </c>
      <c r="N3134" t="s">
        <v>165</v>
      </c>
      <c r="O3134" t="s">
        <v>2088</v>
      </c>
    </row>
    <row r="3135" spans="1:15">
      <c r="A3135" t="s">
        <v>4539</v>
      </c>
      <c r="B3135" t="s">
        <v>2093</v>
      </c>
      <c r="C3135" t="s">
        <v>2111</v>
      </c>
      <c r="D3135" s="1">
        <v>44710</v>
      </c>
      <c r="E3135" s="1">
        <v>44945</v>
      </c>
      <c r="F3135">
        <v>347</v>
      </c>
      <c r="G3135">
        <v>4</v>
      </c>
      <c r="H3135">
        <v>98.23</v>
      </c>
      <c r="I3135">
        <v>34.869999999999997</v>
      </c>
      <c r="J3135" t="s">
        <v>14</v>
      </c>
      <c r="K3135" t="s">
        <v>16</v>
      </c>
      <c r="L3135" t="s">
        <v>2087</v>
      </c>
      <c r="M3135">
        <v>3</v>
      </c>
      <c r="N3135" t="s">
        <v>232</v>
      </c>
      <c r="O3135" t="s">
        <v>2088</v>
      </c>
    </row>
    <row r="3136" spans="1:15">
      <c r="A3136" t="s">
        <v>4540</v>
      </c>
      <c r="B3136" t="s">
        <v>2085</v>
      </c>
      <c r="C3136" t="s">
        <v>2086</v>
      </c>
      <c r="D3136" s="1">
        <v>44949</v>
      </c>
      <c r="E3136" s="1">
        <v>45208</v>
      </c>
      <c r="F3136">
        <v>84</v>
      </c>
      <c r="G3136">
        <v>20</v>
      </c>
      <c r="H3136">
        <v>2343.25</v>
      </c>
      <c r="I3136">
        <v>274.60000000000002</v>
      </c>
      <c r="J3136" t="s">
        <v>90</v>
      </c>
      <c r="K3136" t="s">
        <v>16</v>
      </c>
      <c r="L3136" t="s">
        <v>2106</v>
      </c>
      <c r="M3136">
        <v>2</v>
      </c>
      <c r="N3136" t="s">
        <v>179</v>
      </c>
      <c r="O3136" t="s">
        <v>2121</v>
      </c>
    </row>
    <row r="3137" spans="1:15">
      <c r="A3137" t="s">
        <v>1507</v>
      </c>
      <c r="B3137" t="s">
        <v>2085</v>
      </c>
      <c r="C3137" t="s">
        <v>2111</v>
      </c>
      <c r="D3137" s="1">
        <v>43690</v>
      </c>
      <c r="E3137" s="1">
        <v>45151</v>
      </c>
      <c r="F3137">
        <v>141</v>
      </c>
      <c r="G3137">
        <v>21</v>
      </c>
      <c r="H3137">
        <v>822.54</v>
      </c>
      <c r="I3137">
        <v>215.07</v>
      </c>
      <c r="J3137" t="s">
        <v>115</v>
      </c>
      <c r="K3137" t="s">
        <v>20</v>
      </c>
      <c r="L3137" t="s">
        <v>2106</v>
      </c>
      <c r="M3137">
        <v>7</v>
      </c>
      <c r="N3137" t="s">
        <v>157</v>
      </c>
      <c r="O3137" t="s">
        <v>2096</v>
      </c>
    </row>
    <row r="3138" spans="1:15">
      <c r="A3138" t="s">
        <v>4541</v>
      </c>
      <c r="B3138" t="s">
        <v>2099</v>
      </c>
      <c r="C3138" t="s">
        <v>2100</v>
      </c>
      <c r="D3138" s="1">
        <v>43702</v>
      </c>
      <c r="E3138" s="1">
        <v>45130</v>
      </c>
      <c r="F3138">
        <v>162</v>
      </c>
      <c r="G3138">
        <v>1</v>
      </c>
      <c r="H3138">
        <v>143.81</v>
      </c>
      <c r="I3138">
        <v>60.09</v>
      </c>
      <c r="J3138" t="s">
        <v>115</v>
      </c>
      <c r="K3138" t="s">
        <v>20</v>
      </c>
      <c r="L3138" t="s">
        <v>2095</v>
      </c>
      <c r="M3138">
        <v>3</v>
      </c>
      <c r="N3138" t="s">
        <v>174</v>
      </c>
      <c r="O3138" t="s">
        <v>2107</v>
      </c>
    </row>
    <row r="3139" spans="1:15">
      <c r="A3139" t="s">
        <v>4542</v>
      </c>
      <c r="B3139" t="s">
        <v>2093</v>
      </c>
      <c r="C3139" t="s">
        <v>2086</v>
      </c>
      <c r="D3139" s="1">
        <v>44857</v>
      </c>
      <c r="E3139" s="1">
        <v>45019</v>
      </c>
      <c r="F3139">
        <v>273</v>
      </c>
      <c r="G3139">
        <v>5</v>
      </c>
      <c r="H3139">
        <v>79.989999999999995</v>
      </c>
      <c r="I3139">
        <v>56.16</v>
      </c>
      <c r="J3139" t="s">
        <v>14</v>
      </c>
      <c r="K3139" t="s">
        <v>16</v>
      </c>
      <c r="L3139" t="s">
        <v>2095</v>
      </c>
      <c r="M3139">
        <v>1</v>
      </c>
      <c r="N3139" t="s">
        <v>204</v>
      </c>
      <c r="O3139" t="s">
        <v>2121</v>
      </c>
    </row>
    <row r="3140" spans="1:15">
      <c r="A3140" t="s">
        <v>4543</v>
      </c>
      <c r="B3140" t="s">
        <v>2113</v>
      </c>
      <c r="C3140" t="s">
        <v>2100</v>
      </c>
      <c r="D3140" s="1">
        <v>43780</v>
      </c>
      <c r="E3140" s="1">
        <v>45116</v>
      </c>
      <c r="F3140">
        <v>176</v>
      </c>
      <c r="G3140">
        <v>13</v>
      </c>
      <c r="H3140">
        <v>563.74</v>
      </c>
      <c r="I3140">
        <v>49.25</v>
      </c>
      <c r="J3140" t="s">
        <v>41</v>
      </c>
      <c r="K3140" t="s">
        <v>16</v>
      </c>
      <c r="L3140" t="s">
        <v>2095</v>
      </c>
      <c r="M3140">
        <v>5</v>
      </c>
      <c r="N3140" t="s">
        <v>157</v>
      </c>
      <c r="O3140" t="s">
        <v>2109</v>
      </c>
    </row>
    <row r="3141" spans="1:15">
      <c r="A3141" t="s">
        <v>1803</v>
      </c>
      <c r="B3141" t="s">
        <v>2085</v>
      </c>
      <c r="C3141" t="s">
        <v>2091</v>
      </c>
      <c r="D3141" s="1">
        <v>44392</v>
      </c>
      <c r="E3141" s="1">
        <v>45129</v>
      </c>
      <c r="F3141">
        <v>163</v>
      </c>
      <c r="G3141">
        <v>16</v>
      </c>
      <c r="H3141">
        <v>1771.03</v>
      </c>
      <c r="I3141">
        <v>218.7</v>
      </c>
      <c r="J3141" t="s">
        <v>41</v>
      </c>
      <c r="K3141" t="s">
        <v>20</v>
      </c>
      <c r="L3141" t="s">
        <v>2087</v>
      </c>
      <c r="M3141">
        <v>7</v>
      </c>
      <c r="N3141" t="s">
        <v>179</v>
      </c>
      <c r="O3141" t="s">
        <v>2088</v>
      </c>
    </row>
    <row r="3142" spans="1:15">
      <c r="A3142" t="s">
        <v>4544</v>
      </c>
      <c r="B3142" t="s">
        <v>2113</v>
      </c>
      <c r="C3142" t="s">
        <v>2086</v>
      </c>
      <c r="D3142" s="1">
        <v>43588</v>
      </c>
      <c r="E3142" s="1">
        <v>45250</v>
      </c>
      <c r="F3142">
        <v>42</v>
      </c>
      <c r="G3142">
        <v>20</v>
      </c>
      <c r="H3142">
        <v>240.05</v>
      </c>
      <c r="I3142">
        <v>31.86</v>
      </c>
      <c r="J3142" t="s">
        <v>115</v>
      </c>
      <c r="K3142" t="s">
        <v>20</v>
      </c>
      <c r="L3142" t="s">
        <v>2087</v>
      </c>
      <c r="M3142">
        <v>1</v>
      </c>
      <c r="N3142" t="s">
        <v>204</v>
      </c>
      <c r="O3142" t="s">
        <v>2107</v>
      </c>
    </row>
    <row r="3143" spans="1:15">
      <c r="A3143" t="s">
        <v>220</v>
      </c>
      <c r="B3143" t="s">
        <v>2093</v>
      </c>
      <c r="C3143" t="s">
        <v>2100</v>
      </c>
      <c r="D3143" s="1">
        <v>44481</v>
      </c>
      <c r="E3143" s="1">
        <v>44975</v>
      </c>
      <c r="F3143">
        <v>317</v>
      </c>
      <c r="G3143">
        <v>2</v>
      </c>
      <c r="H3143">
        <v>45.22</v>
      </c>
      <c r="I3143">
        <v>40.21</v>
      </c>
      <c r="J3143" t="s">
        <v>14</v>
      </c>
      <c r="K3143" t="s">
        <v>16</v>
      </c>
      <c r="L3143" t="s">
        <v>2095</v>
      </c>
      <c r="M3143">
        <v>6</v>
      </c>
      <c r="N3143" t="s">
        <v>179</v>
      </c>
      <c r="O3143" t="s">
        <v>2096</v>
      </c>
    </row>
    <row r="3144" spans="1:15">
      <c r="A3144" t="s">
        <v>4545</v>
      </c>
      <c r="B3144" t="s">
        <v>2113</v>
      </c>
      <c r="C3144" t="s">
        <v>2094</v>
      </c>
      <c r="D3144" s="1">
        <v>44147</v>
      </c>
      <c r="E3144" s="1">
        <v>44945</v>
      </c>
      <c r="F3144">
        <v>347</v>
      </c>
      <c r="G3144">
        <v>13</v>
      </c>
      <c r="H3144">
        <v>323.89999999999998</v>
      </c>
      <c r="I3144">
        <v>74.83</v>
      </c>
      <c r="J3144" t="s">
        <v>66</v>
      </c>
      <c r="K3144" t="s">
        <v>16</v>
      </c>
      <c r="L3144" t="s">
        <v>2087</v>
      </c>
      <c r="M3144">
        <v>2</v>
      </c>
      <c r="N3144" t="s">
        <v>204</v>
      </c>
      <c r="O3144" t="s">
        <v>2121</v>
      </c>
    </row>
    <row r="3145" spans="1:15">
      <c r="A3145" t="s">
        <v>4546</v>
      </c>
      <c r="B3145" t="s">
        <v>2113</v>
      </c>
      <c r="C3145" t="s">
        <v>2086</v>
      </c>
      <c r="D3145" s="1">
        <v>44762</v>
      </c>
      <c r="E3145" s="1">
        <v>45000</v>
      </c>
      <c r="F3145">
        <v>292</v>
      </c>
      <c r="G3145">
        <v>16</v>
      </c>
      <c r="H3145">
        <v>441.09</v>
      </c>
      <c r="I3145">
        <v>55.01</v>
      </c>
      <c r="J3145" t="s">
        <v>90</v>
      </c>
      <c r="K3145" t="s">
        <v>20</v>
      </c>
      <c r="L3145" t="s">
        <v>2106</v>
      </c>
      <c r="M3145">
        <v>4</v>
      </c>
      <c r="N3145" t="s">
        <v>165</v>
      </c>
      <c r="O3145" t="s">
        <v>2121</v>
      </c>
    </row>
    <row r="3146" spans="1:15">
      <c r="A3146" t="s">
        <v>4547</v>
      </c>
      <c r="B3146" t="s">
        <v>2113</v>
      </c>
      <c r="C3146" t="s">
        <v>2091</v>
      </c>
      <c r="D3146" s="1">
        <v>45100</v>
      </c>
      <c r="E3146" s="1">
        <v>44985</v>
      </c>
      <c r="F3146">
        <v>307</v>
      </c>
      <c r="G3146">
        <v>7</v>
      </c>
      <c r="H3146">
        <v>429.93</v>
      </c>
      <c r="I3146">
        <v>71.959999999999994</v>
      </c>
      <c r="J3146" t="s">
        <v>90</v>
      </c>
      <c r="K3146" t="s">
        <v>20</v>
      </c>
      <c r="L3146" t="s">
        <v>2095</v>
      </c>
      <c r="M3146">
        <v>4</v>
      </c>
      <c r="N3146" t="s">
        <v>232</v>
      </c>
      <c r="O3146" t="s">
        <v>2088</v>
      </c>
    </row>
    <row r="3147" spans="1:15">
      <c r="A3147" t="s">
        <v>4548</v>
      </c>
      <c r="B3147" t="s">
        <v>2099</v>
      </c>
      <c r="C3147" t="s">
        <v>2091</v>
      </c>
      <c r="D3147" s="1">
        <v>45126</v>
      </c>
      <c r="E3147" s="1">
        <v>45207</v>
      </c>
      <c r="F3147">
        <v>85</v>
      </c>
      <c r="G3147">
        <v>2</v>
      </c>
      <c r="H3147">
        <v>37.549999999999997</v>
      </c>
      <c r="I3147">
        <v>68.239999999999995</v>
      </c>
      <c r="J3147" t="s">
        <v>90</v>
      </c>
      <c r="K3147" t="s">
        <v>16</v>
      </c>
      <c r="L3147" t="s">
        <v>2106</v>
      </c>
      <c r="M3147">
        <v>6</v>
      </c>
      <c r="N3147" t="s">
        <v>194</v>
      </c>
      <c r="O3147" t="s">
        <v>2107</v>
      </c>
    </row>
    <row r="3148" spans="1:15">
      <c r="A3148" t="s">
        <v>4549</v>
      </c>
      <c r="B3148" t="s">
        <v>2113</v>
      </c>
      <c r="C3148" t="s">
        <v>2100</v>
      </c>
      <c r="D3148" s="1">
        <v>43470</v>
      </c>
      <c r="E3148" s="1">
        <v>45287</v>
      </c>
      <c r="F3148">
        <v>5</v>
      </c>
      <c r="G3148">
        <v>10</v>
      </c>
      <c r="H3148">
        <v>508.38</v>
      </c>
      <c r="I3148">
        <v>63.51</v>
      </c>
      <c r="J3148" t="s">
        <v>66</v>
      </c>
      <c r="K3148" t="s">
        <v>20</v>
      </c>
      <c r="L3148" t="s">
        <v>2106</v>
      </c>
      <c r="M3148">
        <v>1</v>
      </c>
      <c r="N3148" t="s">
        <v>194</v>
      </c>
      <c r="O3148" t="s">
        <v>2109</v>
      </c>
    </row>
    <row r="3149" spans="1:15">
      <c r="A3149" t="s">
        <v>4550</v>
      </c>
      <c r="B3149" t="s">
        <v>2113</v>
      </c>
      <c r="C3149" t="s">
        <v>2091</v>
      </c>
      <c r="D3149" s="1">
        <v>44886</v>
      </c>
      <c r="E3149" s="1">
        <v>44990</v>
      </c>
      <c r="F3149">
        <v>302</v>
      </c>
      <c r="G3149">
        <v>13</v>
      </c>
      <c r="H3149">
        <v>101.7</v>
      </c>
      <c r="I3149">
        <v>38.520000000000003</v>
      </c>
      <c r="J3149" t="s">
        <v>66</v>
      </c>
      <c r="K3149" t="s">
        <v>16</v>
      </c>
      <c r="L3149" t="s">
        <v>2087</v>
      </c>
      <c r="M3149">
        <v>2</v>
      </c>
      <c r="N3149" t="s">
        <v>194</v>
      </c>
      <c r="O3149" t="s">
        <v>2121</v>
      </c>
    </row>
    <row r="3150" spans="1:15">
      <c r="A3150" t="s">
        <v>4551</v>
      </c>
      <c r="B3150" t="s">
        <v>2113</v>
      </c>
      <c r="C3150" t="s">
        <v>2108</v>
      </c>
      <c r="D3150" s="1">
        <v>45139</v>
      </c>
      <c r="E3150" s="1">
        <v>45147</v>
      </c>
      <c r="F3150">
        <v>145</v>
      </c>
      <c r="G3150">
        <v>17</v>
      </c>
      <c r="H3150">
        <v>143.16</v>
      </c>
      <c r="I3150">
        <v>39.869999999999997</v>
      </c>
      <c r="J3150" t="s">
        <v>41</v>
      </c>
      <c r="K3150" t="s">
        <v>16</v>
      </c>
      <c r="L3150" t="s">
        <v>2095</v>
      </c>
      <c r="M3150">
        <v>8</v>
      </c>
      <c r="N3150" t="s">
        <v>194</v>
      </c>
      <c r="O3150" t="s">
        <v>2096</v>
      </c>
    </row>
    <row r="3151" spans="1:15">
      <c r="A3151" t="s">
        <v>4552</v>
      </c>
      <c r="B3151" t="s">
        <v>2093</v>
      </c>
      <c r="C3151" t="s">
        <v>2094</v>
      </c>
      <c r="D3151" s="1">
        <v>44644</v>
      </c>
      <c r="E3151" s="1">
        <v>45268</v>
      </c>
      <c r="F3151">
        <v>24</v>
      </c>
      <c r="G3151">
        <v>3</v>
      </c>
      <c r="H3151">
        <v>88.6</v>
      </c>
      <c r="I3151">
        <v>70.55</v>
      </c>
      <c r="J3151" t="s">
        <v>66</v>
      </c>
      <c r="K3151" t="s">
        <v>16</v>
      </c>
      <c r="L3151" t="s">
        <v>2106</v>
      </c>
      <c r="M3151">
        <v>5</v>
      </c>
      <c r="N3151" t="s">
        <v>179</v>
      </c>
      <c r="O3151" t="s">
        <v>2107</v>
      </c>
    </row>
    <row r="3152" spans="1:15">
      <c r="A3152" t="s">
        <v>532</v>
      </c>
      <c r="B3152" t="s">
        <v>2099</v>
      </c>
      <c r="C3152" t="s">
        <v>2108</v>
      </c>
      <c r="D3152" s="1">
        <v>44574</v>
      </c>
      <c r="E3152" s="1">
        <v>45184</v>
      </c>
      <c r="F3152">
        <v>108</v>
      </c>
      <c r="G3152">
        <v>2</v>
      </c>
      <c r="H3152">
        <v>20.86</v>
      </c>
      <c r="I3152">
        <v>52.16</v>
      </c>
      <c r="J3152" t="s">
        <v>14</v>
      </c>
      <c r="K3152" t="s">
        <v>20</v>
      </c>
      <c r="L3152" t="s">
        <v>2087</v>
      </c>
      <c r="M3152">
        <v>10</v>
      </c>
      <c r="N3152" t="s">
        <v>232</v>
      </c>
      <c r="O3152" t="s">
        <v>2107</v>
      </c>
    </row>
    <row r="3153" spans="1:15">
      <c r="A3153" t="s">
        <v>4553</v>
      </c>
      <c r="B3153" t="s">
        <v>2093</v>
      </c>
      <c r="C3153" t="s">
        <v>2091</v>
      </c>
      <c r="D3153" s="1">
        <v>43775</v>
      </c>
      <c r="E3153" s="1">
        <v>45127</v>
      </c>
      <c r="F3153">
        <v>165</v>
      </c>
      <c r="G3153">
        <v>1</v>
      </c>
      <c r="H3153">
        <v>104.56</v>
      </c>
      <c r="I3153">
        <v>48.25</v>
      </c>
      <c r="J3153" t="s">
        <v>41</v>
      </c>
      <c r="K3153" t="s">
        <v>16</v>
      </c>
      <c r="L3153" t="s">
        <v>2095</v>
      </c>
      <c r="M3153">
        <v>10</v>
      </c>
      <c r="N3153" t="s">
        <v>157</v>
      </c>
      <c r="O3153" t="s">
        <v>2088</v>
      </c>
    </row>
    <row r="3154" spans="1:15">
      <c r="A3154" t="s">
        <v>4554</v>
      </c>
      <c r="B3154" t="s">
        <v>2097</v>
      </c>
      <c r="C3154" t="s">
        <v>2091</v>
      </c>
      <c r="D3154" s="1">
        <v>45069</v>
      </c>
      <c r="E3154" s="1">
        <v>45054</v>
      </c>
      <c r="F3154">
        <v>238</v>
      </c>
      <c r="G3154">
        <v>10</v>
      </c>
      <c r="H3154">
        <v>494.17</v>
      </c>
      <c r="I3154">
        <v>60.53</v>
      </c>
      <c r="J3154" t="s">
        <v>90</v>
      </c>
      <c r="K3154" t="s">
        <v>16</v>
      </c>
      <c r="L3154" t="s">
        <v>2095</v>
      </c>
      <c r="M3154">
        <v>7</v>
      </c>
      <c r="N3154" t="s">
        <v>157</v>
      </c>
      <c r="O3154" t="s">
        <v>2107</v>
      </c>
    </row>
    <row r="3155" spans="1:15">
      <c r="A3155" t="s">
        <v>1652</v>
      </c>
      <c r="B3155" t="s">
        <v>2097</v>
      </c>
      <c r="C3155" t="s">
        <v>2100</v>
      </c>
      <c r="D3155" s="1">
        <v>44942</v>
      </c>
      <c r="E3155" s="1">
        <v>45146</v>
      </c>
      <c r="F3155">
        <v>146</v>
      </c>
      <c r="G3155">
        <v>9</v>
      </c>
      <c r="H3155">
        <v>231.49</v>
      </c>
      <c r="I3155">
        <v>94.72</v>
      </c>
      <c r="J3155" t="s">
        <v>66</v>
      </c>
      <c r="K3155" t="s">
        <v>16</v>
      </c>
      <c r="L3155" t="s">
        <v>2106</v>
      </c>
      <c r="M3155">
        <v>5</v>
      </c>
      <c r="N3155" t="s">
        <v>232</v>
      </c>
      <c r="O3155" t="s">
        <v>2088</v>
      </c>
    </row>
    <row r="3156" spans="1:15">
      <c r="A3156" t="s">
        <v>4555</v>
      </c>
      <c r="B3156" t="s">
        <v>2085</v>
      </c>
      <c r="C3156" t="s">
        <v>2100</v>
      </c>
      <c r="D3156" s="1">
        <v>44254</v>
      </c>
      <c r="E3156" s="1">
        <v>45202</v>
      </c>
      <c r="F3156">
        <v>90</v>
      </c>
      <c r="G3156">
        <v>30</v>
      </c>
      <c r="H3156">
        <v>2196.0300000000002</v>
      </c>
      <c r="I3156">
        <v>158.58000000000001</v>
      </c>
      <c r="J3156" t="s">
        <v>90</v>
      </c>
      <c r="K3156" t="s">
        <v>16</v>
      </c>
      <c r="L3156" t="s">
        <v>2106</v>
      </c>
      <c r="M3156">
        <v>10</v>
      </c>
      <c r="N3156" t="s">
        <v>157</v>
      </c>
      <c r="O3156" t="s">
        <v>2088</v>
      </c>
    </row>
    <row r="3157" spans="1:15">
      <c r="A3157" t="s">
        <v>4556</v>
      </c>
      <c r="B3157" t="s">
        <v>2113</v>
      </c>
      <c r="C3157" t="s">
        <v>2100</v>
      </c>
      <c r="D3157" s="1">
        <v>43615</v>
      </c>
      <c r="E3157" s="1">
        <v>45030</v>
      </c>
      <c r="F3157">
        <v>262</v>
      </c>
      <c r="G3157">
        <v>13</v>
      </c>
      <c r="H3157">
        <v>403.55</v>
      </c>
      <c r="I3157">
        <v>39.69</v>
      </c>
      <c r="J3157" t="s">
        <v>90</v>
      </c>
      <c r="K3157" t="s">
        <v>16</v>
      </c>
      <c r="L3157" t="s">
        <v>2106</v>
      </c>
      <c r="M3157">
        <v>7</v>
      </c>
      <c r="N3157" t="s">
        <v>157</v>
      </c>
      <c r="O3157" t="s">
        <v>2109</v>
      </c>
    </row>
    <row r="3158" spans="1:15">
      <c r="A3158" t="s">
        <v>4557</v>
      </c>
      <c r="B3158" t="s">
        <v>2099</v>
      </c>
      <c r="C3158" t="s">
        <v>2108</v>
      </c>
      <c r="D3158" s="1">
        <v>45261</v>
      </c>
      <c r="E3158" s="1">
        <v>44929</v>
      </c>
      <c r="F3158">
        <v>363</v>
      </c>
      <c r="G3158">
        <v>2</v>
      </c>
      <c r="H3158">
        <v>112.21</v>
      </c>
      <c r="I3158">
        <v>68.28</v>
      </c>
      <c r="J3158" t="s">
        <v>66</v>
      </c>
      <c r="K3158" t="s">
        <v>16</v>
      </c>
      <c r="L3158" t="s">
        <v>2087</v>
      </c>
      <c r="M3158">
        <v>10</v>
      </c>
      <c r="N3158" t="s">
        <v>204</v>
      </c>
      <c r="O3158" t="s">
        <v>2109</v>
      </c>
    </row>
    <row r="3159" spans="1:15">
      <c r="A3159" t="s">
        <v>4558</v>
      </c>
      <c r="B3159" t="s">
        <v>2093</v>
      </c>
      <c r="C3159" t="s">
        <v>2100</v>
      </c>
      <c r="D3159" s="1">
        <v>43857</v>
      </c>
      <c r="E3159" s="1">
        <v>44965</v>
      </c>
      <c r="F3159">
        <v>327</v>
      </c>
      <c r="G3159">
        <v>5</v>
      </c>
      <c r="H3159">
        <v>65.569999999999993</v>
      </c>
      <c r="I3159">
        <v>31.2</v>
      </c>
      <c r="J3159" t="s">
        <v>14</v>
      </c>
      <c r="K3159" t="s">
        <v>20</v>
      </c>
      <c r="L3159" t="s">
        <v>2106</v>
      </c>
      <c r="M3159">
        <v>3</v>
      </c>
      <c r="N3159" t="s">
        <v>179</v>
      </c>
      <c r="O3159" t="s">
        <v>2096</v>
      </c>
    </row>
    <row r="3160" spans="1:15">
      <c r="A3160" t="s">
        <v>461</v>
      </c>
      <c r="B3160" t="s">
        <v>2099</v>
      </c>
      <c r="C3160" t="s">
        <v>2091</v>
      </c>
      <c r="D3160" s="1">
        <v>44085</v>
      </c>
      <c r="E3160" s="1">
        <v>44948</v>
      </c>
      <c r="F3160">
        <v>344</v>
      </c>
      <c r="G3160">
        <v>2</v>
      </c>
      <c r="H3160">
        <v>97.59</v>
      </c>
      <c r="I3160">
        <v>47.32</v>
      </c>
      <c r="J3160" t="s">
        <v>115</v>
      </c>
      <c r="K3160" t="s">
        <v>20</v>
      </c>
      <c r="L3160" t="s">
        <v>2106</v>
      </c>
      <c r="M3160">
        <v>3</v>
      </c>
      <c r="N3160" t="s">
        <v>157</v>
      </c>
      <c r="O3160" t="s">
        <v>2107</v>
      </c>
    </row>
    <row r="3161" spans="1:15">
      <c r="A3161" t="s">
        <v>864</v>
      </c>
      <c r="B3161" t="s">
        <v>2085</v>
      </c>
      <c r="C3161" t="s">
        <v>2086</v>
      </c>
      <c r="D3161" s="1">
        <v>44957</v>
      </c>
      <c r="E3161" s="1">
        <v>44976</v>
      </c>
      <c r="F3161">
        <v>316</v>
      </c>
      <c r="G3161">
        <v>32</v>
      </c>
      <c r="H3161">
        <v>1501.58</v>
      </c>
      <c r="I3161">
        <v>294.56</v>
      </c>
      <c r="J3161" t="s">
        <v>14</v>
      </c>
      <c r="K3161" t="s">
        <v>16</v>
      </c>
      <c r="L3161" t="s">
        <v>2087</v>
      </c>
      <c r="M3161">
        <v>6</v>
      </c>
      <c r="N3161" t="s">
        <v>194</v>
      </c>
      <c r="O3161" t="s">
        <v>2088</v>
      </c>
    </row>
    <row r="3162" spans="1:15">
      <c r="A3162" t="s">
        <v>4559</v>
      </c>
      <c r="B3162" t="s">
        <v>2085</v>
      </c>
      <c r="C3162" t="s">
        <v>2086</v>
      </c>
      <c r="D3162" s="1">
        <v>43585</v>
      </c>
      <c r="E3162" s="1">
        <v>44988</v>
      </c>
      <c r="F3162">
        <v>304</v>
      </c>
      <c r="G3162">
        <v>17</v>
      </c>
      <c r="H3162">
        <v>1348.97</v>
      </c>
      <c r="I3162">
        <v>127.03</v>
      </c>
      <c r="J3162" t="s">
        <v>41</v>
      </c>
      <c r="K3162" t="s">
        <v>20</v>
      </c>
      <c r="L3162" t="s">
        <v>2106</v>
      </c>
      <c r="M3162">
        <v>9</v>
      </c>
      <c r="N3162" t="s">
        <v>165</v>
      </c>
      <c r="O3162" t="s">
        <v>2121</v>
      </c>
    </row>
    <row r="3163" spans="1:15">
      <c r="A3163" t="s">
        <v>4560</v>
      </c>
      <c r="B3163" t="s">
        <v>2097</v>
      </c>
      <c r="C3163" t="s">
        <v>2086</v>
      </c>
      <c r="D3163" s="1">
        <v>44834</v>
      </c>
      <c r="E3163" s="1">
        <v>45050</v>
      </c>
      <c r="F3163">
        <v>242</v>
      </c>
      <c r="G3163">
        <v>4</v>
      </c>
      <c r="H3163">
        <v>221.73</v>
      </c>
      <c r="I3163">
        <v>77.599999999999994</v>
      </c>
      <c r="J3163" t="s">
        <v>90</v>
      </c>
      <c r="K3163" t="s">
        <v>20</v>
      </c>
      <c r="L3163" t="s">
        <v>2095</v>
      </c>
      <c r="M3163">
        <v>5</v>
      </c>
      <c r="N3163" t="s">
        <v>204</v>
      </c>
      <c r="O3163" t="s">
        <v>2107</v>
      </c>
    </row>
    <row r="3164" spans="1:15">
      <c r="A3164" t="s">
        <v>4561</v>
      </c>
      <c r="B3164" t="s">
        <v>2113</v>
      </c>
      <c r="C3164" t="s">
        <v>2108</v>
      </c>
      <c r="D3164" s="1">
        <v>43638</v>
      </c>
      <c r="E3164" s="1">
        <v>44938</v>
      </c>
      <c r="F3164">
        <v>354</v>
      </c>
      <c r="G3164">
        <v>7</v>
      </c>
      <c r="H3164">
        <v>530.13</v>
      </c>
      <c r="I3164">
        <v>58.99</v>
      </c>
      <c r="J3164" t="s">
        <v>90</v>
      </c>
      <c r="K3164" t="s">
        <v>16</v>
      </c>
      <c r="L3164" t="s">
        <v>2095</v>
      </c>
      <c r="M3164">
        <v>8</v>
      </c>
      <c r="N3164" t="s">
        <v>204</v>
      </c>
      <c r="O3164" t="s">
        <v>2107</v>
      </c>
    </row>
    <row r="3165" spans="1:15">
      <c r="A3165" t="s">
        <v>2054</v>
      </c>
      <c r="B3165" t="s">
        <v>2097</v>
      </c>
      <c r="C3165" t="s">
        <v>2100</v>
      </c>
      <c r="D3165" s="1">
        <v>43543</v>
      </c>
      <c r="E3165" s="1">
        <v>44999</v>
      </c>
      <c r="F3165">
        <v>293</v>
      </c>
      <c r="G3165">
        <v>9</v>
      </c>
      <c r="H3165">
        <v>379.59</v>
      </c>
      <c r="I3165">
        <v>78.97</v>
      </c>
      <c r="J3165" t="s">
        <v>41</v>
      </c>
      <c r="K3165" t="s">
        <v>16</v>
      </c>
      <c r="L3165" t="s">
        <v>2087</v>
      </c>
      <c r="M3165">
        <v>7</v>
      </c>
      <c r="N3165" t="s">
        <v>232</v>
      </c>
      <c r="O3165" t="s">
        <v>2088</v>
      </c>
    </row>
    <row r="3166" spans="1:15">
      <c r="A3166" t="s">
        <v>658</v>
      </c>
      <c r="B3166" t="s">
        <v>2097</v>
      </c>
      <c r="C3166" t="s">
        <v>2086</v>
      </c>
      <c r="D3166" s="1">
        <v>43680</v>
      </c>
      <c r="E3166" s="1">
        <v>45253</v>
      </c>
      <c r="F3166">
        <v>39</v>
      </c>
      <c r="G3166">
        <v>5</v>
      </c>
      <c r="H3166">
        <v>756.52</v>
      </c>
      <c r="I3166">
        <v>145.91999999999999</v>
      </c>
      <c r="J3166" t="s">
        <v>41</v>
      </c>
      <c r="K3166" t="s">
        <v>16</v>
      </c>
      <c r="L3166" t="s">
        <v>2106</v>
      </c>
      <c r="M3166">
        <v>1</v>
      </c>
      <c r="N3166" t="s">
        <v>179</v>
      </c>
      <c r="O3166" t="s">
        <v>2107</v>
      </c>
    </row>
    <row r="3167" spans="1:15">
      <c r="A3167" t="s">
        <v>4562</v>
      </c>
      <c r="B3167" t="s">
        <v>2113</v>
      </c>
      <c r="C3167" t="s">
        <v>2094</v>
      </c>
      <c r="D3167" s="1">
        <v>43589</v>
      </c>
      <c r="E3167" s="1">
        <v>45198</v>
      </c>
      <c r="F3167">
        <v>94</v>
      </c>
      <c r="G3167">
        <v>6</v>
      </c>
      <c r="H3167">
        <v>577.73</v>
      </c>
      <c r="I3167">
        <v>36.270000000000003</v>
      </c>
      <c r="J3167" t="s">
        <v>14</v>
      </c>
      <c r="K3167" t="s">
        <v>16</v>
      </c>
      <c r="L3167" t="s">
        <v>2087</v>
      </c>
      <c r="M3167">
        <v>7</v>
      </c>
      <c r="N3167" t="s">
        <v>179</v>
      </c>
      <c r="O3167" t="s">
        <v>2088</v>
      </c>
    </row>
    <row r="3168" spans="1:15">
      <c r="A3168" t="s">
        <v>4563</v>
      </c>
      <c r="B3168" t="s">
        <v>2090</v>
      </c>
      <c r="C3168" t="s">
        <v>2086</v>
      </c>
      <c r="D3168" s="1">
        <v>43744</v>
      </c>
      <c r="E3168" s="1">
        <v>45290</v>
      </c>
      <c r="F3168">
        <v>2</v>
      </c>
      <c r="G3168">
        <v>5</v>
      </c>
      <c r="H3168">
        <v>375.43</v>
      </c>
      <c r="I3168">
        <v>41.41</v>
      </c>
      <c r="J3168" t="s">
        <v>115</v>
      </c>
      <c r="K3168" t="s">
        <v>16</v>
      </c>
      <c r="L3168" t="s">
        <v>2095</v>
      </c>
      <c r="M3168">
        <v>9</v>
      </c>
      <c r="N3168" t="s">
        <v>232</v>
      </c>
      <c r="O3168" t="s">
        <v>2109</v>
      </c>
    </row>
    <row r="3169" spans="1:15">
      <c r="A3169" t="s">
        <v>4564</v>
      </c>
      <c r="B3169" t="s">
        <v>2093</v>
      </c>
      <c r="C3169" t="s">
        <v>2100</v>
      </c>
      <c r="D3169" s="1">
        <v>44553</v>
      </c>
      <c r="E3169" s="1">
        <v>45129</v>
      </c>
      <c r="F3169">
        <v>163</v>
      </c>
      <c r="G3169">
        <v>3</v>
      </c>
      <c r="H3169">
        <v>61.27</v>
      </c>
      <c r="I3169">
        <v>77.36</v>
      </c>
      <c r="J3169" t="s">
        <v>66</v>
      </c>
      <c r="K3169" t="s">
        <v>16</v>
      </c>
      <c r="L3169" t="s">
        <v>2106</v>
      </c>
      <c r="M3169">
        <v>3</v>
      </c>
      <c r="N3169" t="s">
        <v>204</v>
      </c>
      <c r="O3169" t="s">
        <v>2088</v>
      </c>
    </row>
    <row r="3170" spans="1:15">
      <c r="A3170" t="s">
        <v>1493</v>
      </c>
      <c r="B3170" t="s">
        <v>2085</v>
      </c>
      <c r="C3170" t="s">
        <v>2111</v>
      </c>
      <c r="D3170" s="1">
        <v>44845</v>
      </c>
      <c r="E3170" s="1">
        <v>45010</v>
      </c>
      <c r="F3170">
        <v>282</v>
      </c>
      <c r="G3170">
        <v>36</v>
      </c>
      <c r="H3170">
        <v>1660.93</v>
      </c>
      <c r="I3170">
        <v>286</v>
      </c>
      <c r="J3170" t="s">
        <v>66</v>
      </c>
      <c r="K3170" t="s">
        <v>16</v>
      </c>
      <c r="L3170" t="s">
        <v>2087</v>
      </c>
      <c r="M3170">
        <v>3</v>
      </c>
      <c r="N3170" t="s">
        <v>204</v>
      </c>
      <c r="O3170" t="s">
        <v>2107</v>
      </c>
    </row>
    <row r="3171" spans="1:15">
      <c r="A3171" t="s">
        <v>4565</v>
      </c>
      <c r="B3171" t="s">
        <v>2085</v>
      </c>
      <c r="C3171" t="s">
        <v>2086</v>
      </c>
      <c r="D3171" s="1">
        <v>44040</v>
      </c>
      <c r="E3171" s="1">
        <v>45028</v>
      </c>
      <c r="F3171">
        <v>264</v>
      </c>
      <c r="G3171">
        <v>28</v>
      </c>
      <c r="H3171">
        <v>2308.9899999999998</v>
      </c>
      <c r="I3171">
        <v>190.68</v>
      </c>
      <c r="J3171" t="s">
        <v>14</v>
      </c>
      <c r="K3171" t="s">
        <v>16</v>
      </c>
      <c r="L3171" t="s">
        <v>2106</v>
      </c>
      <c r="M3171">
        <v>0</v>
      </c>
      <c r="N3171" t="s">
        <v>232</v>
      </c>
      <c r="O3171" t="s">
        <v>2107</v>
      </c>
    </row>
    <row r="3172" spans="1:15">
      <c r="A3172" t="s">
        <v>4566</v>
      </c>
      <c r="B3172" t="s">
        <v>2085</v>
      </c>
      <c r="C3172" t="s">
        <v>2091</v>
      </c>
      <c r="D3172" s="1">
        <v>44827</v>
      </c>
      <c r="E3172" s="1">
        <v>45127</v>
      </c>
      <c r="F3172">
        <v>165</v>
      </c>
      <c r="G3172">
        <v>13</v>
      </c>
      <c r="H3172">
        <v>1550.84</v>
      </c>
      <c r="I3172">
        <v>258.08999999999997</v>
      </c>
      <c r="J3172" t="s">
        <v>90</v>
      </c>
      <c r="K3172" t="s">
        <v>16</v>
      </c>
      <c r="L3172" t="s">
        <v>2087</v>
      </c>
      <c r="M3172">
        <v>0</v>
      </c>
      <c r="N3172" t="s">
        <v>165</v>
      </c>
      <c r="O3172" t="s">
        <v>2107</v>
      </c>
    </row>
    <row r="3173" spans="1:15">
      <c r="A3173" t="s">
        <v>4567</v>
      </c>
      <c r="B3173" t="s">
        <v>2093</v>
      </c>
      <c r="C3173" t="s">
        <v>2100</v>
      </c>
      <c r="D3173" s="1">
        <v>44134</v>
      </c>
      <c r="E3173" s="1">
        <v>45261</v>
      </c>
      <c r="F3173">
        <v>31</v>
      </c>
      <c r="G3173">
        <v>3</v>
      </c>
      <c r="H3173">
        <v>113.71</v>
      </c>
      <c r="I3173">
        <v>50.82</v>
      </c>
      <c r="J3173" t="s">
        <v>115</v>
      </c>
      <c r="K3173" t="s">
        <v>20</v>
      </c>
      <c r="L3173" t="s">
        <v>2106</v>
      </c>
      <c r="M3173">
        <v>8</v>
      </c>
      <c r="N3173" t="s">
        <v>179</v>
      </c>
      <c r="O3173" t="s">
        <v>2088</v>
      </c>
    </row>
    <row r="3174" spans="1:15">
      <c r="A3174" t="s">
        <v>4568</v>
      </c>
      <c r="B3174" t="s">
        <v>2090</v>
      </c>
      <c r="C3174" t="s">
        <v>2111</v>
      </c>
      <c r="D3174" s="1">
        <v>43933</v>
      </c>
      <c r="E3174" s="1">
        <v>45199</v>
      </c>
      <c r="F3174">
        <v>93</v>
      </c>
      <c r="G3174">
        <v>3</v>
      </c>
      <c r="H3174">
        <v>100.2</v>
      </c>
      <c r="I3174">
        <v>53.46</v>
      </c>
      <c r="J3174" t="s">
        <v>66</v>
      </c>
      <c r="K3174" t="s">
        <v>16</v>
      </c>
      <c r="L3174" t="s">
        <v>2095</v>
      </c>
      <c r="M3174">
        <v>9</v>
      </c>
      <c r="N3174" t="s">
        <v>179</v>
      </c>
      <c r="O3174" t="s">
        <v>2107</v>
      </c>
    </row>
    <row r="3175" spans="1:15">
      <c r="A3175" t="s">
        <v>1818</v>
      </c>
      <c r="B3175" t="s">
        <v>2097</v>
      </c>
      <c r="C3175" t="s">
        <v>2094</v>
      </c>
      <c r="D3175" s="1">
        <v>43823</v>
      </c>
      <c r="E3175" s="1">
        <v>45094</v>
      </c>
      <c r="F3175">
        <v>198</v>
      </c>
      <c r="G3175">
        <v>5</v>
      </c>
      <c r="H3175">
        <v>523.67999999999995</v>
      </c>
      <c r="I3175">
        <v>117.06</v>
      </c>
      <c r="J3175" t="s">
        <v>14</v>
      </c>
      <c r="K3175" t="s">
        <v>16</v>
      </c>
      <c r="L3175" t="s">
        <v>2087</v>
      </c>
      <c r="M3175">
        <v>9</v>
      </c>
      <c r="N3175" t="s">
        <v>165</v>
      </c>
      <c r="O3175" t="s">
        <v>2107</v>
      </c>
    </row>
    <row r="3176" spans="1:15">
      <c r="A3176" t="s">
        <v>587</v>
      </c>
      <c r="B3176" t="s">
        <v>2090</v>
      </c>
      <c r="C3176" t="s">
        <v>2094</v>
      </c>
      <c r="D3176" s="1">
        <v>44468</v>
      </c>
      <c r="E3176" s="1">
        <v>45115</v>
      </c>
      <c r="F3176">
        <v>177</v>
      </c>
      <c r="G3176">
        <v>7</v>
      </c>
      <c r="H3176">
        <v>384.23</v>
      </c>
      <c r="I3176">
        <v>111.43</v>
      </c>
      <c r="J3176" t="s">
        <v>41</v>
      </c>
      <c r="K3176" t="s">
        <v>20</v>
      </c>
      <c r="L3176" t="s">
        <v>2095</v>
      </c>
      <c r="M3176">
        <v>8</v>
      </c>
      <c r="N3176" t="s">
        <v>232</v>
      </c>
      <c r="O3176" t="s">
        <v>2109</v>
      </c>
    </row>
    <row r="3177" spans="1:15">
      <c r="A3177" t="s">
        <v>4569</v>
      </c>
      <c r="B3177" t="s">
        <v>2113</v>
      </c>
      <c r="C3177" t="s">
        <v>2100</v>
      </c>
      <c r="D3177" s="1">
        <v>43572</v>
      </c>
      <c r="E3177" s="1">
        <v>44956</v>
      </c>
      <c r="F3177">
        <v>336</v>
      </c>
      <c r="G3177">
        <v>16</v>
      </c>
      <c r="H3177">
        <v>400.08</v>
      </c>
      <c r="I3177">
        <v>52.73</v>
      </c>
      <c r="J3177" t="s">
        <v>115</v>
      </c>
      <c r="K3177" t="s">
        <v>16</v>
      </c>
      <c r="L3177" t="s">
        <v>2106</v>
      </c>
      <c r="M3177">
        <v>4</v>
      </c>
      <c r="N3177" t="s">
        <v>179</v>
      </c>
      <c r="O3177" t="s">
        <v>2109</v>
      </c>
    </row>
    <row r="3178" spans="1:15">
      <c r="A3178" t="s">
        <v>4570</v>
      </c>
      <c r="B3178" t="s">
        <v>2097</v>
      </c>
      <c r="C3178" t="s">
        <v>2100</v>
      </c>
      <c r="D3178" s="1">
        <v>44537</v>
      </c>
      <c r="E3178" s="1">
        <v>45050</v>
      </c>
      <c r="F3178">
        <v>242</v>
      </c>
      <c r="G3178">
        <v>9</v>
      </c>
      <c r="H3178">
        <v>417.21</v>
      </c>
      <c r="I3178">
        <v>109.87</v>
      </c>
      <c r="J3178" t="s">
        <v>66</v>
      </c>
      <c r="K3178" t="s">
        <v>16</v>
      </c>
      <c r="L3178" t="s">
        <v>2106</v>
      </c>
      <c r="M3178">
        <v>10</v>
      </c>
      <c r="N3178" t="s">
        <v>194</v>
      </c>
      <c r="O3178" t="s">
        <v>2096</v>
      </c>
    </row>
    <row r="3179" spans="1:15">
      <c r="A3179" t="s">
        <v>4571</v>
      </c>
      <c r="B3179" t="s">
        <v>2113</v>
      </c>
      <c r="C3179" t="s">
        <v>2111</v>
      </c>
      <c r="D3179" s="1">
        <v>44205</v>
      </c>
      <c r="E3179" s="1">
        <v>44946</v>
      </c>
      <c r="F3179">
        <v>346</v>
      </c>
      <c r="G3179">
        <v>15</v>
      </c>
      <c r="H3179">
        <v>372.08</v>
      </c>
      <c r="I3179">
        <v>56.98</v>
      </c>
      <c r="J3179" t="s">
        <v>90</v>
      </c>
      <c r="K3179" t="s">
        <v>20</v>
      </c>
      <c r="L3179" t="s">
        <v>2087</v>
      </c>
      <c r="M3179">
        <v>0</v>
      </c>
      <c r="N3179" t="s">
        <v>232</v>
      </c>
      <c r="O3179" t="s">
        <v>2088</v>
      </c>
    </row>
    <row r="3180" spans="1:15">
      <c r="A3180" t="s">
        <v>4572</v>
      </c>
      <c r="B3180" t="s">
        <v>2085</v>
      </c>
      <c r="C3180" t="s">
        <v>2108</v>
      </c>
      <c r="D3180" s="1">
        <v>43762</v>
      </c>
      <c r="E3180" s="1">
        <v>44975</v>
      </c>
      <c r="F3180">
        <v>317</v>
      </c>
      <c r="G3180">
        <v>35</v>
      </c>
      <c r="H3180">
        <v>1214.23</v>
      </c>
      <c r="I3180">
        <v>188.76</v>
      </c>
      <c r="J3180" t="s">
        <v>14</v>
      </c>
      <c r="K3180" t="s">
        <v>16</v>
      </c>
      <c r="L3180" t="s">
        <v>2087</v>
      </c>
      <c r="M3180">
        <v>9</v>
      </c>
      <c r="N3180" t="s">
        <v>165</v>
      </c>
      <c r="O3180" t="s">
        <v>2088</v>
      </c>
    </row>
    <row r="3181" spans="1:15">
      <c r="A3181" t="s">
        <v>4573</v>
      </c>
      <c r="B3181" t="s">
        <v>2085</v>
      </c>
      <c r="C3181" t="s">
        <v>2108</v>
      </c>
      <c r="D3181" s="1">
        <v>45117</v>
      </c>
      <c r="E3181" s="1">
        <v>45118</v>
      </c>
      <c r="F3181">
        <v>174</v>
      </c>
      <c r="G3181">
        <v>21</v>
      </c>
      <c r="H3181">
        <v>1224.48</v>
      </c>
      <c r="I3181">
        <v>147.30000000000001</v>
      </c>
      <c r="J3181" t="s">
        <v>90</v>
      </c>
      <c r="K3181" t="s">
        <v>20</v>
      </c>
      <c r="L3181" t="s">
        <v>2087</v>
      </c>
      <c r="M3181">
        <v>4</v>
      </c>
      <c r="N3181" t="s">
        <v>174</v>
      </c>
      <c r="O3181" t="s">
        <v>2096</v>
      </c>
    </row>
    <row r="3182" spans="1:15">
      <c r="A3182" t="s">
        <v>4574</v>
      </c>
      <c r="B3182" t="s">
        <v>2085</v>
      </c>
      <c r="C3182" t="s">
        <v>2091</v>
      </c>
      <c r="D3182" s="1">
        <v>44731</v>
      </c>
      <c r="E3182" s="1">
        <v>45273</v>
      </c>
      <c r="F3182">
        <v>19</v>
      </c>
      <c r="G3182">
        <v>14</v>
      </c>
      <c r="H3182">
        <v>1487.24</v>
      </c>
      <c r="I3182">
        <v>106.2</v>
      </c>
      <c r="J3182" t="s">
        <v>41</v>
      </c>
      <c r="K3182" t="s">
        <v>16</v>
      </c>
      <c r="L3182" t="s">
        <v>2095</v>
      </c>
      <c r="M3182">
        <v>0</v>
      </c>
      <c r="N3182" t="s">
        <v>179</v>
      </c>
      <c r="O3182" t="s">
        <v>2109</v>
      </c>
    </row>
    <row r="3183" spans="1:15">
      <c r="A3183" t="s">
        <v>4575</v>
      </c>
      <c r="B3183" t="s">
        <v>2097</v>
      </c>
      <c r="C3183" t="s">
        <v>2091</v>
      </c>
      <c r="D3183" s="1">
        <v>44872</v>
      </c>
      <c r="E3183" s="1">
        <v>45217</v>
      </c>
      <c r="F3183">
        <v>75</v>
      </c>
      <c r="G3183">
        <v>5</v>
      </c>
      <c r="H3183">
        <v>676.14</v>
      </c>
      <c r="I3183">
        <v>88.32</v>
      </c>
      <c r="J3183" t="s">
        <v>14</v>
      </c>
      <c r="K3183" t="s">
        <v>16</v>
      </c>
      <c r="L3183" t="s">
        <v>2106</v>
      </c>
      <c r="M3183">
        <v>4</v>
      </c>
      <c r="N3183" t="s">
        <v>157</v>
      </c>
      <c r="O3183" t="s">
        <v>2109</v>
      </c>
    </row>
    <row r="3184" spans="1:15">
      <c r="A3184" t="s">
        <v>4576</v>
      </c>
      <c r="B3184" t="s">
        <v>2099</v>
      </c>
      <c r="C3184" t="s">
        <v>2086</v>
      </c>
      <c r="D3184" s="1">
        <v>44065</v>
      </c>
      <c r="E3184" s="1">
        <v>44953</v>
      </c>
      <c r="F3184">
        <v>339</v>
      </c>
      <c r="G3184">
        <v>1</v>
      </c>
      <c r="H3184">
        <v>50.04</v>
      </c>
      <c r="I3184">
        <v>50.33</v>
      </c>
      <c r="J3184" t="s">
        <v>41</v>
      </c>
      <c r="K3184" t="s">
        <v>16</v>
      </c>
      <c r="L3184" t="s">
        <v>2095</v>
      </c>
      <c r="M3184">
        <v>0</v>
      </c>
      <c r="N3184" t="s">
        <v>174</v>
      </c>
      <c r="O3184" t="s">
        <v>2109</v>
      </c>
    </row>
    <row r="3185" spans="1:15">
      <c r="A3185" t="s">
        <v>4577</v>
      </c>
      <c r="B3185" t="s">
        <v>2085</v>
      </c>
      <c r="C3185" t="s">
        <v>2094</v>
      </c>
      <c r="D3185" s="1">
        <v>44658</v>
      </c>
      <c r="E3185" s="1">
        <v>45078</v>
      </c>
      <c r="F3185">
        <v>214</v>
      </c>
      <c r="G3185">
        <v>34</v>
      </c>
      <c r="H3185">
        <v>1787.53</v>
      </c>
      <c r="I3185">
        <v>220.41</v>
      </c>
      <c r="J3185" t="s">
        <v>90</v>
      </c>
      <c r="K3185" t="s">
        <v>20</v>
      </c>
      <c r="L3185" t="s">
        <v>2087</v>
      </c>
      <c r="M3185">
        <v>0</v>
      </c>
      <c r="N3185" t="s">
        <v>194</v>
      </c>
      <c r="O3185" t="s">
        <v>2096</v>
      </c>
    </row>
    <row r="3186" spans="1:15">
      <c r="A3186" t="s">
        <v>4578</v>
      </c>
      <c r="B3186" t="s">
        <v>2090</v>
      </c>
      <c r="C3186" t="s">
        <v>2086</v>
      </c>
      <c r="D3186" s="1">
        <v>44600</v>
      </c>
      <c r="E3186" s="1">
        <v>44964</v>
      </c>
      <c r="F3186">
        <v>328</v>
      </c>
      <c r="G3186">
        <v>7</v>
      </c>
      <c r="H3186">
        <v>283.79000000000002</v>
      </c>
      <c r="I3186">
        <v>68.959999999999994</v>
      </c>
      <c r="J3186" t="s">
        <v>14</v>
      </c>
      <c r="K3186" t="s">
        <v>16</v>
      </c>
      <c r="L3186" t="s">
        <v>2087</v>
      </c>
      <c r="M3186">
        <v>6</v>
      </c>
      <c r="N3186" t="s">
        <v>179</v>
      </c>
      <c r="O3186" t="s">
        <v>2109</v>
      </c>
    </row>
    <row r="3187" spans="1:15">
      <c r="A3187" t="s">
        <v>4579</v>
      </c>
      <c r="B3187" t="s">
        <v>2097</v>
      </c>
      <c r="C3187" t="s">
        <v>2086</v>
      </c>
      <c r="D3187" s="1">
        <v>43928</v>
      </c>
      <c r="E3187" s="1">
        <v>45113</v>
      </c>
      <c r="F3187">
        <v>179</v>
      </c>
      <c r="G3187">
        <v>8</v>
      </c>
      <c r="H3187">
        <v>252.24</v>
      </c>
      <c r="I3187">
        <v>91.72</v>
      </c>
      <c r="J3187" t="s">
        <v>66</v>
      </c>
      <c r="K3187" t="s">
        <v>16</v>
      </c>
      <c r="L3187" t="s">
        <v>2087</v>
      </c>
      <c r="M3187">
        <v>6</v>
      </c>
      <c r="N3187" t="s">
        <v>157</v>
      </c>
      <c r="O3187" t="s">
        <v>2121</v>
      </c>
    </row>
    <row r="3188" spans="1:15">
      <c r="A3188" t="s">
        <v>377</v>
      </c>
      <c r="B3188" t="s">
        <v>2097</v>
      </c>
      <c r="C3188" t="s">
        <v>2108</v>
      </c>
      <c r="D3188" s="1">
        <v>43523</v>
      </c>
      <c r="E3188" s="1">
        <v>45003</v>
      </c>
      <c r="F3188">
        <v>289</v>
      </c>
      <c r="G3188">
        <v>7</v>
      </c>
      <c r="H3188">
        <v>221.13</v>
      </c>
      <c r="I3188">
        <v>115.22</v>
      </c>
      <c r="J3188" t="s">
        <v>41</v>
      </c>
      <c r="K3188" t="s">
        <v>20</v>
      </c>
      <c r="L3188" t="s">
        <v>2087</v>
      </c>
      <c r="M3188">
        <v>7</v>
      </c>
      <c r="N3188" t="s">
        <v>174</v>
      </c>
      <c r="O3188" t="s">
        <v>2096</v>
      </c>
    </row>
    <row r="3189" spans="1:15">
      <c r="A3189" t="s">
        <v>4580</v>
      </c>
      <c r="B3189" t="s">
        <v>2099</v>
      </c>
      <c r="C3189" t="s">
        <v>2086</v>
      </c>
      <c r="D3189" s="1">
        <v>43811</v>
      </c>
      <c r="E3189" s="1">
        <v>45077</v>
      </c>
      <c r="F3189">
        <v>215</v>
      </c>
      <c r="G3189">
        <v>2</v>
      </c>
      <c r="H3189">
        <v>62.45</v>
      </c>
      <c r="I3189">
        <v>53.87</v>
      </c>
      <c r="J3189" t="s">
        <v>41</v>
      </c>
      <c r="K3189" t="s">
        <v>16</v>
      </c>
      <c r="L3189" t="s">
        <v>2087</v>
      </c>
      <c r="M3189">
        <v>7</v>
      </c>
      <c r="N3189" t="s">
        <v>204</v>
      </c>
      <c r="O3189" t="s">
        <v>2109</v>
      </c>
    </row>
    <row r="3190" spans="1:15">
      <c r="A3190" t="s">
        <v>4581</v>
      </c>
      <c r="B3190" t="s">
        <v>2113</v>
      </c>
      <c r="C3190" t="s">
        <v>2111</v>
      </c>
      <c r="D3190" s="1">
        <v>44218</v>
      </c>
      <c r="E3190" s="1">
        <v>45168</v>
      </c>
      <c r="F3190">
        <v>124</v>
      </c>
      <c r="G3190">
        <v>7</v>
      </c>
      <c r="H3190">
        <v>432.15</v>
      </c>
      <c r="I3190">
        <v>59</v>
      </c>
      <c r="J3190" t="s">
        <v>90</v>
      </c>
      <c r="K3190" t="s">
        <v>16</v>
      </c>
      <c r="L3190" t="s">
        <v>2095</v>
      </c>
      <c r="M3190">
        <v>2</v>
      </c>
      <c r="N3190" t="s">
        <v>157</v>
      </c>
      <c r="O3190" t="s">
        <v>2109</v>
      </c>
    </row>
    <row r="3191" spans="1:15">
      <c r="A3191" t="s">
        <v>4582</v>
      </c>
      <c r="B3191" t="s">
        <v>2093</v>
      </c>
      <c r="C3191" t="s">
        <v>2108</v>
      </c>
      <c r="D3191" s="1">
        <v>44476</v>
      </c>
      <c r="E3191" s="1">
        <v>45282</v>
      </c>
      <c r="F3191">
        <v>10</v>
      </c>
      <c r="G3191">
        <v>5</v>
      </c>
      <c r="H3191">
        <v>188.09</v>
      </c>
      <c r="I3191">
        <v>70.819999999999993</v>
      </c>
      <c r="J3191" t="s">
        <v>66</v>
      </c>
      <c r="K3191" t="s">
        <v>16</v>
      </c>
      <c r="L3191" t="s">
        <v>2087</v>
      </c>
      <c r="M3191">
        <v>1</v>
      </c>
      <c r="N3191" t="s">
        <v>194</v>
      </c>
      <c r="O3191" t="s">
        <v>2088</v>
      </c>
    </row>
    <row r="3192" spans="1:15">
      <c r="A3192" t="s">
        <v>1045</v>
      </c>
      <c r="B3192" t="s">
        <v>2099</v>
      </c>
      <c r="C3192" t="s">
        <v>2111</v>
      </c>
      <c r="D3192" s="1">
        <v>45231</v>
      </c>
      <c r="E3192" s="1">
        <v>45054</v>
      </c>
      <c r="F3192">
        <v>238</v>
      </c>
      <c r="G3192">
        <v>1</v>
      </c>
      <c r="H3192">
        <v>72.14</v>
      </c>
      <c r="I3192">
        <v>78.3</v>
      </c>
      <c r="J3192" t="s">
        <v>90</v>
      </c>
      <c r="K3192" t="s">
        <v>16</v>
      </c>
      <c r="L3192" t="s">
        <v>2087</v>
      </c>
      <c r="M3192">
        <v>1</v>
      </c>
      <c r="N3192" t="s">
        <v>174</v>
      </c>
      <c r="O3192" t="s">
        <v>2096</v>
      </c>
    </row>
    <row r="3193" spans="1:15">
      <c r="A3193" t="s">
        <v>4583</v>
      </c>
      <c r="B3193" t="s">
        <v>2113</v>
      </c>
      <c r="C3193" t="s">
        <v>2086</v>
      </c>
      <c r="D3193" s="1">
        <v>44065</v>
      </c>
      <c r="E3193" s="1">
        <v>45286</v>
      </c>
      <c r="F3193">
        <v>6</v>
      </c>
      <c r="G3193">
        <v>10</v>
      </c>
      <c r="H3193">
        <v>461.66</v>
      </c>
      <c r="I3193">
        <v>35.799999999999997</v>
      </c>
      <c r="J3193" t="s">
        <v>66</v>
      </c>
      <c r="K3193" t="s">
        <v>16</v>
      </c>
      <c r="L3193" t="s">
        <v>2087</v>
      </c>
      <c r="M3193">
        <v>6</v>
      </c>
      <c r="N3193" t="s">
        <v>204</v>
      </c>
      <c r="O3193" t="s">
        <v>2107</v>
      </c>
    </row>
    <row r="3194" spans="1:15">
      <c r="A3194" t="s">
        <v>1983</v>
      </c>
      <c r="B3194" t="s">
        <v>2085</v>
      </c>
      <c r="C3194" t="s">
        <v>2108</v>
      </c>
      <c r="D3194" s="1">
        <v>44983</v>
      </c>
      <c r="E3194" s="1">
        <v>45167</v>
      </c>
      <c r="F3194">
        <v>125</v>
      </c>
      <c r="G3194">
        <v>33</v>
      </c>
      <c r="H3194">
        <v>2857.51</v>
      </c>
      <c r="I3194">
        <v>188.73</v>
      </c>
      <c r="J3194" t="s">
        <v>66</v>
      </c>
      <c r="K3194" t="s">
        <v>16</v>
      </c>
      <c r="L3194" t="s">
        <v>2106</v>
      </c>
      <c r="M3194">
        <v>0</v>
      </c>
      <c r="N3194" t="s">
        <v>165</v>
      </c>
      <c r="O3194" t="s">
        <v>2109</v>
      </c>
    </row>
    <row r="3195" spans="1:15">
      <c r="A3195" t="s">
        <v>991</v>
      </c>
      <c r="B3195" t="s">
        <v>2099</v>
      </c>
      <c r="C3195" t="s">
        <v>2086</v>
      </c>
      <c r="D3195" s="1">
        <v>44806</v>
      </c>
      <c r="E3195" s="1">
        <v>44954</v>
      </c>
      <c r="F3195">
        <v>338</v>
      </c>
      <c r="G3195">
        <v>2</v>
      </c>
      <c r="H3195">
        <v>60.33</v>
      </c>
      <c r="I3195">
        <v>95.51</v>
      </c>
      <c r="J3195" t="s">
        <v>66</v>
      </c>
      <c r="K3195" t="s">
        <v>16</v>
      </c>
      <c r="L3195" t="s">
        <v>2106</v>
      </c>
      <c r="M3195">
        <v>0</v>
      </c>
      <c r="N3195" t="s">
        <v>157</v>
      </c>
      <c r="O3195" t="s">
        <v>2121</v>
      </c>
    </row>
    <row r="3196" spans="1:15">
      <c r="A3196" t="s">
        <v>4584</v>
      </c>
      <c r="B3196" t="s">
        <v>2085</v>
      </c>
      <c r="C3196" t="s">
        <v>2100</v>
      </c>
      <c r="D3196" s="1">
        <v>43651</v>
      </c>
      <c r="E3196" s="1">
        <v>45179</v>
      </c>
      <c r="F3196">
        <v>113</v>
      </c>
      <c r="G3196">
        <v>40</v>
      </c>
      <c r="H3196">
        <v>1068.94</v>
      </c>
      <c r="I3196">
        <v>296.08999999999997</v>
      </c>
      <c r="J3196" t="s">
        <v>14</v>
      </c>
      <c r="K3196" t="s">
        <v>16</v>
      </c>
      <c r="L3196" t="s">
        <v>2095</v>
      </c>
      <c r="M3196">
        <v>6</v>
      </c>
      <c r="N3196" t="s">
        <v>174</v>
      </c>
      <c r="O3196" t="s">
        <v>2107</v>
      </c>
    </row>
    <row r="3197" spans="1:15">
      <c r="A3197" t="s">
        <v>4585</v>
      </c>
      <c r="B3197" t="s">
        <v>2093</v>
      </c>
      <c r="C3197" t="s">
        <v>2086</v>
      </c>
      <c r="D3197" s="1">
        <v>44391</v>
      </c>
      <c r="E3197" s="1">
        <v>45036</v>
      </c>
      <c r="F3197">
        <v>256</v>
      </c>
      <c r="G3197">
        <v>1</v>
      </c>
      <c r="H3197">
        <v>49.27</v>
      </c>
      <c r="I3197">
        <v>60.33</v>
      </c>
      <c r="J3197" t="s">
        <v>41</v>
      </c>
      <c r="K3197" t="s">
        <v>16</v>
      </c>
      <c r="L3197" t="s">
        <v>2106</v>
      </c>
      <c r="M3197">
        <v>8</v>
      </c>
      <c r="N3197" t="s">
        <v>165</v>
      </c>
      <c r="O3197" t="s">
        <v>2096</v>
      </c>
    </row>
    <row r="3198" spans="1:15">
      <c r="A3198" t="s">
        <v>4586</v>
      </c>
      <c r="B3198" t="s">
        <v>2099</v>
      </c>
      <c r="C3198" t="s">
        <v>2086</v>
      </c>
      <c r="D3198" s="1">
        <v>44117</v>
      </c>
      <c r="E3198" s="1">
        <v>45167</v>
      </c>
      <c r="F3198">
        <v>125</v>
      </c>
      <c r="G3198">
        <v>1</v>
      </c>
      <c r="H3198">
        <v>23.85</v>
      </c>
      <c r="I3198">
        <v>39.549999999999997</v>
      </c>
      <c r="J3198" t="s">
        <v>90</v>
      </c>
      <c r="K3198" t="s">
        <v>16</v>
      </c>
      <c r="L3198" t="s">
        <v>2087</v>
      </c>
      <c r="M3198">
        <v>4</v>
      </c>
      <c r="N3198" t="s">
        <v>174</v>
      </c>
      <c r="O3198" t="s">
        <v>2096</v>
      </c>
    </row>
    <row r="3199" spans="1:15">
      <c r="A3199" t="s">
        <v>4587</v>
      </c>
      <c r="B3199" t="s">
        <v>2085</v>
      </c>
      <c r="C3199" t="s">
        <v>2094</v>
      </c>
      <c r="D3199" s="1">
        <v>44797</v>
      </c>
      <c r="E3199" s="1">
        <v>45089</v>
      </c>
      <c r="F3199">
        <v>203</v>
      </c>
      <c r="G3199">
        <v>30</v>
      </c>
      <c r="H3199">
        <v>940.42</v>
      </c>
      <c r="I3199">
        <v>254.92</v>
      </c>
      <c r="J3199" t="s">
        <v>41</v>
      </c>
      <c r="K3199" t="s">
        <v>16</v>
      </c>
      <c r="L3199" t="s">
        <v>2106</v>
      </c>
      <c r="M3199">
        <v>0</v>
      </c>
      <c r="N3199" t="s">
        <v>165</v>
      </c>
      <c r="O3199" t="s">
        <v>2109</v>
      </c>
    </row>
    <row r="3200" spans="1:15">
      <c r="A3200" t="s">
        <v>1326</v>
      </c>
      <c r="B3200" t="s">
        <v>2090</v>
      </c>
      <c r="C3200" t="s">
        <v>2100</v>
      </c>
      <c r="D3200" s="1">
        <v>43619</v>
      </c>
      <c r="E3200" s="1">
        <v>44989</v>
      </c>
      <c r="F3200">
        <v>303</v>
      </c>
      <c r="G3200">
        <v>8</v>
      </c>
      <c r="H3200">
        <v>386.97</v>
      </c>
      <c r="I3200">
        <v>108.14</v>
      </c>
      <c r="J3200" t="s">
        <v>66</v>
      </c>
      <c r="K3200" t="s">
        <v>16</v>
      </c>
      <c r="L3200" t="s">
        <v>2087</v>
      </c>
      <c r="M3200">
        <v>2</v>
      </c>
      <c r="N3200" t="s">
        <v>194</v>
      </c>
      <c r="O3200" t="s">
        <v>2096</v>
      </c>
    </row>
    <row r="3201" spans="1:15">
      <c r="A3201" t="s">
        <v>4588</v>
      </c>
      <c r="B3201" t="s">
        <v>2085</v>
      </c>
      <c r="C3201" t="s">
        <v>2108</v>
      </c>
      <c r="D3201" s="1">
        <v>45263</v>
      </c>
      <c r="E3201" s="1">
        <v>45076</v>
      </c>
      <c r="F3201">
        <v>216</v>
      </c>
      <c r="G3201">
        <v>20</v>
      </c>
      <c r="H3201">
        <v>2732.78</v>
      </c>
      <c r="I3201">
        <v>194.61</v>
      </c>
      <c r="J3201" t="s">
        <v>90</v>
      </c>
      <c r="K3201" t="s">
        <v>16</v>
      </c>
      <c r="L3201" t="s">
        <v>2095</v>
      </c>
      <c r="M3201">
        <v>4</v>
      </c>
      <c r="N3201" t="s">
        <v>179</v>
      </c>
      <c r="O3201" t="s">
        <v>2088</v>
      </c>
    </row>
    <row r="3202" spans="1:15">
      <c r="A3202" t="s">
        <v>4589</v>
      </c>
      <c r="B3202" t="s">
        <v>2097</v>
      </c>
      <c r="C3202" t="s">
        <v>2094</v>
      </c>
      <c r="D3202" s="1">
        <v>44785</v>
      </c>
      <c r="E3202" s="1">
        <v>45144</v>
      </c>
      <c r="F3202">
        <v>148</v>
      </c>
      <c r="G3202">
        <v>5</v>
      </c>
      <c r="H3202">
        <v>298.74</v>
      </c>
      <c r="I3202">
        <v>134.30000000000001</v>
      </c>
      <c r="J3202" t="s">
        <v>41</v>
      </c>
      <c r="K3202" t="s">
        <v>20</v>
      </c>
      <c r="L3202" t="s">
        <v>2095</v>
      </c>
      <c r="M3202">
        <v>1</v>
      </c>
      <c r="N3202" t="s">
        <v>204</v>
      </c>
      <c r="O3202" t="s">
        <v>2088</v>
      </c>
    </row>
    <row r="3203" spans="1:15">
      <c r="A3203" t="s">
        <v>4590</v>
      </c>
      <c r="B3203" t="s">
        <v>2113</v>
      </c>
      <c r="C3203" t="s">
        <v>2111</v>
      </c>
      <c r="D3203" s="1">
        <v>44689</v>
      </c>
      <c r="E3203" s="1">
        <v>45105</v>
      </c>
      <c r="F3203">
        <v>187</v>
      </c>
      <c r="G3203">
        <v>17</v>
      </c>
      <c r="H3203">
        <v>127.41</v>
      </c>
      <c r="I3203">
        <v>55.93</v>
      </c>
      <c r="J3203" t="s">
        <v>66</v>
      </c>
      <c r="K3203" t="s">
        <v>20</v>
      </c>
      <c r="L3203" t="s">
        <v>2095</v>
      </c>
      <c r="M3203">
        <v>3</v>
      </c>
      <c r="N3203" t="s">
        <v>194</v>
      </c>
      <c r="O3203" t="s">
        <v>2109</v>
      </c>
    </row>
    <row r="3204" spans="1:15">
      <c r="A3204" t="s">
        <v>4591</v>
      </c>
      <c r="B3204" t="s">
        <v>2099</v>
      </c>
      <c r="C3204" t="s">
        <v>2100</v>
      </c>
      <c r="D3204" s="1">
        <v>44480</v>
      </c>
      <c r="E3204" s="1">
        <v>45073</v>
      </c>
      <c r="F3204">
        <v>219</v>
      </c>
      <c r="G3204">
        <v>2</v>
      </c>
      <c r="H3204">
        <v>39.090000000000003</v>
      </c>
      <c r="I3204">
        <v>87.64</v>
      </c>
      <c r="J3204" t="s">
        <v>66</v>
      </c>
      <c r="K3204" t="s">
        <v>16</v>
      </c>
      <c r="L3204" t="s">
        <v>2095</v>
      </c>
      <c r="M3204">
        <v>3</v>
      </c>
      <c r="N3204" t="s">
        <v>174</v>
      </c>
      <c r="O3204" t="s">
        <v>2109</v>
      </c>
    </row>
    <row r="3205" spans="1:15">
      <c r="A3205" t="s">
        <v>4592</v>
      </c>
      <c r="B3205" t="s">
        <v>2113</v>
      </c>
      <c r="C3205" t="s">
        <v>2094</v>
      </c>
      <c r="D3205" s="1">
        <v>44128</v>
      </c>
      <c r="E3205" s="1">
        <v>45257</v>
      </c>
      <c r="F3205">
        <v>35</v>
      </c>
      <c r="G3205">
        <v>15</v>
      </c>
      <c r="H3205">
        <v>104.77</v>
      </c>
      <c r="I3205">
        <v>31.69</v>
      </c>
      <c r="J3205" t="s">
        <v>14</v>
      </c>
      <c r="K3205" t="s">
        <v>16</v>
      </c>
      <c r="L3205" t="s">
        <v>2106</v>
      </c>
      <c r="M3205">
        <v>3</v>
      </c>
      <c r="N3205" t="s">
        <v>204</v>
      </c>
      <c r="O3205" t="s">
        <v>2096</v>
      </c>
    </row>
    <row r="3206" spans="1:15">
      <c r="A3206" t="s">
        <v>1901</v>
      </c>
      <c r="B3206" t="s">
        <v>2097</v>
      </c>
      <c r="C3206" t="s">
        <v>2108</v>
      </c>
      <c r="D3206" s="1">
        <v>45083</v>
      </c>
      <c r="E3206" s="1">
        <v>45050</v>
      </c>
      <c r="F3206">
        <v>242</v>
      </c>
      <c r="G3206">
        <v>7</v>
      </c>
      <c r="H3206">
        <v>566.5</v>
      </c>
      <c r="I3206">
        <v>124.28</v>
      </c>
      <c r="J3206" t="s">
        <v>14</v>
      </c>
      <c r="K3206" t="s">
        <v>20</v>
      </c>
      <c r="L3206" t="s">
        <v>2095</v>
      </c>
      <c r="M3206">
        <v>7</v>
      </c>
      <c r="N3206" t="s">
        <v>232</v>
      </c>
      <c r="O3206" t="s">
        <v>2088</v>
      </c>
    </row>
    <row r="3207" spans="1:15">
      <c r="A3207" t="s">
        <v>4593</v>
      </c>
      <c r="B3207" t="s">
        <v>2093</v>
      </c>
      <c r="C3207" t="s">
        <v>2108</v>
      </c>
      <c r="D3207" s="1">
        <v>44646</v>
      </c>
      <c r="E3207" s="1">
        <v>45277</v>
      </c>
      <c r="F3207">
        <v>15</v>
      </c>
      <c r="G3207">
        <v>1</v>
      </c>
      <c r="H3207">
        <v>138.63</v>
      </c>
      <c r="I3207">
        <v>52.13</v>
      </c>
      <c r="J3207" t="s">
        <v>66</v>
      </c>
      <c r="K3207" t="s">
        <v>16</v>
      </c>
      <c r="L3207" t="s">
        <v>2106</v>
      </c>
      <c r="M3207">
        <v>6</v>
      </c>
      <c r="N3207" t="s">
        <v>174</v>
      </c>
      <c r="O3207" t="s">
        <v>2096</v>
      </c>
    </row>
    <row r="3208" spans="1:15">
      <c r="A3208" t="s">
        <v>4594</v>
      </c>
      <c r="B3208" t="s">
        <v>2090</v>
      </c>
      <c r="C3208" t="s">
        <v>2111</v>
      </c>
      <c r="D3208" s="1">
        <v>43494</v>
      </c>
      <c r="E3208" s="1">
        <v>45067</v>
      </c>
      <c r="F3208">
        <v>225</v>
      </c>
      <c r="G3208">
        <v>8</v>
      </c>
      <c r="H3208">
        <v>325.11</v>
      </c>
      <c r="I3208">
        <v>58.19</v>
      </c>
      <c r="J3208" t="s">
        <v>66</v>
      </c>
      <c r="K3208" t="s">
        <v>20</v>
      </c>
      <c r="L3208" t="s">
        <v>2087</v>
      </c>
      <c r="M3208">
        <v>10</v>
      </c>
      <c r="N3208" t="s">
        <v>194</v>
      </c>
      <c r="O3208" t="s">
        <v>2109</v>
      </c>
    </row>
    <row r="3209" spans="1:15">
      <c r="A3209" t="s">
        <v>862</v>
      </c>
      <c r="B3209" t="s">
        <v>2113</v>
      </c>
      <c r="C3209" t="s">
        <v>2108</v>
      </c>
      <c r="D3209" s="1">
        <v>43922</v>
      </c>
      <c r="E3209" s="1">
        <v>45117</v>
      </c>
      <c r="F3209">
        <v>175</v>
      </c>
      <c r="G3209">
        <v>20</v>
      </c>
      <c r="H3209">
        <v>220.22</v>
      </c>
      <c r="I3209">
        <v>43.37</v>
      </c>
      <c r="J3209" t="s">
        <v>115</v>
      </c>
      <c r="K3209" t="s">
        <v>16</v>
      </c>
      <c r="L3209" t="s">
        <v>2095</v>
      </c>
      <c r="M3209">
        <v>6</v>
      </c>
      <c r="N3209" t="s">
        <v>179</v>
      </c>
      <c r="O3209" t="s">
        <v>2088</v>
      </c>
    </row>
    <row r="3210" spans="1:15">
      <c r="A3210" t="s">
        <v>4595</v>
      </c>
      <c r="B3210" t="s">
        <v>2099</v>
      </c>
      <c r="C3210" t="s">
        <v>2091</v>
      </c>
      <c r="D3210" s="1">
        <v>45046</v>
      </c>
      <c r="E3210" s="1">
        <v>45111</v>
      </c>
      <c r="F3210">
        <v>181</v>
      </c>
      <c r="G3210">
        <v>1</v>
      </c>
      <c r="H3210">
        <v>32.19</v>
      </c>
      <c r="I3210">
        <v>54.13</v>
      </c>
      <c r="J3210" t="s">
        <v>66</v>
      </c>
      <c r="K3210" t="s">
        <v>16</v>
      </c>
      <c r="L3210" t="s">
        <v>2095</v>
      </c>
      <c r="M3210">
        <v>10</v>
      </c>
      <c r="N3210" t="s">
        <v>179</v>
      </c>
      <c r="O3210" t="s">
        <v>2109</v>
      </c>
    </row>
    <row r="3211" spans="1:15">
      <c r="A3211" t="s">
        <v>4596</v>
      </c>
      <c r="B3211" t="s">
        <v>2113</v>
      </c>
      <c r="C3211" t="s">
        <v>2100</v>
      </c>
      <c r="D3211" s="1">
        <v>44620</v>
      </c>
      <c r="E3211" s="1">
        <v>45036</v>
      </c>
      <c r="F3211">
        <v>256</v>
      </c>
      <c r="G3211">
        <v>6</v>
      </c>
      <c r="H3211">
        <v>227.06</v>
      </c>
      <c r="I3211">
        <v>30.2</v>
      </c>
      <c r="J3211" t="s">
        <v>14</v>
      </c>
      <c r="K3211" t="s">
        <v>16</v>
      </c>
      <c r="L3211" t="s">
        <v>2106</v>
      </c>
      <c r="M3211">
        <v>1</v>
      </c>
      <c r="N3211" t="s">
        <v>232</v>
      </c>
      <c r="O3211" t="s">
        <v>2121</v>
      </c>
    </row>
    <row r="3212" spans="1:15">
      <c r="A3212" t="s">
        <v>4597</v>
      </c>
      <c r="B3212" t="s">
        <v>2090</v>
      </c>
      <c r="C3212" t="s">
        <v>2111</v>
      </c>
      <c r="D3212" s="1">
        <v>44016</v>
      </c>
      <c r="E3212" s="1">
        <v>45256</v>
      </c>
      <c r="F3212">
        <v>36</v>
      </c>
      <c r="G3212">
        <v>5</v>
      </c>
      <c r="H3212">
        <v>258.24</v>
      </c>
      <c r="I3212">
        <v>95.72</v>
      </c>
      <c r="J3212" t="s">
        <v>115</v>
      </c>
      <c r="K3212" t="s">
        <v>16</v>
      </c>
      <c r="L3212" t="s">
        <v>2095</v>
      </c>
      <c r="M3212">
        <v>9</v>
      </c>
      <c r="N3212" t="s">
        <v>174</v>
      </c>
      <c r="O3212" t="s">
        <v>2121</v>
      </c>
    </row>
    <row r="3213" spans="1:15">
      <c r="A3213" t="s">
        <v>4598</v>
      </c>
      <c r="B3213" t="s">
        <v>2093</v>
      </c>
      <c r="C3213" t="s">
        <v>2086</v>
      </c>
      <c r="D3213" s="1">
        <v>44634</v>
      </c>
      <c r="E3213" s="1">
        <v>45005</v>
      </c>
      <c r="F3213">
        <v>287</v>
      </c>
      <c r="G3213">
        <v>3</v>
      </c>
      <c r="H3213">
        <v>35.53</v>
      </c>
      <c r="I3213">
        <v>41.01</v>
      </c>
      <c r="J3213" t="s">
        <v>14</v>
      </c>
      <c r="K3213" t="s">
        <v>20</v>
      </c>
      <c r="L3213" t="s">
        <v>2087</v>
      </c>
      <c r="M3213">
        <v>7</v>
      </c>
      <c r="N3213" t="s">
        <v>165</v>
      </c>
      <c r="O3213" t="s">
        <v>2107</v>
      </c>
    </row>
    <row r="3214" spans="1:15">
      <c r="A3214" t="s">
        <v>4599</v>
      </c>
      <c r="B3214" t="s">
        <v>2099</v>
      </c>
      <c r="C3214" t="s">
        <v>2086</v>
      </c>
      <c r="D3214" s="1">
        <v>43886</v>
      </c>
      <c r="E3214" s="1">
        <v>45237</v>
      </c>
      <c r="F3214">
        <v>55</v>
      </c>
      <c r="G3214">
        <v>2</v>
      </c>
      <c r="H3214">
        <v>85.69</v>
      </c>
      <c r="I3214">
        <v>51.74</v>
      </c>
      <c r="J3214" t="s">
        <v>41</v>
      </c>
      <c r="K3214" t="s">
        <v>16</v>
      </c>
      <c r="L3214" t="s">
        <v>2095</v>
      </c>
      <c r="M3214">
        <v>6</v>
      </c>
      <c r="N3214" t="s">
        <v>165</v>
      </c>
      <c r="O3214" t="s">
        <v>2096</v>
      </c>
    </row>
    <row r="3215" spans="1:15">
      <c r="A3215" t="s">
        <v>4600</v>
      </c>
      <c r="B3215" t="s">
        <v>2085</v>
      </c>
      <c r="C3215" t="s">
        <v>2108</v>
      </c>
      <c r="D3215" s="1">
        <v>45129</v>
      </c>
      <c r="E3215" s="1">
        <v>45280</v>
      </c>
      <c r="F3215">
        <v>12</v>
      </c>
      <c r="G3215">
        <v>31</v>
      </c>
      <c r="H3215">
        <v>1561.92</v>
      </c>
      <c r="I3215">
        <v>153.88</v>
      </c>
      <c r="J3215" t="s">
        <v>90</v>
      </c>
      <c r="K3215" t="s">
        <v>16</v>
      </c>
      <c r="L3215" t="s">
        <v>2106</v>
      </c>
      <c r="M3215">
        <v>7</v>
      </c>
      <c r="N3215" t="s">
        <v>232</v>
      </c>
      <c r="O3215" t="s">
        <v>2088</v>
      </c>
    </row>
    <row r="3216" spans="1:15">
      <c r="A3216" t="s">
        <v>1070</v>
      </c>
      <c r="B3216" t="s">
        <v>2085</v>
      </c>
      <c r="C3216" t="s">
        <v>2111</v>
      </c>
      <c r="D3216" s="1">
        <v>44992</v>
      </c>
      <c r="E3216" s="1">
        <v>45262</v>
      </c>
      <c r="F3216">
        <v>30</v>
      </c>
      <c r="G3216">
        <v>28</v>
      </c>
      <c r="H3216">
        <v>2949.56</v>
      </c>
      <c r="I3216">
        <v>299.38</v>
      </c>
      <c r="J3216" t="s">
        <v>90</v>
      </c>
      <c r="K3216" t="s">
        <v>20</v>
      </c>
      <c r="L3216" t="s">
        <v>2095</v>
      </c>
      <c r="M3216">
        <v>1</v>
      </c>
      <c r="N3216" t="s">
        <v>179</v>
      </c>
      <c r="O3216" t="s">
        <v>2096</v>
      </c>
    </row>
    <row r="3217" spans="1:15">
      <c r="A3217" t="s">
        <v>4601</v>
      </c>
      <c r="B3217" t="s">
        <v>2097</v>
      </c>
      <c r="C3217" t="s">
        <v>2086</v>
      </c>
      <c r="D3217" s="1">
        <v>44700</v>
      </c>
      <c r="E3217" s="1">
        <v>44998</v>
      </c>
      <c r="F3217">
        <v>294</v>
      </c>
      <c r="G3217">
        <v>4</v>
      </c>
      <c r="H3217">
        <v>449.23</v>
      </c>
      <c r="I3217">
        <v>108.26</v>
      </c>
      <c r="J3217" t="s">
        <v>41</v>
      </c>
      <c r="K3217" t="s">
        <v>16</v>
      </c>
      <c r="L3217" t="s">
        <v>2095</v>
      </c>
      <c r="M3217">
        <v>3</v>
      </c>
      <c r="N3217" t="s">
        <v>174</v>
      </c>
      <c r="O3217" t="s">
        <v>2107</v>
      </c>
    </row>
    <row r="3218" spans="1:15">
      <c r="A3218" t="s">
        <v>4602</v>
      </c>
      <c r="B3218" t="s">
        <v>2113</v>
      </c>
      <c r="C3218" t="s">
        <v>2108</v>
      </c>
      <c r="D3218" s="1">
        <v>43470</v>
      </c>
      <c r="E3218" s="1">
        <v>45280</v>
      </c>
      <c r="F3218">
        <v>12</v>
      </c>
      <c r="G3218">
        <v>17</v>
      </c>
      <c r="H3218">
        <v>343.02</v>
      </c>
      <c r="I3218">
        <v>36.85</v>
      </c>
      <c r="J3218" t="s">
        <v>41</v>
      </c>
      <c r="K3218" t="s">
        <v>20</v>
      </c>
      <c r="L3218" t="s">
        <v>2087</v>
      </c>
      <c r="M3218">
        <v>6</v>
      </c>
      <c r="N3218" t="s">
        <v>174</v>
      </c>
      <c r="O3218" t="s">
        <v>2109</v>
      </c>
    </row>
    <row r="3219" spans="1:15">
      <c r="A3219" t="s">
        <v>4603</v>
      </c>
      <c r="B3219" t="s">
        <v>2097</v>
      </c>
      <c r="C3219" t="s">
        <v>2091</v>
      </c>
      <c r="D3219" s="1">
        <v>44000</v>
      </c>
      <c r="E3219" s="1">
        <v>44974</v>
      </c>
      <c r="F3219">
        <v>318</v>
      </c>
      <c r="G3219">
        <v>10</v>
      </c>
      <c r="H3219">
        <v>604.54999999999995</v>
      </c>
      <c r="I3219">
        <v>145.80000000000001</v>
      </c>
      <c r="J3219" t="s">
        <v>66</v>
      </c>
      <c r="K3219" t="s">
        <v>16</v>
      </c>
      <c r="L3219" t="s">
        <v>2087</v>
      </c>
      <c r="M3219">
        <v>10</v>
      </c>
      <c r="N3219" t="s">
        <v>165</v>
      </c>
      <c r="O3219" t="s">
        <v>2109</v>
      </c>
    </row>
    <row r="3220" spans="1:15">
      <c r="A3220" t="s">
        <v>1360</v>
      </c>
      <c r="B3220" t="s">
        <v>2097</v>
      </c>
      <c r="C3220" t="s">
        <v>2100</v>
      </c>
      <c r="D3220" s="1">
        <v>43942</v>
      </c>
      <c r="E3220" s="1">
        <v>45285</v>
      </c>
      <c r="F3220">
        <v>7</v>
      </c>
      <c r="G3220">
        <v>5</v>
      </c>
      <c r="H3220">
        <v>281.01</v>
      </c>
      <c r="I3220">
        <v>115.06</v>
      </c>
      <c r="J3220" t="s">
        <v>66</v>
      </c>
      <c r="K3220" t="s">
        <v>16</v>
      </c>
      <c r="L3220" t="s">
        <v>2095</v>
      </c>
      <c r="M3220">
        <v>10</v>
      </c>
      <c r="N3220" t="s">
        <v>194</v>
      </c>
      <c r="O3220" t="s">
        <v>2107</v>
      </c>
    </row>
    <row r="3221" spans="1:15">
      <c r="A3221" t="s">
        <v>4604</v>
      </c>
      <c r="B3221" t="s">
        <v>2085</v>
      </c>
      <c r="C3221" t="s">
        <v>2100</v>
      </c>
      <c r="D3221" s="1">
        <v>44682</v>
      </c>
      <c r="E3221" s="1">
        <v>45049</v>
      </c>
      <c r="F3221">
        <v>243</v>
      </c>
      <c r="G3221">
        <v>31</v>
      </c>
      <c r="H3221">
        <v>1355.79</v>
      </c>
      <c r="I3221">
        <v>106.94</v>
      </c>
      <c r="J3221" t="s">
        <v>66</v>
      </c>
      <c r="K3221" t="s">
        <v>16</v>
      </c>
      <c r="L3221" t="s">
        <v>2087</v>
      </c>
      <c r="M3221">
        <v>10</v>
      </c>
      <c r="N3221" t="s">
        <v>232</v>
      </c>
      <c r="O3221" t="s">
        <v>2109</v>
      </c>
    </row>
    <row r="3222" spans="1:15">
      <c r="A3222" t="s">
        <v>4605</v>
      </c>
      <c r="B3222" t="s">
        <v>2085</v>
      </c>
      <c r="C3222" t="s">
        <v>2108</v>
      </c>
      <c r="D3222" s="1">
        <v>44167</v>
      </c>
      <c r="E3222" s="1">
        <v>44952</v>
      </c>
      <c r="F3222">
        <v>340</v>
      </c>
      <c r="G3222">
        <v>31</v>
      </c>
      <c r="H3222">
        <v>2359.6</v>
      </c>
      <c r="I3222">
        <v>157.5</v>
      </c>
      <c r="J3222" t="s">
        <v>66</v>
      </c>
      <c r="K3222" t="s">
        <v>20</v>
      </c>
      <c r="L3222" t="s">
        <v>2095</v>
      </c>
      <c r="M3222">
        <v>10</v>
      </c>
      <c r="N3222" t="s">
        <v>179</v>
      </c>
      <c r="O3222" t="s">
        <v>2121</v>
      </c>
    </row>
    <row r="3223" spans="1:15">
      <c r="A3223" t="s">
        <v>4606</v>
      </c>
      <c r="B3223" t="s">
        <v>2097</v>
      </c>
      <c r="C3223" t="s">
        <v>2108</v>
      </c>
      <c r="D3223" s="1">
        <v>44201</v>
      </c>
      <c r="E3223" s="1">
        <v>45279</v>
      </c>
      <c r="F3223">
        <v>13</v>
      </c>
      <c r="G3223">
        <v>3</v>
      </c>
      <c r="H3223">
        <v>711.29</v>
      </c>
      <c r="I3223">
        <v>107.47</v>
      </c>
      <c r="J3223" t="s">
        <v>115</v>
      </c>
      <c r="K3223" t="s">
        <v>16</v>
      </c>
      <c r="L3223" t="s">
        <v>2087</v>
      </c>
      <c r="M3223">
        <v>9</v>
      </c>
      <c r="N3223" t="s">
        <v>179</v>
      </c>
      <c r="O3223" t="s">
        <v>2088</v>
      </c>
    </row>
    <row r="3224" spans="1:15">
      <c r="A3224" t="s">
        <v>4607</v>
      </c>
      <c r="B3224" t="s">
        <v>2097</v>
      </c>
      <c r="C3224" t="s">
        <v>2100</v>
      </c>
      <c r="D3224" s="1">
        <v>44466</v>
      </c>
      <c r="E3224" s="1">
        <v>45034</v>
      </c>
      <c r="F3224">
        <v>258</v>
      </c>
      <c r="G3224">
        <v>9</v>
      </c>
      <c r="H3224">
        <v>342</v>
      </c>
      <c r="I3224">
        <v>128.37</v>
      </c>
      <c r="J3224" t="s">
        <v>115</v>
      </c>
      <c r="K3224" t="s">
        <v>16</v>
      </c>
      <c r="L3224" t="s">
        <v>2087</v>
      </c>
      <c r="M3224">
        <v>2</v>
      </c>
      <c r="N3224" t="s">
        <v>157</v>
      </c>
      <c r="O3224" t="s">
        <v>2088</v>
      </c>
    </row>
    <row r="3225" spans="1:15">
      <c r="A3225" t="s">
        <v>4608</v>
      </c>
      <c r="B3225" t="s">
        <v>2093</v>
      </c>
      <c r="C3225" t="s">
        <v>2086</v>
      </c>
      <c r="D3225" s="1">
        <v>43612</v>
      </c>
      <c r="E3225" s="1">
        <v>44992</v>
      </c>
      <c r="F3225">
        <v>300</v>
      </c>
      <c r="G3225">
        <v>1</v>
      </c>
      <c r="H3225">
        <v>101.79</v>
      </c>
      <c r="I3225">
        <v>60.86</v>
      </c>
      <c r="J3225" t="s">
        <v>41</v>
      </c>
      <c r="K3225" t="s">
        <v>16</v>
      </c>
      <c r="L3225" t="s">
        <v>2095</v>
      </c>
      <c r="M3225">
        <v>5</v>
      </c>
      <c r="N3225" t="s">
        <v>174</v>
      </c>
      <c r="O3225" t="s">
        <v>2096</v>
      </c>
    </row>
    <row r="3226" spans="1:15">
      <c r="A3226" t="s">
        <v>4609</v>
      </c>
      <c r="B3226" t="s">
        <v>2093</v>
      </c>
      <c r="C3226" t="s">
        <v>2100</v>
      </c>
      <c r="D3226" s="1">
        <v>43684</v>
      </c>
      <c r="E3226" s="1">
        <v>44942</v>
      </c>
      <c r="F3226">
        <v>350</v>
      </c>
      <c r="G3226">
        <v>1</v>
      </c>
      <c r="H3226">
        <v>70.69</v>
      </c>
      <c r="I3226">
        <v>32.450000000000003</v>
      </c>
      <c r="J3226" t="s">
        <v>66</v>
      </c>
      <c r="K3226" t="s">
        <v>16</v>
      </c>
      <c r="L3226" t="s">
        <v>2087</v>
      </c>
      <c r="M3226">
        <v>10</v>
      </c>
      <c r="N3226" t="s">
        <v>174</v>
      </c>
      <c r="O3226" t="s">
        <v>2107</v>
      </c>
    </row>
    <row r="3227" spans="1:15">
      <c r="A3227" t="s">
        <v>4610</v>
      </c>
      <c r="B3227" t="s">
        <v>2113</v>
      </c>
      <c r="C3227" t="s">
        <v>2108</v>
      </c>
      <c r="D3227" s="1">
        <v>44541</v>
      </c>
      <c r="E3227" s="1">
        <v>45074</v>
      </c>
      <c r="F3227">
        <v>218</v>
      </c>
      <c r="G3227">
        <v>17</v>
      </c>
      <c r="H3227">
        <v>587.16999999999996</v>
      </c>
      <c r="I3227">
        <v>43.95</v>
      </c>
      <c r="J3227" t="s">
        <v>14</v>
      </c>
      <c r="K3227" t="s">
        <v>16</v>
      </c>
      <c r="L3227" t="s">
        <v>2095</v>
      </c>
      <c r="M3227">
        <v>2</v>
      </c>
      <c r="N3227" t="s">
        <v>179</v>
      </c>
      <c r="O3227" t="s">
        <v>2107</v>
      </c>
    </row>
    <row r="3228" spans="1:15">
      <c r="A3228" t="s">
        <v>4611</v>
      </c>
      <c r="B3228" t="s">
        <v>2097</v>
      </c>
      <c r="C3228" t="s">
        <v>2091</v>
      </c>
      <c r="D3228" s="1">
        <v>44608</v>
      </c>
      <c r="E3228" s="1">
        <v>45174</v>
      </c>
      <c r="F3228">
        <v>118</v>
      </c>
      <c r="G3228">
        <v>6</v>
      </c>
      <c r="H3228">
        <v>706.47</v>
      </c>
      <c r="I3228">
        <v>140.63</v>
      </c>
      <c r="J3228" t="s">
        <v>115</v>
      </c>
      <c r="K3228" t="s">
        <v>16</v>
      </c>
      <c r="L3228" t="s">
        <v>2106</v>
      </c>
      <c r="M3228">
        <v>7</v>
      </c>
      <c r="N3228" t="s">
        <v>174</v>
      </c>
      <c r="O3228" t="s">
        <v>2088</v>
      </c>
    </row>
    <row r="3229" spans="1:15">
      <c r="A3229" t="s">
        <v>4612</v>
      </c>
      <c r="B3229" t="s">
        <v>2113</v>
      </c>
      <c r="C3229" t="s">
        <v>2111</v>
      </c>
      <c r="D3229" s="1">
        <v>43975</v>
      </c>
      <c r="E3229" s="1">
        <v>45172</v>
      </c>
      <c r="F3229">
        <v>120</v>
      </c>
      <c r="G3229">
        <v>11</v>
      </c>
      <c r="H3229">
        <v>392.38</v>
      </c>
      <c r="I3229">
        <v>71.69</v>
      </c>
      <c r="J3229" t="s">
        <v>115</v>
      </c>
      <c r="K3229" t="s">
        <v>16</v>
      </c>
      <c r="L3229" t="s">
        <v>2106</v>
      </c>
      <c r="M3229">
        <v>7</v>
      </c>
      <c r="N3229" t="s">
        <v>232</v>
      </c>
      <c r="O3229" t="s">
        <v>2107</v>
      </c>
    </row>
    <row r="3230" spans="1:15">
      <c r="A3230" t="s">
        <v>820</v>
      </c>
      <c r="B3230" t="s">
        <v>2099</v>
      </c>
      <c r="C3230" t="s">
        <v>2108</v>
      </c>
      <c r="D3230" s="1">
        <v>43694</v>
      </c>
      <c r="E3230" s="1">
        <v>45144</v>
      </c>
      <c r="F3230">
        <v>148</v>
      </c>
      <c r="G3230">
        <v>1</v>
      </c>
      <c r="H3230">
        <v>36.11</v>
      </c>
      <c r="I3230">
        <v>95.99</v>
      </c>
      <c r="J3230" t="s">
        <v>115</v>
      </c>
      <c r="K3230" t="s">
        <v>16</v>
      </c>
      <c r="L3230" t="s">
        <v>2095</v>
      </c>
      <c r="M3230">
        <v>6</v>
      </c>
      <c r="N3230" t="s">
        <v>165</v>
      </c>
      <c r="O3230" t="s">
        <v>2096</v>
      </c>
    </row>
    <row r="3231" spans="1:15">
      <c r="A3231" t="s">
        <v>2062</v>
      </c>
      <c r="B3231" t="s">
        <v>2090</v>
      </c>
      <c r="C3231" t="s">
        <v>2111</v>
      </c>
      <c r="D3231" s="1">
        <v>43894</v>
      </c>
      <c r="E3231" s="1">
        <v>45155</v>
      </c>
      <c r="F3231">
        <v>137</v>
      </c>
      <c r="G3231">
        <v>2</v>
      </c>
      <c r="H3231">
        <v>277.52999999999997</v>
      </c>
      <c r="I3231">
        <v>104.78</v>
      </c>
      <c r="J3231" t="s">
        <v>66</v>
      </c>
      <c r="K3231" t="s">
        <v>16</v>
      </c>
      <c r="L3231" t="s">
        <v>2106</v>
      </c>
      <c r="M3231">
        <v>3</v>
      </c>
      <c r="N3231" t="s">
        <v>174</v>
      </c>
      <c r="O3231" t="s">
        <v>2109</v>
      </c>
    </row>
    <row r="3232" spans="1:15">
      <c r="A3232" t="s">
        <v>4613</v>
      </c>
      <c r="B3232" t="s">
        <v>2090</v>
      </c>
      <c r="C3232" t="s">
        <v>2086</v>
      </c>
      <c r="D3232" s="1">
        <v>44611</v>
      </c>
      <c r="E3232" s="1">
        <v>45053</v>
      </c>
      <c r="F3232">
        <v>239</v>
      </c>
      <c r="G3232">
        <v>4</v>
      </c>
      <c r="H3232">
        <v>166.39</v>
      </c>
      <c r="I3232">
        <v>87.89</v>
      </c>
      <c r="J3232" t="s">
        <v>14</v>
      </c>
      <c r="K3232" t="s">
        <v>16</v>
      </c>
      <c r="L3232" t="s">
        <v>2087</v>
      </c>
      <c r="M3232">
        <v>10</v>
      </c>
      <c r="N3232" t="s">
        <v>194</v>
      </c>
      <c r="O3232" t="s">
        <v>2109</v>
      </c>
    </row>
    <row r="3233" spans="1:15">
      <c r="A3233" t="s">
        <v>4614</v>
      </c>
      <c r="B3233" t="s">
        <v>2093</v>
      </c>
      <c r="C3233" t="s">
        <v>2100</v>
      </c>
      <c r="D3233" s="1">
        <v>45090</v>
      </c>
      <c r="E3233" s="1">
        <v>45033</v>
      </c>
      <c r="F3233">
        <v>259</v>
      </c>
      <c r="G3233">
        <v>2</v>
      </c>
      <c r="H3233">
        <v>122.43</v>
      </c>
      <c r="I3233">
        <v>25.74</v>
      </c>
      <c r="J3233" t="s">
        <v>14</v>
      </c>
      <c r="K3233" t="s">
        <v>20</v>
      </c>
      <c r="L3233" t="s">
        <v>2087</v>
      </c>
      <c r="M3233">
        <v>9</v>
      </c>
      <c r="N3233" t="s">
        <v>194</v>
      </c>
      <c r="O3233" t="s">
        <v>2109</v>
      </c>
    </row>
    <row r="3234" spans="1:15">
      <c r="A3234" t="s">
        <v>752</v>
      </c>
      <c r="B3234" t="s">
        <v>2097</v>
      </c>
      <c r="C3234" t="s">
        <v>2100</v>
      </c>
      <c r="D3234" s="1">
        <v>43529</v>
      </c>
      <c r="E3234" s="1">
        <v>45152</v>
      </c>
      <c r="F3234">
        <v>140</v>
      </c>
      <c r="G3234">
        <v>7</v>
      </c>
      <c r="H3234">
        <v>697.5</v>
      </c>
      <c r="I3234">
        <v>81.319999999999993</v>
      </c>
      <c r="J3234" t="s">
        <v>14</v>
      </c>
      <c r="K3234" t="s">
        <v>16</v>
      </c>
      <c r="L3234" t="s">
        <v>2087</v>
      </c>
      <c r="M3234">
        <v>3</v>
      </c>
      <c r="N3234" t="s">
        <v>194</v>
      </c>
      <c r="O3234" t="s">
        <v>2121</v>
      </c>
    </row>
    <row r="3235" spans="1:15">
      <c r="A3235" t="s">
        <v>4615</v>
      </c>
      <c r="B3235" t="s">
        <v>2093</v>
      </c>
      <c r="C3235" t="s">
        <v>2108</v>
      </c>
      <c r="D3235" s="1">
        <v>44006</v>
      </c>
      <c r="E3235" s="1">
        <v>45209</v>
      </c>
      <c r="F3235">
        <v>83</v>
      </c>
      <c r="G3235">
        <v>5</v>
      </c>
      <c r="H3235">
        <v>118.19</v>
      </c>
      <c r="I3235">
        <v>71.239999999999995</v>
      </c>
      <c r="J3235" t="s">
        <v>14</v>
      </c>
      <c r="K3235" t="s">
        <v>20</v>
      </c>
      <c r="L3235" t="s">
        <v>2095</v>
      </c>
      <c r="M3235">
        <v>8</v>
      </c>
      <c r="N3235" t="s">
        <v>174</v>
      </c>
      <c r="O3235" t="s">
        <v>2088</v>
      </c>
    </row>
    <row r="3236" spans="1:15">
      <c r="A3236" t="s">
        <v>4616</v>
      </c>
      <c r="B3236" t="s">
        <v>2097</v>
      </c>
      <c r="C3236" t="s">
        <v>2108</v>
      </c>
      <c r="D3236" s="1">
        <v>45116</v>
      </c>
      <c r="E3236" s="1">
        <v>44996</v>
      </c>
      <c r="F3236">
        <v>296</v>
      </c>
      <c r="G3236">
        <v>6</v>
      </c>
      <c r="H3236">
        <v>486.36</v>
      </c>
      <c r="I3236">
        <v>82.2</v>
      </c>
      <c r="J3236" t="s">
        <v>115</v>
      </c>
      <c r="K3236" t="s">
        <v>16</v>
      </c>
      <c r="L3236" t="s">
        <v>2087</v>
      </c>
      <c r="M3236">
        <v>7</v>
      </c>
      <c r="N3236" t="s">
        <v>232</v>
      </c>
      <c r="O3236" t="s">
        <v>2088</v>
      </c>
    </row>
    <row r="3237" spans="1:15">
      <c r="A3237" t="s">
        <v>4617</v>
      </c>
      <c r="B3237" t="s">
        <v>2097</v>
      </c>
      <c r="C3237" t="s">
        <v>2111</v>
      </c>
      <c r="D3237" s="1">
        <v>43914</v>
      </c>
      <c r="E3237" s="1">
        <v>45164</v>
      </c>
      <c r="F3237">
        <v>128</v>
      </c>
      <c r="G3237">
        <v>8</v>
      </c>
      <c r="H3237">
        <v>485.04</v>
      </c>
      <c r="I3237">
        <v>123.63</v>
      </c>
      <c r="J3237" t="s">
        <v>66</v>
      </c>
      <c r="K3237" t="s">
        <v>16</v>
      </c>
      <c r="L3237" t="s">
        <v>2087</v>
      </c>
      <c r="M3237">
        <v>1</v>
      </c>
      <c r="N3237" t="s">
        <v>194</v>
      </c>
      <c r="O3237" t="s">
        <v>2107</v>
      </c>
    </row>
    <row r="3238" spans="1:15">
      <c r="A3238" t="s">
        <v>4618</v>
      </c>
      <c r="B3238" t="s">
        <v>2097</v>
      </c>
      <c r="C3238" t="s">
        <v>2108</v>
      </c>
      <c r="D3238" s="1">
        <v>44307</v>
      </c>
      <c r="E3238" s="1">
        <v>45140</v>
      </c>
      <c r="F3238">
        <v>152</v>
      </c>
      <c r="G3238">
        <v>3</v>
      </c>
      <c r="H3238">
        <v>440.06</v>
      </c>
      <c r="I3238">
        <v>51.61</v>
      </c>
      <c r="J3238" t="s">
        <v>90</v>
      </c>
      <c r="K3238" t="s">
        <v>16</v>
      </c>
      <c r="L3238" t="s">
        <v>2106</v>
      </c>
      <c r="M3238">
        <v>10</v>
      </c>
      <c r="N3238" t="s">
        <v>165</v>
      </c>
      <c r="O3238" t="s">
        <v>2109</v>
      </c>
    </row>
    <row r="3239" spans="1:15">
      <c r="A3239" t="s">
        <v>4619</v>
      </c>
      <c r="B3239" t="s">
        <v>2097</v>
      </c>
      <c r="C3239" t="s">
        <v>2108</v>
      </c>
      <c r="D3239" s="1">
        <v>43607</v>
      </c>
      <c r="E3239" s="1">
        <v>45147</v>
      </c>
      <c r="F3239">
        <v>145</v>
      </c>
      <c r="G3239">
        <v>6</v>
      </c>
      <c r="H3239">
        <v>208.9</v>
      </c>
      <c r="I3239">
        <v>107.31</v>
      </c>
      <c r="J3239" t="s">
        <v>14</v>
      </c>
      <c r="K3239" t="s">
        <v>16</v>
      </c>
      <c r="L3239" t="s">
        <v>2106</v>
      </c>
      <c r="M3239">
        <v>5</v>
      </c>
      <c r="N3239" t="s">
        <v>194</v>
      </c>
      <c r="O3239" t="s">
        <v>2107</v>
      </c>
    </row>
    <row r="3240" spans="1:15">
      <c r="A3240" t="s">
        <v>615</v>
      </c>
      <c r="B3240" t="s">
        <v>2085</v>
      </c>
      <c r="C3240" t="s">
        <v>2094</v>
      </c>
      <c r="D3240" s="1">
        <v>43699</v>
      </c>
      <c r="E3240" s="1">
        <v>45024</v>
      </c>
      <c r="F3240">
        <v>268</v>
      </c>
      <c r="G3240">
        <v>31</v>
      </c>
      <c r="H3240">
        <v>1338.79</v>
      </c>
      <c r="I3240">
        <v>141.11000000000001</v>
      </c>
      <c r="J3240" t="s">
        <v>14</v>
      </c>
      <c r="K3240" t="s">
        <v>16</v>
      </c>
      <c r="L3240" t="s">
        <v>2087</v>
      </c>
      <c r="M3240">
        <v>7</v>
      </c>
      <c r="N3240" t="s">
        <v>232</v>
      </c>
      <c r="O3240" t="s">
        <v>2096</v>
      </c>
    </row>
    <row r="3241" spans="1:15">
      <c r="A3241" t="s">
        <v>4620</v>
      </c>
      <c r="B3241" t="s">
        <v>2099</v>
      </c>
      <c r="C3241" t="s">
        <v>2108</v>
      </c>
      <c r="D3241" s="1">
        <v>44637</v>
      </c>
      <c r="E3241" s="1">
        <v>45250</v>
      </c>
      <c r="F3241">
        <v>42</v>
      </c>
      <c r="G3241">
        <v>1</v>
      </c>
      <c r="H3241">
        <v>120.61</v>
      </c>
      <c r="I3241">
        <v>37.19</v>
      </c>
      <c r="J3241" t="s">
        <v>41</v>
      </c>
      <c r="K3241" t="s">
        <v>16</v>
      </c>
      <c r="L3241" t="s">
        <v>2087</v>
      </c>
      <c r="M3241">
        <v>1</v>
      </c>
      <c r="N3241" t="s">
        <v>179</v>
      </c>
      <c r="O3241" t="s">
        <v>2088</v>
      </c>
    </row>
    <row r="3242" spans="1:15">
      <c r="A3242" t="s">
        <v>4621</v>
      </c>
      <c r="B3242" t="s">
        <v>2090</v>
      </c>
      <c r="C3242" t="s">
        <v>2086</v>
      </c>
      <c r="D3242" s="1">
        <v>44053</v>
      </c>
      <c r="E3242" s="1">
        <v>45116</v>
      </c>
      <c r="F3242">
        <v>176</v>
      </c>
      <c r="G3242">
        <v>3</v>
      </c>
      <c r="H3242">
        <v>361.32</v>
      </c>
      <c r="I3242">
        <v>111.69</v>
      </c>
      <c r="J3242" t="s">
        <v>41</v>
      </c>
      <c r="K3242" t="s">
        <v>16</v>
      </c>
      <c r="L3242" t="s">
        <v>2087</v>
      </c>
      <c r="M3242">
        <v>2</v>
      </c>
      <c r="N3242" t="s">
        <v>179</v>
      </c>
      <c r="O3242" t="s">
        <v>2096</v>
      </c>
    </row>
    <row r="3243" spans="1:15">
      <c r="A3243" t="s">
        <v>4622</v>
      </c>
      <c r="B3243" t="s">
        <v>2099</v>
      </c>
      <c r="C3243" t="s">
        <v>2091</v>
      </c>
      <c r="D3243" s="1">
        <v>44884</v>
      </c>
      <c r="E3243" s="1">
        <v>45079</v>
      </c>
      <c r="F3243">
        <v>213</v>
      </c>
      <c r="G3243">
        <v>1</v>
      </c>
      <c r="H3243">
        <v>127.66</v>
      </c>
      <c r="I3243">
        <v>55.9</v>
      </c>
      <c r="J3243" t="s">
        <v>66</v>
      </c>
      <c r="K3243" t="s">
        <v>16</v>
      </c>
      <c r="L3243" t="s">
        <v>2106</v>
      </c>
      <c r="M3243">
        <v>4</v>
      </c>
      <c r="N3243" t="s">
        <v>204</v>
      </c>
      <c r="O3243" t="s">
        <v>2107</v>
      </c>
    </row>
    <row r="3244" spans="1:15">
      <c r="A3244" t="s">
        <v>4623</v>
      </c>
      <c r="B3244" t="s">
        <v>2097</v>
      </c>
      <c r="C3244" t="s">
        <v>2094</v>
      </c>
      <c r="D3244" s="1">
        <v>43590</v>
      </c>
      <c r="E3244" s="1">
        <v>45144</v>
      </c>
      <c r="F3244">
        <v>148</v>
      </c>
      <c r="G3244">
        <v>8</v>
      </c>
      <c r="H3244">
        <v>721.4</v>
      </c>
      <c r="I3244">
        <v>142.1</v>
      </c>
      <c r="J3244" t="s">
        <v>41</v>
      </c>
      <c r="K3244" t="s">
        <v>20</v>
      </c>
      <c r="L3244" t="s">
        <v>2106</v>
      </c>
      <c r="M3244">
        <v>9</v>
      </c>
      <c r="N3244" t="s">
        <v>174</v>
      </c>
      <c r="O3244" t="s">
        <v>2121</v>
      </c>
    </row>
    <row r="3245" spans="1:15">
      <c r="A3245" t="s">
        <v>1106</v>
      </c>
      <c r="B3245" t="s">
        <v>2093</v>
      </c>
      <c r="C3245" t="s">
        <v>2108</v>
      </c>
      <c r="D3245" s="1">
        <v>44369</v>
      </c>
      <c r="E3245" s="1">
        <v>45246</v>
      </c>
      <c r="F3245">
        <v>46</v>
      </c>
      <c r="G3245">
        <v>2</v>
      </c>
      <c r="H3245">
        <v>95.38</v>
      </c>
      <c r="I3245">
        <v>74.91</v>
      </c>
      <c r="J3245" t="s">
        <v>14</v>
      </c>
      <c r="K3245" t="s">
        <v>16</v>
      </c>
      <c r="L3245" t="s">
        <v>2095</v>
      </c>
      <c r="M3245">
        <v>7</v>
      </c>
      <c r="N3245" t="s">
        <v>157</v>
      </c>
      <c r="O3245" t="s">
        <v>2096</v>
      </c>
    </row>
    <row r="3246" spans="1:15">
      <c r="A3246" t="s">
        <v>4624</v>
      </c>
      <c r="B3246" t="s">
        <v>2090</v>
      </c>
      <c r="C3246" t="s">
        <v>2091</v>
      </c>
      <c r="D3246" s="1">
        <v>44705</v>
      </c>
      <c r="E3246" s="1">
        <v>44938</v>
      </c>
      <c r="F3246">
        <v>354</v>
      </c>
      <c r="G3246">
        <v>4</v>
      </c>
      <c r="H3246">
        <v>232.54</v>
      </c>
      <c r="I3246">
        <v>105.02</v>
      </c>
      <c r="J3246" t="s">
        <v>66</v>
      </c>
      <c r="K3246" t="s">
        <v>20</v>
      </c>
      <c r="L3246" t="s">
        <v>2106</v>
      </c>
      <c r="M3246">
        <v>5</v>
      </c>
      <c r="N3246" t="s">
        <v>174</v>
      </c>
      <c r="O3246" t="s">
        <v>2088</v>
      </c>
    </row>
    <row r="3247" spans="1:15">
      <c r="A3247" t="s">
        <v>311</v>
      </c>
      <c r="B3247" t="s">
        <v>2085</v>
      </c>
      <c r="C3247" t="s">
        <v>2086</v>
      </c>
      <c r="D3247" s="1">
        <v>45206</v>
      </c>
      <c r="E3247" s="1">
        <v>45139</v>
      </c>
      <c r="F3247">
        <v>153</v>
      </c>
      <c r="G3247">
        <v>30</v>
      </c>
      <c r="H3247">
        <v>2129.88</v>
      </c>
      <c r="I3247">
        <v>260.45</v>
      </c>
      <c r="J3247" t="s">
        <v>66</v>
      </c>
      <c r="K3247" t="s">
        <v>16</v>
      </c>
      <c r="L3247" t="s">
        <v>2087</v>
      </c>
      <c r="M3247">
        <v>6</v>
      </c>
      <c r="N3247" t="s">
        <v>194</v>
      </c>
      <c r="O3247" t="s">
        <v>2109</v>
      </c>
    </row>
    <row r="3248" spans="1:15">
      <c r="A3248" t="s">
        <v>325</v>
      </c>
      <c r="B3248" t="s">
        <v>2093</v>
      </c>
      <c r="C3248" t="s">
        <v>2094</v>
      </c>
      <c r="D3248" s="1">
        <v>44381</v>
      </c>
      <c r="E3248" s="1">
        <v>45061</v>
      </c>
      <c r="F3248">
        <v>231</v>
      </c>
      <c r="G3248">
        <v>5</v>
      </c>
      <c r="H3248">
        <v>162.56</v>
      </c>
      <c r="I3248">
        <v>69.459999999999994</v>
      </c>
      <c r="J3248" t="s">
        <v>41</v>
      </c>
      <c r="K3248" t="s">
        <v>16</v>
      </c>
      <c r="L3248" t="s">
        <v>2087</v>
      </c>
      <c r="M3248">
        <v>4</v>
      </c>
      <c r="N3248" t="s">
        <v>174</v>
      </c>
      <c r="O3248" t="s">
        <v>2121</v>
      </c>
    </row>
    <row r="3249" spans="1:15">
      <c r="A3249" t="s">
        <v>4625</v>
      </c>
      <c r="B3249" t="s">
        <v>2085</v>
      </c>
      <c r="C3249" t="s">
        <v>2100</v>
      </c>
      <c r="D3249" s="1">
        <v>44829</v>
      </c>
      <c r="E3249" s="1">
        <v>45093</v>
      </c>
      <c r="F3249">
        <v>199</v>
      </c>
      <c r="G3249">
        <v>40</v>
      </c>
      <c r="H3249">
        <v>2826.68</v>
      </c>
      <c r="I3249">
        <v>284.64999999999998</v>
      </c>
      <c r="J3249" t="s">
        <v>90</v>
      </c>
      <c r="K3249" t="s">
        <v>16</v>
      </c>
      <c r="L3249" t="s">
        <v>2095</v>
      </c>
      <c r="M3249">
        <v>9</v>
      </c>
      <c r="N3249" t="s">
        <v>179</v>
      </c>
      <c r="O3249" t="s">
        <v>2107</v>
      </c>
    </row>
    <row r="3250" spans="1:15">
      <c r="A3250" t="s">
        <v>4626</v>
      </c>
      <c r="B3250" t="s">
        <v>2085</v>
      </c>
      <c r="C3250" t="s">
        <v>2086</v>
      </c>
      <c r="D3250" s="1">
        <v>45102</v>
      </c>
      <c r="E3250" s="1">
        <v>45088</v>
      </c>
      <c r="F3250">
        <v>204</v>
      </c>
      <c r="G3250">
        <v>15</v>
      </c>
      <c r="H3250">
        <v>2404.56</v>
      </c>
      <c r="I3250">
        <v>229.2</v>
      </c>
      <c r="J3250" t="s">
        <v>115</v>
      </c>
      <c r="K3250" t="s">
        <v>20</v>
      </c>
      <c r="L3250" t="s">
        <v>2095</v>
      </c>
      <c r="M3250">
        <v>0</v>
      </c>
      <c r="N3250" t="s">
        <v>174</v>
      </c>
      <c r="O3250" t="s">
        <v>2096</v>
      </c>
    </row>
    <row r="3251" spans="1:15">
      <c r="A3251" t="s">
        <v>4627</v>
      </c>
      <c r="B3251" t="s">
        <v>2097</v>
      </c>
      <c r="C3251" t="s">
        <v>2094</v>
      </c>
      <c r="D3251" s="1">
        <v>45254</v>
      </c>
      <c r="E3251" s="1">
        <v>44944</v>
      </c>
      <c r="F3251">
        <v>348</v>
      </c>
      <c r="G3251">
        <v>7</v>
      </c>
      <c r="H3251">
        <v>711.66</v>
      </c>
      <c r="I3251">
        <v>57.84</v>
      </c>
      <c r="J3251" t="s">
        <v>115</v>
      </c>
      <c r="K3251" t="s">
        <v>16</v>
      </c>
      <c r="L3251" t="s">
        <v>2087</v>
      </c>
      <c r="M3251">
        <v>10</v>
      </c>
      <c r="N3251" t="s">
        <v>204</v>
      </c>
      <c r="O3251" t="s">
        <v>2096</v>
      </c>
    </row>
    <row r="3252" spans="1:15">
      <c r="A3252" t="s">
        <v>4628</v>
      </c>
      <c r="B3252" t="s">
        <v>2090</v>
      </c>
      <c r="C3252" t="s">
        <v>2094</v>
      </c>
      <c r="D3252" s="1">
        <v>44022</v>
      </c>
      <c r="E3252" s="1">
        <v>45148</v>
      </c>
      <c r="F3252">
        <v>144</v>
      </c>
      <c r="G3252">
        <v>2</v>
      </c>
      <c r="H3252">
        <v>349.73</v>
      </c>
      <c r="I3252">
        <v>102.67</v>
      </c>
      <c r="J3252" t="s">
        <v>66</v>
      </c>
      <c r="K3252" t="s">
        <v>20</v>
      </c>
      <c r="L3252" t="s">
        <v>2087</v>
      </c>
      <c r="M3252">
        <v>0</v>
      </c>
      <c r="N3252" t="s">
        <v>174</v>
      </c>
      <c r="O3252" t="s">
        <v>2096</v>
      </c>
    </row>
    <row r="3253" spans="1:15">
      <c r="A3253" t="s">
        <v>4629</v>
      </c>
      <c r="B3253" t="s">
        <v>2085</v>
      </c>
      <c r="C3253" t="s">
        <v>2094</v>
      </c>
      <c r="D3253" s="1">
        <v>44926</v>
      </c>
      <c r="E3253" s="1">
        <v>45138</v>
      </c>
      <c r="F3253">
        <v>154</v>
      </c>
      <c r="G3253">
        <v>40</v>
      </c>
      <c r="H3253">
        <v>1446.36</v>
      </c>
      <c r="I3253">
        <v>104.5</v>
      </c>
      <c r="J3253" t="s">
        <v>66</v>
      </c>
      <c r="K3253" t="s">
        <v>16</v>
      </c>
      <c r="L3253" t="s">
        <v>2106</v>
      </c>
      <c r="M3253">
        <v>7</v>
      </c>
      <c r="N3253" t="s">
        <v>204</v>
      </c>
      <c r="O3253" t="s">
        <v>2088</v>
      </c>
    </row>
    <row r="3254" spans="1:15">
      <c r="A3254" t="s">
        <v>4630</v>
      </c>
      <c r="B3254" t="s">
        <v>2097</v>
      </c>
      <c r="C3254" t="s">
        <v>2091</v>
      </c>
      <c r="D3254" s="1">
        <v>44368</v>
      </c>
      <c r="E3254" s="1">
        <v>45106</v>
      </c>
      <c r="F3254">
        <v>186</v>
      </c>
      <c r="G3254">
        <v>7</v>
      </c>
      <c r="H3254">
        <v>625.66999999999996</v>
      </c>
      <c r="I3254">
        <v>103.55</v>
      </c>
      <c r="J3254" t="s">
        <v>66</v>
      </c>
      <c r="K3254" t="s">
        <v>16</v>
      </c>
      <c r="L3254" t="s">
        <v>2095</v>
      </c>
      <c r="M3254">
        <v>4</v>
      </c>
      <c r="N3254" t="s">
        <v>232</v>
      </c>
      <c r="O3254" t="s">
        <v>2088</v>
      </c>
    </row>
    <row r="3255" spans="1:15">
      <c r="A3255" t="s">
        <v>4631</v>
      </c>
      <c r="B3255" t="s">
        <v>2090</v>
      </c>
      <c r="C3255" t="s">
        <v>2100</v>
      </c>
      <c r="D3255" s="1">
        <v>43741</v>
      </c>
      <c r="E3255" s="1">
        <v>45088</v>
      </c>
      <c r="F3255">
        <v>204</v>
      </c>
      <c r="G3255">
        <v>3</v>
      </c>
      <c r="H3255">
        <v>355.1</v>
      </c>
      <c r="I3255">
        <v>71.709999999999994</v>
      </c>
      <c r="J3255" t="s">
        <v>90</v>
      </c>
      <c r="K3255" t="s">
        <v>16</v>
      </c>
      <c r="L3255" t="s">
        <v>2095</v>
      </c>
      <c r="M3255">
        <v>3</v>
      </c>
      <c r="N3255" t="s">
        <v>232</v>
      </c>
      <c r="O3255" t="s">
        <v>2096</v>
      </c>
    </row>
    <row r="3256" spans="1:15">
      <c r="A3256" t="s">
        <v>1238</v>
      </c>
      <c r="B3256" t="s">
        <v>2093</v>
      </c>
      <c r="C3256" t="s">
        <v>2111</v>
      </c>
      <c r="D3256" s="1">
        <v>43648</v>
      </c>
      <c r="E3256" s="1">
        <v>45186</v>
      </c>
      <c r="F3256">
        <v>106</v>
      </c>
      <c r="G3256">
        <v>4</v>
      </c>
      <c r="H3256">
        <v>132.41</v>
      </c>
      <c r="I3256">
        <v>64.31</v>
      </c>
      <c r="J3256" t="s">
        <v>41</v>
      </c>
      <c r="K3256" t="s">
        <v>20</v>
      </c>
      <c r="L3256" t="s">
        <v>2095</v>
      </c>
      <c r="M3256">
        <v>6</v>
      </c>
      <c r="N3256" t="s">
        <v>194</v>
      </c>
      <c r="O3256" t="s">
        <v>2107</v>
      </c>
    </row>
    <row r="3257" spans="1:15">
      <c r="A3257" t="s">
        <v>921</v>
      </c>
      <c r="B3257" t="s">
        <v>2093</v>
      </c>
      <c r="C3257" t="s">
        <v>2094</v>
      </c>
      <c r="D3257" s="1">
        <v>44219</v>
      </c>
      <c r="E3257" s="1">
        <v>45216</v>
      </c>
      <c r="F3257">
        <v>76</v>
      </c>
      <c r="G3257">
        <v>3</v>
      </c>
      <c r="H3257">
        <v>40.18</v>
      </c>
      <c r="I3257">
        <v>60.5</v>
      </c>
      <c r="J3257" t="s">
        <v>115</v>
      </c>
      <c r="K3257" t="s">
        <v>16</v>
      </c>
      <c r="L3257" t="s">
        <v>2087</v>
      </c>
      <c r="M3257">
        <v>3</v>
      </c>
      <c r="N3257" t="s">
        <v>174</v>
      </c>
      <c r="O3257" t="s">
        <v>2121</v>
      </c>
    </row>
    <row r="3258" spans="1:15">
      <c r="A3258" t="s">
        <v>1810</v>
      </c>
      <c r="B3258" t="s">
        <v>2085</v>
      </c>
      <c r="C3258" t="s">
        <v>2094</v>
      </c>
      <c r="D3258" s="1">
        <v>43610</v>
      </c>
      <c r="E3258" s="1">
        <v>45181</v>
      </c>
      <c r="F3258">
        <v>111</v>
      </c>
      <c r="G3258">
        <v>26</v>
      </c>
      <c r="H3258">
        <v>2709.64</v>
      </c>
      <c r="I3258">
        <v>285.94</v>
      </c>
      <c r="J3258" t="s">
        <v>14</v>
      </c>
      <c r="K3258" t="s">
        <v>20</v>
      </c>
      <c r="L3258" t="s">
        <v>2087</v>
      </c>
      <c r="M3258">
        <v>10</v>
      </c>
      <c r="N3258" t="s">
        <v>194</v>
      </c>
      <c r="O3258" t="s">
        <v>2109</v>
      </c>
    </row>
    <row r="3259" spans="1:15">
      <c r="A3259" t="s">
        <v>4632</v>
      </c>
      <c r="B3259" t="s">
        <v>2099</v>
      </c>
      <c r="C3259" t="s">
        <v>2108</v>
      </c>
      <c r="D3259" s="1">
        <v>45172</v>
      </c>
      <c r="E3259" s="1">
        <v>44978</v>
      </c>
      <c r="F3259">
        <v>314</v>
      </c>
      <c r="G3259">
        <v>2</v>
      </c>
      <c r="H3259">
        <v>134.15</v>
      </c>
      <c r="I3259">
        <v>85.48</v>
      </c>
      <c r="J3259" t="s">
        <v>14</v>
      </c>
      <c r="K3259" t="s">
        <v>20</v>
      </c>
      <c r="L3259" t="s">
        <v>2095</v>
      </c>
      <c r="M3259">
        <v>2</v>
      </c>
      <c r="N3259" t="s">
        <v>165</v>
      </c>
      <c r="O3259" t="s">
        <v>2107</v>
      </c>
    </row>
    <row r="3260" spans="1:15">
      <c r="A3260" t="s">
        <v>4633</v>
      </c>
      <c r="B3260" t="s">
        <v>2085</v>
      </c>
      <c r="C3260" t="s">
        <v>2094</v>
      </c>
      <c r="D3260" s="1">
        <v>43798</v>
      </c>
      <c r="E3260" s="1">
        <v>45112</v>
      </c>
      <c r="F3260">
        <v>180</v>
      </c>
      <c r="G3260">
        <v>30</v>
      </c>
      <c r="H3260">
        <v>1808.85</v>
      </c>
      <c r="I3260">
        <v>194.36</v>
      </c>
      <c r="J3260" t="s">
        <v>90</v>
      </c>
      <c r="K3260" t="s">
        <v>16</v>
      </c>
      <c r="L3260" t="s">
        <v>2087</v>
      </c>
      <c r="M3260">
        <v>8</v>
      </c>
      <c r="N3260" t="s">
        <v>194</v>
      </c>
      <c r="O3260" t="s">
        <v>2121</v>
      </c>
    </row>
    <row r="3261" spans="1:15">
      <c r="A3261" t="s">
        <v>792</v>
      </c>
      <c r="B3261" t="s">
        <v>2113</v>
      </c>
      <c r="C3261" t="s">
        <v>2086</v>
      </c>
      <c r="D3261" s="1">
        <v>45024</v>
      </c>
      <c r="E3261" s="1">
        <v>45256</v>
      </c>
      <c r="F3261">
        <v>36</v>
      </c>
      <c r="G3261">
        <v>17</v>
      </c>
      <c r="H3261">
        <v>396.86</v>
      </c>
      <c r="I3261">
        <v>44.14</v>
      </c>
      <c r="J3261" t="s">
        <v>115</v>
      </c>
      <c r="K3261" t="s">
        <v>16</v>
      </c>
      <c r="L3261" t="s">
        <v>2087</v>
      </c>
      <c r="M3261">
        <v>10</v>
      </c>
      <c r="N3261" t="s">
        <v>194</v>
      </c>
      <c r="O3261" t="s">
        <v>2096</v>
      </c>
    </row>
    <row r="3262" spans="1:15">
      <c r="A3262" t="s">
        <v>4634</v>
      </c>
      <c r="B3262" t="s">
        <v>2093</v>
      </c>
      <c r="C3262" t="s">
        <v>2111</v>
      </c>
      <c r="D3262" s="1">
        <v>45048</v>
      </c>
      <c r="E3262" s="1">
        <v>44961</v>
      </c>
      <c r="F3262">
        <v>331</v>
      </c>
      <c r="G3262">
        <v>5</v>
      </c>
      <c r="H3262">
        <v>68.75</v>
      </c>
      <c r="I3262">
        <v>50.51</v>
      </c>
      <c r="J3262" t="s">
        <v>41</v>
      </c>
      <c r="K3262" t="s">
        <v>16</v>
      </c>
      <c r="L3262" t="s">
        <v>2106</v>
      </c>
      <c r="M3262">
        <v>2</v>
      </c>
      <c r="N3262" t="s">
        <v>194</v>
      </c>
      <c r="O3262" t="s">
        <v>2121</v>
      </c>
    </row>
    <row r="3263" spans="1:15">
      <c r="A3263" t="s">
        <v>4635</v>
      </c>
      <c r="B3263" t="s">
        <v>2099</v>
      </c>
      <c r="C3263" t="s">
        <v>2086</v>
      </c>
      <c r="D3263" s="1">
        <v>44934</v>
      </c>
      <c r="E3263" s="1">
        <v>45093</v>
      </c>
      <c r="F3263">
        <v>199</v>
      </c>
      <c r="G3263">
        <v>1</v>
      </c>
      <c r="H3263">
        <v>121.55</v>
      </c>
      <c r="I3263">
        <v>56.6</v>
      </c>
      <c r="J3263" t="s">
        <v>14</v>
      </c>
      <c r="K3263" t="s">
        <v>20</v>
      </c>
      <c r="L3263" t="s">
        <v>2087</v>
      </c>
      <c r="M3263">
        <v>4</v>
      </c>
      <c r="N3263" t="s">
        <v>232</v>
      </c>
      <c r="O3263" t="s">
        <v>2088</v>
      </c>
    </row>
    <row r="3264" spans="1:15">
      <c r="A3264" t="s">
        <v>4636</v>
      </c>
      <c r="B3264" t="s">
        <v>2113</v>
      </c>
      <c r="C3264" t="s">
        <v>2094</v>
      </c>
      <c r="D3264" s="1">
        <v>44099</v>
      </c>
      <c r="E3264" s="1">
        <v>45123</v>
      </c>
      <c r="F3264">
        <v>169</v>
      </c>
      <c r="G3264">
        <v>5</v>
      </c>
      <c r="H3264">
        <v>544.54</v>
      </c>
      <c r="I3264">
        <v>58.72</v>
      </c>
      <c r="J3264" t="s">
        <v>115</v>
      </c>
      <c r="K3264" t="s">
        <v>16</v>
      </c>
      <c r="L3264" t="s">
        <v>2087</v>
      </c>
      <c r="M3264">
        <v>3</v>
      </c>
      <c r="N3264" t="s">
        <v>179</v>
      </c>
      <c r="O3264" t="s">
        <v>2088</v>
      </c>
    </row>
    <row r="3265" spans="1:15">
      <c r="A3265" t="s">
        <v>1179</v>
      </c>
      <c r="B3265" t="s">
        <v>2097</v>
      </c>
      <c r="C3265" t="s">
        <v>2086</v>
      </c>
      <c r="D3265" s="1">
        <v>44496</v>
      </c>
      <c r="E3265" s="1">
        <v>45180</v>
      </c>
      <c r="F3265">
        <v>112</v>
      </c>
      <c r="G3265">
        <v>7</v>
      </c>
      <c r="H3265">
        <v>514.23</v>
      </c>
      <c r="I3265">
        <v>134.30000000000001</v>
      </c>
      <c r="J3265" t="s">
        <v>14</v>
      </c>
      <c r="K3265" t="s">
        <v>20</v>
      </c>
      <c r="L3265" t="s">
        <v>2087</v>
      </c>
      <c r="M3265">
        <v>3</v>
      </c>
      <c r="N3265" t="s">
        <v>204</v>
      </c>
      <c r="O3265" t="s">
        <v>2109</v>
      </c>
    </row>
    <row r="3266" spans="1:15">
      <c r="A3266" t="s">
        <v>4637</v>
      </c>
      <c r="B3266" t="s">
        <v>2093</v>
      </c>
      <c r="C3266" t="s">
        <v>2091</v>
      </c>
      <c r="D3266" s="1">
        <v>44637</v>
      </c>
      <c r="E3266" s="1">
        <v>45167</v>
      </c>
      <c r="F3266">
        <v>125</v>
      </c>
      <c r="G3266">
        <v>4</v>
      </c>
      <c r="H3266">
        <v>101.07</v>
      </c>
      <c r="I3266">
        <v>35.28</v>
      </c>
      <c r="J3266" t="s">
        <v>90</v>
      </c>
      <c r="K3266" t="s">
        <v>20</v>
      </c>
      <c r="L3266" t="s">
        <v>2095</v>
      </c>
      <c r="M3266">
        <v>5</v>
      </c>
      <c r="N3266" t="s">
        <v>157</v>
      </c>
      <c r="O3266" t="s">
        <v>2121</v>
      </c>
    </row>
    <row r="3267" spans="1:15">
      <c r="A3267" t="s">
        <v>4638</v>
      </c>
      <c r="B3267" t="s">
        <v>2097</v>
      </c>
      <c r="C3267" t="s">
        <v>2111</v>
      </c>
      <c r="D3267" s="1">
        <v>44567</v>
      </c>
      <c r="E3267" s="1">
        <v>45159</v>
      </c>
      <c r="F3267">
        <v>133</v>
      </c>
      <c r="G3267">
        <v>8</v>
      </c>
      <c r="H3267">
        <v>222.48</v>
      </c>
      <c r="I3267">
        <v>59.96</v>
      </c>
      <c r="J3267" t="s">
        <v>90</v>
      </c>
      <c r="K3267" t="s">
        <v>16</v>
      </c>
      <c r="L3267" t="s">
        <v>2106</v>
      </c>
      <c r="M3267">
        <v>9</v>
      </c>
      <c r="N3267" t="s">
        <v>204</v>
      </c>
      <c r="O3267" t="s">
        <v>2121</v>
      </c>
    </row>
    <row r="3268" spans="1:15">
      <c r="A3268" t="s">
        <v>4639</v>
      </c>
      <c r="B3268" t="s">
        <v>2099</v>
      </c>
      <c r="C3268" t="s">
        <v>2111</v>
      </c>
      <c r="D3268" s="1">
        <v>44887</v>
      </c>
      <c r="E3268" s="1">
        <v>45131</v>
      </c>
      <c r="F3268">
        <v>161</v>
      </c>
      <c r="G3268">
        <v>2</v>
      </c>
      <c r="H3268">
        <v>124.88</v>
      </c>
      <c r="I3268">
        <v>54.6</v>
      </c>
      <c r="J3268" t="s">
        <v>115</v>
      </c>
      <c r="K3268" t="s">
        <v>16</v>
      </c>
      <c r="L3268" t="s">
        <v>2106</v>
      </c>
      <c r="M3268">
        <v>1</v>
      </c>
      <c r="N3268" t="s">
        <v>232</v>
      </c>
      <c r="O3268" t="s">
        <v>2107</v>
      </c>
    </row>
    <row r="3269" spans="1:15">
      <c r="A3269" t="s">
        <v>4640</v>
      </c>
      <c r="B3269" t="s">
        <v>2113</v>
      </c>
      <c r="C3269" t="s">
        <v>2108</v>
      </c>
      <c r="D3269" s="1">
        <v>44167</v>
      </c>
      <c r="E3269" s="1">
        <v>45222</v>
      </c>
      <c r="F3269">
        <v>70</v>
      </c>
      <c r="G3269">
        <v>10</v>
      </c>
      <c r="H3269">
        <v>290.27</v>
      </c>
      <c r="I3269">
        <v>42.66</v>
      </c>
      <c r="J3269" t="s">
        <v>115</v>
      </c>
      <c r="K3269" t="s">
        <v>16</v>
      </c>
      <c r="L3269" t="s">
        <v>2095</v>
      </c>
      <c r="M3269">
        <v>7</v>
      </c>
      <c r="N3269" t="s">
        <v>204</v>
      </c>
      <c r="O3269" t="s">
        <v>2088</v>
      </c>
    </row>
    <row r="3270" spans="1:15">
      <c r="A3270" t="s">
        <v>4641</v>
      </c>
      <c r="B3270" t="s">
        <v>2099</v>
      </c>
      <c r="C3270" t="s">
        <v>2094</v>
      </c>
      <c r="D3270" s="1">
        <v>45006</v>
      </c>
      <c r="E3270" s="1">
        <v>45156</v>
      </c>
      <c r="F3270">
        <v>136</v>
      </c>
      <c r="G3270">
        <v>1</v>
      </c>
      <c r="H3270">
        <v>89.02</v>
      </c>
      <c r="I3270">
        <v>48.4</v>
      </c>
      <c r="J3270" t="s">
        <v>115</v>
      </c>
      <c r="K3270" t="s">
        <v>16</v>
      </c>
      <c r="L3270" t="s">
        <v>2095</v>
      </c>
      <c r="M3270">
        <v>10</v>
      </c>
      <c r="N3270" t="s">
        <v>194</v>
      </c>
      <c r="O3270" t="s">
        <v>2109</v>
      </c>
    </row>
    <row r="3271" spans="1:15">
      <c r="A3271" t="s">
        <v>4642</v>
      </c>
      <c r="B3271" t="s">
        <v>2093</v>
      </c>
      <c r="C3271" t="s">
        <v>2100</v>
      </c>
      <c r="D3271" s="1">
        <v>44801</v>
      </c>
      <c r="E3271" s="1">
        <v>45270</v>
      </c>
      <c r="F3271">
        <v>22</v>
      </c>
      <c r="G3271">
        <v>2</v>
      </c>
      <c r="H3271">
        <v>165.41</v>
      </c>
      <c r="I3271">
        <v>64.02</v>
      </c>
      <c r="J3271" t="s">
        <v>90</v>
      </c>
      <c r="K3271" t="s">
        <v>16</v>
      </c>
      <c r="L3271" t="s">
        <v>2106</v>
      </c>
      <c r="M3271">
        <v>4</v>
      </c>
      <c r="N3271" t="s">
        <v>179</v>
      </c>
      <c r="O3271" t="s">
        <v>2121</v>
      </c>
    </row>
    <row r="3272" spans="1:15">
      <c r="A3272" t="s">
        <v>4643</v>
      </c>
      <c r="B3272" t="s">
        <v>2099</v>
      </c>
      <c r="C3272" t="s">
        <v>2111</v>
      </c>
      <c r="D3272" s="1">
        <v>43693</v>
      </c>
      <c r="E3272" s="1">
        <v>45066</v>
      </c>
      <c r="F3272">
        <v>226</v>
      </c>
      <c r="G3272">
        <v>2</v>
      </c>
      <c r="H3272">
        <v>145.58000000000001</v>
      </c>
      <c r="I3272">
        <v>93.34</v>
      </c>
      <c r="J3272" t="s">
        <v>66</v>
      </c>
      <c r="K3272" t="s">
        <v>16</v>
      </c>
      <c r="L3272" t="s">
        <v>2087</v>
      </c>
      <c r="M3272">
        <v>0</v>
      </c>
      <c r="N3272" t="s">
        <v>157</v>
      </c>
      <c r="O3272" t="s">
        <v>2121</v>
      </c>
    </row>
    <row r="3273" spans="1:15">
      <c r="A3273" t="s">
        <v>4644</v>
      </c>
      <c r="B3273" t="s">
        <v>2093</v>
      </c>
      <c r="C3273" t="s">
        <v>2086</v>
      </c>
      <c r="D3273" s="1">
        <v>44043</v>
      </c>
      <c r="E3273" s="1">
        <v>45058</v>
      </c>
      <c r="F3273">
        <v>234</v>
      </c>
      <c r="G3273">
        <v>1</v>
      </c>
      <c r="H3273">
        <v>148.53</v>
      </c>
      <c r="I3273">
        <v>41.6</v>
      </c>
      <c r="J3273" t="s">
        <v>66</v>
      </c>
      <c r="K3273" t="s">
        <v>16</v>
      </c>
      <c r="L3273" t="s">
        <v>2106</v>
      </c>
      <c r="M3273">
        <v>9</v>
      </c>
      <c r="N3273" t="s">
        <v>165</v>
      </c>
      <c r="O3273" t="s">
        <v>2088</v>
      </c>
    </row>
    <row r="3274" spans="1:15">
      <c r="A3274" t="s">
        <v>4645</v>
      </c>
      <c r="B3274" t="s">
        <v>2090</v>
      </c>
      <c r="C3274" t="s">
        <v>2108</v>
      </c>
      <c r="D3274" s="1">
        <v>44224</v>
      </c>
      <c r="E3274" s="1">
        <v>45126</v>
      </c>
      <c r="F3274">
        <v>166</v>
      </c>
      <c r="G3274">
        <v>4</v>
      </c>
      <c r="H3274">
        <v>226.65</v>
      </c>
      <c r="I3274">
        <v>65.900000000000006</v>
      </c>
      <c r="J3274" t="s">
        <v>41</v>
      </c>
      <c r="K3274" t="s">
        <v>16</v>
      </c>
      <c r="L3274" t="s">
        <v>2087</v>
      </c>
      <c r="M3274">
        <v>4</v>
      </c>
      <c r="N3274" t="s">
        <v>165</v>
      </c>
      <c r="O3274" t="s">
        <v>2088</v>
      </c>
    </row>
    <row r="3275" spans="1:15">
      <c r="A3275" t="s">
        <v>295</v>
      </c>
      <c r="B3275" t="s">
        <v>2113</v>
      </c>
      <c r="C3275" t="s">
        <v>2100</v>
      </c>
      <c r="D3275" s="1">
        <v>44836</v>
      </c>
      <c r="E3275" s="1">
        <v>45262</v>
      </c>
      <c r="F3275">
        <v>30</v>
      </c>
      <c r="G3275">
        <v>16</v>
      </c>
      <c r="H3275">
        <v>268.32</v>
      </c>
      <c r="I3275">
        <v>46.84</v>
      </c>
      <c r="J3275" t="s">
        <v>90</v>
      </c>
      <c r="K3275" t="s">
        <v>20</v>
      </c>
      <c r="L3275" t="s">
        <v>2087</v>
      </c>
      <c r="M3275">
        <v>3</v>
      </c>
      <c r="N3275" t="s">
        <v>157</v>
      </c>
      <c r="O3275" t="s">
        <v>2121</v>
      </c>
    </row>
    <row r="3276" spans="1:15">
      <c r="A3276" t="s">
        <v>775</v>
      </c>
      <c r="B3276" t="s">
        <v>2093</v>
      </c>
      <c r="C3276" t="s">
        <v>2086</v>
      </c>
      <c r="D3276" s="1">
        <v>44149</v>
      </c>
      <c r="E3276" s="1">
        <v>44940</v>
      </c>
      <c r="F3276">
        <v>352</v>
      </c>
      <c r="G3276">
        <v>3</v>
      </c>
      <c r="H3276">
        <v>195.17</v>
      </c>
      <c r="I3276">
        <v>20.190000000000001</v>
      </c>
      <c r="J3276" t="s">
        <v>66</v>
      </c>
      <c r="K3276" t="s">
        <v>16</v>
      </c>
      <c r="L3276" t="s">
        <v>2095</v>
      </c>
      <c r="M3276">
        <v>10</v>
      </c>
      <c r="N3276" t="s">
        <v>204</v>
      </c>
      <c r="O3276" t="s">
        <v>2107</v>
      </c>
    </row>
    <row r="3277" spans="1:15">
      <c r="A3277" t="s">
        <v>1533</v>
      </c>
      <c r="B3277" t="s">
        <v>2099</v>
      </c>
      <c r="C3277" t="s">
        <v>2100</v>
      </c>
      <c r="D3277" s="1">
        <v>44890</v>
      </c>
      <c r="E3277" s="1">
        <v>45000</v>
      </c>
      <c r="F3277">
        <v>292</v>
      </c>
      <c r="G3277">
        <v>2</v>
      </c>
      <c r="H3277">
        <v>37</v>
      </c>
      <c r="I3277">
        <v>70</v>
      </c>
      <c r="J3277" t="s">
        <v>90</v>
      </c>
      <c r="K3277" t="s">
        <v>20</v>
      </c>
      <c r="L3277" t="s">
        <v>2087</v>
      </c>
      <c r="M3277">
        <v>10</v>
      </c>
      <c r="N3277" t="s">
        <v>232</v>
      </c>
      <c r="O3277" t="s">
        <v>2088</v>
      </c>
    </row>
    <row r="3278" spans="1:15">
      <c r="A3278" t="s">
        <v>4646</v>
      </c>
      <c r="B3278" t="s">
        <v>2099</v>
      </c>
      <c r="C3278" t="s">
        <v>2108</v>
      </c>
      <c r="D3278" s="1">
        <v>44024</v>
      </c>
      <c r="E3278" s="1">
        <v>45007</v>
      </c>
      <c r="F3278">
        <v>285</v>
      </c>
      <c r="G3278">
        <v>1</v>
      </c>
      <c r="H3278">
        <v>143.08000000000001</v>
      </c>
      <c r="I3278">
        <v>64.430000000000007</v>
      </c>
      <c r="J3278" t="s">
        <v>90</v>
      </c>
      <c r="K3278" t="s">
        <v>16</v>
      </c>
      <c r="L3278" t="s">
        <v>2095</v>
      </c>
      <c r="M3278">
        <v>3</v>
      </c>
      <c r="N3278" t="s">
        <v>204</v>
      </c>
      <c r="O3278" t="s">
        <v>2109</v>
      </c>
    </row>
    <row r="3279" spans="1:15">
      <c r="A3279" t="s">
        <v>4647</v>
      </c>
      <c r="B3279" t="s">
        <v>2090</v>
      </c>
      <c r="C3279" t="s">
        <v>2100</v>
      </c>
      <c r="D3279" s="1">
        <v>45059</v>
      </c>
      <c r="E3279" s="1">
        <v>45164</v>
      </c>
      <c r="F3279">
        <v>128</v>
      </c>
      <c r="G3279">
        <v>6</v>
      </c>
      <c r="H3279">
        <v>89.96</v>
      </c>
      <c r="I3279">
        <v>90.9</v>
      </c>
      <c r="J3279" t="s">
        <v>66</v>
      </c>
      <c r="K3279" t="s">
        <v>16</v>
      </c>
      <c r="L3279" t="s">
        <v>2106</v>
      </c>
      <c r="M3279">
        <v>2</v>
      </c>
      <c r="N3279" t="s">
        <v>165</v>
      </c>
      <c r="O3279" t="s">
        <v>2088</v>
      </c>
    </row>
    <row r="3280" spans="1:15">
      <c r="A3280" t="s">
        <v>4648</v>
      </c>
      <c r="B3280" t="s">
        <v>2113</v>
      </c>
      <c r="C3280" t="s">
        <v>2100</v>
      </c>
      <c r="D3280" s="1">
        <v>44453</v>
      </c>
      <c r="E3280" s="1">
        <v>45235</v>
      </c>
      <c r="F3280">
        <v>57</v>
      </c>
      <c r="G3280">
        <v>11</v>
      </c>
      <c r="H3280">
        <v>445.98</v>
      </c>
      <c r="I3280">
        <v>32.31</v>
      </c>
      <c r="J3280" t="s">
        <v>14</v>
      </c>
      <c r="K3280" t="s">
        <v>16</v>
      </c>
      <c r="L3280" t="s">
        <v>2087</v>
      </c>
      <c r="M3280">
        <v>3</v>
      </c>
      <c r="N3280" t="s">
        <v>204</v>
      </c>
      <c r="O3280" t="s">
        <v>2109</v>
      </c>
    </row>
    <row r="3281" spans="1:15">
      <c r="A3281" t="s">
        <v>4649</v>
      </c>
      <c r="B3281" t="s">
        <v>2099</v>
      </c>
      <c r="C3281" t="s">
        <v>2086</v>
      </c>
      <c r="D3281" s="1">
        <v>44326</v>
      </c>
      <c r="E3281" s="1">
        <v>45074</v>
      </c>
      <c r="F3281">
        <v>218</v>
      </c>
      <c r="G3281">
        <v>2</v>
      </c>
      <c r="H3281">
        <v>38.14</v>
      </c>
      <c r="I3281">
        <v>59.28</v>
      </c>
      <c r="J3281" t="s">
        <v>14</v>
      </c>
      <c r="K3281" t="s">
        <v>20</v>
      </c>
      <c r="L3281" t="s">
        <v>2095</v>
      </c>
      <c r="M3281">
        <v>6</v>
      </c>
      <c r="N3281" t="s">
        <v>157</v>
      </c>
      <c r="O3281" t="s">
        <v>2109</v>
      </c>
    </row>
    <row r="3282" spans="1:15">
      <c r="A3282" t="s">
        <v>4650</v>
      </c>
      <c r="B3282" t="s">
        <v>2090</v>
      </c>
      <c r="C3282" t="s">
        <v>2094</v>
      </c>
      <c r="D3282" s="1">
        <v>44430</v>
      </c>
      <c r="E3282" s="1">
        <v>45015</v>
      </c>
      <c r="F3282">
        <v>277</v>
      </c>
      <c r="G3282">
        <v>4</v>
      </c>
      <c r="H3282">
        <v>86.95</v>
      </c>
      <c r="I3282">
        <v>106.91</v>
      </c>
      <c r="J3282" t="s">
        <v>115</v>
      </c>
      <c r="K3282" t="s">
        <v>16</v>
      </c>
      <c r="L3282" t="s">
        <v>2087</v>
      </c>
      <c r="M3282">
        <v>0</v>
      </c>
      <c r="N3282" t="s">
        <v>174</v>
      </c>
      <c r="O3282" t="s">
        <v>2109</v>
      </c>
    </row>
    <row r="3283" spans="1:15">
      <c r="A3283" t="s">
        <v>4651</v>
      </c>
      <c r="B3283" t="s">
        <v>2090</v>
      </c>
      <c r="C3283" t="s">
        <v>2100</v>
      </c>
      <c r="D3283" s="1">
        <v>44551</v>
      </c>
      <c r="E3283" s="1">
        <v>44958</v>
      </c>
      <c r="F3283">
        <v>334</v>
      </c>
      <c r="G3283">
        <v>2</v>
      </c>
      <c r="H3283">
        <v>191.58</v>
      </c>
      <c r="I3283">
        <v>89.04</v>
      </c>
      <c r="J3283" t="s">
        <v>115</v>
      </c>
      <c r="K3283" t="s">
        <v>20</v>
      </c>
      <c r="L3283" t="s">
        <v>2095</v>
      </c>
      <c r="M3283">
        <v>3</v>
      </c>
      <c r="N3283" t="s">
        <v>174</v>
      </c>
      <c r="O3283" t="s">
        <v>2109</v>
      </c>
    </row>
    <row r="3284" spans="1:15">
      <c r="A3284" t="s">
        <v>4652</v>
      </c>
      <c r="B3284" t="s">
        <v>2093</v>
      </c>
      <c r="C3284" t="s">
        <v>2108</v>
      </c>
      <c r="D3284" s="1">
        <v>43907</v>
      </c>
      <c r="E3284" s="1">
        <v>45084</v>
      </c>
      <c r="F3284">
        <v>208</v>
      </c>
      <c r="G3284">
        <v>1</v>
      </c>
      <c r="H3284">
        <v>33.590000000000003</v>
      </c>
      <c r="I3284">
        <v>23.8</v>
      </c>
      <c r="J3284" t="s">
        <v>115</v>
      </c>
      <c r="K3284" t="s">
        <v>16</v>
      </c>
      <c r="L3284" t="s">
        <v>2095</v>
      </c>
      <c r="M3284">
        <v>3</v>
      </c>
      <c r="N3284" t="s">
        <v>179</v>
      </c>
      <c r="O3284" t="s">
        <v>2109</v>
      </c>
    </row>
    <row r="3285" spans="1:15">
      <c r="A3285" t="s">
        <v>4653</v>
      </c>
      <c r="B3285" t="s">
        <v>2113</v>
      </c>
      <c r="C3285" t="s">
        <v>2094</v>
      </c>
      <c r="D3285" s="1">
        <v>44641</v>
      </c>
      <c r="E3285" s="1">
        <v>45016</v>
      </c>
      <c r="F3285">
        <v>276</v>
      </c>
      <c r="G3285">
        <v>12</v>
      </c>
      <c r="H3285">
        <v>188.92</v>
      </c>
      <c r="I3285">
        <v>79.36</v>
      </c>
      <c r="J3285" t="s">
        <v>115</v>
      </c>
      <c r="K3285" t="s">
        <v>16</v>
      </c>
      <c r="L3285" t="s">
        <v>2095</v>
      </c>
      <c r="M3285">
        <v>8</v>
      </c>
      <c r="N3285" t="s">
        <v>174</v>
      </c>
      <c r="O3285" t="s">
        <v>2096</v>
      </c>
    </row>
    <row r="3286" spans="1:15">
      <c r="A3286" t="s">
        <v>629</v>
      </c>
      <c r="B3286" t="s">
        <v>2093</v>
      </c>
      <c r="C3286" t="s">
        <v>2111</v>
      </c>
      <c r="D3286" s="1">
        <v>44716</v>
      </c>
      <c r="E3286" s="1">
        <v>45240</v>
      </c>
      <c r="F3286">
        <v>52</v>
      </c>
      <c r="G3286">
        <v>4</v>
      </c>
      <c r="H3286">
        <v>144.37</v>
      </c>
      <c r="I3286">
        <v>58.32</v>
      </c>
      <c r="J3286" t="s">
        <v>14</v>
      </c>
      <c r="K3286" t="s">
        <v>20</v>
      </c>
      <c r="L3286" t="s">
        <v>2106</v>
      </c>
      <c r="M3286">
        <v>2</v>
      </c>
      <c r="N3286" t="s">
        <v>232</v>
      </c>
      <c r="O3286" t="s">
        <v>2121</v>
      </c>
    </row>
    <row r="3287" spans="1:15">
      <c r="A3287" t="s">
        <v>4654</v>
      </c>
      <c r="B3287" t="s">
        <v>2099</v>
      </c>
      <c r="C3287" t="s">
        <v>2091</v>
      </c>
      <c r="D3287" s="1">
        <v>43685</v>
      </c>
      <c r="E3287" s="1">
        <v>45204</v>
      </c>
      <c r="F3287">
        <v>88</v>
      </c>
      <c r="G3287">
        <v>2</v>
      </c>
      <c r="H3287">
        <v>25.13</v>
      </c>
      <c r="I3287">
        <v>25.45</v>
      </c>
      <c r="J3287" t="s">
        <v>115</v>
      </c>
      <c r="K3287" t="s">
        <v>16</v>
      </c>
      <c r="L3287" t="s">
        <v>2106</v>
      </c>
      <c r="M3287">
        <v>1</v>
      </c>
      <c r="N3287" t="s">
        <v>194</v>
      </c>
      <c r="O3287" t="s">
        <v>2109</v>
      </c>
    </row>
    <row r="3288" spans="1:15">
      <c r="A3288" t="s">
        <v>4655</v>
      </c>
      <c r="B3288" t="s">
        <v>2113</v>
      </c>
      <c r="C3288" t="s">
        <v>2091</v>
      </c>
      <c r="D3288" s="1">
        <v>43763</v>
      </c>
      <c r="E3288" s="1">
        <v>44941</v>
      </c>
      <c r="F3288">
        <v>351</v>
      </c>
      <c r="G3288">
        <v>16</v>
      </c>
      <c r="H3288">
        <v>147.94</v>
      </c>
      <c r="I3288">
        <v>34.11</v>
      </c>
      <c r="J3288" t="s">
        <v>41</v>
      </c>
      <c r="K3288" t="s">
        <v>20</v>
      </c>
      <c r="L3288" t="s">
        <v>2106</v>
      </c>
      <c r="M3288">
        <v>0</v>
      </c>
      <c r="N3288" t="s">
        <v>194</v>
      </c>
      <c r="O3288" t="s">
        <v>2088</v>
      </c>
    </row>
    <row r="3289" spans="1:15">
      <c r="A3289" t="s">
        <v>4656</v>
      </c>
      <c r="B3289" t="s">
        <v>2099</v>
      </c>
      <c r="C3289" t="s">
        <v>2091</v>
      </c>
      <c r="D3289" s="1">
        <v>43985</v>
      </c>
      <c r="E3289" s="1">
        <v>45005</v>
      </c>
      <c r="F3289">
        <v>287</v>
      </c>
      <c r="G3289">
        <v>2</v>
      </c>
      <c r="H3289">
        <v>108.4</v>
      </c>
      <c r="I3289">
        <v>71.7</v>
      </c>
      <c r="J3289" t="s">
        <v>115</v>
      </c>
      <c r="K3289" t="s">
        <v>16</v>
      </c>
      <c r="L3289" t="s">
        <v>2095</v>
      </c>
      <c r="M3289">
        <v>8</v>
      </c>
      <c r="N3289" t="s">
        <v>165</v>
      </c>
      <c r="O3289" t="s">
        <v>2107</v>
      </c>
    </row>
    <row r="3290" spans="1:15">
      <c r="A3290" t="s">
        <v>4657</v>
      </c>
      <c r="B3290" t="s">
        <v>2093</v>
      </c>
      <c r="C3290" t="s">
        <v>2091</v>
      </c>
      <c r="D3290" s="1">
        <v>44993</v>
      </c>
      <c r="E3290" s="1">
        <v>45073</v>
      </c>
      <c r="F3290">
        <v>219</v>
      </c>
      <c r="G3290">
        <v>4</v>
      </c>
      <c r="H3290">
        <v>90.73</v>
      </c>
      <c r="I3290">
        <v>71.709999999999994</v>
      </c>
      <c r="J3290" t="s">
        <v>115</v>
      </c>
      <c r="K3290" t="s">
        <v>20</v>
      </c>
      <c r="L3290" t="s">
        <v>2087</v>
      </c>
      <c r="M3290">
        <v>6</v>
      </c>
      <c r="N3290" t="s">
        <v>157</v>
      </c>
      <c r="O3290" t="s">
        <v>2109</v>
      </c>
    </row>
    <row r="3291" spans="1:15">
      <c r="A3291" t="s">
        <v>4658</v>
      </c>
      <c r="B3291" t="s">
        <v>2093</v>
      </c>
      <c r="C3291" t="s">
        <v>2111</v>
      </c>
      <c r="D3291" s="1">
        <v>44756</v>
      </c>
      <c r="E3291" s="1">
        <v>45093</v>
      </c>
      <c r="F3291">
        <v>199</v>
      </c>
      <c r="G3291">
        <v>4</v>
      </c>
      <c r="H3291">
        <v>71.02</v>
      </c>
      <c r="I3291">
        <v>57.67</v>
      </c>
      <c r="J3291" t="s">
        <v>41</v>
      </c>
      <c r="K3291" t="s">
        <v>16</v>
      </c>
      <c r="L3291" t="s">
        <v>2106</v>
      </c>
      <c r="M3291">
        <v>2</v>
      </c>
      <c r="N3291" t="s">
        <v>179</v>
      </c>
      <c r="O3291" t="s">
        <v>2109</v>
      </c>
    </row>
    <row r="3292" spans="1:15">
      <c r="A3292" t="s">
        <v>4659</v>
      </c>
      <c r="B3292" t="s">
        <v>2099</v>
      </c>
      <c r="C3292" t="s">
        <v>2091</v>
      </c>
      <c r="D3292" s="1">
        <v>44395</v>
      </c>
      <c r="E3292" s="1">
        <v>45221</v>
      </c>
      <c r="F3292">
        <v>71</v>
      </c>
      <c r="G3292">
        <v>1</v>
      </c>
      <c r="H3292">
        <v>108.89</v>
      </c>
      <c r="I3292">
        <v>26.35</v>
      </c>
      <c r="J3292" t="s">
        <v>14</v>
      </c>
      <c r="K3292" t="s">
        <v>16</v>
      </c>
      <c r="L3292" t="s">
        <v>2095</v>
      </c>
      <c r="M3292">
        <v>5</v>
      </c>
      <c r="N3292" t="s">
        <v>174</v>
      </c>
      <c r="O3292" t="s">
        <v>2121</v>
      </c>
    </row>
    <row r="3293" spans="1:15">
      <c r="A3293" t="s">
        <v>4660</v>
      </c>
      <c r="B3293" t="s">
        <v>2113</v>
      </c>
      <c r="C3293" t="s">
        <v>2094</v>
      </c>
      <c r="D3293" s="1">
        <v>44707</v>
      </c>
      <c r="E3293" s="1">
        <v>45001</v>
      </c>
      <c r="F3293">
        <v>291</v>
      </c>
      <c r="G3293">
        <v>11</v>
      </c>
      <c r="H3293">
        <v>178.97</v>
      </c>
      <c r="I3293">
        <v>52.18</v>
      </c>
      <c r="J3293" t="s">
        <v>66</v>
      </c>
      <c r="K3293" t="s">
        <v>20</v>
      </c>
      <c r="L3293" t="s">
        <v>2106</v>
      </c>
      <c r="M3293">
        <v>8</v>
      </c>
      <c r="N3293" t="s">
        <v>157</v>
      </c>
      <c r="O3293" t="s">
        <v>2109</v>
      </c>
    </row>
    <row r="3294" spans="1:15">
      <c r="A3294" t="s">
        <v>4661</v>
      </c>
      <c r="B3294" t="s">
        <v>2097</v>
      </c>
      <c r="C3294" t="s">
        <v>2100</v>
      </c>
      <c r="D3294" s="1">
        <v>45027</v>
      </c>
      <c r="E3294" s="1">
        <v>45289</v>
      </c>
      <c r="F3294">
        <v>3</v>
      </c>
      <c r="G3294">
        <v>9</v>
      </c>
      <c r="H3294">
        <v>770.21</v>
      </c>
      <c r="I3294">
        <v>121.87</v>
      </c>
      <c r="J3294" t="s">
        <v>115</v>
      </c>
      <c r="K3294" t="s">
        <v>16</v>
      </c>
      <c r="L3294" t="s">
        <v>2106</v>
      </c>
      <c r="M3294">
        <v>8</v>
      </c>
      <c r="N3294" t="s">
        <v>165</v>
      </c>
      <c r="O3294" t="s">
        <v>2088</v>
      </c>
    </row>
    <row r="3295" spans="1:15">
      <c r="A3295" t="s">
        <v>173</v>
      </c>
      <c r="B3295" t="s">
        <v>2090</v>
      </c>
      <c r="C3295" t="s">
        <v>2086</v>
      </c>
      <c r="D3295" s="1">
        <v>45107</v>
      </c>
      <c r="E3295" s="1">
        <v>45014</v>
      </c>
      <c r="F3295">
        <v>278</v>
      </c>
      <c r="G3295">
        <v>8</v>
      </c>
      <c r="H3295">
        <v>165.89</v>
      </c>
      <c r="I3295">
        <v>87.56</v>
      </c>
      <c r="J3295" t="s">
        <v>90</v>
      </c>
      <c r="K3295" t="s">
        <v>16</v>
      </c>
      <c r="L3295" t="s">
        <v>2095</v>
      </c>
      <c r="M3295">
        <v>8</v>
      </c>
      <c r="N3295" t="s">
        <v>204</v>
      </c>
      <c r="O3295" t="s">
        <v>2109</v>
      </c>
    </row>
    <row r="3296" spans="1:15">
      <c r="A3296" t="s">
        <v>1448</v>
      </c>
      <c r="B3296" t="s">
        <v>2113</v>
      </c>
      <c r="C3296" t="s">
        <v>2111</v>
      </c>
      <c r="D3296" s="1">
        <v>44728</v>
      </c>
      <c r="E3296" s="1">
        <v>44969</v>
      </c>
      <c r="F3296">
        <v>323</v>
      </c>
      <c r="G3296">
        <v>20</v>
      </c>
      <c r="H3296">
        <v>494.23</v>
      </c>
      <c r="I3296">
        <v>49.18</v>
      </c>
      <c r="J3296" t="s">
        <v>66</v>
      </c>
      <c r="K3296" t="s">
        <v>16</v>
      </c>
      <c r="L3296" t="s">
        <v>2087</v>
      </c>
      <c r="M3296">
        <v>6</v>
      </c>
      <c r="N3296" t="s">
        <v>165</v>
      </c>
      <c r="O3296" t="s">
        <v>2107</v>
      </c>
    </row>
    <row r="3297" spans="1:15">
      <c r="A3297" t="s">
        <v>4662</v>
      </c>
      <c r="B3297" t="s">
        <v>2090</v>
      </c>
      <c r="C3297" t="s">
        <v>2091</v>
      </c>
      <c r="D3297" s="1">
        <v>44246</v>
      </c>
      <c r="E3297" s="1">
        <v>45087</v>
      </c>
      <c r="F3297">
        <v>205</v>
      </c>
      <c r="G3297">
        <v>5</v>
      </c>
      <c r="H3297">
        <v>357.18</v>
      </c>
      <c r="I3297">
        <v>116.58</v>
      </c>
      <c r="J3297" t="s">
        <v>66</v>
      </c>
      <c r="K3297" t="s">
        <v>16</v>
      </c>
      <c r="L3297" t="s">
        <v>2106</v>
      </c>
      <c r="M3297">
        <v>5</v>
      </c>
      <c r="N3297" t="s">
        <v>204</v>
      </c>
      <c r="O3297" t="s">
        <v>2107</v>
      </c>
    </row>
    <row r="3298" spans="1:15">
      <c r="A3298" t="s">
        <v>548</v>
      </c>
      <c r="B3298" t="s">
        <v>2085</v>
      </c>
      <c r="C3298" t="s">
        <v>2094</v>
      </c>
      <c r="D3298" s="1">
        <v>44051</v>
      </c>
      <c r="E3298" s="1">
        <v>44937</v>
      </c>
      <c r="F3298">
        <v>355</v>
      </c>
      <c r="G3298">
        <v>33</v>
      </c>
      <c r="H3298">
        <v>1930.34</v>
      </c>
      <c r="I3298">
        <v>128.15</v>
      </c>
      <c r="J3298" t="s">
        <v>14</v>
      </c>
      <c r="K3298" t="s">
        <v>20</v>
      </c>
      <c r="L3298" t="s">
        <v>2095</v>
      </c>
      <c r="M3298">
        <v>7</v>
      </c>
      <c r="N3298" t="s">
        <v>179</v>
      </c>
      <c r="O3298" t="s">
        <v>2096</v>
      </c>
    </row>
    <row r="3299" spans="1:15">
      <c r="A3299" t="s">
        <v>4663</v>
      </c>
      <c r="B3299" t="s">
        <v>2090</v>
      </c>
      <c r="C3299" t="s">
        <v>2108</v>
      </c>
      <c r="D3299" s="1">
        <v>44039</v>
      </c>
      <c r="E3299" s="1">
        <v>45054</v>
      </c>
      <c r="F3299">
        <v>238</v>
      </c>
      <c r="G3299">
        <v>2</v>
      </c>
      <c r="H3299">
        <v>123.09</v>
      </c>
      <c r="I3299">
        <v>102.05</v>
      </c>
      <c r="J3299" t="s">
        <v>41</v>
      </c>
      <c r="K3299" t="s">
        <v>16</v>
      </c>
      <c r="L3299" t="s">
        <v>2095</v>
      </c>
      <c r="M3299">
        <v>2</v>
      </c>
      <c r="N3299" t="s">
        <v>204</v>
      </c>
      <c r="O3299" t="s">
        <v>2121</v>
      </c>
    </row>
    <row r="3300" spans="1:15">
      <c r="A3300" t="s">
        <v>4664</v>
      </c>
      <c r="B3300" t="s">
        <v>2099</v>
      </c>
      <c r="C3300" t="s">
        <v>2094</v>
      </c>
      <c r="D3300" s="1">
        <v>45105</v>
      </c>
      <c r="E3300" s="1">
        <v>45110</v>
      </c>
      <c r="F3300">
        <v>182</v>
      </c>
      <c r="G3300">
        <v>1</v>
      </c>
      <c r="H3300">
        <v>57.84</v>
      </c>
      <c r="I3300">
        <v>51.65</v>
      </c>
      <c r="J3300" t="s">
        <v>14</v>
      </c>
      <c r="K3300" t="s">
        <v>16</v>
      </c>
      <c r="L3300" t="s">
        <v>2106</v>
      </c>
      <c r="M3300">
        <v>3</v>
      </c>
      <c r="N3300" t="s">
        <v>194</v>
      </c>
      <c r="O3300" t="s">
        <v>2107</v>
      </c>
    </row>
    <row r="3301" spans="1:15">
      <c r="A3301" t="s">
        <v>4665</v>
      </c>
      <c r="B3301" t="s">
        <v>2085</v>
      </c>
      <c r="C3301" t="s">
        <v>2086</v>
      </c>
      <c r="D3301" s="1">
        <v>44939</v>
      </c>
      <c r="E3301" s="1">
        <v>45092</v>
      </c>
      <c r="F3301">
        <v>200</v>
      </c>
      <c r="G3301">
        <v>33</v>
      </c>
      <c r="H3301">
        <v>974.81</v>
      </c>
      <c r="I3301">
        <v>276.45</v>
      </c>
      <c r="J3301" t="s">
        <v>66</v>
      </c>
      <c r="K3301" t="s">
        <v>16</v>
      </c>
      <c r="L3301" t="s">
        <v>2087</v>
      </c>
      <c r="M3301">
        <v>7</v>
      </c>
      <c r="N3301" t="s">
        <v>179</v>
      </c>
      <c r="O3301" t="s">
        <v>2107</v>
      </c>
    </row>
    <row r="3302" spans="1:15">
      <c r="A3302" t="s">
        <v>4666</v>
      </c>
      <c r="B3302" t="s">
        <v>2085</v>
      </c>
      <c r="C3302" t="s">
        <v>2108</v>
      </c>
      <c r="D3302" s="1">
        <v>43560</v>
      </c>
      <c r="E3302" s="1">
        <v>45284</v>
      </c>
      <c r="F3302">
        <v>8</v>
      </c>
      <c r="G3302">
        <v>38</v>
      </c>
      <c r="H3302">
        <v>1281.58</v>
      </c>
      <c r="I3302">
        <v>111.51</v>
      </c>
      <c r="J3302" t="s">
        <v>14</v>
      </c>
      <c r="K3302" t="s">
        <v>20</v>
      </c>
      <c r="L3302" t="s">
        <v>2106</v>
      </c>
      <c r="M3302">
        <v>7</v>
      </c>
      <c r="N3302" t="s">
        <v>194</v>
      </c>
      <c r="O3302" t="s">
        <v>2088</v>
      </c>
    </row>
    <row r="3303" spans="1:15">
      <c r="A3303" t="s">
        <v>4667</v>
      </c>
      <c r="B3303" t="s">
        <v>2097</v>
      </c>
      <c r="C3303" t="s">
        <v>2100</v>
      </c>
      <c r="D3303" s="1">
        <v>44315</v>
      </c>
      <c r="E3303" s="1">
        <v>44941</v>
      </c>
      <c r="F3303">
        <v>351</v>
      </c>
      <c r="G3303">
        <v>4</v>
      </c>
      <c r="H3303">
        <v>738.37</v>
      </c>
      <c r="I3303">
        <v>95.1</v>
      </c>
      <c r="J3303" t="s">
        <v>41</v>
      </c>
      <c r="K3303" t="s">
        <v>16</v>
      </c>
      <c r="L3303" t="s">
        <v>2095</v>
      </c>
      <c r="M3303">
        <v>1</v>
      </c>
      <c r="N3303" t="s">
        <v>165</v>
      </c>
      <c r="O3303" t="s">
        <v>2109</v>
      </c>
    </row>
    <row r="3304" spans="1:15">
      <c r="A3304" t="s">
        <v>4668</v>
      </c>
      <c r="B3304" t="s">
        <v>2097</v>
      </c>
      <c r="C3304" t="s">
        <v>2108</v>
      </c>
      <c r="D3304" s="1">
        <v>44451</v>
      </c>
      <c r="E3304" s="1">
        <v>45251</v>
      </c>
      <c r="F3304">
        <v>41</v>
      </c>
      <c r="G3304">
        <v>10</v>
      </c>
      <c r="H3304">
        <v>288.5</v>
      </c>
      <c r="I3304">
        <v>133.38</v>
      </c>
      <c r="J3304" t="s">
        <v>14</v>
      </c>
      <c r="K3304" t="s">
        <v>16</v>
      </c>
      <c r="L3304" t="s">
        <v>2095</v>
      </c>
      <c r="M3304">
        <v>1</v>
      </c>
      <c r="N3304" t="s">
        <v>165</v>
      </c>
      <c r="O3304" t="s">
        <v>2121</v>
      </c>
    </row>
    <row r="3305" spans="1:15">
      <c r="A3305" t="s">
        <v>4669</v>
      </c>
      <c r="B3305" t="s">
        <v>2090</v>
      </c>
      <c r="C3305" t="s">
        <v>2086</v>
      </c>
      <c r="D3305" s="1">
        <v>45102</v>
      </c>
      <c r="E3305" s="1">
        <v>45209</v>
      </c>
      <c r="F3305">
        <v>83</v>
      </c>
      <c r="G3305">
        <v>3</v>
      </c>
      <c r="H3305">
        <v>212.39</v>
      </c>
      <c r="I3305">
        <v>46.14</v>
      </c>
      <c r="J3305" t="s">
        <v>41</v>
      </c>
      <c r="K3305" t="s">
        <v>16</v>
      </c>
      <c r="L3305" t="s">
        <v>2106</v>
      </c>
      <c r="M3305">
        <v>10</v>
      </c>
      <c r="N3305" t="s">
        <v>194</v>
      </c>
      <c r="O3305" t="s">
        <v>2096</v>
      </c>
    </row>
    <row r="3306" spans="1:15">
      <c r="A3306" t="s">
        <v>4670</v>
      </c>
      <c r="B3306" t="s">
        <v>2085</v>
      </c>
      <c r="C3306" t="s">
        <v>2108</v>
      </c>
      <c r="D3306" s="1">
        <v>44151</v>
      </c>
      <c r="E3306" s="1">
        <v>45065</v>
      </c>
      <c r="F3306">
        <v>227</v>
      </c>
      <c r="G3306">
        <v>25</v>
      </c>
      <c r="H3306">
        <v>970.16</v>
      </c>
      <c r="I3306">
        <v>204.84</v>
      </c>
      <c r="J3306" t="s">
        <v>115</v>
      </c>
      <c r="K3306" t="s">
        <v>16</v>
      </c>
      <c r="L3306" t="s">
        <v>2087</v>
      </c>
      <c r="M3306">
        <v>0</v>
      </c>
      <c r="N3306" t="s">
        <v>157</v>
      </c>
      <c r="O3306" t="s">
        <v>2121</v>
      </c>
    </row>
    <row r="3307" spans="1:15">
      <c r="A3307" t="s">
        <v>4671</v>
      </c>
      <c r="B3307" t="s">
        <v>2085</v>
      </c>
      <c r="C3307" t="s">
        <v>2100</v>
      </c>
      <c r="D3307" s="1">
        <v>43550</v>
      </c>
      <c r="E3307" s="1">
        <v>45068</v>
      </c>
      <c r="F3307">
        <v>224</v>
      </c>
      <c r="G3307">
        <v>20</v>
      </c>
      <c r="H3307">
        <v>1349.01</v>
      </c>
      <c r="I3307">
        <v>208.5</v>
      </c>
      <c r="J3307" t="s">
        <v>14</v>
      </c>
      <c r="K3307" t="s">
        <v>16</v>
      </c>
      <c r="L3307" t="s">
        <v>2106</v>
      </c>
      <c r="M3307">
        <v>0</v>
      </c>
      <c r="N3307" t="s">
        <v>179</v>
      </c>
      <c r="O3307" t="s">
        <v>2096</v>
      </c>
    </row>
    <row r="3308" spans="1:15">
      <c r="A3308" t="s">
        <v>4672</v>
      </c>
      <c r="B3308" t="s">
        <v>2113</v>
      </c>
      <c r="C3308" t="s">
        <v>2111</v>
      </c>
      <c r="D3308" s="1">
        <v>44994</v>
      </c>
      <c r="E3308" s="1">
        <v>45051</v>
      </c>
      <c r="F3308">
        <v>241</v>
      </c>
      <c r="G3308">
        <v>15</v>
      </c>
      <c r="H3308">
        <v>126.3</v>
      </c>
      <c r="I3308">
        <v>74.709999999999994</v>
      </c>
      <c r="J3308" t="s">
        <v>14</v>
      </c>
      <c r="K3308" t="s">
        <v>20</v>
      </c>
      <c r="L3308" t="s">
        <v>2087</v>
      </c>
      <c r="M3308">
        <v>9</v>
      </c>
      <c r="N3308" t="s">
        <v>179</v>
      </c>
      <c r="O3308" t="s">
        <v>2109</v>
      </c>
    </row>
    <row r="3309" spans="1:15">
      <c r="A3309" t="s">
        <v>4673</v>
      </c>
      <c r="B3309" t="s">
        <v>2085</v>
      </c>
      <c r="C3309" t="s">
        <v>2108</v>
      </c>
      <c r="D3309" s="1">
        <v>44695</v>
      </c>
      <c r="E3309" s="1">
        <v>45024</v>
      </c>
      <c r="F3309">
        <v>268</v>
      </c>
      <c r="G3309">
        <v>38</v>
      </c>
      <c r="H3309">
        <v>2921.07</v>
      </c>
      <c r="I3309">
        <v>196.38</v>
      </c>
      <c r="J3309" t="s">
        <v>66</v>
      </c>
      <c r="K3309" t="s">
        <v>16</v>
      </c>
      <c r="L3309" t="s">
        <v>2087</v>
      </c>
      <c r="M3309">
        <v>9</v>
      </c>
      <c r="N3309" t="s">
        <v>204</v>
      </c>
      <c r="O3309" t="s">
        <v>2109</v>
      </c>
    </row>
    <row r="3310" spans="1:15">
      <c r="A3310" t="s">
        <v>4674</v>
      </c>
      <c r="B3310" t="s">
        <v>2085</v>
      </c>
      <c r="C3310" t="s">
        <v>2100</v>
      </c>
      <c r="D3310" s="1">
        <v>45191</v>
      </c>
      <c r="E3310" s="1">
        <v>45097</v>
      </c>
      <c r="F3310">
        <v>195</v>
      </c>
      <c r="G3310">
        <v>39</v>
      </c>
      <c r="H3310">
        <v>1520.14</v>
      </c>
      <c r="I3310">
        <v>282.55</v>
      </c>
      <c r="J3310" t="s">
        <v>41</v>
      </c>
      <c r="K3310" t="s">
        <v>16</v>
      </c>
      <c r="L3310" t="s">
        <v>2087</v>
      </c>
      <c r="M3310">
        <v>5</v>
      </c>
      <c r="N3310" t="s">
        <v>174</v>
      </c>
      <c r="O3310" t="s">
        <v>2121</v>
      </c>
    </row>
    <row r="3311" spans="1:15">
      <c r="A3311" t="s">
        <v>4675</v>
      </c>
      <c r="B3311" t="s">
        <v>2097</v>
      </c>
      <c r="C3311" t="s">
        <v>2100</v>
      </c>
      <c r="D3311" s="1">
        <v>45016</v>
      </c>
      <c r="E3311" s="1">
        <v>44956</v>
      </c>
      <c r="F3311">
        <v>336</v>
      </c>
      <c r="G3311">
        <v>5</v>
      </c>
      <c r="H3311">
        <v>351.25</v>
      </c>
      <c r="I3311">
        <v>136.49</v>
      </c>
      <c r="J3311" t="s">
        <v>115</v>
      </c>
      <c r="K3311" t="s">
        <v>16</v>
      </c>
      <c r="L3311" t="s">
        <v>2106</v>
      </c>
      <c r="M3311">
        <v>8</v>
      </c>
      <c r="N3311" t="s">
        <v>204</v>
      </c>
      <c r="O3311" t="s">
        <v>2096</v>
      </c>
    </row>
    <row r="3312" spans="1:15">
      <c r="A3312" t="s">
        <v>4676</v>
      </c>
      <c r="B3312" t="s">
        <v>2093</v>
      </c>
      <c r="C3312" t="s">
        <v>2091</v>
      </c>
      <c r="D3312" s="1">
        <v>43682</v>
      </c>
      <c r="E3312" s="1">
        <v>45192</v>
      </c>
      <c r="F3312">
        <v>100</v>
      </c>
      <c r="G3312">
        <v>4</v>
      </c>
      <c r="H3312">
        <v>87.38</v>
      </c>
      <c r="I3312">
        <v>35.47</v>
      </c>
      <c r="J3312" t="s">
        <v>90</v>
      </c>
      <c r="K3312" t="s">
        <v>16</v>
      </c>
      <c r="L3312" t="s">
        <v>2095</v>
      </c>
      <c r="M3312">
        <v>1</v>
      </c>
      <c r="N3312" t="s">
        <v>194</v>
      </c>
      <c r="O3312" t="s">
        <v>2088</v>
      </c>
    </row>
    <row r="3313" spans="1:15">
      <c r="A3313" t="s">
        <v>4677</v>
      </c>
      <c r="B3313" t="s">
        <v>2090</v>
      </c>
      <c r="C3313" t="s">
        <v>2111</v>
      </c>
      <c r="D3313" s="1">
        <v>44221</v>
      </c>
      <c r="E3313" s="1">
        <v>45211</v>
      </c>
      <c r="F3313">
        <v>81</v>
      </c>
      <c r="G3313">
        <v>8</v>
      </c>
      <c r="H3313">
        <v>332.4</v>
      </c>
      <c r="I3313">
        <v>70.61</v>
      </c>
      <c r="J3313" t="s">
        <v>14</v>
      </c>
      <c r="K3313" t="s">
        <v>20</v>
      </c>
      <c r="L3313" t="s">
        <v>2087</v>
      </c>
      <c r="M3313">
        <v>10</v>
      </c>
      <c r="N3313" t="s">
        <v>179</v>
      </c>
      <c r="O3313" t="s">
        <v>2121</v>
      </c>
    </row>
    <row r="3314" spans="1:15">
      <c r="A3314" t="s">
        <v>4678</v>
      </c>
      <c r="B3314" t="s">
        <v>2113</v>
      </c>
      <c r="C3314" t="s">
        <v>2100</v>
      </c>
      <c r="D3314" s="1">
        <v>44473</v>
      </c>
      <c r="E3314" s="1">
        <v>45207</v>
      </c>
      <c r="F3314">
        <v>85</v>
      </c>
      <c r="G3314">
        <v>20</v>
      </c>
      <c r="H3314">
        <v>121.02</v>
      </c>
      <c r="I3314">
        <v>38.520000000000003</v>
      </c>
      <c r="J3314" t="s">
        <v>66</v>
      </c>
      <c r="K3314" t="s">
        <v>16</v>
      </c>
      <c r="L3314" t="s">
        <v>2087</v>
      </c>
      <c r="M3314">
        <v>4</v>
      </c>
      <c r="N3314" t="s">
        <v>165</v>
      </c>
      <c r="O3314" t="s">
        <v>2121</v>
      </c>
    </row>
    <row r="3315" spans="1:15">
      <c r="A3315" t="s">
        <v>4679</v>
      </c>
      <c r="B3315" t="s">
        <v>2085</v>
      </c>
      <c r="C3315" t="s">
        <v>2086</v>
      </c>
      <c r="D3315" s="1">
        <v>44995</v>
      </c>
      <c r="E3315" s="1">
        <v>44997</v>
      </c>
      <c r="F3315">
        <v>295</v>
      </c>
      <c r="G3315">
        <v>40</v>
      </c>
      <c r="H3315">
        <v>1457.8</v>
      </c>
      <c r="I3315">
        <v>296.70999999999998</v>
      </c>
      <c r="J3315" t="s">
        <v>66</v>
      </c>
      <c r="K3315" t="s">
        <v>16</v>
      </c>
      <c r="L3315" t="s">
        <v>2106</v>
      </c>
      <c r="M3315">
        <v>6</v>
      </c>
      <c r="N3315" t="s">
        <v>204</v>
      </c>
      <c r="O3315" t="s">
        <v>2096</v>
      </c>
    </row>
    <row r="3316" spans="1:15">
      <c r="A3316" t="s">
        <v>4680</v>
      </c>
      <c r="B3316" t="s">
        <v>2090</v>
      </c>
      <c r="C3316" t="s">
        <v>2094</v>
      </c>
      <c r="D3316" s="1">
        <v>43555</v>
      </c>
      <c r="E3316" s="1">
        <v>44960</v>
      </c>
      <c r="F3316">
        <v>332</v>
      </c>
      <c r="G3316">
        <v>6</v>
      </c>
      <c r="H3316">
        <v>99.39</v>
      </c>
      <c r="I3316">
        <v>67.72</v>
      </c>
      <c r="J3316" t="s">
        <v>14</v>
      </c>
      <c r="K3316" t="s">
        <v>16</v>
      </c>
      <c r="L3316" t="s">
        <v>2087</v>
      </c>
      <c r="M3316">
        <v>10</v>
      </c>
      <c r="N3316" t="s">
        <v>232</v>
      </c>
      <c r="O3316" t="s">
        <v>2109</v>
      </c>
    </row>
    <row r="3317" spans="1:15">
      <c r="A3317" t="s">
        <v>1855</v>
      </c>
      <c r="B3317" t="s">
        <v>2097</v>
      </c>
      <c r="C3317" t="s">
        <v>2094</v>
      </c>
      <c r="D3317" s="1">
        <v>44375</v>
      </c>
      <c r="E3317" s="1">
        <v>44949</v>
      </c>
      <c r="F3317">
        <v>343</v>
      </c>
      <c r="G3317">
        <v>9</v>
      </c>
      <c r="H3317">
        <v>481.4</v>
      </c>
      <c r="I3317">
        <v>137.78</v>
      </c>
      <c r="J3317" t="s">
        <v>41</v>
      </c>
      <c r="K3317" t="s">
        <v>16</v>
      </c>
      <c r="L3317" t="s">
        <v>2095</v>
      </c>
      <c r="M3317">
        <v>6</v>
      </c>
      <c r="N3317" t="s">
        <v>165</v>
      </c>
      <c r="O3317" t="s">
        <v>2088</v>
      </c>
    </row>
    <row r="3318" spans="1:15">
      <c r="A3318" t="s">
        <v>4681</v>
      </c>
      <c r="B3318" t="s">
        <v>2093</v>
      </c>
      <c r="C3318" t="s">
        <v>2100</v>
      </c>
      <c r="D3318" s="1">
        <v>43477</v>
      </c>
      <c r="E3318" s="1">
        <v>45154</v>
      </c>
      <c r="F3318">
        <v>138</v>
      </c>
      <c r="G3318">
        <v>5</v>
      </c>
      <c r="H3318">
        <v>49.79</v>
      </c>
      <c r="I3318">
        <v>28.99</v>
      </c>
      <c r="J3318" t="s">
        <v>115</v>
      </c>
      <c r="K3318" t="s">
        <v>16</v>
      </c>
      <c r="L3318" t="s">
        <v>2087</v>
      </c>
      <c r="M3318">
        <v>10</v>
      </c>
      <c r="N3318" t="s">
        <v>174</v>
      </c>
      <c r="O3318" t="s">
        <v>2096</v>
      </c>
    </row>
    <row r="3319" spans="1:15">
      <c r="A3319" t="s">
        <v>4682</v>
      </c>
      <c r="B3319" t="s">
        <v>2099</v>
      </c>
      <c r="C3319" t="s">
        <v>2100</v>
      </c>
      <c r="D3319" s="1">
        <v>44203</v>
      </c>
      <c r="E3319" s="1">
        <v>45222</v>
      </c>
      <c r="F3319">
        <v>70</v>
      </c>
      <c r="G3319">
        <v>1</v>
      </c>
      <c r="H3319">
        <v>137.22</v>
      </c>
      <c r="I3319">
        <v>37.6</v>
      </c>
      <c r="J3319" t="s">
        <v>41</v>
      </c>
      <c r="K3319" t="s">
        <v>20</v>
      </c>
      <c r="L3319" t="s">
        <v>2095</v>
      </c>
      <c r="M3319">
        <v>9</v>
      </c>
      <c r="N3319" t="s">
        <v>165</v>
      </c>
      <c r="O3319" t="s">
        <v>2109</v>
      </c>
    </row>
    <row r="3320" spans="1:15">
      <c r="A3320" t="s">
        <v>4683</v>
      </c>
      <c r="B3320" t="s">
        <v>2099</v>
      </c>
      <c r="C3320" t="s">
        <v>2111</v>
      </c>
      <c r="D3320" s="1">
        <v>44106</v>
      </c>
      <c r="E3320" s="1">
        <v>45055</v>
      </c>
      <c r="F3320">
        <v>237</v>
      </c>
      <c r="G3320">
        <v>2</v>
      </c>
      <c r="H3320">
        <v>115.84</v>
      </c>
      <c r="I3320">
        <v>74.650000000000006</v>
      </c>
      <c r="J3320" t="s">
        <v>90</v>
      </c>
      <c r="K3320" t="s">
        <v>16</v>
      </c>
      <c r="L3320" t="s">
        <v>2087</v>
      </c>
      <c r="M3320">
        <v>0</v>
      </c>
      <c r="N3320" t="s">
        <v>174</v>
      </c>
      <c r="O3320" t="s">
        <v>2109</v>
      </c>
    </row>
    <row r="3321" spans="1:15">
      <c r="A3321" t="s">
        <v>4684</v>
      </c>
      <c r="B3321" t="s">
        <v>2099</v>
      </c>
      <c r="C3321" t="s">
        <v>2111</v>
      </c>
      <c r="D3321" s="1">
        <v>44402</v>
      </c>
      <c r="E3321" s="1">
        <v>45105</v>
      </c>
      <c r="F3321">
        <v>187</v>
      </c>
      <c r="G3321">
        <v>1</v>
      </c>
      <c r="H3321">
        <v>30.44</v>
      </c>
      <c r="I3321">
        <v>86.54</v>
      </c>
      <c r="J3321" t="s">
        <v>115</v>
      </c>
      <c r="K3321" t="s">
        <v>16</v>
      </c>
      <c r="L3321" t="s">
        <v>2095</v>
      </c>
      <c r="M3321">
        <v>7</v>
      </c>
      <c r="N3321" t="s">
        <v>204</v>
      </c>
      <c r="O3321" t="s">
        <v>2088</v>
      </c>
    </row>
    <row r="3322" spans="1:15">
      <c r="A3322" t="s">
        <v>4685</v>
      </c>
      <c r="B3322" t="s">
        <v>2113</v>
      </c>
      <c r="C3322" t="s">
        <v>2100</v>
      </c>
      <c r="D3322" s="1">
        <v>44208</v>
      </c>
      <c r="E3322" s="1">
        <v>45160</v>
      </c>
      <c r="F3322">
        <v>132</v>
      </c>
      <c r="G3322">
        <v>10</v>
      </c>
      <c r="H3322">
        <v>353.45</v>
      </c>
      <c r="I3322">
        <v>78.7</v>
      </c>
      <c r="J3322" t="s">
        <v>14</v>
      </c>
      <c r="K3322" t="s">
        <v>20</v>
      </c>
      <c r="L3322" t="s">
        <v>2106</v>
      </c>
      <c r="M3322">
        <v>6</v>
      </c>
      <c r="N3322" t="s">
        <v>204</v>
      </c>
      <c r="O3322" t="s">
        <v>2109</v>
      </c>
    </row>
    <row r="3323" spans="1:15">
      <c r="A3323" t="s">
        <v>4686</v>
      </c>
      <c r="B3323" t="s">
        <v>2085</v>
      </c>
      <c r="C3323" t="s">
        <v>2108</v>
      </c>
      <c r="D3323" s="1">
        <v>43655</v>
      </c>
      <c r="E3323" s="1">
        <v>45236</v>
      </c>
      <c r="F3323">
        <v>56</v>
      </c>
      <c r="G3323">
        <v>25</v>
      </c>
      <c r="H3323">
        <v>1741.31</v>
      </c>
      <c r="I3323">
        <v>126.25</v>
      </c>
      <c r="J3323" t="s">
        <v>41</v>
      </c>
      <c r="K3323" t="s">
        <v>16</v>
      </c>
      <c r="L3323" t="s">
        <v>2106</v>
      </c>
      <c r="M3323">
        <v>3</v>
      </c>
      <c r="N3323" t="s">
        <v>194</v>
      </c>
      <c r="O3323" t="s">
        <v>2088</v>
      </c>
    </row>
    <row r="3324" spans="1:15">
      <c r="A3324" t="s">
        <v>1422</v>
      </c>
      <c r="B3324" t="s">
        <v>2085</v>
      </c>
      <c r="C3324" t="s">
        <v>2111</v>
      </c>
      <c r="D3324" s="1">
        <v>44678</v>
      </c>
      <c r="E3324" s="1">
        <v>45004</v>
      </c>
      <c r="F3324">
        <v>288</v>
      </c>
      <c r="G3324">
        <v>20</v>
      </c>
      <c r="H3324">
        <v>1251.6600000000001</v>
      </c>
      <c r="I3324">
        <v>290.14</v>
      </c>
      <c r="J3324" t="s">
        <v>66</v>
      </c>
      <c r="K3324" t="s">
        <v>16</v>
      </c>
      <c r="L3324" t="s">
        <v>2087</v>
      </c>
      <c r="M3324">
        <v>2</v>
      </c>
      <c r="N3324" t="s">
        <v>165</v>
      </c>
      <c r="O3324" t="s">
        <v>2121</v>
      </c>
    </row>
    <row r="3325" spans="1:15">
      <c r="A3325" t="s">
        <v>4687</v>
      </c>
      <c r="B3325" t="s">
        <v>2090</v>
      </c>
      <c r="C3325" t="s">
        <v>2094</v>
      </c>
      <c r="D3325" s="1">
        <v>45163</v>
      </c>
      <c r="E3325" s="1">
        <v>45164</v>
      </c>
      <c r="F3325">
        <v>128</v>
      </c>
      <c r="G3325">
        <v>5</v>
      </c>
      <c r="H3325">
        <v>251.12</v>
      </c>
      <c r="I3325">
        <v>55.7</v>
      </c>
      <c r="J3325" t="s">
        <v>14</v>
      </c>
      <c r="K3325" t="s">
        <v>20</v>
      </c>
      <c r="L3325" t="s">
        <v>2106</v>
      </c>
      <c r="M3325">
        <v>9</v>
      </c>
      <c r="N3325" t="s">
        <v>174</v>
      </c>
      <c r="O3325" t="s">
        <v>2107</v>
      </c>
    </row>
    <row r="3326" spans="1:15">
      <c r="A3326" t="s">
        <v>4688</v>
      </c>
      <c r="B3326" t="s">
        <v>2093</v>
      </c>
      <c r="C3326" t="s">
        <v>2108</v>
      </c>
      <c r="D3326" s="1">
        <v>44014</v>
      </c>
      <c r="E3326" s="1">
        <v>45073</v>
      </c>
      <c r="F3326">
        <v>219</v>
      </c>
      <c r="G3326">
        <v>1</v>
      </c>
      <c r="H3326">
        <v>88.7</v>
      </c>
      <c r="I3326">
        <v>55.04</v>
      </c>
      <c r="J3326" t="s">
        <v>90</v>
      </c>
      <c r="K3326" t="s">
        <v>20</v>
      </c>
      <c r="L3326" t="s">
        <v>2087</v>
      </c>
      <c r="M3326">
        <v>9</v>
      </c>
      <c r="N3326" t="s">
        <v>165</v>
      </c>
      <c r="O3326" t="s">
        <v>2088</v>
      </c>
    </row>
    <row r="3327" spans="1:15">
      <c r="A3327" t="s">
        <v>4689</v>
      </c>
      <c r="B3327" t="s">
        <v>2090</v>
      </c>
      <c r="C3327" t="s">
        <v>2100</v>
      </c>
      <c r="D3327" s="1">
        <v>43804</v>
      </c>
      <c r="E3327" s="1">
        <v>45102</v>
      </c>
      <c r="F3327">
        <v>190</v>
      </c>
      <c r="G3327">
        <v>2</v>
      </c>
      <c r="H3327">
        <v>108.99</v>
      </c>
      <c r="I3327">
        <v>93.69</v>
      </c>
      <c r="J3327" t="s">
        <v>41</v>
      </c>
      <c r="K3327" t="s">
        <v>16</v>
      </c>
      <c r="L3327" t="s">
        <v>2106</v>
      </c>
      <c r="M3327">
        <v>3</v>
      </c>
      <c r="N3327" t="s">
        <v>204</v>
      </c>
      <c r="O3327" t="s">
        <v>2096</v>
      </c>
    </row>
    <row r="3328" spans="1:15">
      <c r="A3328" t="s">
        <v>4690</v>
      </c>
      <c r="B3328" t="s">
        <v>2093</v>
      </c>
      <c r="C3328" t="s">
        <v>2100</v>
      </c>
      <c r="D3328" s="1">
        <v>43770</v>
      </c>
      <c r="E3328" s="1">
        <v>45110</v>
      </c>
      <c r="F3328">
        <v>182</v>
      </c>
      <c r="G3328">
        <v>1</v>
      </c>
      <c r="H3328">
        <v>176.15</v>
      </c>
      <c r="I3328">
        <v>52.38</v>
      </c>
      <c r="J3328" t="s">
        <v>14</v>
      </c>
      <c r="K3328" t="s">
        <v>16</v>
      </c>
      <c r="L3328" t="s">
        <v>2087</v>
      </c>
      <c r="M3328">
        <v>10</v>
      </c>
      <c r="N3328" t="s">
        <v>157</v>
      </c>
      <c r="O3328" t="s">
        <v>2096</v>
      </c>
    </row>
    <row r="3329" spans="1:15">
      <c r="A3329" t="s">
        <v>4691</v>
      </c>
      <c r="B3329" t="s">
        <v>2093</v>
      </c>
      <c r="C3329" t="s">
        <v>2094</v>
      </c>
      <c r="D3329" s="1">
        <v>43929</v>
      </c>
      <c r="E3329" s="1">
        <v>45117</v>
      </c>
      <c r="F3329">
        <v>175</v>
      </c>
      <c r="G3329">
        <v>4</v>
      </c>
      <c r="H3329">
        <v>152.11000000000001</v>
      </c>
      <c r="I3329">
        <v>47.46</v>
      </c>
      <c r="J3329" t="s">
        <v>115</v>
      </c>
      <c r="K3329" t="s">
        <v>16</v>
      </c>
      <c r="L3329" t="s">
        <v>2106</v>
      </c>
      <c r="M3329">
        <v>1</v>
      </c>
      <c r="N3329" t="s">
        <v>194</v>
      </c>
      <c r="O3329" t="s">
        <v>2096</v>
      </c>
    </row>
    <row r="3330" spans="1:15">
      <c r="A3330" t="s">
        <v>4692</v>
      </c>
      <c r="B3330" t="s">
        <v>2099</v>
      </c>
      <c r="C3330" t="s">
        <v>2100</v>
      </c>
      <c r="D3330" s="1">
        <v>44358</v>
      </c>
      <c r="E3330" s="1">
        <v>45288</v>
      </c>
      <c r="F3330">
        <v>4</v>
      </c>
      <c r="G3330">
        <v>2</v>
      </c>
      <c r="H3330">
        <v>136.87</v>
      </c>
      <c r="I3330">
        <v>80.260000000000005</v>
      </c>
      <c r="J3330" t="s">
        <v>41</v>
      </c>
      <c r="K3330" t="s">
        <v>20</v>
      </c>
      <c r="L3330" t="s">
        <v>2087</v>
      </c>
      <c r="M3330">
        <v>5</v>
      </c>
      <c r="N3330" t="s">
        <v>232</v>
      </c>
      <c r="O3330" t="s">
        <v>2109</v>
      </c>
    </row>
    <row r="3331" spans="1:15">
      <c r="A3331" t="s">
        <v>4693</v>
      </c>
      <c r="B3331" t="s">
        <v>2093</v>
      </c>
      <c r="C3331" t="s">
        <v>2091</v>
      </c>
      <c r="D3331" s="1">
        <v>43737</v>
      </c>
      <c r="E3331" s="1">
        <v>45111</v>
      </c>
      <c r="F3331">
        <v>181</v>
      </c>
      <c r="G3331">
        <v>2</v>
      </c>
      <c r="H3331">
        <v>95.58</v>
      </c>
      <c r="I3331">
        <v>79.209999999999994</v>
      </c>
      <c r="J3331" t="s">
        <v>90</v>
      </c>
      <c r="K3331" t="s">
        <v>20</v>
      </c>
      <c r="L3331" t="s">
        <v>2087</v>
      </c>
      <c r="M3331">
        <v>3</v>
      </c>
      <c r="N3331" t="s">
        <v>157</v>
      </c>
      <c r="O3331" t="s">
        <v>2096</v>
      </c>
    </row>
    <row r="3332" spans="1:15">
      <c r="A3332" t="s">
        <v>454</v>
      </c>
      <c r="B3332" t="s">
        <v>2090</v>
      </c>
      <c r="C3332" t="s">
        <v>2086</v>
      </c>
      <c r="D3332" s="1">
        <v>44202</v>
      </c>
      <c r="E3332" s="1">
        <v>44950</v>
      </c>
      <c r="F3332">
        <v>342</v>
      </c>
      <c r="G3332">
        <v>3</v>
      </c>
      <c r="H3332">
        <v>136.88999999999999</v>
      </c>
      <c r="I3332">
        <v>109.85</v>
      </c>
      <c r="J3332" t="s">
        <v>14</v>
      </c>
      <c r="K3332" t="s">
        <v>16</v>
      </c>
      <c r="L3332" t="s">
        <v>2106</v>
      </c>
      <c r="M3332">
        <v>4</v>
      </c>
      <c r="N3332" t="s">
        <v>174</v>
      </c>
      <c r="O3332" t="s">
        <v>2088</v>
      </c>
    </row>
    <row r="3333" spans="1:15">
      <c r="A3333" t="s">
        <v>4694</v>
      </c>
      <c r="B3333" t="s">
        <v>2099</v>
      </c>
      <c r="C3333" t="s">
        <v>2100</v>
      </c>
      <c r="D3333" s="1">
        <v>44796</v>
      </c>
      <c r="E3333" s="1">
        <v>45213</v>
      </c>
      <c r="F3333">
        <v>79</v>
      </c>
      <c r="G3333">
        <v>2</v>
      </c>
      <c r="H3333">
        <v>126.52</v>
      </c>
      <c r="I3333">
        <v>85.79</v>
      </c>
      <c r="J3333" t="s">
        <v>14</v>
      </c>
      <c r="K3333" t="s">
        <v>20</v>
      </c>
      <c r="L3333" t="s">
        <v>2095</v>
      </c>
      <c r="M3333">
        <v>10</v>
      </c>
      <c r="N3333" t="s">
        <v>194</v>
      </c>
      <c r="O3333" t="s">
        <v>2096</v>
      </c>
    </row>
    <row r="3334" spans="1:15">
      <c r="A3334" t="s">
        <v>4695</v>
      </c>
      <c r="B3334" t="s">
        <v>2085</v>
      </c>
      <c r="C3334" t="s">
        <v>2094</v>
      </c>
      <c r="D3334" s="1">
        <v>44126</v>
      </c>
      <c r="E3334" s="1">
        <v>45203</v>
      </c>
      <c r="F3334">
        <v>89</v>
      </c>
      <c r="G3334">
        <v>13</v>
      </c>
      <c r="H3334">
        <v>2207.39</v>
      </c>
      <c r="I3334">
        <v>187.4</v>
      </c>
      <c r="J3334" t="s">
        <v>115</v>
      </c>
      <c r="K3334" t="s">
        <v>16</v>
      </c>
      <c r="L3334" t="s">
        <v>2095</v>
      </c>
      <c r="M3334">
        <v>9</v>
      </c>
      <c r="N3334" t="s">
        <v>157</v>
      </c>
      <c r="O3334" t="s">
        <v>2096</v>
      </c>
    </row>
    <row r="3335" spans="1:15">
      <c r="A3335" t="s">
        <v>4696</v>
      </c>
      <c r="B3335" t="s">
        <v>2085</v>
      </c>
      <c r="C3335" t="s">
        <v>2108</v>
      </c>
      <c r="D3335" s="1">
        <v>45128</v>
      </c>
      <c r="E3335" s="1">
        <v>45087</v>
      </c>
      <c r="F3335">
        <v>205</v>
      </c>
      <c r="G3335">
        <v>20</v>
      </c>
      <c r="H3335">
        <v>1747.31</v>
      </c>
      <c r="I3335">
        <v>145.03</v>
      </c>
      <c r="J3335" t="s">
        <v>90</v>
      </c>
      <c r="K3335" t="s">
        <v>16</v>
      </c>
      <c r="L3335" t="s">
        <v>2106</v>
      </c>
      <c r="M3335">
        <v>8</v>
      </c>
      <c r="N3335" t="s">
        <v>232</v>
      </c>
      <c r="O3335" t="s">
        <v>2109</v>
      </c>
    </row>
    <row r="3336" spans="1:15">
      <c r="A3336" t="s">
        <v>4697</v>
      </c>
      <c r="B3336" t="s">
        <v>2085</v>
      </c>
      <c r="C3336" t="s">
        <v>2100</v>
      </c>
      <c r="D3336" s="1">
        <v>44865</v>
      </c>
      <c r="E3336" s="1">
        <v>45052</v>
      </c>
      <c r="F3336">
        <v>240</v>
      </c>
      <c r="G3336">
        <v>24</v>
      </c>
      <c r="H3336">
        <v>1407.02</v>
      </c>
      <c r="I3336">
        <v>272.44</v>
      </c>
      <c r="J3336" t="s">
        <v>66</v>
      </c>
      <c r="K3336" t="s">
        <v>20</v>
      </c>
      <c r="L3336" t="s">
        <v>2095</v>
      </c>
      <c r="M3336">
        <v>4</v>
      </c>
      <c r="N3336" t="s">
        <v>194</v>
      </c>
      <c r="O3336" t="s">
        <v>2109</v>
      </c>
    </row>
    <row r="3337" spans="1:15">
      <c r="A3337" t="s">
        <v>4698</v>
      </c>
      <c r="B3337" t="s">
        <v>2090</v>
      </c>
      <c r="C3337" t="s">
        <v>2091</v>
      </c>
      <c r="D3337" s="1">
        <v>44997</v>
      </c>
      <c r="E3337" s="1">
        <v>45210</v>
      </c>
      <c r="F3337">
        <v>82</v>
      </c>
      <c r="G3337">
        <v>2</v>
      </c>
      <c r="H3337">
        <v>283.33999999999997</v>
      </c>
      <c r="I3337">
        <v>115.78</v>
      </c>
      <c r="J3337" t="s">
        <v>14</v>
      </c>
      <c r="K3337" t="s">
        <v>16</v>
      </c>
      <c r="L3337" t="s">
        <v>2087</v>
      </c>
      <c r="M3337">
        <v>0</v>
      </c>
      <c r="N3337" t="s">
        <v>157</v>
      </c>
      <c r="O3337" t="s">
        <v>2109</v>
      </c>
    </row>
    <row r="3338" spans="1:15">
      <c r="A3338" t="s">
        <v>4699</v>
      </c>
      <c r="B3338" t="s">
        <v>2093</v>
      </c>
      <c r="C3338" t="s">
        <v>2094</v>
      </c>
      <c r="D3338" s="1">
        <v>44398</v>
      </c>
      <c r="E3338" s="1">
        <v>45144</v>
      </c>
      <c r="F3338">
        <v>148</v>
      </c>
      <c r="G3338">
        <v>5</v>
      </c>
      <c r="H3338">
        <v>128.08000000000001</v>
      </c>
      <c r="I3338">
        <v>29.59</v>
      </c>
      <c r="J3338" t="s">
        <v>66</v>
      </c>
      <c r="K3338" t="s">
        <v>16</v>
      </c>
      <c r="L3338" t="s">
        <v>2095</v>
      </c>
      <c r="M3338">
        <v>0</v>
      </c>
      <c r="N3338" t="s">
        <v>165</v>
      </c>
      <c r="O3338" t="s">
        <v>2096</v>
      </c>
    </row>
    <row r="3339" spans="1:15">
      <c r="A3339" t="s">
        <v>4700</v>
      </c>
      <c r="B3339" t="s">
        <v>2113</v>
      </c>
      <c r="C3339" t="s">
        <v>2094</v>
      </c>
      <c r="D3339" s="1">
        <v>44742</v>
      </c>
      <c r="E3339" s="1">
        <v>45206</v>
      </c>
      <c r="F3339">
        <v>86</v>
      </c>
      <c r="G3339">
        <v>6</v>
      </c>
      <c r="H3339">
        <v>548.54999999999995</v>
      </c>
      <c r="I3339">
        <v>35.909999999999997</v>
      </c>
      <c r="J3339" t="s">
        <v>90</v>
      </c>
      <c r="K3339" t="s">
        <v>16</v>
      </c>
      <c r="L3339" t="s">
        <v>2087</v>
      </c>
      <c r="M3339">
        <v>7</v>
      </c>
      <c r="N3339" t="s">
        <v>157</v>
      </c>
      <c r="O3339" t="s">
        <v>2088</v>
      </c>
    </row>
    <row r="3340" spans="1:15">
      <c r="A3340" t="s">
        <v>4701</v>
      </c>
      <c r="B3340" t="s">
        <v>2090</v>
      </c>
      <c r="C3340" t="s">
        <v>2111</v>
      </c>
      <c r="D3340" s="1">
        <v>44458</v>
      </c>
      <c r="E3340" s="1">
        <v>45084</v>
      </c>
      <c r="F3340">
        <v>208</v>
      </c>
      <c r="G3340">
        <v>8</v>
      </c>
      <c r="H3340">
        <v>80.08</v>
      </c>
      <c r="I3340">
        <v>62.62</v>
      </c>
      <c r="J3340" t="s">
        <v>90</v>
      </c>
      <c r="K3340" t="s">
        <v>16</v>
      </c>
      <c r="L3340" t="s">
        <v>2106</v>
      </c>
      <c r="M3340">
        <v>2</v>
      </c>
      <c r="N3340" t="s">
        <v>232</v>
      </c>
      <c r="O3340" t="s">
        <v>2121</v>
      </c>
    </row>
    <row r="3341" spans="1:15">
      <c r="A3341" t="s">
        <v>4702</v>
      </c>
      <c r="B3341" t="s">
        <v>2085</v>
      </c>
      <c r="C3341" t="s">
        <v>2094</v>
      </c>
      <c r="D3341" s="1">
        <v>43842</v>
      </c>
      <c r="E3341" s="1">
        <v>44933</v>
      </c>
      <c r="F3341">
        <v>359</v>
      </c>
      <c r="G3341">
        <v>26</v>
      </c>
      <c r="H3341">
        <v>1160.3499999999999</v>
      </c>
      <c r="I3341">
        <v>162.94999999999999</v>
      </c>
      <c r="J3341" t="s">
        <v>41</v>
      </c>
      <c r="K3341" t="s">
        <v>20</v>
      </c>
      <c r="L3341" t="s">
        <v>2087</v>
      </c>
      <c r="M3341">
        <v>1</v>
      </c>
      <c r="N3341" t="s">
        <v>194</v>
      </c>
      <c r="O3341" t="s">
        <v>2121</v>
      </c>
    </row>
    <row r="3342" spans="1:15">
      <c r="A3342" t="s">
        <v>4703</v>
      </c>
      <c r="B3342" t="s">
        <v>2085</v>
      </c>
      <c r="C3342" t="s">
        <v>2111</v>
      </c>
      <c r="D3342" s="1">
        <v>44424</v>
      </c>
      <c r="E3342" s="1">
        <v>44968</v>
      </c>
      <c r="F3342">
        <v>324</v>
      </c>
      <c r="G3342">
        <v>15</v>
      </c>
      <c r="H3342">
        <v>1214.77</v>
      </c>
      <c r="I3342">
        <v>131.4</v>
      </c>
      <c r="J3342" t="s">
        <v>90</v>
      </c>
      <c r="K3342" t="s">
        <v>20</v>
      </c>
      <c r="L3342" t="s">
        <v>2106</v>
      </c>
      <c r="M3342">
        <v>7</v>
      </c>
      <c r="N3342" t="s">
        <v>165</v>
      </c>
      <c r="O3342" t="s">
        <v>2121</v>
      </c>
    </row>
    <row r="3343" spans="1:15">
      <c r="A3343" t="s">
        <v>4704</v>
      </c>
      <c r="B3343" t="s">
        <v>2085</v>
      </c>
      <c r="C3343" t="s">
        <v>2108</v>
      </c>
      <c r="D3343" s="1">
        <v>45238</v>
      </c>
      <c r="E3343" s="1">
        <v>45245</v>
      </c>
      <c r="F3343">
        <v>47</v>
      </c>
      <c r="G3343">
        <v>35</v>
      </c>
      <c r="H3343">
        <v>1595.18</v>
      </c>
      <c r="I3343">
        <v>141.65</v>
      </c>
      <c r="J3343" t="s">
        <v>14</v>
      </c>
      <c r="K3343" t="s">
        <v>20</v>
      </c>
      <c r="L3343" t="s">
        <v>2106</v>
      </c>
      <c r="M3343">
        <v>4</v>
      </c>
      <c r="N3343" t="s">
        <v>174</v>
      </c>
      <c r="O3343" t="s">
        <v>2088</v>
      </c>
    </row>
    <row r="3344" spans="1:15">
      <c r="A3344" t="s">
        <v>4705</v>
      </c>
      <c r="B3344" t="s">
        <v>2085</v>
      </c>
      <c r="C3344" t="s">
        <v>2111</v>
      </c>
      <c r="D3344" s="1">
        <v>43674</v>
      </c>
      <c r="E3344" s="1">
        <v>44992</v>
      </c>
      <c r="F3344">
        <v>300</v>
      </c>
      <c r="G3344">
        <v>23</v>
      </c>
      <c r="H3344">
        <v>2447.0500000000002</v>
      </c>
      <c r="I3344">
        <v>264.33999999999997</v>
      </c>
      <c r="J3344" t="s">
        <v>14</v>
      </c>
      <c r="K3344" t="s">
        <v>16</v>
      </c>
      <c r="L3344" t="s">
        <v>2087</v>
      </c>
      <c r="M3344">
        <v>10</v>
      </c>
      <c r="N3344" t="s">
        <v>174</v>
      </c>
      <c r="O3344" t="s">
        <v>2121</v>
      </c>
    </row>
    <row r="3345" spans="1:15">
      <c r="A3345" t="s">
        <v>4706</v>
      </c>
      <c r="B3345" t="s">
        <v>2093</v>
      </c>
      <c r="C3345" t="s">
        <v>2091</v>
      </c>
      <c r="D3345" s="1">
        <v>44702</v>
      </c>
      <c r="E3345" s="1">
        <v>45035</v>
      </c>
      <c r="F3345">
        <v>257</v>
      </c>
      <c r="G3345">
        <v>3</v>
      </c>
      <c r="H3345">
        <v>41.52</v>
      </c>
      <c r="I3345">
        <v>45.67</v>
      </c>
      <c r="J3345" t="s">
        <v>41</v>
      </c>
      <c r="K3345" t="s">
        <v>16</v>
      </c>
      <c r="L3345" t="s">
        <v>2087</v>
      </c>
      <c r="M3345">
        <v>9</v>
      </c>
      <c r="N3345" t="s">
        <v>157</v>
      </c>
      <c r="O3345" t="s">
        <v>2109</v>
      </c>
    </row>
    <row r="3346" spans="1:15">
      <c r="A3346" t="s">
        <v>638</v>
      </c>
      <c r="B3346" t="s">
        <v>2090</v>
      </c>
      <c r="C3346" t="s">
        <v>2086</v>
      </c>
      <c r="D3346" s="1">
        <v>44383</v>
      </c>
      <c r="E3346" s="1">
        <v>45042</v>
      </c>
      <c r="F3346">
        <v>250</v>
      </c>
      <c r="G3346">
        <v>6</v>
      </c>
      <c r="H3346">
        <v>365.85</v>
      </c>
      <c r="I3346">
        <v>86.71</v>
      </c>
      <c r="J3346" t="s">
        <v>90</v>
      </c>
      <c r="K3346" t="s">
        <v>20</v>
      </c>
      <c r="L3346" t="s">
        <v>2095</v>
      </c>
      <c r="M3346">
        <v>0</v>
      </c>
      <c r="N3346" t="s">
        <v>232</v>
      </c>
      <c r="O3346" t="s">
        <v>2107</v>
      </c>
    </row>
    <row r="3347" spans="1:15">
      <c r="A3347" t="s">
        <v>4707</v>
      </c>
      <c r="B3347" t="s">
        <v>2093</v>
      </c>
      <c r="C3347" t="s">
        <v>2111</v>
      </c>
      <c r="D3347" s="1">
        <v>43565</v>
      </c>
      <c r="E3347" s="1">
        <v>45119</v>
      </c>
      <c r="F3347">
        <v>173</v>
      </c>
      <c r="G3347">
        <v>3</v>
      </c>
      <c r="H3347">
        <v>60.29</v>
      </c>
      <c r="I3347">
        <v>32.22</v>
      </c>
      <c r="J3347" t="s">
        <v>66</v>
      </c>
      <c r="K3347" t="s">
        <v>16</v>
      </c>
      <c r="L3347" t="s">
        <v>2095</v>
      </c>
      <c r="M3347">
        <v>6</v>
      </c>
      <c r="N3347" t="s">
        <v>179</v>
      </c>
      <c r="O3347" t="s">
        <v>2096</v>
      </c>
    </row>
    <row r="3348" spans="1:15">
      <c r="A3348" t="s">
        <v>4708</v>
      </c>
      <c r="B3348" t="s">
        <v>2099</v>
      </c>
      <c r="C3348" t="s">
        <v>2091</v>
      </c>
      <c r="D3348" s="1">
        <v>45201</v>
      </c>
      <c r="E3348" s="1">
        <v>44990</v>
      </c>
      <c r="F3348">
        <v>302</v>
      </c>
      <c r="G3348">
        <v>1</v>
      </c>
      <c r="H3348">
        <v>39.33</v>
      </c>
      <c r="I3348">
        <v>86.36</v>
      </c>
      <c r="J3348" t="s">
        <v>90</v>
      </c>
      <c r="K3348" t="s">
        <v>16</v>
      </c>
      <c r="L3348" t="s">
        <v>2106</v>
      </c>
      <c r="M3348">
        <v>4</v>
      </c>
      <c r="N3348" t="s">
        <v>232</v>
      </c>
      <c r="O3348" t="s">
        <v>2096</v>
      </c>
    </row>
    <row r="3349" spans="1:15">
      <c r="A3349" t="s">
        <v>4709</v>
      </c>
      <c r="B3349" t="s">
        <v>2097</v>
      </c>
      <c r="C3349" t="s">
        <v>2100</v>
      </c>
      <c r="D3349" s="1">
        <v>44628</v>
      </c>
      <c r="E3349" s="1">
        <v>45040</v>
      </c>
      <c r="F3349">
        <v>252</v>
      </c>
      <c r="G3349">
        <v>8</v>
      </c>
      <c r="H3349">
        <v>497.88</v>
      </c>
      <c r="I3349">
        <v>131.41</v>
      </c>
      <c r="J3349" t="s">
        <v>90</v>
      </c>
      <c r="K3349" t="s">
        <v>20</v>
      </c>
      <c r="L3349" t="s">
        <v>2087</v>
      </c>
      <c r="M3349">
        <v>3</v>
      </c>
      <c r="N3349" t="s">
        <v>204</v>
      </c>
      <c r="O3349" t="s">
        <v>2121</v>
      </c>
    </row>
    <row r="3350" spans="1:15">
      <c r="A3350" t="s">
        <v>4710</v>
      </c>
      <c r="B3350" t="s">
        <v>2097</v>
      </c>
      <c r="C3350" t="s">
        <v>2094</v>
      </c>
      <c r="D3350" s="1">
        <v>43638</v>
      </c>
      <c r="E3350" s="1">
        <v>45263</v>
      </c>
      <c r="F3350">
        <v>29</v>
      </c>
      <c r="G3350">
        <v>9</v>
      </c>
      <c r="H3350">
        <v>377.46</v>
      </c>
      <c r="I3350">
        <v>119.33</v>
      </c>
      <c r="J3350" t="s">
        <v>66</v>
      </c>
      <c r="K3350" t="s">
        <v>20</v>
      </c>
      <c r="L3350" t="s">
        <v>2106</v>
      </c>
      <c r="M3350">
        <v>4</v>
      </c>
      <c r="N3350" t="s">
        <v>194</v>
      </c>
      <c r="O3350" t="s">
        <v>2109</v>
      </c>
    </row>
    <row r="3351" spans="1:15">
      <c r="A3351" t="s">
        <v>4711</v>
      </c>
      <c r="B3351" t="s">
        <v>2090</v>
      </c>
      <c r="C3351" t="s">
        <v>2094</v>
      </c>
      <c r="D3351" s="1">
        <v>44578</v>
      </c>
      <c r="E3351" s="1">
        <v>45225</v>
      </c>
      <c r="F3351">
        <v>67</v>
      </c>
      <c r="G3351">
        <v>8</v>
      </c>
      <c r="H3351">
        <v>117.55</v>
      </c>
      <c r="I3351">
        <v>42.54</v>
      </c>
      <c r="J3351" t="s">
        <v>14</v>
      </c>
      <c r="K3351" t="s">
        <v>16</v>
      </c>
      <c r="L3351" t="s">
        <v>2087</v>
      </c>
      <c r="M3351">
        <v>3</v>
      </c>
      <c r="N3351" t="s">
        <v>179</v>
      </c>
      <c r="O3351" t="s">
        <v>2096</v>
      </c>
    </row>
    <row r="3352" spans="1:15">
      <c r="A3352" t="s">
        <v>4712</v>
      </c>
      <c r="B3352" t="s">
        <v>2090</v>
      </c>
      <c r="C3352" t="s">
        <v>2091</v>
      </c>
      <c r="D3352" s="1">
        <v>45262</v>
      </c>
      <c r="E3352" s="1">
        <v>45137</v>
      </c>
      <c r="F3352">
        <v>155</v>
      </c>
      <c r="G3352">
        <v>5</v>
      </c>
      <c r="H3352">
        <v>277.56</v>
      </c>
      <c r="I3352">
        <v>86.32</v>
      </c>
      <c r="J3352" t="s">
        <v>41</v>
      </c>
      <c r="K3352" t="s">
        <v>20</v>
      </c>
      <c r="L3352" t="s">
        <v>2095</v>
      </c>
      <c r="M3352">
        <v>2</v>
      </c>
      <c r="N3352" t="s">
        <v>157</v>
      </c>
      <c r="O3352" t="s">
        <v>2096</v>
      </c>
    </row>
    <row r="3353" spans="1:15">
      <c r="A3353" t="s">
        <v>4713</v>
      </c>
      <c r="B3353" t="s">
        <v>2113</v>
      </c>
      <c r="C3353" t="s">
        <v>2108</v>
      </c>
      <c r="D3353" s="1">
        <v>45130</v>
      </c>
      <c r="E3353" s="1">
        <v>45040</v>
      </c>
      <c r="F3353">
        <v>252</v>
      </c>
      <c r="G3353">
        <v>9</v>
      </c>
      <c r="H3353">
        <v>505.22</v>
      </c>
      <c r="I3353">
        <v>40.51</v>
      </c>
      <c r="J3353" t="s">
        <v>115</v>
      </c>
      <c r="K3353" t="s">
        <v>20</v>
      </c>
      <c r="L3353" t="s">
        <v>2106</v>
      </c>
      <c r="M3353">
        <v>3</v>
      </c>
      <c r="N3353" t="s">
        <v>174</v>
      </c>
      <c r="O3353" t="s">
        <v>2088</v>
      </c>
    </row>
    <row r="3354" spans="1:15">
      <c r="A3354" t="s">
        <v>4714</v>
      </c>
      <c r="B3354" t="s">
        <v>2099</v>
      </c>
      <c r="C3354" t="s">
        <v>2091</v>
      </c>
      <c r="D3354" s="1">
        <v>44716</v>
      </c>
      <c r="E3354" s="1">
        <v>45264</v>
      </c>
      <c r="F3354">
        <v>28</v>
      </c>
      <c r="G3354">
        <v>1</v>
      </c>
      <c r="H3354">
        <v>119.91</v>
      </c>
      <c r="I3354">
        <v>45.95</v>
      </c>
      <c r="J3354" t="s">
        <v>90</v>
      </c>
      <c r="K3354" t="s">
        <v>16</v>
      </c>
      <c r="L3354" t="s">
        <v>2087</v>
      </c>
      <c r="M3354">
        <v>0</v>
      </c>
      <c r="N3354" t="s">
        <v>174</v>
      </c>
      <c r="O3354" t="s">
        <v>2121</v>
      </c>
    </row>
    <row r="3355" spans="1:15">
      <c r="A3355" t="s">
        <v>4715</v>
      </c>
      <c r="B3355" t="s">
        <v>2097</v>
      </c>
      <c r="C3355" t="s">
        <v>2094</v>
      </c>
      <c r="D3355" s="1">
        <v>44344</v>
      </c>
      <c r="E3355" s="1">
        <v>45190</v>
      </c>
      <c r="F3355">
        <v>102</v>
      </c>
      <c r="G3355">
        <v>11</v>
      </c>
      <c r="H3355">
        <v>745.99</v>
      </c>
      <c r="I3355">
        <v>142.88999999999999</v>
      </c>
      <c r="J3355" t="s">
        <v>90</v>
      </c>
      <c r="K3355" t="s">
        <v>16</v>
      </c>
      <c r="L3355" t="s">
        <v>2087</v>
      </c>
      <c r="M3355">
        <v>10</v>
      </c>
      <c r="N3355" t="s">
        <v>157</v>
      </c>
      <c r="O3355" t="s">
        <v>2109</v>
      </c>
    </row>
    <row r="3356" spans="1:15">
      <c r="A3356" t="s">
        <v>4716</v>
      </c>
      <c r="B3356" t="s">
        <v>2085</v>
      </c>
      <c r="C3356" t="s">
        <v>2086</v>
      </c>
      <c r="D3356" s="1">
        <v>44968</v>
      </c>
      <c r="E3356" s="1">
        <v>45186</v>
      </c>
      <c r="F3356">
        <v>106</v>
      </c>
      <c r="G3356">
        <v>35</v>
      </c>
      <c r="H3356">
        <v>1152.42</v>
      </c>
      <c r="I3356">
        <v>162.9</v>
      </c>
      <c r="J3356" t="s">
        <v>90</v>
      </c>
      <c r="K3356" t="s">
        <v>16</v>
      </c>
      <c r="L3356" t="s">
        <v>2095</v>
      </c>
      <c r="M3356">
        <v>6</v>
      </c>
      <c r="N3356" t="s">
        <v>232</v>
      </c>
      <c r="O3356" t="s">
        <v>2096</v>
      </c>
    </row>
    <row r="3357" spans="1:15">
      <c r="A3357" t="s">
        <v>4717</v>
      </c>
      <c r="B3357" t="s">
        <v>2113</v>
      </c>
      <c r="C3357" t="s">
        <v>2086</v>
      </c>
      <c r="D3357" s="1">
        <v>44551</v>
      </c>
      <c r="E3357" s="1">
        <v>44956</v>
      </c>
      <c r="F3357">
        <v>336</v>
      </c>
      <c r="G3357">
        <v>11</v>
      </c>
      <c r="H3357">
        <v>585.49</v>
      </c>
      <c r="I3357">
        <v>54.28</v>
      </c>
      <c r="J3357" t="s">
        <v>115</v>
      </c>
      <c r="K3357" t="s">
        <v>16</v>
      </c>
      <c r="L3357" t="s">
        <v>2095</v>
      </c>
      <c r="M3357">
        <v>3</v>
      </c>
      <c r="N3357" t="s">
        <v>179</v>
      </c>
      <c r="O3357" t="s">
        <v>2096</v>
      </c>
    </row>
    <row r="3358" spans="1:15">
      <c r="A3358" t="s">
        <v>4718</v>
      </c>
      <c r="B3358" t="s">
        <v>2090</v>
      </c>
      <c r="C3358" t="s">
        <v>2091</v>
      </c>
      <c r="D3358" s="1">
        <v>44655</v>
      </c>
      <c r="E3358" s="1">
        <v>45204</v>
      </c>
      <c r="F3358">
        <v>88</v>
      </c>
      <c r="G3358">
        <v>5</v>
      </c>
      <c r="H3358">
        <v>89.45</v>
      </c>
      <c r="I3358">
        <v>88.7</v>
      </c>
      <c r="J3358" t="s">
        <v>66</v>
      </c>
      <c r="K3358" t="s">
        <v>16</v>
      </c>
      <c r="L3358" t="s">
        <v>2087</v>
      </c>
      <c r="M3358">
        <v>0</v>
      </c>
      <c r="N3358" t="s">
        <v>165</v>
      </c>
      <c r="O3358" t="s">
        <v>2109</v>
      </c>
    </row>
    <row r="3359" spans="1:15">
      <c r="A3359" t="s">
        <v>4719</v>
      </c>
      <c r="B3359" t="s">
        <v>2113</v>
      </c>
      <c r="C3359" t="s">
        <v>2111</v>
      </c>
      <c r="D3359" s="1">
        <v>43749</v>
      </c>
      <c r="E3359" s="1">
        <v>44980</v>
      </c>
      <c r="F3359">
        <v>312</v>
      </c>
      <c r="G3359">
        <v>8</v>
      </c>
      <c r="H3359">
        <v>361.82</v>
      </c>
      <c r="I3359">
        <v>76.11</v>
      </c>
      <c r="J3359" t="s">
        <v>115</v>
      </c>
      <c r="K3359" t="s">
        <v>20</v>
      </c>
      <c r="L3359" t="s">
        <v>2106</v>
      </c>
      <c r="M3359">
        <v>10</v>
      </c>
      <c r="N3359" t="s">
        <v>179</v>
      </c>
      <c r="O3359" t="s">
        <v>2109</v>
      </c>
    </row>
    <row r="3360" spans="1:15">
      <c r="A3360" t="s">
        <v>4720</v>
      </c>
      <c r="B3360" t="s">
        <v>2097</v>
      </c>
      <c r="C3360" t="s">
        <v>2086</v>
      </c>
      <c r="D3360" s="1">
        <v>44870</v>
      </c>
      <c r="E3360" s="1">
        <v>45016</v>
      </c>
      <c r="F3360">
        <v>276</v>
      </c>
      <c r="G3360">
        <v>9</v>
      </c>
      <c r="H3360">
        <v>449.26</v>
      </c>
      <c r="I3360">
        <v>143.44999999999999</v>
      </c>
      <c r="J3360" t="s">
        <v>14</v>
      </c>
      <c r="K3360" t="s">
        <v>16</v>
      </c>
      <c r="L3360" t="s">
        <v>2106</v>
      </c>
      <c r="M3360">
        <v>9</v>
      </c>
      <c r="N3360" t="s">
        <v>204</v>
      </c>
      <c r="O3360" t="s">
        <v>2096</v>
      </c>
    </row>
    <row r="3361" spans="1:15">
      <c r="A3361" t="s">
        <v>4721</v>
      </c>
      <c r="B3361" t="s">
        <v>2085</v>
      </c>
      <c r="C3361" t="s">
        <v>2108</v>
      </c>
      <c r="D3361" s="1">
        <v>45214</v>
      </c>
      <c r="E3361" s="1">
        <v>45185</v>
      </c>
      <c r="F3361">
        <v>107</v>
      </c>
      <c r="G3361">
        <v>24</v>
      </c>
      <c r="H3361">
        <v>2505.08</v>
      </c>
      <c r="I3361">
        <v>279.74</v>
      </c>
      <c r="J3361" t="s">
        <v>115</v>
      </c>
      <c r="K3361" t="s">
        <v>16</v>
      </c>
      <c r="L3361" t="s">
        <v>2095</v>
      </c>
      <c r="M3361">
        <v>7</v>
      </c>
      <c r="N3361" t="s">
        <v>232</v>
      </c>
      <c r="O3361" t="s">
        <v>2096</v>
      </c>
    </row>
    <row r="3362" spans="1:15">
      <c r="A3362" t="s">
        <v>4722</v>
      </c>
      <c r="B3362" t="s">
        <v>2113</v>
      </c>
      <c r="C3362" t="s">
        <v>2094</v>
      </c>
      <c r="D3362" s="1">
        <v>44011</v>
      </c>
      <c r="E3362" s="1">
        <v>45120</v>
      </c>
      <c r="F3362">
        <v>172</v>
      </c>
      <c r="G3362">
        <v>10</v>
      </c>
      <c r="H3362">
        <v>284.74</v>
      </c>
      <c r="I3362">
        <v>57.21</v>
      </c>
      <c r="J3362" t="s">
        <v>115</v>
      </c>
      <c r="K3362" t="s">
        <v>16</v>
      </c>
      <c r="L3362" t="s">
        <v>2087</v>
      </c>
      <c r="M3362">
        <v>8</v>
      </c>
      <c r="N3362" t="s">
        <v>179</v>
      </c>
      <c r="O3362" t="s">
        <v>2096</v>
      </c>
    </row>
    <row r="3363" spans="1:15">
      <c r="A3363" t="s">
        <v>4723</v>
      </c>
      <c r="B3363" t="s">
        <v>2093</v>
      </c>
      <c r="C3363" t="s">
        <v>2108</v>
      </c>
      <c r="D3363" s="1">
        <v>44050</v>
      </c>
      <c r="E3363" s="1">
        <v>44978</v>
      </c>
      <c r="F3363">
        <v>314</v>
      </c>
      <c r="G3363">
        <v>4</v>
      </c>
      <c r="H3363">
        <v>131.44999999999999</v>
      </c>
      <c r="I3363">
        <v>29.41</v>
      </c>
      <c r="J3363" t="s">
        <v>115</v>
      </c>
      <c r="K3363" t="s">
        <v>20</v>
      </c>
      <c r="L3363" t="s">
        <v>2087</v>
      </c>
      <c r="M3363">
        <v>9</v>
      </c>
      <c r="N3363" t="s">
        <v>204</v>
      </c>
      <c r="O3363" t="s">
        <v>2096</v>
      </c>
    </row>
    <row r="3364" spans="1:15">
      <c r="A3364" t="s">
        <v>712</v>
      </c>
      <c r="B3364" t="s">
        <v>2097</v>
      </c>
      <c r="C3364" t="s">
        <v>2086</v>
      </c>
      <c r="D3364" s="1">
        <v>43900</v>
      </c>
      <c r="E3364" s="1">
        <v>45062</v>
      </c>
      <c r="F3364">
        <v>230</v>
      </c>
      <c r="G3364">
        <v>4</v>
      </c>
      <c r="H3364">
        <v>176.84</v>
      </c>
      <c r="I3364">
        <v>56.23</v>
      </c>
      <c r="J3364" t="s">
        <v>14</v>
      </c>
      <c r="K3364" t="s">
        <v>20</v>
      </c>
      <c r="L3364" t="s">
        <v>2106</v>
      </c>
      <c r="M3364">
        <v>5</v>
      </c>
      <c r="N3364" t="s">
        <v>165</v>
      </c>
      <c r="O3364" t="s">
        <v>2121</v>
      </c>
    </row>
    <row r="3365" spans="1:15">
      <c r="A3365" t="s">
        <v>4724</v>
      </c>
      <c r="B3365" t="s">
        <v>2113</v>
      </c>
      <c r="C3365" t="s">
        <v>2086</v>
      </c>
      <c r="D3365" s="1">
        <v>45145</v>
      </c>
      <c r="E3365" s="1">
        <v>45066</v>
      </c>
      <c r="F3365">
        <v>226</v>
      </c>
      <c r="G3365">
        <v>19</v>
      </c>
      <c r="H3365">
        <v>375.49</v>
      </c>
      <c r="I3365">
        <v>32.229999999999997</v>
      </c>
      <c r="J3365" t="s">
        <v>41</v>
      </c>
      <c r="K3365" t="s">
        <v>16</v>
      </c>
      <c r="L3365" t="s">
        <v>2087</v>
      </c>
      <c r="M3365">
        <v>6</v>
      </c>
      <c r="N3365" t="s">
        <v>179</v>
      </c>
      <c r="O3365" t="s">
        <v>2121</v>
      </c>
    </row>
    <row r="3366" spans="1:15">
      <c r="A3366" t="s">
        <v>1914</v>
      </c>
      <c r="B3366" t="s">
        <v>2090</v>
      </c>
      <c r="C3366" t="s">
        <v>2091</v>
      </c>
      <c r="D3366" s="1">
        <v>44973</v>
      </c>
      <c r="E3366" s="1">
        <v>45251</v>
      </c>
      <c r="F3366">
        <v>41</v>
      </c>
      <c r="G3366">
        <v>5</v>
      </c>
      <c r="H3366">
        <v>373.74</v>
      </c>
      <c r="I3366">
        <v>76.63</v>
      </c>
      <c r="J3366" t="s">
        <v>90</v>
      </c>
      <c r="K3366" t="s">
        <v>16</v>
      </c>
      <c r="L3366" t="s">
        <v>2095</v>
      </c>
      <c r="M3366">
        <v>1</v>
      </c>
      <c r="N3366" t="s">
        <v>157</v>
      </c>
      <c r="O3366" t="s">
        <v>2096</v>
      </c>
    </row>
    <row r="3367" spans="1:15">
      <c r="A3367" t="s">
        <v>913</v>
      </c>
      <c r="B3367" t="s">
        <v>2093</v>
      </c>
      <c r="C3367" t="s">
        <v>2094</v>
      </c>
      <c r="D3367" s="1">
        <v>44331</v>
      </c>
      <c r="E3367" s="1">
        <v>45139</v>
      </c>
      <c r="F3367">
        <v>153</v>
      </c>
      <c r="G3367">
        <v>5</v>
      </c>
      <c r="H3367">
        <v>146.91999999999999</v>
      </c>
      <c r="I3367">
        <v>45.34</v>
      </c>
      <c r="J3367" t="s">
        <v>14</v>
      </c>
      <c r="K3367" t="s">
        <v>16</v>
      </c>
      <c r="L3367" t="s">
        <v>2106</v>
      </c>
      <c r="M3367">
        <v>9</v>
      </c>
      <c r="N3367" t="s">
        <v>232</v>
      </c>
      <c r="O3367" t="s">
        <v>2109</v>
      </c>
    </row>
    <row r="3368" spans="1:15">
      <c r="A3368" t="s">
        <v>4725</v>
      </c>
      <c r="B3368" t="s">
        <v>2093</v>
      </c>
      <c r="C3368" t="s">
        <v>2111</v>
      </c>
      <c r="D3368" s="1">
        <v>44487</v>
      </c>
      <c r="E3368" s="1">
        <v>45211</v>
      </c>
      <c r="F3368">
        <v>81</v>
      </c>
      <c r="G3368">
        <v>3</v>
      </c>
      <c r="H3368">
        <v>67.84</v>
      </c>
      <c r="I3368">
        <v>21.46</v>
      </c>
      <c r="J3368" t="s">
        <v>41</v>
      </c>
      <c r="K3368" t="s">
        <v>16</v>
      </c>
      <c r="L3368" t="s">
        <v>2106</v>
      </c>
      <c r="M3368">
        <v>2</v>
      </c>
      <c r="N3368" t="s">
        <v>165</v>
      </c>
      <c r="O3368" t="s">
        <v>2121</v>
      </c>
    </row>
    <row r="3369" spans="1:15">
      <c r="A3369" t="s">
        <v>1162</v>
      </c>
      <c r="B3369" t="s">
        <v>2093</v>
      </c>
      <c r="C3369" t="s">
        <v>2086</v>
      </c>
      <c r="D3369" s="1">
        <v>44971</v>
      </c>
      <c r="E3369" s="1">
        <v>45196</v>
      </c>
      <c r="F3369">
        <v>96</v>
      </c>
      <c r="G3369">
        <v>2</v>
      </c>
      <c r="H3369">
        <v>104.6</v>
      </c>
      <c r="I3369">
        <v>27.6</v>
      </c>
      <c r="J3369" t="s">
        <v>90</v>
      </c>
      <c r="K3369" t="s">
        <v>16</v>
      </c>
      <c r="L3369" t="s">
        <v>2087</v>
      </c>
      <c r="M3369">
        <v>1</v>
      </c>
      <c r="N3369" t="s">
        <v>194</v>
      </c>
      <c r="O3369" t="s">
        <v>2121</v>
      </c>
    </row>
    <row r="3370" spans="1:15">
      <c r="A3370" t="s">
        <v>1418</v>
      </c>
      <c r="B3370" t="s">
        <v>2099</v>
      </c>
      <c r="C3370" t="s">
        <v>2094</v>
      </c>
      <c r="D3370" s="1">
        <v>43876</v>
      </c>
      <c r="E3370" s="1">
        <v>44966</v>
      </c>
      <c r="F3370">
        <v>326</v>
      </c>
      <c r="G3370">
        <v>1</v>
      </c>
      <c r="H3370">
        <v>50.54</v>
      </c>
      <c r="I3370">
        <v>78.72</v>
      </c>
      <c r="J3370" t="s">
        <v>41</v>
      </c>
      <c r="K3370" t="s">
        <v>16</v>
      </c>
      <c r="L3370" t="s">
        <v>2087</v>
      </c>
      <c r="M3370">
        <v>10</v>
      </c>
      <c r="N3370" t="s">
        <v>194</v>
      </c>
      <c r="O3370" t="s">
        <v>2109</v>
      </c>
    </row>
    <row r="3371" spans="1:15">
      <c r="A3371" t="s">
        <v>4726</v>
      </c>
      <c r="B3371" t="s">
        <v>2097</v>
      </c>
      <c r="C3371" t="s">
        <v>2091</v>
      </c>
      <c r="D3371" s="1">
        <v>44945</v>
      </c>
      <c r="E3371" s="1">
        <v>45056</v>
      </c>
      <c r="F3371">
        <v>236</v>
      </c>
      <c r="G3371">
        <v>7</v>
      </c>
      <c r="H3371">
        <v>462.31</v>
      </c>
      <c r="I3371">
        <v>110.23</v>
      </c>
      <c r="J3371" t="s">
        <v>41</v>
      </c>
      <c r="K3371" t="s">
        <v>16</v>
      </c>
      <c r="L3371" t="s">
        <v>2087</v>
      </c>
      <c r="M3371">
        <v>8</v>
      </c>
      <c r="N3371" t="s">
        <v>157</v>
      </c>
      <c r="O3371" t="s">
        <v>2109</v>
      </c>
    </row>
    <row r="3372" spans="1:15">
      <c r="A3372" t="s">
        <v>4727</v>
      </c>
      <c r="B3372" t="s">
        <v>2097</v>
      </c>
      <c r="C3372" t="s">
        <v>2100</v>
      </c>
      <c r="D3372" s="1">
        <v>44444</v>
      </c>
      <c r="E3372" s="1">
        <v>45136</v>
      </c>
      <c r="F3372">
        <v>156</v>
      </c>
      <c r="G3372">
        <v>3</v>
      </c>
      <c r="H3372">
        <v>378.71</v>
      </c>
      <c r="I3372">
        <v>136.4</v>
      </c>
      <c r="J3372" t="s">
        <v>41</v>
      </c>
      <c r="K3372" t="s">
        <v>16</v>
      </c>
      <c r="L3372" t="s">
        <v>2106</v>
      </c>
      <c r="M3372">
        <v>4</v>
      </c>
      <c r="N3372" t="s">
        <v>179</v>
      </c>
      <c r="O3372" t="s">
        <v>2096</v>
      </c>
    </row>
    <row r="3373" spans="1:15">
      <c r="A3373" t="s">
        <v>4728</v>
      </c>
      <c r="B3373" t="s">
        <v>2099</v>
      </c>
      <c r="C3373" t="s">
        <v>2094</v>
      </c>
      <c r="D3373" s="1">
        <v>43493</v>
      </c>
      <c r="E3373" s="1">
        <v>44985</v>
      </c>
      <c r="F3373">
        <v>307</v>
      </c>
      <c r="G3373">
        <v>2</v>
      </c>
      <c r="H3373">
        <v>112.95</v>
      </c>
      <c r="I3373">
        <v>52.08</v>
      </c>
      <c r="J3373" t="s">
        <v>90</v>
      </c>
      <c r="K3373" t="s">
        <v>16</v>
      </c>
      <c r="L3373" t="s">
        <v>2087</v>
      </c>
      <c r="M3373">
        <v>6</v>
      </c>
      <c r="N3373" t="s">
        <v>204</v>
      </c>
      <c r="O3373" t="s">
        <v>2107</v>
      </c>
    </row>
    <row r="3374" spans="1:15">
      <c r="A3374" t="s">
        <v>796</v>
      </c>
      <c r="B3374" t="s">
        <v>2085</v>
      </c>
      <c r="C3374" t="s">
        <v>2100</v>
      </c>
      <c r="D3374" s="1">
        <v>44822</v>
      </c>
      <c r="E3374" s="1">
        <v>45089</v>
      </c>
      <c r="F3374">
        <v>203</v>
      </c>
      <c r="G3374">
        <v>31</v>
      </c>
      <c r="H3374">
        <v>2151.81</v>
      </c>
      <c r="I3374">
        <v>197.16</v>
      </c>
      <c r="J3374" t="s">
        <v>66</v>
      </c>
      <c r="K3374" t="s">
        <v>20</v>
      </c>
      <c r="L3374" t="s">
        <v>2095</v>
      </c>
      <c r="M3374">
        <v>5</v>
      </c>
      <c r="N3374" t="s">
        <v>194</v>
      </c>
      <c r="O3374" t="s">
        <v>2121</v>
      </c>
    </row>
    <row r="3375" spans="1:15">
      <c r="A3375" t="s">
        <v>4729</v>
      </c>
      <c r="B3375" t="s">
        <v>2097</v>
      </c>
      <c r="C3375" t="s">
        <v>2091</v>
      </c>
      <c r="D3375" s="1">
        <v>44289</v>
      </c>
      <c r="E3375" s="1">
        <v>45159</v>
      </c>
      <c r="F3375">
        <v>133</v>
      </c>
      <c r="G3375">
        <v>7</v>
      </c>
      <c r="H3375">
        <v>367.17</v>
      </c>
      <c r="I3375">
        <v>128.82</v>
      </c>
      <c r="J3375" t="s">
        <v>115</v>
      </c>
      <c r="K3375" t="s">
        <v>16</v>
      </c>
      <c r="L3375" t="s">
        <v>2106</v>
      </c>
      <c r="M3375">
        <v>9</v>
      </c>
      <c r="N3375" t="s">
        <v>174</v>
      </c>
      <c r="O3375" t="s">
        <v>2109</v>
      </c>
    </row>
    <row r="3376" spans="1:15">
      <c r="A3376" t="s">
        <v>4730</v>
      </c>
      <c r="B3376" t="s">
        <v>2097</v>
      </c>
      <c r="C3376" t="s">
        <v>2111</v>
      </c>
      <c r="D3376" s="1">
        <v>44727</v>
      </c>
      <c r="E3376" s="1">
        <v>45065</v>
      </c>
      <c r="F3376">
        <v>227</v>
      </c>
      <c r="G3376">
        <v>5</v>
      </c>
      <c r="H3376">
        <v>788.74</v>
      </c>
      <c r="I3376">
        <v>92</v>
      </c>
      <c r="J3376" t="s">
        <v>90</v>
      </c>
      <c r="K3376" t="s">
        <v>20</v>
      </c>
      <c r="L3376" t="s">
        <v>2095</v>
      </c>
      <c r="M3376">
        <v>1</v>
      </c>
      <c r="N3376" t="s">
        <v>194</v>
      </c>
      <c r="O3376" t="s">
        <v>2121</v>
      </c>
    </row>
    <row r="3377" spans="1:15">
      <c r="A3377" t="s">
        <v>4731</v>
      </c>
      <c r="B3377" t="s">
        <v>2085</v>
      </c>
      <c r="C3377" t="s">
        <v>2100</v>
      </c>
      <c r="D3377" s="1">
        <v>43943</v>
      </c>
      <c r="E3377" s="1">
        <v>45212</v>
      </c>
      <c r="F3377">
        <v>80</v>
      </c>
      <c r="G3377">
        <v>19</v>
      </c>
      <c r="H3377">
        <v>1936.88</v>
      </c>
      <c r="I3377">
        <v>187.66</v>
      </c>
      <c r="J3377" t="s">
        <v>115</v>
      </c>
      <c r="K3377" t="s">
        <v>20</v>
      </c>
      <c r="L3377" t="s">
        <v>2095</v>
      </c>
      <c r="M3377">
        <v>3</v>
      </c>
      <c r="N3377" t="s">
        <v>232</v>
      </c>
      <c r="O3377" t="s">
        <v>2107</v>
      </c>
    </row>
    <row r="3378" spans="1:15">
      <c r="A3378" t="s">
        <v>4732</v>
      </c>
      <c r="B3378" t="s">
        <v>2097</v>
      </c>
      <c r="C3378" t="s">
        <v>2091</v>
      </c>
      <c r="D3378" s="1">
        <v>44265</v>
      </c>
      <c r="E3378" s="1">
        <v>44997</v>
      </c>
      <c r="F3378">
        <v>295</v>
      </c>
      <c r="G3378">
        <v>11</v>
      </c>
      <c r="H3378">
        <v>583.16999999999996</v>
      </c>
      <c r="I3378">
        <v>110.58</v>
      </c>
      <c r="J3378" t="s">
        <v>66</v>
      </c>
      <c r="K3378" t="s">
        <v>20</v>
      </c>
      <c r="L3378" t="s">
        <v>2087</v>
      </c>
      <c r="M3378">
        <v>6</v>
      </c>
      <c r="N3378" t="s">
        <v>165</v>
      </c>
      <c r="O3378" t="s">
        <v>2088</v>
      </c>
    </row>
    <row r="3379" spans="1:15">
      <c r="A3379" t="s">
        <v>4733</v>
      </c>
      <c r="B3379" t="s">
        <v>2093</v>
      </c>
      <c r="C3379" t="s">
        <v>2111</v>
      </c>
      <c r="D3379" s="1">
        <v>44348</v>
      </c>
      <c r="E3379" s="1">
        <v>44971</v>
      </c>
      <c r="F3379">
        <v>321</v>
      </c>
      <c r="G3379">
        <v>4</v>
      </c>
      <c r="H3379">
        <v>61.74</v>
      </c>
      <c r="I3379">
        <v>44.74</v>
      </c>
      <c r="J3379" t="s">
        <v>41</v>
      </c>
      <c r="K3379" t="s">
        <v>16</v>
      </c>
      <c r="L3379" t="s">
        <v>2087</v>
      </c>
      <c r="M3379">
        <v>5</v>
      </c>
      <c r="N3379" t="s">
        <v>204</v>
      </c>
      <c r="O3379" t="s">
        <v>2121</v>
      </c>
    </row>
    <row r="3380" spans="1:15">
      <c r="A3380" t="s">
        <v>4734</v>
      </c>
      <c r="B3380" t="s">
        <v>2093</v>
      </c>
      <c r="C3380" t="s">
        <v>2108</v>
      </c>
      <c r="D3380" s="1">
        <v>43877</v>
      </c>
      <c r="E3380" s="1">
        <v>45178</v>
      </c>
      <c r="F3380">
        <v>114</v>
      </c>
      <c r="G3380">
        <v>5</v>
      </c>
      <c r="H3380">
        <v>38.81</v>
      </c>
      <c r="I3380">
        <v>74.83</v>
      </c>
      <c r="J3380" t="s">
        <v>14</v>
      </c>
      <c r="K3380" t="s">
        <v>20</v>
      </c>
      <c r="L3380" t="s">
        <v>2087</v>
      </c>
      <c r="M3380">
        <v>9</v>
      </c>
      <c r="N3380" t="s">
        <v>157</v>
      </c>
      <c r="O3380" t="s">
        <v>2109</v>
      </c>
    </row>
    <row r="3381" spans="1:15">
      <c r="A3381" t="s">
        <v>4735</v>
      </c>
      <c r="B3381" t="s">
        <v>2097</v>
      </c>
      <c r="C3381" t="s">
        <v>2111</v>
      </c>
      <c r="D3381" s="1">
        <v>44792</v>
      </c>
      <c r="E3381" s="1">
        <v>45131</v>
      </c>
      <c r="F3381">
        <v>161</v>
      </c>
      <c r="G3381">
        <v>10</v>
      </c>
      <c r="H3381">
        <v>300.68</v>
      </c>
      <c r="I3381">
        <v>86.56</v>
      </c>
      <c r="J3381" t="s">
        <v>14</v>
      </c>
      <c r="K3381" t="s">
        <v>20</v>
      </c>
      <c r="L3381" t="s">
        <v>2095</v>
      </c>
      <c r="M3381">
        <v>2</v>
      </c>
      <c r="N3381" t="s">
        <v>179</v>
      </c>
      <c r="O3381" t="s">
        <v>2109</v>
      </c>
    </row>
    <row r="3382" spans="1:15">
      <c r="A3382" t="s">
        <v>1108</v>
      </c>
      <c r="B3382" t="s">
        <v>2099</v>
      </c>
      <c r="C3382" t="s">
        <v>2100</v>
      </c>
      <c r="D3382" s="1">
        <v>43540</v>
      </c>
      <c r="E3382" s="1">
        <v>45226</v>
      </c>
      <c r="F3382">
        <v>66</v>
      </c>
      <c r="G3382">
        <v>2</v>
      </c>
      <c r="H3382">
        <v>131.19999999999999</v>
      </c>
      <c r="I3382">
        <v>70.94</v>
      </c>
      <c r="J3382" t="s">
        <v>14</v>
      </c>
      <c r="K3382" t="s">
        <v>16</v>
      </c>
      <c r="L3382" t="s">
        <v>2106</v>
      </c>
      <c r="M3382">
        <v>0</v>
      </c>
      <c r="N3382" t="s">
        <v>232</v>
      </c>
      <c r="O3382" t="s">
        <v>2096</v>
      </c>
    </row>
    <row r="3383" spans="1:15">
      <c r="A3383" t="s">
        <v>4736</v>
      </c>
      <c r="B3383" t="s">
        <v>2085</v>
      </c>
      <c r="C3383" t="s">
        <v>2086</v>
      </c>
      <c r="D3383" s="1">
        <v>44194</v>
      </c>
      <c r="E3383" s="1">
        <v>45267</v>
      </c>
      <c r="F3383">
        <v>25</v>
      </c>
      <c r="G3383">
        <v>13</v>
      </c>
      <c r="H3383">
        <v>2114.04</v>
      </c>
      <c r="I3383">
        <v>185.94</v>
      </c>
      <c r="J3383" t="s">
        <v>66</v>
      </c>
      <c r="K3383" t="s">
        <v>16</v>
      </c>
      <c r="L3383" t="s">
        <v>2087</v>
      </c>
      <c r="M3383">
        <v>4</v>
      </c>
      <c r="N3383" t="s">
        <v>165</v>
      </c>
      <c r="O3383" t="s">
        <v>2107</v>
      </c>
    </row>
    <row r="3384" spans="1:15">
      <c r="A3384" t="s">
        <v>4737</v>
      </c>
      <c r="B3384" t="s">
        <v>2085</v>
      </c>
      <c r="C3384" t="s">
        <v>2100</v>
      </c>
      <c r="D3384" s="1">
        <v>45246</v>
      </c>
      <c r="E3384" s="1">
        <v>45064</v>
      </c>
      <c r="F3384">
        <v>228</v>
      </c>
      <c r="G3384">
        <v>13</v>
      </c>
      <c r="H3384">
        <v>1011.39</v>
      </c>
      <c r="I3384">
        <v>277.02</v>
      </c>
      <c r="J3384" t="s">
        <v>41</v>
      </c>
      <c r="K3384" t="s">
        <v>20</v>
      </c>
      <c r="L3384" t="s">
        <v>2106</v>
      </c>
      <c r="M3384">
        <v>7</v>
      </c>
      <c r="N3384" t="s">
        <v>165</v>
      </c>
      <c r="O3384" t="s">
        <v>2121</v>
      </c>
    </row>
    <row r="3385" spans="1:15">
      <c r="A3385" t="s">
        <v>4738</v>
      </c>
      <c r="B3385" t="s">
        <v>2093</v>
      </c>
      <c r="C3385" t="s">
        <v>2091</v>
      </c>
      <c r="D3385" s="1">
        <v>44790</v>
      </c>
      <c r="E3385" s="1">
        <v>45088</v>
      </c>
      <c r="F3385">
        <v>204</v>
      </c>
      <c r="G3385">
        <v>2</v>
      </c>
      <c r="H3385">
        <v>166.75</v>
      </c>
      <c r="I3385">
        <v>20.25</v>
      </c>
      <c r="J3385" t="s">
        <v>41</v>
      </c>
      <c r="K3385" t="s">
        <v>16</v>
      </c>
      <c r="L3385" t="s">
        <v>2106</v>
      </c>
      <c r="M3385">
        <v>10</v>
      </c>
      <c r="N3385" t="s">
        <v>232</v>
      </c>
      <c r="O3385" t="s">
        <v>2088</v>
      </c>
    </row>
    <row r="3386" spans="1:15">
      <c r="A3386" t="s">
        <v>4739</v>
      </c>
      <c r="B3386" t="s">
        <v>2090</v>
      </c>
      <c r="C3386" t="s">
        <v>2091</v>
      </c>
      <c r="D3386" s="1">
        <v>43581</v>
      </c>
      <c r="E3386" s="1">
        <v>45182</v>
      </c>
      <c r="F3386">
        <v>110</v>
      </c>
      <c r="G3386">
        <v>5</v>
      </c>
      <c r="H3386">
        <v>299.69</v>
      </c>
      <c r="I3386">
        <v>105.96</v>
      </c>
      <c r="J3386" t="s">
        <v>41</v>
      </c>
      <c r="K3386" t="s">
        <v>16</v>
      </c>
      <c r="L3386" t="s">
        <v>2087</v>
      </c>
      <c r="M3386">
        <v>6</v>
      </c>
      <c r="N3386" t="s">
        <v>194</v>
      </c>
      <c r="O3386" t="s">
        <v>2109</v>
      </c>
    </row>
    <row r="3387" spans="1:15">
      <c r="A3387" t="s">
        <v>4740</v>
      </c>
      <c r="B3387" t="s">
        <v>2090</v>
      </c>
      <c r="C3387" t="s">
        <v>2108</v>
      </c>
      <c r="D3387" s="1">
        <v>44750</v>
      </c>
      <c r="E3387" s="1">
        <v>45199</v>
      </c>
      <c r="F3387">
        <v>93</v>
      </c>
      <c r="G3387">
        <v>2</v>
      </c>
      <c r="H3387">
        <v>94.67</v>
      </c>
      <c r="I3387">
        <v>75.790000000000006</v>
      </c>
      <c r="J3387" t="s">
        <v>90</v>
      </c>
      <c r="K3387" t="s">
        <v>16</v>
      </c>
      <c r="L3387" t="s">
        <v>2095</v>
      </c>
      <c r="M3387">
        <v>7</v>
      </c>
      <c r="N3387" t="s">
        <v>174</v>
      </c>
      <c r="O3387" t="s">
        <v>2107</v>
      </c>
    </row>
    <row r="3388" spans="1:15">
      <c r="A3388" t="s">
        <v>4741</v>
      </c>
      <c r="B3388" t="s">
        <v>2093</v>
      </c>
      <c r="C3388" t="s">
        <v>2100</v>
      </c>
      <c r="D3388" s="1">
        <v>43534</v>
      </c>
      <c r="E3388" s="1">
        <v>44938</v>
      </c>
      <c r="F3388">
        <v>354</v>
      </c>
      <c r="G3388">
        <v>3</v>
      </c>
      <c r="H3388">
        <v>30.16</v>
      </c>
      <c r="I3388">
        <v>28.81</v>
      </c>
      <c r="J3388" t="s">
        <v>66</v>
      </c>
      <c r="K3388" t="s">
        <v>16</v>
      </c>
      <c r="L3388" t="s">
        <v>2095</v>
      </c>
      <c r="M3388">
        <v>7</v>
      </c>
      <c r="N3388" t="s">
        <v>204</v>
      </c>
      <c r="O3388" t="s">
        <v>2121</v>
      </c>
    </row>
    <row r="3389" spans="1:15">
      <c r="A3389" t="s">
        <v>4742</v>
      </c>
      <c r="B3389" t="s">
        <v>2097</v>
      </c>
      <c r="C3389" t="s">
        <v>2100</v>
      </c>
      <c r="D3389" s="1">
        <v>45028</v>
      </c>
      <c r="E3389" s="1">
        <v>45270</v>
      </c>
      <c r="F3389">
        <v>22</v>
      </c>
      <c r="G3389">
        <v>7</v>
      </c>
      <c r="H3389">
        <v>690.83</v>
      </c>
      <c r="I3389">
        <v>114.64</v>
      </c>
      <c r="J3389" t="s">
        <v>66</v>
      </c>
      <c r="K3389" t="s">
        <v>16</v>
      </c>
      <c r="L3389" t="s">
        <v>2087</v>
      </c>
      <c r="M3389">
        <v>10</v>
      </c>
      <c r="N3389" t="s">
        <v>165</v>
      </c>
      <c r="O3389" t="s">
        <v>2121</v>
      </c>
    </row>
    <row r="3390" spans="1:15">
      <c r="A3390" t="s">
        <v>4743</v>
      </c>
      <c r="B3390" t="s">
        <v>2085</v>
      </c>
      <c r="C3390" t="s">
        <v>2108</v>
      </c>
      <c r="D3390" s="1">
        <v>44488</v>
      </c>
      <c r="E3390" s="1">
        <v>45178</v>
      </c>
      <c r="F3390">
        <v>114</v>
      </c>
      <c r="G3390">
        <v>39</v>
      </c>
      <c r="H3390">
        <v>1503.74</v>
      </c>
      <c r="I3390">
        <v>138.49</v>
      </c>
      <c r="J3390" t="s">
        <v>66</v>
      </c>
      <c r="K3390" t="s">
        <v>16</v>
      </c>
      <c r="L3390" t="s">
        <v>2095</v>
      </c>
      <c r="M3390">
        <v>6</v>
      </c>
      <c r="N3390" t="s">
        <v>174</v>
      </c>
      <c r="O3390" t="s">
        <v>2107</v>
      </c>
    </row>
    <row r="3391" spans="1:15">
      <c r="A3391" t="s">
        <v>4744</v>
      </c>
      <c r="B3391" t="s">
        <v>2090</v>
      </c>
      <c r="C3391" t="s">
        <v>2086</v>
      </c>
      <c r="D3391" s="1">
        <v>43859</v>
      </c>
      <c r="E3391" s="1">
        <v>45208</v>
      </c>
      <c r="F3391">
        <v>84</v>
      </c>
      <c r="G3391">
        <v>4</v>
      </c>
      <c r="H3391">
        <v>304.36</v>
      </c>
      <c r="I3391">
        <v>110.18</v>
      </c>
      <c r="J3391" t="s">
        <v>90</v>
      </c>
      <c r="K3391" t="s">
        <v>16</v>
      </c>
      <c r="L3391" t="s">
        <v>2087</v>
      </c>
      <c r="M3391">
        <v>9</v>
      </c>
      <c r="N3391" t="s">
        <v>165</v>
      </c>
      <c r="O3391" t="s">
        <v>2088</v>
      </c>
    </row>
    <row r="3392" spans="1:15">
      <c r="A3392" t="s">
        <v>4745</v>
      </c>
      <c r="B3392" t="s">
        <v>2099</v>
      </c>
      <c r="C3392" t="s">
        <v>2108</v>
      </c>
      <c r="D3392" s="1">
        <v>43587</v>
      </c>
      <c r="E3392" s="1">
        <v>45060</v>
      </c>
      <c r="F3392">
        <v>232</v>
      </c>
      <c r="G3392">
        <v>2</v>
      </c>
      <c r="H3392">
        <v>93.29</v>
      </c>
      <c r="I3392">
        <v>79.099999999999994</v>
      </c>
      <c r="J3392" t="s">
        <v>14</v>
      </c>
      <c r="K3392" t="s">
        <v>20</v>
      </c>
      <c r="L3392" t="s">
        <v>2087</v>
      </c>
      <c r="M3392">
        <v>5</v>
      </c>
      <c r="N3392" t="s">
        <v>157</v>
      </c>
      <c r="O3392" t="s">
        <v>2088</v>
      </c>
    </row>
    <row r="3393" spans="1:15">
      <c r="A3393" t="s">
        <v>702</v>
      </c>
      <c r="B3393" t="s">
        <v>2093</v>
      </c>
      <c r="C3393" t="s">
        <v>2100</v>
      </c>
      <c r="D3393" s="1">
        <v>45231</v>
      </c>
      <c r="E3393" s="1">
        <v>44977</v>
      </c>
      <c r="F3393">
        <v>315</v>
      </c>
      <c r="G3393">
        <v>2</v>
      </c>
      <c r="H3393">
        <v>159.66</v>
      </c>
      <c r="I3393">
        <v>22.98</v>
      </c>
      <c r="J3393" t="s">
        <v>66</v>
      </c>
      <c r="K3393" t="s">
        <v>20</v>
      </c>
      <c r="L3393" t="s">
        <v>2095</v>
      </c>
      <c r="M3393">
        <v>0</v>
      </c>
      <c r="N3393" t="s">
        <v>165</v>
      </c>
      <c r="O3393" t="s">
        <v>2107</v>
      </c>
    </row>
    <row r="3394" spans="1:15">
      <c r="A3394" t="s">
        <v>4746</v>
      </c>
      <c r="B3394" t="s">
        <v>2093</v>
      </c>
      <c r="C3394" t="s">
        <v>2094</v>
      </c>
      <c r="D3394" s="1">
        <v>44909</v>
      </c>
      <c r="E3394" s="1">
        <v>45069</v>
      </c>
      <c r="F3394">
        <v>223</v>
      </c>
      <c r="G3394">
        <v>2</v>
      </c>
      <c r="H3394">
        <v>132.53</v>
      </c>
      <c r="I3394">
        <v>49.7</v>
      </c>
      <c r="J3394" t="s">
        <v>66</v>
      </c>
      <c r="K3394" t="s">
        <v>16</v>
      </c>
      <c r="L3394" t="s">
        <v>2095</v>
      </c>
      <c r="M3394">
        <v>2</v>
      </c>
      <c r="N3394" t="s">
        <v>232</v>
      </c>
      <c r="O3394" t="s">
        <v>2121</v>
      </c>
    </row>
    <row r="3395" spans="1:15">
      <c r="A3395" t="s">
        <v>810</v>
      </c>
      <c r="B3395" t="s">
        <v>2113</v>
      </c>
      <c r="C3395" t="s">
        <v>2108</v>
      </c>
      <c r="D3395" s="1">
        <v>44487</v>
      </c>
      <c r="E3395" s="1">
        <v>45281</v>
      </c>
      <c r="F3395">
        <v>11</v>
      </c>
      <c r="G3395">
        <v>19</v>
      </c>
      <c r="H3395">
        <v>362.65</v>
      </c>
      <c r="I3395">
        <v>77.430000000000007</v>
      </c>
      <c r="J3395" t="s">
        <v>66</v>
      </c>
      <c r="K3395" t="s">
        <v>20</v>
      </c>
      <c r="L3395" t="s">
        <v>2095</v>
      </c>
      <c r="M3395">
        <v>4</v>
      </c>
      <c r="N3395" t="s">
        <v>179</v>
      </c>
      <c r="O3395" t="s">
        <v>2109</v>
      </c>
    </row>
    <row r="3396" spans="1:15">
      <c r="A3396" t="s">
        <v>4747</v>
      </c>
      <c r="B3396" t="s">
        <v>2099</v>
      </c>
      <c r="C3396" t="s">
        <v>2086</v>
      </c>
      <c r="D3396" s="1">
        <v>44271</v>
      </c>
      <c r="E3396" s="1">
        <v>45067</v>
      </c>
      <c r="F3396">
        <v>225</v>
      </c>
      <c r="G3396">
        <v>1</v>
      </c>
      <c r="H3396">
        <v>54.04</v>
      </c>
      <c r="I3396">
        <v>70.92</v>
      </c>
      <c r="J3396" t="s">
        <v>90</v>
      </c>
      <c r="K3396" t="s">
        <v>16</v>
      </c>
      <c r="L3396" t="s">
        <v>2106</v>
      </c>
      <c r="M3396">
        <v>8</v>
      </c>
      <c r="N3396" t="s">
        <v>157</v>
      </c>
      <c r="O3396" t="s">
        <v>2121</v>
      </c>
    </row>
    <row r="3397" spans="1:15">
      <c r="A3397" t="s">
        <v>4748</v>
      </c>
      <c r="B3397" t="s">
        <v>2085</v>
      </c>
      <c r="C3397" t="s">
        <v>2111</v>
      </c>
      <c r="D3397" s="1">
        <v>44751</v>
      </c>
      <c r="E3397" s="1">
        <v>45264</v>
      </c>
      <c r="F3397">
        <v>28</v>
      </c>
      <c r="G3397">
        <v>30</v>
      </c>
      <c r="H3397">
        <v>2549.19</v>
      </c>
      <c r="I3397">
        <v>182.01</v>
      </c>
      <c r="J3397" t="s">
        <v>14</v>
      </c>
      <c r="K3397" t="s">
        <v>16</v>
      </c>
      <c r="L3397" t="s">
        <v>2106</v>
      </c>
      <c r="M3397">
        <v>9</v>
      </c>
      <c r="N3397" t="s">
        <v>204</v>
      </c>
      <c r="O3397" t="s">
        <v>2088</v>
      </c>
    </row>
    <row r="3398" spans="1:15">
      <c r="A3398" t="s">
        <v>4749</v>
      </c>
      <c r="B3398" t="s">
        <v>2113</v>
      </c>
      <c r="C3398" t="s">
        <v>2086</v>
      </c>
      <c r="D3398" s="1">
        <v>43804</v>
      </c>
      <c r="E3398" s="1">
        <v>45223</v>
      </c>
      <c r="F3398">
        <v>69</v>
      </c>
      <c r="G3398">
        <v>14</v>
      </c>
      <c r="H3398">
        <v>592.15</v>
      </c>
      <c r="I3398">
        <v>60.68</v>
      </c>
      <c r="J3398" t="s">
        <v>41</v>
      </c>
      <c r="K3398" t="s">
        <v>16</v>
      </c>
      <c r="L3398" t="s">
        <v>2087</v>
      </c>
      <c r="M3398">
        <v>10</v>
      </c>
      <c r="N3398" t="s">
        <v>194</v>
      </c>
      <c r="O3398" t="s">
        <v>2107</v>
      </c>
    </row>
    <row r="3399" spans="1:15">
      <c r="A3399" t="s">
        <v>4750</v>
      </c>
      <c r="B3399" t="s">
        <v>2085</v>
      </c>
      <c r="C3399" t="s">
        <v>2086</v>
      </c>
      <c r="D3399" s="1">
        <v>44502</v>
      </c>
      <c r="E3399" s="1">
        <v>45105</v>
      </c>
      <c r="F3399">
        <v>187</v>
      </c>
      <c r="G3399">
        <v>16</v>
      </c>
      <c r="H3399">
        <v>1906.08</v>
      </c>
      <c r="I3399">
        <v>184.73</v>
      </c>
      <c r="J3399" t="s">
        <v>90</v>
      </c>
      <c r="K3399" t="s">
        <v>16</v>
      </c>
      <c r="L3399" t="s">
        <v>2095</v>
      </c>
      <c r="M3399">
        <v>4</v>
      </c>
      <c r="N3399" t="s">
        <v>232</v>
      </c>
      <c r="O3399" t="s">
        <v>2088</v>
      </c>
    </row>
    <row r="3400" spans="1:15">
      <c r="A3400" t="s">
        <v>4751</v>
      </c>
      <c r="B3400" t="s">
        <v>2085</v>
      </c>
      <c r="C3400" t="s">
        <v>2086</v>
      </c>
      <c r="D3400" s="1">
        <v>44620</v>
      </c>
      <c r="E3400" s="1">
        <v>45220</v>
      </c>
      <c r="F3400">
        <v>72</v>
      </c>
      <c r="G3400">
        <v>12</v>
      </c>
      <c r="H3400">
        <v>1553.25</v>
      </c>
      <c r="I3400">
        <v>172.75</v>
      </c>
      <c r="J3400" t="s">
        <v>14</v>
      </c>
      <c r="K3400" t="s">
        <v>16</v>
      </c>
      <c r="L3400" t="s">
        <v>2106</v>
      </c>
      <c r="M3400">
        <v>4</v>
      </c>
      <c r="N3400" t="s">
        <v>157</v>
      </c>
      <c r="O3400" t="s">
        <v>2121</v>
      </c>
    </row>
    <row r="3401" spans="1:15">
      <c r="A3401" t="s">
        <v>4752</v>
      </c>
      <c r="B3401" t="s">
        <v>2093</v>
      </c>
      <c r="C3401" t="s">
        <v>2091</v>
      </c>
      <c r="D3401" s="1">
        <v>43705</v>
      </c>
      <c r="E3401" s="1">
        <v>45260</v>
      </c>
      <c r="F3401">
        <v>32</v>
      </c>
      <c r="G3401">
        <v>3</v>
      </c>
      <c r="H3401">
        <v>181.68</v>
      </c>
      <c r="I3401">
        <v>41.02</v>
      </c>
      <c r="J3401" t="s">
        <v>41</v>
      </c>
      <c r="K3401" t="s">
        <v>16</v>
      </c>
      <c r="L3401" t="s">
        <v>2095</v>
      </c>
      <c r="M3401">
        <v>4</v>
      </c>
      <c r="N3401" t="s">
        <v>194</v>
      </c>
      <c r="O3401" t="s">
        <v>2096</v>
      </c>
    </row>
    <row r="3402" spans="1:15">
      <c r="A3402" t="s">
        <v>1849</v>
      </c>
      <c r="B3402" t="s">
        <v>2093</v>
      </c>
      <c r="C3402" t="s">
        <v>2108</v>
      </c>
      <c r="D3402" s="1">
        <v>43507</v>
      </c>
      <c r="E3402" s="1">
        <v>45139</v>
      </c>
      <c r="F3402">
        <v>153</v>
      </c>
      <c r="G3402">
        <v>4</v>
      </c>
      <c r="H3402">
        <v>147.6</v>
      </c>
      <c r="I3402">
        <v>50.85</v>
      </c>
      <c r="J3402" t="s">
        <v>41</v>
      </c>
      <c r="K3402" t="s">
        <v>16</v>
      </c>
      <c r="L3402" t="s">
        <v>2106</v>
      </c>
      <c r="M3402">
        <v>3</v>
      </c>
      <c r="N3402" t="s">
        <v>232</v>
      </c>
      <c r="O3402" t="s">
        <v>2121</v>
      </c>
    </row>
    <row r="3403" spans="1:15">
      <c r="A3403" t="s">
        <v>907</v>
      </c>
      <c r="B3403" t="s">
        <v>2090</v>
      </c>
      <c r="C3403" t="s">
        <v>2108</v>
      </c>
      <c r="D3403" s="1">
        <v>44387</v>
      </c>
      <c r="E3403" s="1">
        <v>45203</v>
      </c>
      <c r="F3403">
        <v>89</v>
      </c>
      <c r="G3403">
        <v>7</v>
      </c>
      <c r="H3403">
        <v>173.59</v>
      </c>
      <c r="I3403">
        <v>65.81</v>
      </c>
      <c r="J3403" t="s">
        <v>66</v>
      </c>
      <c r="K3403" t="s">
        <v>16</v>
      </c>
      <c r="L3403" t="s">
        <v>2106</v>
      </c>
      <c r="M3403">
        <v>0</v>
      </c>
      <c r="N3403" t="s">
        <v>165</v>
      </c>
      <c r="O3403" t="s">
        <v>2109</v>
      </c>
    </row>
    <row r="3404" spans="1:15">
      <c r="A3404" t="s">
        <v>4753</v>
      </c>
      <c r="B3404" t="s">
        <v>2097</v>
      </c>
      <c r="C3404" t="s">
        <v>2111</v>
      </c>
      <c r="D3404" s="1">
        <v>44770</v>
      </c>
      <c r="E3404" s="1">
        <v>44978</v>
      </c>
      <c r="F3404">
        <v>314</v>
      </c>
      <c r="G3404">
        <v>4</v>
      </c>
      <c r="H3404">
        <v>251.43</v>
      </c>
      <c r="I3404">
        <v>66.349999999999994</v>
      </c>
      <c r="J3404" t="s">
        <v>41</v>
      </c>
      <c r="K3404" t="s">
        <v>16</v>
      </c>
      <c r="L3404" t="s">
        <v>2087</v>
      </c>
      <c r="M3404">
        <v>10</v>
      </c>
      <c r="N3404" t="s">
        <v>157</v>
      </c>
      <c r="O3404" t="s">
        <v>2096</v>
      </c>
    </row>
    <row r="3405" spans="1:15">
      <c r="A3405" t="s">
        <v>4754</v>
      </c>
      <c r="B3405" t="s">
        <v>2093</v>
      </c>
      <c r="C3405" t="s">
        <v>2086</v>
      </c>
      <c r="D3405" s="1">
        <v>45039</v>
      </c>
      <c r="E3405" s="1">
        <v>45180</v>
      </c>
      <c r="F3405">
        <v>112</v>
      </c>
      <c r="G3405">
        <v>5</v>
      </c>
      <c r="H3405">
        <v>43.38</v>
      </c>
      <c r="I3405">
        <v>35.36</v>
      </c>
      <c r="J3405" t="s">
        <v>115</v>
      </c>
      <c r="K3405" t="s">
        <v>20</v>
      </c>
      <c r="L3405" t="s">
        <v>2095</v>
      </c>
      <c r="M3405">
        <v>7</v>
      </c>
      <c r="N3405" t="s">
        <v>165</v>
      </c>
      <c r="O3405" t="s">
        <v>2109</v>
      </c>
    </row>
    <row r="3406" spans="1:15">
      <c r="A3406" t="s">
        <v>4755</v>
      </c>
      <c r="B3406" t="s">
        <v>2085</v>
      </c>
      <c r="C3406" t="s">
        <v>2086</v>
      </c>
      <c r="D3406" s="1">
        <v>44375</v>
      </c>
      <c r="E3406" s="1">
        <v>44939</v>
      </c>
      <c r="F3406">
        <v>353</v>
      </c>
      <c r="G3406">
        <v>27</v>
      </c>
      <c r="H3406">
        <v>928.13</v>
      </c>
      <c r="I3406">
        <v>271.14999999999998</v>
      </c>
      <c r="J3406" t="s">
        <v>66</v>
      </c>
      <c r="K3406" t="s">
        <v>20</v>
      </c>
      <c r="L3406" t="s">
        <v>2106</v>
      </c>
      <c r="M3406">
        <v>0</v>
      </c>
      <c r="N3406" t="s">
        <v>165</v>
      </c>
      <c r="O3406" t="s">
        <v>2109</v>
      </c>
    </row>
    <row r="3407" spans="1:15">
      <c r="A3407" t="s">
        <v>4756</v>
      </c>
      <c r="B3407" t="s">
        <v>2097</v>
      </c>
      <c r="C3407" t="s">
        <v>2094</v>
      </c>
      <c r="D3407" s="1">
        <v>44294</v>
      </c>
      <c r="E3407" s="1">
        <v>45018</v>
      </c>
      <c r="F3407">
        <v>274</v>
      </c>
      <c r="G3407">
        <v>9</v>
      </c>
      <c r="H3407">
        <v>584.67999999999995</v>
      </c>
      <c r="I3407">
        <v>68.55</v>
      </c>
      <c r="J3407" t="s">
        <v>41</v>
      </c>
      <c r="K3407" t="s">
        <v>16</v>
      </c>
      <c r="L3407" t="s">
        <v>2087</v>
      </c>
      <c r="M3407">
        <v>5</v>
      </c>
      <c r="N3407" t="s">
        <v>204</v>
      </c>
      <c r="O3407" t="s">
        <v>2107</v>
      </c>
    </row>
    <row r="3408" spans="1:15">
      <c r="A3408" t="s">
        <v>1643</v>
      </c>
      <c r="B3408" t="s">
        <v>2085</v>
      </c>
      <c r="C3408" t="s">
        <v>2111</v>
      </c>
      <c r="D3408" s="1">
        <v>43988</v>
      </c>
      <c r="E3408" s="1">
        <v>45178</v>
      </c>
      <c r="F3408">
        <v>114</v>
      </c>
      <c r="G3408">
        <v>36</v>
      </c>
      <c r="H3408">
        <v>1891.27</v>
      </c>
      <c r="I3408">
        <v>205.06</v>
      </c>
      <c r="J3408" t="s">
        <v>90</v>
      </c>
      <c r="K3408" t="s">
        <v>20</v>
      </c>
      <c r="L3408" t="s">
        <v>2106</v>
      </c>
      <c r="M3408">
        <v>10</v>
      </c>
      <c r="N3408" t="s">
        <v>157</v>
      </c>
      <c r="O3408" t="s">
        <v>2109</v>
      </c>
    </row>
    <row r="3409" spans="1:15">
      <c r="A3409" t="s">
        <v>4757</v>
      </c>
      <c r="B3409" t="s">
        <v>2090</v>
      </c>
      <c r="C3409" t="s">
        <v>2108</v>
      </c>
      <c r="D3409" s="1">
        <v>43799</v>
      </c>
      <c r="E3409" s="1">
        <v>45285</v>
      </c>
      <c r="F3409">
        <v>7</v>
      </c>
      <c r="G3409">
        <v>6</v>
      </c>
      <c r="H3409">
        <v>239.6</v>
      </c>
      <c r="I3409">
        <v>93.08</v>
      </c>
      <c r="J3409" t="s">
        <v>41</v>
      </c>
      <c r="K3409" t="s">
        <v>20</v>
      </c>
      <c r="L3409" t="s">
        <v>2106</v>
      </c>
      <c r="M3409">
        <v>9</v>
      </c>
      <c r="N3409" t="s">
        <v>204</v>
      </c>
      <c r="O3409" t="s">
        <v>2107</v>
      </c>
    </row>
    <row r="3410" spans="1:15">
      <c r="A3410" t="s">
        <v>4758</v>
      </c>
      <c r="B3410" t="s">
        <v>2099</v>
      </c>
      <c r="C3410" t="s">
        <v>2111</v>
      </c>
      <c r="D3410" s="1">
        <v>44033</v>
      </c>
      <c r="E3410" s="1">
        <v>45064</v>
      </c>
      <c r="F3410">
        <v>228</v>
      </c>
      <c r="G3410">
        <v>1</v>
      </c>
      <c r="H3410">
        <v>125.4</v>
      </c>
      <c r="I3410">
        <v>44.04</v>
      </c>
      <c r="J3410" t="s">
        <v>115</v>
      </c>
      <c r="K3410" t="s">
        <v>20</v>
      </c>
      <c r="L3410" t="s">
        <v>2106</v>
      </c>
      <c r="M3410">
        <v>3</v>
      </c>
      <c r="N3410" t="s">
        <v>232</v>
      </c>
      <c r="O3410" t="s">
        <v>2121</v>
      </c>
    </row>
    <row r="3411" spans="1:15">
      <c r="A3411" t="s">
        <v>4759</v>
      </c>
      <c r="B3411" t="s">
        <v>2099</v>
      </c>
      <c r="C3411" t="s">
        <v>2111</v>
      </c>
      <c r="D3411" s="1">
        <v>43766</v>
      </c>
      <c r="E3411" s="1">
        <v>45236</v>
      </c>
      <c r="F3411">
        <v>56</v>
      </c>
      <c r="G3411">
        <v>1</v>
      </c>
      <c r="H3411">
        <v>88.55</v>
      </c>
      <c r="I3411">
        <v>51.98</v>
      </c>
      <c r="J3411" t="s">
        <v>14</v>
      </c>
      <c r="K3411" t="s">
        <v>16</v>
      </c>
      <c r="L3411" t="s">
        <v>2087</v>
      </c>
      <c r="M3411">
        <v>1</v>
      </c>
      <c r="N3411" t="s">
        <v>194</v>
      </c>
      <c r="O3411" t="s">
        <v>2088</v>
      </c>
    </row>
    <row r="3412" spans="1:15">
      <c r="A3412" t="s">
        <v>4760</v>
      </c>
      <c r="B3412" t="s">
        <v>2093</v>
      </c>
      <c r="C3412" t="s">
        <v>2086</v>
      </c>
      <c r="D3412" s="1">
        <v>44047</v>
      </c>
      <c r="E3412" s="1">
        <v>45155</v>
      </c>
      <c r="F3412">
        <v>137</v>
      </c>
      <c r="G3412">
        <v>5</v>
      </c>
      <c r="H3412">
        <v>83.32</v>
      </c>
      <c r="I3412">
        <v>48.9</v>
      </c>
      <c r="J3412" t="s">
        <v>90</v>
      </c>
      <c r="K3412" t="s">
        <v>16</v>
      </c>
      <c r="L3412" t="s">
        <v>2087</v>
      </c>
      <c r="M3412">
        <v>10</v>
      </c>
      <c r="N3412" t="s">
        <v>194</v>
      </c>
      <c r="O3412" t="s">
        <v>2107</v>
      </c>
    </row>
    <row r="3413" spans="1:15">
      <c r="A3413" t="s">
        <v>4761</v>
      </c>
      <c r="B3413" t="s">
        <v>2097</v>
      </c>
      <c r="C3413" t="s">
        <v>2111</v>
      </c>
      <c r="D3413" s="1">
        <v>44641</v>
      </c>
      <c r="E3413" s="1">
        <v>45043</v>
      </c>
      <c r="F3413">
        <v>249</v>
      </c>
      <c r="G3413">
        <v>6</v>
      </c>
      <c r="H3413">
        <v>195.94</v>
      </c>
      <c r="I3413">
        <v>114.76</v>
      </c>
      <c r="J3413" t="s">
        <v>41</v>
      </c>
      <c r="K3413" t="s">
        <v>20</v>
      </c>
      <c r="L3413" t="s">
        <v>2087</v>
      </c>
      <c r="M3413">
        <v>7</v>
      </c>
      <c r="N3413" t="s">
        <v>194</v>
      </c>
      <c r="O3413" t="s">
        <v>2109</v>
      </c>
    </row>
    <row r="3414" spans="1:15">
      <c r="A3414" t="s">
        <v>4762</v>
      </c>
      <c r="B3414" t="s">
        <v>2085</v>
      </c>
      <c r="C3414" t="s">
        <v>2100</v>
      </c>
      <c r="D3414" s="1">
        <v>45225</v>
      </c>
      <c r="E3414" s="1">
        <v>45164</v>
      </c>
      <c r="F3414">
        <v>128</v>
      </c>
      <c r="G3414">
        <v>31</v>
      </c>
      <c r="H3414">
        <v>2630.06</v>
      </c>
      <c r="I3414">
        <v>249.89</v>
      </c>
      <c r="J3414" t="s">
        <v>66</v>
      </c>
      <c r="K3414" t="s">
        <v>20</v>
      </c>
      <c r="L3414" t="s">
        <v>2095</v>
      </c>
      <c r="M3414">
        <v>2</v>
      </c>
      <c r="N3414" t="s">
        <v>174</v>
      </c>
      <c r="O3414" t="s">
        <v>2096</v>
      </c>
    </row>
    <row r="3415" spans="1:15">
      <c r="A3415" t="s">
        <v>684</v>
      </c>
      <c r="B3415" t="s">
        <v>2085</v>
      </c>
      <c r="C3415" t="s">
        <v>2108</v>
      </c>
      <c r="D3415" s="1">
        <v>44334</v>
      </c>
      <c r="E3415" s="1">
        <v>45084</v>
      </c>
      <c r="F3415">
        <v>208</v>
      </c>
      <c r="G3415">
        <v>37</v>
      </c>
      <c r="H3415">
        <v>895.34</v>
      </c>
      <c r="I3415">
        <v>199.74</v>
      </c>
      <c r="J3415" t="s">
        <v>115</v>
      </c>
      <c r="K3415" t="s">
        <v>20</v>
      </c>
      <c r="L3415" t="s">
        <v>2087</v>
      </c>
      <c r="M3415">
        <v>8</v>
      </c>
      <c r="N3415" t="s">
        <v>165</v>
      </c>
      <c r="O3415" t="s">
        <v>2109</v>
      </c>
    </row>
    <row r="3416" spans="1:15">
      <c r="A3416" t="s">
        <v>4763</v>
      </c>
      <c r="B3416" t="s">
        <v>2085</v>
      </c>
      <c r="C3416" t="s">
        <v>2091</v>
      </c>
      <c r="D3416" s="1">
        <v>43722</v>
      </c>
      <c r="E3416" s="1">
        <v>45093</v>
      </c>
      <c r="F3416">
        <v>199</v>
      </c>
      <c r="G3416">
        <v>36</v>
      </c>
      <c r="H3416">
        <v>811</v>
      </c>
      <c r="I3416">
        <v>124.12</v>
      </c>
      <c r="J3416" t="s">
        <v>115</v>
      </c>
      <c r="K3416" t="s">
        <v>20</v>
      </c>
      <c r="L3416" t="s">
        <v>2095</v>
      </c>
      <c r="M3416">
        <v>10</v>
      </c>
      <c r="N3416" t="s">
        <v>179</v>
      </c>
      <c r="O3416" t="s">
        <v>2109</v>
      </c>
    </row>
    <row r="3417" spans="1:15">
      <c r="A3417" t="s">
        <v>4764</v>
      </c>
      <c r="B3417" t="s">
        <v>2097</v>
      </c>
      <c r="C3417" t="s">
        <v>2100</v>
      </c>
      <c r="D3417" s="1">
        <v>43907</v>
      </c>
      <c r="E3417" s="1">
        <v>45180</v>
      </c>
      <c r="F3417">
        <v>112</v>
      </c>
      <c r="G3417">
        <v>4</v>
      </c>
      <c r="H3417">
        <v>549.14</v>
      </c>
      <c r="I3417">
        <v>50.28</v>
      </c>
      <c r="J3417" t="s">
        <v>115</v>
      </c>
      <c r="K3417" t="s">
        <v>16</v>
      </c>
      <c r="L3417" t="s">
        <v>2095</v>
      </c>
      <c r="M3417">
        <v>8</v>
      </c>
      <c r="N3417" t="s">
        <v>204</v>
      </c>
      <c r="O3417" t="s">
        <v>2088</v>
      </c>
    </row>
    <row r="3418" spans="1:15">
      <c r="A3418" t="s">
        <v>4765</v>
      </c>
      <c r="B3418" t="s">
        <v>2093</v>
      </c>
      <c r="C3418" t="s">
        <v>2108</v>
      </c>
      <c r="D3418" s="1">
        <v>44485</v>
      </c>
      <c r="E3418" s="1">
        <v>45073</v>
      </c>
      <c r="F3418">
        <v>219</v>
      </c>
      <c r="G3418">
        <v>2</v>
      </c>
      <c r="H3418">
        <v>150.52000000000001</v>
      </c>
      <c r="I3418">
        <v>75.53</v>
      </c>
      <c r="J3418" t="s">
        <v>90</v>
      </c>
      <c r="K3418" t="s">
        <v>16</v>
      </c>
      <c r="L3418" t="s">
        <v>2095</v>
      </c>
      <c r="M3418">
        <v>6</v>
      </c>
      <c r="N3418" t="s">
        <v>232</v>
      </c>
      <c r="O3418" t="s">
        <v>2088</v>
      </c>
    </row>
    <row r="3419" spans="1:15">
      <c r="A3419" t="s">
        <v>4766</v>
      </c>
      <c r="B3419" t="s">
        <v>2099</v>
      </c>
      <c r="C3419" t="s">
        <v>2108</v>
      </c>
      <c r="D3419" s="1">
        <v>44178</v>
      </c>
      <c r="E3419" s="1">
        <v>45010</v>
      </c>
      <c r="F3419">
        <v>282</v>
      </c>
      <c r="G3419">
        <v>2</v>
      </c>
      <c r="H3419">
        <v>45.28</v>
      </c>
      <c r="I3419">
        <v>26.14</v>
      </c>
      <c r="J3419" t="s">
        <v>66</v>
      </c>
      <c r="K3419" t="s">
        <v>16</v>
      </c>
      <c r="L3419" t="s">
        <v>2106</v>
      </c>
      <c r="M3419">
        <v>7</v>
      </c>
      <c r="N3419" t="s">
        <v>157</v>
      </c>
      <c r="O3419" t="s">
        <v>2096</v>
      </c>
    </row>
    <row r="3420" spans="1:15">
      <c r="A3420" t="s">
        <v>4767</v>
      </c>
      <c r="B3420" t="s">
        <v>2099</v>
      </c>
      <c r="C3420" t="s">
        <v>2108</v>
      </c>
      <c r="D3420" s="1">
        <v>43664</v>
      </c>
      <c r="E3420" s="1">
        <v>45085</v>
      </c>
      <c r="F3420">
        <v>207</v>
      </c>
      <c r="G3420">
        <v>2</v>
      </c>
      <c r="H3420">
        <v>77.989999999999995</v>
      </c>
      <c r="I3420">
        <v>35.43</v>
      </c>
      <c r="J3420" t="s">
        <v>66</v>
      </c>
      <c r="K3420" t="s">
        <v>16</v>
      </c>
      <c r="L3420" t="s">
        <v>2106</v>
      </c>
      <c r="M3420">
        <v>9</v>
      </c>
      <c r="N3420" t="s">
        <v>194</v>
      </c>
      <c r="O3420" t="s">
        <v>2096</v>
      </c>
    </row>
    <row r="3421" spans="1:15">
      <c r="A3421" t="s">
        <v>1752</v>
      </c>
      <c r="B3421" t="s">
        <v>2090</v>
      </c>
      <c r="C3421" t="s">
        <v>2086</v>
      </c>
      <c r="D3421" s="1">
        <v>44112</v>
      </c>
      <c r="E3421" s="1">
        <v>45274</v>
      </c>
      <c r="F3421">
        <v>18</v>
      </c>
      <c r="G3421">
        <v>7</v>
      </c>
      <c r="H3421">
        <v>260.64</v>
      </c>
      <c r="I3421">
        <v>92.78</v>
      </c>
      <c r="J3421" t="s">
        <v>90</v>
      </c>
      <c r="K3421" t="s">
        <v>16</v>
      </c>
      <c r="L3421" t="s">
        <v>2106</v>
      </c>
      <c r="M3421">
        <v>4</v>
      </c>
      <c r="N3421" t="s">
        <v>165</v>
      </c>
      <c r="O3421" t="s">
        <v>2107</v>
      </c>
    </row>
    <row r="3422" spans="1:15">
      <c r="A3422" t="s">
        <v>4768</v>
      </c>
      <c r="B3422" t="s">
        <v>2090</v>
      </c>
      <c r="C3422" t="s">
        <v>2100</v>
      </c>
      <c r="D3422" s="1">
        <v>44933</v>
      </c>
      <c r="E3422" s="1">
        <v>44999</v>
      </c>
      <c r="F3422">
        <v>293</v>
      </c>
      <c r="G3422">
        <v>4</v>
      </c>
      <c r="H3422">
        <v>82.03</v>
      </c>
      <c r="I3422">
        <v>85.98</v>
      </c>
      <c r="J3422" t="s">
        <v>90</v>
      </c>
      <c r="K3422" t="s">
        <v>20</v>
      </c>
      <c r="L3422" t="s">
        <v>2095</v>
      </c>
      <c r="M3422">
        <v>5</v>
      </c>
      <c r="N3422" t="s">
        <v>204</v>
      </c>
      <c r="O3422" t="s">
        <v>2107</v>
      </c>
    </row>
    <row r="3423" spans="1:15">
      <c r="A3423" t="s">
        <v>4769</v>
      </c>
      <c r="B3423" t="s">
        <v>2093</v>
      </c>
      <c r="C3423" t="s">
        <v>2094</v>
      </c>
      <c r="D3423" s="1">
        <v>44376</v>
      </c>
      <c r="E3423" s="1">
        <v>44957</v>
      </c>
      <c r="F3423">
        <v>335</v>
      </c>
      <c r="G3423">
        <v>4</v>
      </c>
      <c r="H3423">
        <v>119.75</v>
      </c>
      <c r="I3423">
        <v>20.329999999999998</v>
      </c>
      <c r="J3423" t="s">
        <v>14</v>
      </c>
      <c r="K3423" t="s">
        <v>20</v>
      </c>
      <c r="L3423" t="s">
        <v>2095</v>
      </c>
      <c r="M3423">
        <v>5</v>
      </c>
      <c r="N3423" t="s">
        <v>174</v>
      </c>
      <c r="O3423" t="s">
        <v>2096</v>
      </c>
    </row>
    <row r="3424" spans="1:15">
      <c r="A3424" t="s">
        <v>4770</v>
      </c>
      <c r="B3424" t="s">
        <v>2085</v>
      </c>
      <c r="C3424" t="s">
        <v>2111</v>
      </c>
      <c r="D3424" s="1">
        <v>44393</v>
      </c>
      <c r="E3424" s="1">
        <v>44993</v>
      </c>
      <c r="F3424">
        <v>299</v>
      </c>
      <c r="G3424">
        <v>18</v>
      </c>
      <c r="H3424">
        <v>997.22</v>
      </c>
      <c r="I3424">
        <v>206.25</v>
      </c>
      <c r="J3424" t="s">
        <v>90</v>
      </c>
      <c r="K3424" t="s">
        <v>16</v>
      </c>
      <c r="L3424" t="s">
        <v>2106</v>
      </c>
      <c r="M3424">
        <v>1</v>
      </c>
      <c r="N3424" t="s">
        <v>194</v>
      </c>
      <c r="O3424" t="s">
        <v>2121</v>
      </c>
    </row>
    <row r="3425" spans="1:15">
      <c r="A3425" t="s">
        <v>4771</v>
      </c>
      <c r="B3425" t="s">
        <v>2093</v>
      </c>
      <c r="C3425" t="s">
        <v>2100</v>
      </c>
      <c r="D3425" s="1">
        <v>43624</v>
      </c>
      <c r="E3425" s="1">
        <v>45244</v>
      </c>
      <c r="F3425">
        <v>48</v>
      </c>
      <c r="G3425">
        <v>3</v>
      </c>
      <c r="H3425">
        <v>100.42</v>
      </c>
      <c r="I3425">
        <v>77.08</v>
      </c>
      <c r="J3425" t="s">
        <v>90</v>
      </c>
      <c r="K3425" t="s">
        <v>20</v>
      </c>
      <c r="L3425" t="s">
        <v>2087</v>
      </c>
      <c r="M3425">
        <v>10</v>
      </c>
      <c r="N3425" t="s">
        <v>204</v>
      </c>
      <c r="O3425" t="s">
        <v>2096</v>
      </c>
    </row>
    <row r="3426" spans="1:15">
      <c r="A3426" t="s">
        <v>4772</v>
      </c>
      <c r="B3426" t="s">
        <v>2085</v>
      </c>
      <c r="C3426" t="s">
        <v>2111</v>
      </c>
      <c r="D3426" s="1">
        <v>43946</v>
      </c>
      <c r="E3426" s="1">
        <v>45066</v>
      </c>
      <c r="F3426">
        <v>226</v>
      </c>
      <c r="G3426">
        <v>35</v>
      </c>
      <c r="H3426">
        <v>1532.37</v>
      </c>
      <c r="I3426">
        <v>243.28</v>
      </c>
      <c r="J3426" t="s">
        <v>14</v>
      </c>
      <c r="K3426" t="s">
        <v>16</v>
      </c>
      <c r="L3426" t="s">
        <v>2095</v>
      </c>
      <c r="M3426">
        <v>6</v>
      </c>
      <c r="N3426" t="s">
        <v>165</v>
      </c>
      <c r="O3426" t="s">
        <v>2121</v>
      </c>
    </row>
    <row r="3427" spans="1:15">
      <c r="A3427" t="s">
        <v>4773</v>
      </c>
      <c r="B3427" t="s">
        <v>2113</v>
      </c>
      <c r="C3427" t="s">
        <v>2108</v>
      </c>
      <c r="D3427" s="1">
        <v>44224</v>
      </c>
      <c r="E3427" s="1">
        <v>45141</v>
      </c>
      <c r="F3427">
        <v>151</v>
      </c>
      <c r="G3427">
        <v>19</v>
      </c>
      <c r="H3427">
        <v>289.25</v>
      </c>
      <c r="I3427">
        <v>45.2</v>
      </c>
      <c r="J3427" t="s">
        <v>90</v>
      </c>
      <c r="K3427" t="s">
        <v>16</v>
      </c>
      <c r="L3427" t="s">
        <v>2106</v>
      </c>
      <c r="M3427">
        <v>7</v>
      </c>
      <c r="N3427" t="s">
        <v>157</v>
      </c>
      <c r="O3427" t="s">
        <v>2107</v>
      </c>
    </row>
    <row r="3428" spans="1:15">
      <c r="A3428" t="s">
        <v>4774</v>
      </c>
      <c r="B3428" t="s">
        <v>2090</v>
      </c>
      <c r="C3428" t="s">
        <v>2094</v>
      </c>
      <c r="D3428" s="1">
        <v>43637</v>
      </c>
      <c r="E3428" s="1">
        <v>44957</v>
      </c>
      <c r="F3428">
        <v>335</v>
      </c>
      <c r="G3428">
        <v>7</v>
      </c>
      <c r="H3428">
        <v>232.51</v>
      </c>
      <c r="I3428">
        <v>117.93</v>
      </c>
      <c r="J3428" t="s">
        <v>14</v>
      </c>
      <c r="K3428" t="s">
        <v>16</v>
      </c>
      <c r="L3428" t="s">
        <v>2106</v>
      </c>
      <c r="M3428">
        <v>5</v>
      </c>
      <c r="N3428" t="s">
        <v>232</v>
      </c>
      <c r="O3428" t="s">
        <v>2096</v>
      </c>
    </row>
    <row r="3429" spans="1:15">
      <c r="A3429" t="s">
        <v>482</v>
      </c>
      <c r="B3429" t="s">
        <v>2093</v>
      </c>
      <c r="C3429" t="s">
        <v>2100</v>
      </c>
      <c r="D3429" s="1">
        <v>45070</v>
      </c>
      <c r="E3429" s="1">
        <v>45079</v>
      </c>
      <c r="F3429">
        <v>213</v>
      </c>
      <c r="G3429">
        <v>2</v>
      </c>
      <c r="H3429">
        <v>71.02</v>
      </c>
      <c r="I3429">
        <v>23.27</v>
      </c>
      <c r="J3429" t="s">
        <v>41</v>
      </c>
      <c r="K3429" t="s">
        <v>16</v>
      </c>
      <c r="L3429" t="s">
        <v>2087</v>
      </c>
      <c r="M3429">
        <v>7</v>
      </c>
      <c r="N3429" t="s">
        <v>165</v>
      </c>
      <c r="O3429" t="s">
        <v>2096</v>
      </c>
    </row>
    <row r="3430" spans="1:15">
      <c r="A3430" t="s">
        <v>1006</v>
      </c>
      <c r="B3430" t="s">
        <v>2099</v>
      </c>
      <c r="C3430" t="s">
        <v>2100</v>
      </c>
      <c r="D3430" s="1">
        <v>44150</v>
      </c>
      <c r="E3430" s="1">
        <v>45039</v>
      </c>
      <c r="F3430">
        <v>253</v>
      </c>
      <c r="G3430">
        <v>1</v>
      </c>
      <c r="H3430">
        <v>128.9</v>
      </c>
      <c r="I3430">
        <v>96.06</v>
      </c>
      <c r="J3430" t="s">
        <v>41</v>
      </c>
      <c r="K3430" t="s">
        <v>16</v>
      </c>
      <c r="L3430" t="s">
        <v>2087</v>
      </c>
      <c r="M3430">
        <v>3</v>
      </c>
      <c r="N3430" t="s">
        <v>179</v>
      </c>
      <c r="O3430" t="s">
        <v>2121</v>
      </c>
    </row>
    <row r="3431" spans="1:15">
      <c r="A3431" t="s">
        <v>4775</v>
      </c>
      <c r="B3431" t="s">
        <v>2097</v>
      </c>
      <c r="C3431" t="s">
        <v>2111</v>
      </c>
      <c r="D3431" s="1">
        <v>44918</v>
      </c>
      <c r="E3431" s="1">
        <v>45197</v>
      </c>
      <c r="F3431">
        <v>95</v>
      </c>
      <c r="G3431">
        <v>11</v>
      </c>
      <c r="H3431">
        <v>537.66999999999996</v>
      </c>
      <c r="I3431">
        <v>145.09</v>
      </c>
      <c r="J3431" t="s">
        <v>90</v>
      </c>
      <c r="K3431" t="s">
        <v>16</v>
      </c>
      <c r="L3431" t="s">
        <v>2106</v>
      </c>
      <c r="M3431">
        <v>3</v>
      </c>
      <c r="N3431" t="s">
        <v>174</v>
      </c>
      <c r="O3431" t="s">
        <v>2088</v>
      </c>
    </row>
    <row r="3432" spans="1:15">
      <c r="A3432" t="s">
        <v>4776</v>
      </c>
      <c r="B3432" t="s">
        <v>2093</v>
      </c>
      <c r="C3432" t="s">
        <v>2111</v>
      </c>
      <c r="D3432" s="1">
        <v>44446</v>
      </c>
      <c r="E3432" s="1">
        <v>44984</v>
      </c>
      <c r="F3432">
        <v>308</v>
      </c>
      <c r="G3432">
        <v>4</v>
      </c>
      <c r="H3432">
        <v>48.94</v>
      </c>
      <c r="I3432">
        <v>72.06</v>
      </c>
      <c r="J3432" t="s">
        <v>90</v>
      </c>
      <c r="K3432" t="s">
        <v>16</v>
      </c>
      <c r="L3432" t="s">
        <v>2095</v>
      </c>
      <c r="M3432">
        <v>6</v>
      </c>
      <c r="N3432" t="s">
        <v>232</v>
      </c>
      <c r="O3432" t="s">
        <v>2096</v>
      </c>
    </row>
    <row r="3433" spans="1:15">
      <c r="A3433" t="s">
        <v>4777</v>
      </c>
      <c r="B3433" t="s">
        <v>2097</v>
      </c>
      <c r="C3433" t="s">
        <v>2111</v>
      </c>
      <c r="D3433" s="1">
        <v>44145</v>
      </c>
      <c r="E3433" s="1">
        <v>45222</v>
      </c>
      <c r="F3433">
        <v>70</v>
      </c>
      <c r="G3433">
        <v>9</v>
      </c>
      <c r="H3433">
        <v>700.79</v>
      </c>
      <c r="I3433">
        <v>95.96</v>
      </c>
      <c r="J3433" t="s">
        <v>66</v>
      </c>
      <c r="K3433" t="s">
        <v>16</v>
      </c>
      <c r="L3433" t="s">
        <v>2095</v>
      </c>
      <c r="M3433">
        <v>7</v>
      </c>
      <c r="N3433" t="s">
        <v>165</v>
      </c>
      <c r="O3433" t="s">
        <v>2088</v>
      </c>
    </row>
    <row r="3434" spans="1:15">
      <c r="A3434" t="s">
        <v>1515</v>
      </c>
      <c r="B3434" t="s">
        <v>2093</v>
      </c>
      <c r="C3434" t="s">
        <v>2086</v>
      </c>
      <c r="D3434" s="1">
        <v>43881</v>
      </c>
      <c r="E3434" s="1">
        <v>44980</v>
      </c>
      <c r="F3434">
        <v>312</v>
      </c>
      <c r="G3434">
        <v>4</v>
      </c>
      <c r="H3434">
        <v>105.32</v>
      </c>
      <c r="I3434">
        <v>45.84</v>
      </c>
      <c r="J3434" t="s">
        <v>115</v>
      </c>
      <c r="K3434" t="s">
        <v>16</v>
      </c>
      <c r="L3434" t="s">
        <v>2087</v>
      </c>
      <c r="M3434">
        <v>7</v>
      </c>
      <c r="N3434" t="s">
        <v>174</v>
      </c>
      <c r="O3434" t="s">
        <v>2088</v>
      </c>
    </row>
    <row r="3435" spans="1:15">
      <c r="A3435" t="s">
        <v>4778</v>
      </c>
      <c r="B3435" t="s">
        <v>2090</v>
      </c>
      <c r="C3435" t="s">
        <v>2100</v>
      </c>
      <c r="D3435" s="1">
        <v>44021</v>
      </c>
      <c r="E3435" s="1">
        <v>45242</v>
      </c>
      <c r="F3435">
        <v>50</v>
      </c>
      <c r="G3435">
        <v>5</v>
      </c>
      <c r="H3435">
        <v>295.39</v>
      </c>
      <c r="I3435">
        <v>83.96</v>
      </c>
      <c r="J3435" t="s">
        <v>14</v>
      </c>
      <c r="K3435" t="s">
        <v>16</v>
      </c>
      <c r="L3435" t="s">
        <v>2095</v>
      </c>
      <c r="M3435">
        <v>9</v>
      </c>
      <c r="N3435" t="s">
        <v>179</v>
      </c>
      <c r="O3435" t="s">
        <v>2088</v>
      </c>
    </row>
    <row r="3436" spans="1:15">
      <c r="A3436" t="s">
        <v>1336</v>
      </c>
      <c r="B3436" t="s">
        <v>2097</v>
      </c>
      <c r="C3436" t="s">
        <v>2094</v>
      </c>
      <c r="D3436" s="1">
        <v>44574</v>
      </c>
      <c r="E3436" s="1">
        <v>45191</v>
      </c>
      <c r="F3436">
        <v>101</v>
      </c>
      <c r="G3436">
        <v>3</v>
      </c>
      <c r="H3436">
        <v>483.53</v>
      </c>
      <c r="I3436">
        <v>125.1</v>
      </c>
      <c r="J3436" t="s">
        <v>90</v>
      </c>
      <c r="K3436" t="s">
        <v>16</v>
      </c>
      <c r="L3436" t="s">
        <v>2106</v>
      </c>
      <c r="M3436">
        <v>8</v>
      </c>
      <c r="N3436" t="s">
        <v>232</v>
      </c>
      <c r="O3436" t="s">
        <v>2088</v>
      </c>
    </row>
    <row r="3437" spans="1:15">
      <c r="A3437" t="s">
        <v>4779</v>
      </c>
      <c r="B3437" t="s">
        <v>2097</v>
      </c>
      <c r="C3437" t="s">
        <v>2086</v>
      </c>
      <c r="D3437" s="1">
        <v>44739</v>
      </c>
      <c r="E3437" s="1">
        <v>45133</v>
      </c>
      <c r="F3437">
        <v>159</v>
      </c>
      <c r="G3437">
        <v>7</v>
      </c>
      <c r="H3437">
        <v>655.49</v>
      </c>
      <c r="I3437">
        <v>95.53</v>
      </c>
      <c r="J3437" t="s">
        <v>90</v>
      </c>
      <c r="K3437" t="s">
        <v>20</v>
      </c>
      <c r="L3437" t="s">
        <v>2106</v>
      </c>
      <c r="M3437">
        <v>6</v>
      </c>
      <c r="N3437" t="s">
        <v>157</v>
      </c>
      <c r="O3437" t="s">
        <v>2109</v>
      </c>
    </row>
    <row r="3438" spans="1:15">
      <c r="A3438" t="s">
        <v>4780</v>
      </c>
      <c r="B3438" t="s">
        <v>2113</v>
      </c>
      <c r="C3438" t="s">
        <v>2086</v>
      </c>
      <c r="D3438" s="1">
        <v>45253</v>
      </c>
      <c r="E3438" s="1">
        <v>44945</v>
      </c>
      <c r="F3438">
        <v>347</v>
      </c>
      <c r="G3438">
        <v>10</v>
      </c>
      <c r="H3438">
        <v>569.41</v>
      </c>
      <c r="I3438">
        <v>41.72</v>
      </c>
      <c r="J3438" t="s">
        <v>90</v>
      </c>
      <c r="K3438" t="s">
        <v>16</v>
      </c>
      <c r="L3438" t="s">
        <v>2087</v>
      </c>
      <c r="M3438">
        <v>4</v>
      </c>
      <c r="N3438" t="s">
        <v>204</v>
      </c>
      <c r="O3438" t="s">
        <v>2121</v>
      </c>
    </row>
    <row r="3439" spans="1:15">
      <c r="A3439" t="s">
        <v>4781</v>
      </c>
      <c r="B3439" t="s">
        <v>2090</v>
      </c>
      <c r="C3439" t="s">
        <v>2100</v>
      </c>
      <c r="D3439" s="1">
        <v>43864</v>
      </c>
      <c r="E3439" s="1">
        <v>45037</v>
      </c>
      <c r="F3439">
        <v>255</v>
      </c>
      <c r="G3439">
        <v>4</v>
      </c>
      <c r="H3439">
        <v>85.11</v>
      </c>
      <c r="I3439">
        <v>104.99</v>
      </c>
      <c r="J3439" t="s">
        <v>90</v>
      </c>
      <c r="K3439" t="s">
        <v>16</v>
      </c>
      <c r="L3439" t="s">
        <v>2106</v>
      </c>
      <c r="M3439">
        <v>10</v>
      </c>
      <c r="N3439" t="s">
        <v>174</v>
      </c>
      <c r="O3439" t="s">
        <v>2096</v>
      </c>
    </row>
    <row r="3440" spans="1:15">
      <c r="A3440" t="s">
        <v>1474</v>
      </c>
      <c r="B3440" t="s">
        <v>2113</v>
      </c>
      <c r="C3440" t="s">
        <v>2111</v>
      </c>
      <c r="D3440" s="1">
        <v>43601</v>
      </c>
      <c r="E3440" s="1">
        <v>45068</v>
      </c>
      <c r="F3440">
        <v>224</v>
      </c>
      <c r="G3440">
        <v>17</v>
      </c>
      <c r="H3440">
        <v>323.04000000000002</v>
      </c>
      <c r="I3440">
        <v>66.59</v>
      </c>
      <c r="J3440" t="s">
        <v>115</v>
      </c>
      <c r="K3440" t="s">
        <v>16</v>
      </c>
      <c r="L3440" t="s">
        <v>2106</v>
      </c>
      <c r="M3440">
        <v>2</v>
      </c>
      <c r="N3440" t="s">
        <v>194</v>
      </c>
      <c r="O3440" t="s">
        <v>2109</v>
      </c>
    </row>
    <row r="3441" spans="1:15">
      <c r="A3441" t="s">
        <v>4782</v>
      </c>
      <c r="B3441" t="s">
        <v>2113</v>
      </c>
      <c r="C3441" t="s">
        <v>2111</v>
      </c>
      <c r="D3441" s="1">
        <v>44326</v>
      </c>
      <c r="E3441" s="1">
        <v>45093</v>
      </c>
      <c r="F3441">
        <v>199</v>
      </c>
      <c r="G3441">
        <v>8</v>
      </c>
      <c r="H3441">
        <v>420.36</v>
      </c>
      <c r="I3441">
        <v>52.47</v>
      </c>
      <c r="J3441" t="s">
        <v>115</v>
      </c>
      <c r="K3441" t="s">
        <v>16</v>
      </c>
      <c r="L3441" t="s">
        <v>2106</v>
      </c>
      <c r="M3441">
        <v>10</v>
      </c>
      <c r="N3441" t="s">
        <v>157</v>
      </c>
      <c r="O3441" t="s">
        <v>2107</v>
      </c>
    </row>
    <row r="3442" spans="1:15">
      <c r="A3442" t="s">
        <v>4783</v>
      </c>
      <c r="B3442" t="s">
        <v>2093</v>
      </c>
      <c r="C3442" t="s">
        <v>2100</v>
      </c>
      <c r="D3442" s="1">
        <v>44774</v>
      </c>
      <c r="E3442" s="1">
        <v>45047</v>
      </c>
      <c r="F3442">
        <v>245</v>
      </c>
      <c r="G3442">
        <v>1</v>
      </c>
      <c r="H3442">
        <v>93.53</v>
      </c>
      <c r="I3442">
        <v>54.2</v>
      </c>
      <c r="J3442" t="s">
        <v>115</v>
      </c>
      <c r="K3442" t="s">
        <v>16</v>
      </c>
      <c r="L3442" t="s">
        <v>2095</v>
      </c>
      <c r="M3442">
        <v>1</v>
      </c>
      <c r="N3442" t="s">
        <v>165</v>
      </c>
      <c r="O3442" t="s">
        <v>2088</v>
      </c>
    </row>
    <row r="3443" spans="1:15">
      <c r="A3443" t="s">
        <v>4784</v>
      </c>
      <c r="B3443" t="s">
        <v>2085</v>
      </c>
      <c r="C3443" t="s">
        <v>2100</v>
      </c>
      <c r="D3443" s="1">
        <v>44918</v>
      </c>
      <c r="E3443" s="1">
        <v>45050</v>
      </c>
      <c r="F3443">
        <v>242</v>
      </c>
      <c r="G3443">
        <v>23</v>
      </c>
      <c r="H3443">
        <v>1033.6600000000001</v>
      </c>
      <c r="I3443">
        <v>245.43</v>
      </c>
      <c r="J3443" t="s">
        <v>115</v>
      </c>
      <c r="K3443" t="s">
        <v>16</v>
      </c>
      <c r="L3443" t="s">
        <v>2095</v>
      </c>
      <c r="M3443">
        <v>4</v>
      </c>
      <c r="N3443" t="s">
        <v>204</v>
      </c>
      <c r="O3443" t="s">
        <v>2088</v>
      </c>
    </row>
    <row r="3444" spans="1:15">
      <c r="A3444" t="s">
        <v>4785</v>
      </c>
      <c r="B3444" t="s">
        <v>2085</v>
      </c>
      <c r="C3444" t="s">
        <v>2111</v>
      </c>
      <c r="D3444" s="1">
        <v>44691</v>
      </c>
      <c r="E3444" s="1">
        <v>45061</v>
      </c>
      <c r="F3444">
        <v>231</v>
      </c>
      <c r="G3444">
        <v>21</v>
      </c>
      <c r="H3444">
        <v>1750.86</v>
      </c>
      <c r="I3444">
        <v>161.06</v>
      </c>
      <c r="J3444" t="s">
        <v>66</v>
      </c>
      <c r="K3444" t="s">
        <v>20</v>
      </c>
      <c r="L3444" t="s">
        <v>2106</v>
      </c>
      <c r="M3444">
        <v>1</v>
      </c>
      <c r="N3444" t="s">
        <v>194</v>
      </c>
      <c r="O3444" t="s">
        <v>2096</v>
      </c>
    </row>
    <row r="3445" spans="1:15">
      <c r="A3445" t="s">
        <v>978</v>
      </c>
      <c r="B3445" t="s">
        <v>2090</v>
      </c>
      <c r="C3445" t="s">
        <v>2086</v>
      </c>
      <c r="D3445" s="1">
        <v>43784</v>
      </c>
      <c r="E3445" s="1">
        <v>45180</v>
      </c>
      <c r="F3445">
        <v>112</v>
      </c>
      <c r="G3445">
        <v>8</v>
      </c>
      <c r="H3445">
        <v>151.28</v>
      </c>
      <c r="I3445">
        <v>60.4</v>
      </c>
      <c r="J3445" t="s">
        <v>115</v>
      </c>
      <c r="K3445" t="s">
        <v>16</v>
      </c>
      <c r="L3445" t="s">
        <v>2106</v>
      </c>
      <c r="M3445">
        <v>10</v>
      </c>
      <c r="N3445" t="s">
        <v>174</v>
      </c>
      <c r="O3445" t="s">
        <v>2088</v>
      </c>
    </row>
    <row r="3446" spans="1:15">
      <c r="A3446" t="s">
        <v>4786</v>
      </c>
      <c r="B3446" t="s">
        <v>2093</v>
      </c>
      <c r="C3446" t="s">
        <v>2111</v>
      </c>
      <c r="D3446" s="1">
        <v>44687</v>
      </c>
      <c r="E3446" s="1">
        <v>44954</v>
      </c>
      <c r="F3446">
        <v>338</v>
      </c>
      <c r="G3446">
        <v>2</v>
      </c>
      <c r="H3446">
        <v>103.78</v>
      </c>
      <c r="I3446">
        <v>70.510000000000005</v>
      </c>
      <c r="J3446" t="s">
        <v>115</v>
      </c>
      <c r="K3446" t="s">
        <v>20</v>
      </c>
      <c r="L3446" t="s">
        <v>2087</v>
      </c>
      <c r="M3446">
        <v>10</v>
      </c>
      <c r="N3446" t="s">
        <v>174</v>
      </c>
      <c r="O3446" t="s">
        <v>2109</v>
      </c>
    </row>
    <row r="3447" spans="1:15">
      <c r="A3447" t="s">
        <v>4787</v>
      </c>
      <c r="B3447" t="s">
        <v>2090</v>
      </c>
      <c r="C3447" t="s">
        <v>2100</v>
      </c>
      <c r="D3447" s="1">
        <v>44097</v>
      </c>
      <c r="E3447" s="1">
        <v>44968</v>
      </c>
      <c r="F3447">
        <v>324</v>
      </c>
      <c r="G3447">
        <v>2</v>
      </c>
      <c r="H3447">
        <v>365.61</v>
      </c>
      <c r="I3447">
        <v>106.61</v>
      </c>
      <c r="J3447" t="s">
        <v>90</v>
      </c>
      <c r="K3447" t="s">
        <v>20</v>
      </c>
      <c r="L3447" t="s">
        <v>2087</v>
      </c>
      <c r="M3447">
        <v>1</v>
      </c>
      <c r="N3447" t="s">
        <v>174</v>
      </c>
      <c r="O3447" t="s">
        <v>2109</v>
      </c>
    </row>
    <row r="3448" spans="1:15">
      <c r="A3448" t="s">
        <v>4788</v>
      </c>
      <c r="B3448" t="s">
        <v>2099</v>
      </c>
      <c r="C3448" t="s">
        <v>2100</v>
      </c>
      <c r="D3448" s="1">
        <v>43470</v>
      </c>
      <c r="E3448" s="1">
        <v>45136</v>
      </c>
      <c r="F3448">
        <v>156</v>
      </c>
      <c r="G3448">
        <v>1</v>
      </c>
      <c r="H3448">
        <v>128.58000000000001</v>
      </c>
      <c r="I3448">
        <v>42.26</v>
      </c>
      <c r="J3448" t="s">
        <v>14</v>
      </c>
      <c r="K3448" t="s">
        <v>20</v>
      </c>
      <c r="L3448" t="s">
        <v>2095</v>
      </c>
      <c r="M3448">
        <v>5</v>
      </c>
      <c r="N3448" t="s">
        <v>165</v>
      </c>
      <c r="O3448" t="s">
        <v>2088</v>
      </c>
    </row>
    <row r="3449" spans="1:15">
      <c r="A3449" t="s">
        <v>2070</v>
      </c>
      <c r="B3449" t="s">
        <v>2093</v>
      </c>
      <c r="C3449" t="s">
        <v>2094</v>
      </c>
      <c r="D3449" s="1">
        <v>44855</v>
      </c>
      <c r="E3449" s="1">
        <v>44932</v>
      </c>
      <c r="F3449">
        <v>360</v>
      </c>
      <c r="G3449">
        <v>3</v>
      </c>
      <c r="H3449">
        <v>124.24</v>
      </c>
      <c r="I3449">
        <v>36.81</v>
      </c>
      <c r="J3449" t="s">
        <v>115</v>
      </c>
      <c r="K3449" t="s">
        <v>20</v>
      </c>
      <c r="L3449" t="s">
        <v>2087</v>
      </c>
      <c r="M3449">
        <v>7</v>
      </c>
      <c r="N3449" t="s">
        <v>165</v>
      </c>
      <c r="O3449" t="s">
        <v>2088</v>
      </c>
    </row>
    <row r="3450" spans="1:15">
      <c r="A3450" t="s">
        <v>4789</v>
      </c>
      <c r="B3450" t="s">
        <v>2093</v>
      </c>
      <c r="C3450" t="s">
        <v>2091</v>
      </c>
      <c r="D3450" s="1">
        <v>43479</v>
      </c>
      <c r="E3450" s="1">
        <v>44944</v>
      </c>
      <c r="F3450">
        <v>348</v>
      </c>
      <c r="G3450">
        <v>3</v>
      </c>
      <c r="H3450">
        <v>149.28</v>
      </c>
      <c r="I3450">
        <v>30.6</v>
      </c>
      <c r="J3450" t="s">
        <v>14</v>
      </c>
      <c r="K3450" t="s">
        <v>16</v>
      </c>
      <c r="L3450" t="s">
        <v>2095</v>
      </c>
      <c r="M3450">
        <v>5</v>
      </c>
      <c r="N3450" t="s">
        <v>174</v>
      </c>
      <c r="O3450" t="s">
        <v>2088</v>
      </c>
    </row>
    <row r="3451" spans="1:15">
      <c r="A3451" t="s">
        <v>4790</v>
      </c>
      <c r="B3451" t="s">
        <v>2099</v>
      </c>
      <c r="C3451" t="s">
        <v>2091</v>
      </c>
      <c r="D3451" s="1">
        <v>44712</v>
      </c>
      <c r="E3451" s="1">
        <v>45149</v>
      </c>
      <c r="F3451">
        <v>143</v>
      </c>
      <c r="G3451">
        <v>1</v>
      </c>
      <c r="H3451">
        <v>78.150000000000006</v>
      </c>
      <c r="I3451">
        <v>67.16</v>
      </c>
      <c r="J3451" t="s">
        <v>41</v>
      </c>
      <c r="K3451" t="s">
        <v>20</v>
      </c>
      <c r="L3451" t="s">
        <v>2087</v>
      </c>
      <c r="M3451">
        <v>9</v>
      </c>
      <c r="N3451" t="s">
        <v>194</v>
      </c>
      <c r="O3451" t="s">
        <v>2109</v>
      </c>
    </row>
    <row r="3452" spans="1:15">
      <c r="A3452" t="s">
        <v>4791</v>
      </c>
      <c r="B3452" t="s">
        <v>2099</v>
      </c>
      <c r="C3452" t="s">
        <v>2094</v>
      </c>
      <c r="D3452" s="1">
        <v>44019</v>
      </c>
      <c r="E3452" s="1">
        <v>45228</v>
      </c>
      <c r="F3452">
        <v>64</v>
      </c>
      <c r="G3452">
        <v>2</v>
      </c>
      <c r="H3452">
        <v>103.88</v>
      </c>
      <c r="I3452">
        <v>28.04</v>
      </c>
      <c r="J3452" t="s">
        <v>115</v>
      </c>
      <c r="K3452" t="s">
        <v>16</v>
      </c>
      <c r="L3452" t="s">
        <v>2095</v>
      </c>
      <c r="M3452">
        <v>5</v>
      </c>
      <c r="N3452" t="s">
        <v>174</v>
      </c>
      <c r="O3452" t="s">
        <v>2088</v>
      </c>
    </row>
    <row r="3453" spans="1:15">
      <c r="A3453" t="s">
        <v>4792</v>
      </c>
      <c r="B3453" t="s">
        <v>2090</v>
      </c>
      <c r="C3453" t="s">
        <v>2091</v>
      </c>
      <c r="D3453" s="1">
        <v>45229</v>
      </c>
      <c r="E3453" s="1">
        <v>45133</v>
      </c>
      <c r="F3453">
        <v>159</v>
      </c>
      <c r="G3453">
        <v>2</v>
      </c>
      <c r="H3453">
        <v>106.48</v>
      </c>
      <c r="I3453">
        <v>50.9</v>
      </c>
      <c r="J3453" t="s">
        <v>41</v>
      </c>
      <c r="K3453" t="s">
        <v>16</v>
      </c>
      <c r="L3453" t="s">
        <v>2106</v>
      </c>
      <c r="M3453">
        <v>2</v>
      </c>
      <c r="N3453" t="s">
        <v>157</v>
      </c>
      <c r="O3453" t="s">
        <v>2109</v>
      </c>
    </row>
    <row r="3454" spans="1:15">
      <c r="A3454" t="s">
        <v>1997</v>
      </c>
      <c r="B3454" t="s">
        <v>2099</v>
      </c>
      <c r="C3454" t="s">
        <v>2091</v>
      </c>
      <c r="D3454" s="1">
        <v>44092</v>
      </c>
      <c r="E3454" s="1">
        <v>45274</v>
      </c>
      <c r="F3454">
        <v>18</v>
      </c>
      <c r="G3454">
        <v>2</v>
      </c>
      <c r="H3454">
        <v>27.13</v>
      </c>
      <c r="I3454">
        <v>46.19</v>
      </c>
      <c r="J3454" t="s">
        <v>90</v>
      </c>
      <c r="K3454" t="s">
        <v>20</v>
      </c>
      <c r="L3454" t="s">
        <v>2095</v>
      </c>
      <c r="M3454">
        <v>3</v>
      </c>
      <c r="N3454" t="s">
        <v>232</v>
      </c>
      <c r="O3454" t="s">
        <v>2121</v>
      </c>
    </row>
    <row r="3455" spans="1:15">
      <c r="A3455" t="s">
        <v>4793</v>
      </c>
      <c r="B3455" t="s">
        <v>2093</v>
      </c>
      <c r="C3455" t="s">
        <v>2091</v>
      </c>
      <c r="D3455" s="1">
        <v>43990</v>
      </c>
      <c r="E3455" s="1">
        <v>45202</v>
      </c>
      <c r="F3455">
        <v>90</v>
      </c>
      <c r="G3455">
        <v>3</v>
      </c>
      <c r="H3455">
        <v>74.87</v>
      </c>
      <c r="I3455">
        <v>61.65</v>
      </c>
      <c r="J3455" t="s">
        <v>14</v>
      </c>
      <c r="K3455" t="s">
        <v>16</v>
      </c>
      <c r="L3455" t="s">
        <v>2106</v>
      </c>
      <c r="M3455">
        <v>10</v>
      </c>
      <c r="N3455" t="s">
        <v>174</v>
      </c>
      <c r="O3455" t="s">
        <v>2096</v>
      </c>
    </row>
    <row r="3456" spans="1:15">
      <c r="A3456" t="s">
        <v>4794</v>
      </c>
      <c r="B3456" t="s">
        <v>2085</v>
      </c>
      <c r="C3456" t="s">
        <v>2094</v>
      </c>
      <c r="D3456" s="1">
        <v>44296</v>
      </c>
      <c r="E3456" s="1">
        <v>45235</v>
      </c>
      <c r="F3456">
        <v>57</v>
      </c>
      <c r="G3456">
        <v>22</v>
      </c>
      <c r="H3456">
        <v>2225.5</v>
      </c>
      <c r="I3456">
        <v>167.77</v>
      </c>
      <c r="J3456" t="s">
        <v>14</v>
      </c>
      <c r="K3456" t="s">
        <v>20</v>
      </c>
      <c r="L3456" t="s">
        <v>2087</v>
      </c>
      <c r="M3456">
        <v>1</v>
      </c>
      <c r="N3456" t="s">
        <v>157</v>
      </c>
      <c r="O3456" t="s">
        <v>2088</v>
      </c>
    </row>
    <row r="3457" spans="1:15">
      <c r="A3457" t="s">
        <v>4795</v>
      </c>
      <c r="B3457" t="s">
        <v>2090</v>
      </c>
      <c r="C3457" t="s">
        <v>2091</v>
      </c>
      <c r="D3457" s="1">
        <v>45116</v>
      </c>
      <c r="E3457" s="1">
        <v>45054</v>
      </c>
      <c r="F3457">
        <v>238</v>
      </c>
      <c r="G3457">
        <v>8</v>
      </c>
      <c r="H3457">
        <v>365.73</v>
      </c>
      <c r="I3457">
        <v>118.61</v>
      </c>
      <c r="J3457" t="s">
        <v>41</v>
      </c>
      <c r="K3457" t="s">
        <v>16</v>
      </c>
      <c r="L3457" t="s">
        <v>2087</v>
      </c>
      <c r="M3457">
        <v>0</v>
      </c>
      <c r="N3457" t="s">
        <v>232</v>
      </c>
      <c r="O3457" t="s">
        <v>2107</v>
      </c>
    </row>
    <row r="3458" spans="1:15">
      <c r="A3458" t="s">
        <v>4796</v>
      </c>
      <c r="B3458" t="s">
        <v>2090</v>
      </c>
      <c r="C3458" t="s">
        <v>2091</v>
      </c>
      <c r="D3458" s="1">
        <v>43807</v>
      </c>
      <c r="E3458" s="1">
        <v>45090</v>
      </c>
      <c r="F3458">
        <v>202</v>
      </c>
      <c r="G3458">
        <v>5</v>
      </c>
      <c r="H3458">
        <v>157.51</v>
      </c>
      <c r="I3458">
        <v>77.03</v>
      </c>
      <c r="J3458" t="s">
        <v>41</v>
      </c>
      <c r="K3458" t="s">
        <v>16</v>
      </c>
      <c r="L3458" t="s">
        <v>2087</v>
      </c>
      <c r="M3458">
        <v>3</v>
      </c>
      <c r="N3458" t="s">
        <v>194</v>
      </c>
      <c r="O3458" t="s">
        <v>2107</v>
      </c>
    </row>
    <row r="3459" spans="1:15">
      <c r="A3459" t="s">
        <v>4797</v>
      </c>
      <c r="B3459" t="s">
        <v>2085</v>
      </c>
      <c r="C3459" t="s">
        <v>2086</v>
      </c>
      <c r="D3459" s="1">
        <v>44985</v>
      </c>
      <c r="E3459" s="1">
        <v>45174</v>
      </c>
      <c r="F3459">
        <v>118</v>
      </c>
      <c r="G3459">
        <v>35</v>
      </c>
      <c r="H3459">
        <v>1249.94</v>
      </c>
      <c r="I3459">
        <v>169.89</v>
      </c>
      <c r="J3459" t="s">
        <v>90</v>
      </c>
      <c r="K3459" t="s">
        <v>16</v>
      </c>
      <c r="L3459" t="s">
        <v>2087</v>
      </c>
      <c r="M3459">
        <v>2</v>
      </c>
      <c r="N3459" t="s">
        <v>232</v>
      </c>
      <c r="O3459" t="s">
        <v>2096</v>
      </c>
    </row>
    <row r="3460" spans="1:15">
      <c r="A3460" t="s">
        <v>4798</v>
      </c>
      <c r="B3460" t="s">
        <v>2099</v>
      </c>
      <c r="C3460" t="s">
        <v>2108</v>
      </c>
      <c r="D3460" s="1">
        <v>43491</v>
      </c>
      <c r="E3460" s="1">
        <v>45142</v>
      </c>
      <c r="F3460">
        <v>150</v>
      </c>
      <c r="G3460">
        <v>1</v>
      </c>
      <c r="H3460">
        <v>135.24</v>
      </c>
      <c r="I3460">
        <v>49.9</v>
      </c>
      <c r="J3460" t="s">
        <v>66</v>
      </c>
      <c r="K3460" t="s">
        <v>20</v>
      </c>
      <c r="L3460" t="s">
        <v>2087</v>
      </c>
      <c r="M3460">
        <v>5</v>
      </c>
      <c r="N3460" t="s">
        <v>165</v>
      </c>
      <c r="O3460" t="s">
        <v>2088</v>
      </c>
    </row>
    <row r="3461" spans="1:15">
      <c r="A3461" t="s">
        <v>424</v>
      </c>
      <c r="B3461" t="s">
        <v>2085</v>
      </c>
      <c r="C3461" t="s">
        <v>2111</v>
      </c>
      <c r="D3461" s="1">
        <v>44721</v>
      </c>
      <c r="E3461" s="1">
        <v>45076</v>
      </c>
      <c r="F3461">
        <v>216</v>
      </c>
      <c r="G3461">
        <v>40</v>
      </c>
      <c r="H3461">
        <v>1470.6</v>
      </c>
      <c r="I3461">
        <v>203.7</v>
      </c>
      <c r="J3461" t="s">
        <v>90</v>
      </c>
      <c r="K3461" t="s">
        <v>20</v>
      </c>
      <c r="L3461" t="s">
        <v>2106</v>
      </c>
      <c r="M3461">
        <v>2</v>
      </c>
      <c r="N3461" t="s">
        <v>232</v>
      </c>
      <c r="O3461" t="s">
        <v>2109</v>
      </c>
    </row>
    <row r="3462" spans="1:15">
      <c r="A3462" t="s">
        <v>4799</v>
      </c>
      <c r="B3462" t="s">
        <v>2097</v>
      </c>
      <c r="C3462" t="s">
        <v>2086</v>
      </c>
      <c r="D3462" s="1">
        <v>44998</v>
      </c>
      <c r="E3462" s="1">
        <v>45019</v>
      </c>
      <c r="F3462">
        <v>273</v>
      </c>
      <c r="G3462">
        <v>8</v>
      </c>
      <c r="H3462">
        <v>627.54</v>
      </c>
      <c r="I3462">
        <v>102.16</v>
      </c>
      <c r="J3462" t="s">
        <v>41</v>
      </c>
      <c r="K3462" t="s">
        <v>20</v>
      </c>
      <c r="L3462" t="s">
        <v>2106</v>
      </c>
      <c r="M3462">
        <v>7</v>
      </c>
      <c r="N3462" t="s">
        <v>174</v>
      </c>
      <c r="O3462" t="s">
        <v>2109</v>
      </c>
    </row>
    <row r="3463" spans="1:15">
      <c r="A3463" t="s">
        <v>4800</v>
      </c>
      <c r="B3463" t="s">
        <v>2097</v>
      </c>
      <c r="C3463" t="s">
        <v>2100</v>
      </c>
      <c r="D3463" s="1">
        <v>44948</v>
      </c>
      <c r="E3463" s="1">
        <v>45038</v>
      </c>
      <c r="F3463">
        <v>254</v>
      </c>
      <c r="G3463">
        <v>8</v>
      </c>
      <c r="H3463">
        <v>714.81</v>
      </c>
      <c r="I3463">
        <v>145.16999999999999</v>
      </c>
      <c r="J3463" t="s">
        <v>14</v>
      </c>
      <c r="K3463" t="s">
        <v>20</v>
      </c>
      <c r="L3463" t="s">
        <v>2095</v>
      </c>
      <c r="M3463">
        <v>5</v>
      </c>
      <c r="N3463" t="s">
        <v>194</v>
      </c>
      <c r="O3463" t="s">
        <v>2088</v>
      </c>
    </row>
    <row r="3464" spans="1:15">
      <c r="A3464" t="s">
        <v>4801</v>
      </c>
      <c r="B3464" t="s">
        <v>2097</v>
      </c>
      <c r="C3464" t="s">
        <v>2111</v>
      </c>
      <c r="D3464" s="1">
        <v>44913</v>
      </c>
      <c r="E3464" s="1">
        <v>45267</v>
      </c>
      <c r="F3464">
        <v>25</v>
      </c>
      <c r="G3464">
        <v>5</v>
      </c>
      <c r="H3464">
        <v>421.74</v>
      </c>
      <c r="I3464">
        <v>125.57</v>
      </c>
      <c r="J3464" t="s">
        <v>90</v>
      </c>
      <c r="K3464" t="s">
        <v>16</v>
      </c>
      <c r="L3464" t="s">
        <v>2087</v>
      </c>
      <c r="M3464">
        <v>0</v>
      </c>
      <c r="N3464" t="s">
        <v>174</v>
      </c>
      <c r="O3464" t="s">
        <v>2096</v>
      </c>
    </row>
    <row r="3465" spans="1:15">
      <c r="A3465" t="s">
        <v>4802</v>
      </c>
      <c r="B3465" t="s">
        <v>2113</v>
      </c>
      <c r="C3465" t="s">
        <v>2091</v>
      </c>
      <c r="D3465" s="1">
        <v>44386</v>
      </c>
      <c r="E3465" s="1">
        <v>44939</v>
      </c>
      <c r="F3465">
        <v>353</v>
      </c>
      <c r="G3465">
        <v>11</v>
      </c>
      <c r="H3465">
        <v>525.05999999999995</v>
      </c>
      <c r="I3465">
        <v>61.8</v>
      </c>
      <c r="J3465" t="s">
        <v>66</v>
      </c>
      <c r="K3465" t="s">
        <v>16</v>
      </c>
      <c r="L3465" t="s">
        <v>2087</v>
      </c>
      <c r="M3465">
        <v>7</v>
      </c>
      <c r="N3465" t="s">
        <v>204</v>
      </c>
      <c r="O3465" t="s">
        <v>2121</v>
      </c>
    </row>
    <row r="3466" spans="1:15">
      <c r="A3466" t="s">
        <v>4803</v>
      </c>
      <c r="B3466" t="s">
        <v>2099</v>
      </c>
      <c r="C3466" t="s">
        <v>2086</v>
      </c>
      <c r="D3466" s="1">
        <v>43950</v>
      </c>
      <c r="E3466" s="1">
        <v>45152</v>
      </c>
      <c r="F3466">
        <v>140</v>
      </c>
      <c r="G3466">
        <v>2</v>
      </c>
      <c r="H3466">
        <v>47.5</v>
      </c>
      <c r="I3466">
        <v>59</v>
      </c>
      <c r="J3466" t="s">
        <v>115</v>
      </c>
      <c r="K3466" t="s">
        <v>20</v>
      </c>
      <c r="L3466" t="s">
        <v>2087</v>
      </c>
      <c r="M3466">
        <v>0</v>
      </c>
      <c r="N3466" t="s">
        <v>232</v>
      </c>
      <c r="O3466" t="s">
        <v>2096</v>
      </c>
    </row>
    <row r="3467" spans="1:15">
      <c r="A3467" t="s">
        <v>1894</v>
      </c>
      <c r="B3467" t="s">
        <v>2093</v>
      </c>
      <c r="C3467" t="s">
        <v>2108</v>
      </c>
      <c r="D3467" s="1">
        <v>44660</v>
      </c>
      <c r="E3467" s="1">
        <v>45208</v>
      </c>
      <c r="F3467">
        <v>84</v>
      </c>
      <c r="G3467">
        <v>3</v>
      </c>
      <c r="H3467">
        <v>72.19</v>
      </c>
      <c r="I3467">
        <v>31.06</v>
      </c>
      <c r="J3467" t="s">
        <v>14</v>
      </c>
      <c r="K3467" t="s">
        <v>16</v>
      </c>
      <c r="L3467" t="s">
        <v>2106</v>
      </c>
      <c r="M3467">
        <v>2</v>
      </c>
      <c r="N3467" t="s">
        <v>165</v>
      </c>
      <c r="O3467" t="s">
        <v>2107</v>
      </c>
    </row>
    <row r="3468" spans="1:15">
      <c r="A3468" t="s">
        <v>4804</v>
      </c>
      <c r="B3468" t="s">
        <v>2093</v>
      </c>
      <c r="C3468" t="s">
        <v>2108</v>
      </c>
      <c r="D3468" s="1">
        <v>44393</v>
      </c>
      <c r="E3468" s="1">
        <v>45279</v>
      </c>
      <c r="F3468">
        <v>13</v>
      </c>
      <c r="G3468">
        <v>5</v>
      </c>
      <c r="H3468">
        <v>96.36</v>
      </c>
      <c r="I3468">
        <v>69.66</v>
      </c>
      <c r="J3468" t="s">
        <v>66</v>
      </c>
      <c r="K3468" t="s">
        <v>16</v>
      </c>
      <c r="L3468" t="s">
        <v>2106</v>
      </c>
      <c r="M3468">
        <v>7</v>
      </c>
      <c r="N3468" t="s">
        <v>179</v>
      </c>
      <c r="O3468" t="s">
        <v>2109</v>
      </c>
    </row>
    <row r="3469" spans="1:15">
      <c r="A3469" t="s">
        <v>4805</v>
      </c>
      <c r="B3469" t="s">
        <v>2113</v>
      </c>
      <c r="C3469" t="s">
        <v>2091</v>
      </c>
      <c r="D3469" s="1">
        <v>44137</v>
      </c>
      <c r="E3469" s="1">
        <v>45123</v>
      </c>
      <c r="F3469">
        <v>169</v>
      </c>
      <c r="G3469">
        <v>14</v>
      </c>
      <c r="H3469">
        <v>266.08999999999997</v>
      </c>
      <c r="I3469">
        <v>37.93</v>
      </c>
      <c r="J3469" t="s">
        <v>41</v>
      </c>
      <c r="K3469" t="s">
        <v>16</v>
      </c>
      <c r="L3469" t="s">
        <v>2095</v>
      </c>
      <c r="M3469">
        <v>8</v>
      </c>
      <c r="N3469" t="s">
        <v>165</v>
      </c>
      <c r="O3469" t="s">
        <v>2107</v>
      </c>
    </row>
    <row r="3470" spans="1:15">
      <c r="A3470" t="s">
        <v>4806</v>
      </c>
      <c r="B3470" t="s">
        <v>2113</v>
      </c>
      <c r="C3470" t="s">
        <v>2086</v>
      </c>
      <c r="D3470" s="1">
        <v>45104</v>
      </c>
      <c r="E3470" s="1">
        <v>44994</v>
      </c>
      <c r="F3470">
        <v>298</v>
      </c>
      <c r="G3470">
        <v>18</v>
      </c>
      <c r="H3470">
        <v>515.55999999999995</v>
      </c>
      <c r="I3470">
        <v>63.83</v>
      </c>
      <c r="J3470" t="s">
        <v>115</v>
      </c>
      <c r="K3470" t="s">
        <v>20</v>
      </c>
      <c r="L3470" t="s">
        <v>2106</v>
      </c>
      <c r="M3470">
        <v>6</v>
      </c>
      <c r="N3470" t="s">
        <v>174</v>
      </c>
      <c r="O3470" t="s">
        <v>2107</v>
      </c>
    </row>
    <row r="3471" spans="1:15">
      <c r="A3471" t="s">
        <v>4807</v>
      </c>
      <c r="B3471" t="s">
        <v>2090</v>
      </c>
      <c r="C3471" t="s">
        <v>2108</v>
      </c>
      <c r="D3471" s="1">
        <v>44236</v>
      </c>
      <c r="E3471" s="1">
        <v>44949</v>
      </c>
      <c r="F3471">
        <v>343</v>
      </c>
      <c r="G3471">
        <v>2</v>
      </c>
      <c r="H3471">
        <v>223.22</v>
      </c>
      <c r="I3471">
        <v>84.72</v>
      </c>
      <c r="J3471" t="s">
        <v>90</v>
      </c>
      <c r="K3471" t="s">
        <v>20</v>
      </c>
      <c r="L3471" t="s">
        <v>2106</v>
      </c>
      <c r="M3471">
        <v>10</v>
      </c>
      <c r="N3471" t="s">
        <v>157</v>
      </c>
      <c r="O3471" t="s">
        <v>2088</v>
      </c>
    </row>
    <row r="3472" spans="1:15">
      <c r="A3472" t="s">
        <v>4808</v>
      </c>
      <c r="B3472" t="s">
        <v>2090</v>
      </c>
      <c r="C3472" t="s">
        <v>2086</v>
      </c>
      <c r="D3472" s="1">
        <v>44253</v>
      </c>
      <c r="E3472" s="1">
        <v>45263</v>
      </c>
      <c r="F3472">
        <v>29</v>
      </c>
      <c r="G3472">
        <v>4</v>
      </c>
      <c r="H3472">
        <v>188.76</v>
      </c>
      <c r="I3472">
        <v>42.96</v>
      </c>
      <c r="J3472" t="s">
        <v>41</v>
      </c>
      <c r="K3472" t="s">
        <v>20</v>
      </c>
      <c r="L3472" t="s">
        <v>2106</v>
      </c>
      <c r="M3472">
        <v>2</v>
      </c>
      <c r="N3472" t="s">
        <v>232</v>
      </c>
      <c r="O3472" t="s">
        <v>2107</v>
      </c>
    </row>
    <row r="3473" spans="1:15">
      <c r="A3473" t="s">
        <v>4809</v>
      </c>
      <c r="B3473" t="s">
        <v>2085</v>
      </c>
      <c r="C3473" t="s">
        <v>2111</v>
      </c>
      <c r="D3473" s="1">
        <v>44962</v>
      </c>
      <c r="E3473" s="1">
        <v>45120</v>
      </c>
      <c r="F3473">
        <v>172</v>
      </c>
      <c r="G3473">
        <v>24</v>
      </c>
      <c r="H3473">
        <v>1120.55</v>
      </c>
      <c r="I3473">
        <v>216.44</v>
      </c>
      <c r="J3473" t="s">
        <v>66</v>
      </c>
      <c r="K3473" t="s">
        <v>20</v>
      </c>
      <c r="L3473" t="s">
        <v>2095</v>
      </c>
      <c r="M3473">
        <v>7</v>
      </c>
      <c r="N3473" t="s">
        <v>232</v>
      </c>
      <c r="O3473" t="s">
        <v>2121</v>
      </c>
    </row>
    <row r="3474" spans="1:15">
      <c r="A3474" t="s">
        <v>4810</v>
      </c>
      <c r="B3474" t="s">
        <v>2093</v>
      </c>
      <c r="C3474" t="s">
        <v>2100</v>
      </c>
      <c r="D3474" s="1">
        <v>43583</v>
      </c>
      <c r="E3474" s="1">
        <v>45052</v>
      </c>
      <c r="F3474">
        <v>240</v>
      </c>
      <c r="G3474">
        <v>4</v>
      </c>
      <c r="H3474">
        <v>165.15</v>
      </c>
      <c r="I3474">
        <v>26.35</v>
      </c>
      <c r="J3474" t="s">
        <v>41</v>
      </c>
      <c r="K3474" t="s">
        <v>20</v>
      </c>
      <c r="L3474" t="s">
        <v>2095</v>
      </c>
      <c r="M3474">
        <v>5</v>
      </c>
      <c r="N3474" t="s">
        <v>204</v>
      </c>
      <c r="O3474" t="s">
        <v>2088</v>
      </c>
    </row>
    <row r="3475" spans="1:15">
      <c r="A3475" t="s">
        <v>4811</v>
      </c>
      <c r="B3475" t="s">
        <v>2113</v>
      </c>
      <c r="C3475" t="s">
        <v>2086</v>
      </c>
      <c r="D3475" s="1">
        <v>43536</v>
      </c>
      <c r="E3475" s="1">
        <v>45278</v>
      </c>
      <c r="F3475">
        <v>14</v>
      </c>
      <c r="G3475">
        <v>18</v>
      </c>
      <c r="H3475">
        <v>556.46</v>
      </c>
      <c r="I3475">
        <v>45.8</v>
      </c>
      <c r="J3475" t="s">
        <v>90</v>
      </c>
      <c r="K3475" t="s">
        <v>20</v>
      </c>
      <c r="L3475" t="s">
        <v>2087</v>
      </c>
      <c r="M3475">
        <v>1</v>
      </c>
      <c r="N3475" t="s">
        <v>157</v>
      </c>
      <c r="O3475" t="s">
        <v>2107</v>
      </c>
    </row>
    <row r="3476" spans="1:15">
      <c r="A3476" t="s">
        <v>4812</v>
      </c>
      <c r="B3476" t="s">
        <v>2113</v>
      </c>
      <c r="C3476" t="s">
        <v>2111</v>
      </c>
      <c r="D3476" s="1">
        <v>44658</v>
      </c>
      <c r="E3476" s="1">
        <v>45272</v>
      </c>
      <c r="F3476">
        <v>20</v>
      </c>
      <c r="G3476">
        <v>10</v>
      </c>
      <c r="H3476">
        <v>373.56</v>
      </c>
      <c r="I3476">
        <v>57.31</v>
      </c>
      <c r="J3476" t="s">
        <v>115</v>
      </c>
      <c r="K3476" t="s">
        <v>20</v>
      </c>
      <c r="L3476" t="s">
        <v>2106</v>
      </c>
      <c r="M3476">
        <v>6</v>
      </c>
      <c r="N3476" t="s">
        <v>179</v>
      </c>
      <c r="O3476" t="s">
        <v>2096</v>
      </c>
    </row>
    <row r="3477" spans="1:15">
      <c r="A3477" t="s">
        <v>4813</v>
      </c>
      <c r="B3477" t="s">
        <v>2090</v>
      </c>
      <c r="C3477" t="s">
        <v>2094</v>
      </c>
      <c r="D3477" s="1">
        <v>44408</v>
      </c>
      <c r="E3477" s="1">
        <v>44977</v>
      </c>
      <c r="F3477">
        <v>315</v>
      </c>
      <c r="G3477">
        <v>2</v>
      </c>
      <c r="H3477">
        <v>109.36</v>
      </c>
      <c r="I3477">
        <v>111.67</v>
      </c>
      <c r="J3477" t="s">
        <v>115</v>
      </c>
      <c r="K3477" t="s">
        <v>20</v>
      </c>
      <c r="L3477" t="s">
        <v>2095</v>
      </c>
      <c r="M3477">
        <v>3</v>
      </c>
      <c r="N3477" t="s">
        <v>165</v>
      </c>
      <c r="O3477" t="s">
        <v>2109</v>
      </c>
    </row>
    <row r="3478" spans="1:15">
      <c r="A3478" t="s">
        <v>4814</v>
      </c>
      <c r="B3478" t="s">
        <v>2085</v>
      </c>
      <c r="C3478" t="s">
        <v>2108</v>
      </c>
      <c r="D3478" s="1">
        <v>43526</v>
      </c>
      <c r="E3478" s="1">
        <v>45186</v>
      </c>
      <c r="F3478">
        <v>106</v>
      </c>
      <c r="G3478">
        <v>19</v>
      </c>
      <c r="H3478">
        <v>2515.91</v>
      </c>
      <c r="I3478">
        <v>182.8</v>
      </c>
      <c r="J3478" t="s">
        <v>66</v>
      </c>
      <c r="K3478" t="s">
        <v>20</v>
      </c>
      <c r="L3478" t="s">
        <v>2106</v>
      </c>
      <c r="M3478">
        <v>8</v>
      </c>
      <c r="N3478" t="s">
        <v>194</v>
      </c>
      <c r="O3478" t="s">
        <v>2121</v>
      </c>
    </row>
    <row r="3479" spans="1:15">
      <c r="A3479" t="s">
        <v>4815</v>
      </c>
      <c r="B3479" t="s">
        <v>2113</v>
      </c>
      <c r="C3479" t="s">
        <v>2091</v>
      </c>
      <c r="D3479" s="1">
        <v>45062</v>
      </c>
      <c r="E3479" s="1">
        <v>44984</v>
      </c>
      <c r="F3479">
        <v>308</v>
      </c>
      <c r="G3479">
        <v>11</v>
      </c>
      <c r="H3479">
        <v>501.11</v>
      </c>
      <c r="I3479">
        <v>54.4</v>
      </c>
      <c r="J3479" t="s">
        <v>41</v>
      </c>
      <c r="K3479" t="s">
        <v>16</v>
      </c>
      <c r="L3479" t="s">
        <v>2106</v>
      </c>
      <c r="M3479">
        <v>7</v>
      </c>
      <c r="N3479" t="s">
        <v>204</v>
      </c>
      <c r="O3479" t="s">
        <v>2109</v>
      </c>
    </row>
    <row r="3480" spans="1:15">
      <c r="A3480" t="s">
        <v>4816</v>
      </c>
      <c r="B3480" t="s">
        <v>2097</v>
      </c>
      <c r="C3480" t="s">
        <v>2111</v>
      </c>
      <c r="D3480" s="1">
        <v>43614</v>
      </c>
      <c r="E3480" s="1">
        <v>45227</v>
      </c>
      <c r="F3480">
        <v>65</v>
      </c>
      <c r="G3480">
        <v>11</v>
      </c>
      <c r="H3480">
        <v>657.87</v>
      </c>
      <c r="I3480">
        <v>72.37</v>
      </c>
      <c r="J3480" t="s">
        <v>115</v>
      </c>
      <c r="K3480" t="s">
        <v>16</v>
      </c>
      <c r="L3480" t="s">
        <v>2087</v>
      </c>
      <c r="M3480">
        <v>3</v>
      </c>
      <c r="N3480" t="s">
        <v>232</v>
      </c>
      <c r="O3480" t="s">
        <v>2121</v>
      </c>
    </row>
    <row r="3481" spans="1:15">
      <c r="A3481" t="s">
        <v>4817</v>
      </c>
      <c r="B3481" t="s">
        <v>2093</v>
      </c>
      <c r="C3481" t="s">
        <v>2100</v>
      </c>
      <c r="D3481" s="1">
        <v>44426</v>
      </c>
      <c r="E3481" s="1">
        <v>45218</v>
      </c>
      <c r="F3481">
        <v>74</v>
      </c>
      <c r="G3481">
        <v>2</v>
      </c>
      <c r="H3481">
        <v>37.93</v>
      </c>
      <c r="I3481">
        <v>55.48</v>
      </c>
      <c r="J3481" t="s">
        <v>66</v>
      </c>
      <c r="K3481" t="s">
        <v>16</v>
      </c>
      <c r="L3481" t="s">
        <v>2106</v>
      </c>
      <c r="M3481">
        <v>4</v>
      </c>
      <c r="N3481" t="s">
        <v>157</v>
      </c>
      <c r="O3481" t="s">
        <v>2096</v>
      </c>
    </row>
    <row r="3482" spans="1:15">
      <c r="A3482" t="s">
        <v>4818</v>
      </c>
      <c r="B3482" t="s">
        <v>2090</v>
      </c>
      <c r="C3482" t="s">
        <v>2108</v>
      </c>
      <c r="D3482" s="1">
        <v>43600</v>
      </c>
      <c r="E3482" s="1">
        <v>45196</v>
      </c>
      <c r="F3482">
        <v>96</v>
      </c>
      <c r="G3482">
        <v>2</v>
      </c>
      <c r="H3482">
        <v>257.95999999999998</v>
      </c>
      <c r="I3482">
        <v>116.86</v>
      </c>
      <c r="J3482" t="s">
        <v>90</v>
      </c>
      <c r="K3482" t="s">
        <v>16</v>
      </c>
      <c r="L3482" t="s">
        <v>2087</v>
      </c>
      <c r="M3482">
        <v>2</v>
      </c>
      <c r="N3482" t="s">
        <v>232</v>
      </c>
      <c r="O3482" t="s">
        <v>2096</v>
      </c>
    </row>
    <row r="3483" spans="1:15">
      <c r="A3483" t="s">
        <v>4819</v>
      </c>
      <c r="B3483" t="s">
        <v>2093</v>
      </c>
      <c r="C3483" t="s">
        <v>2086</v>
      </c>
      <c r="D3483" s="1">
        <v>44257</v>
      </c>
      <c r="E3483" s="1">
        <v>45109</v>
      </c>
      <c r="F3483">
        <v>183</v>
      </c>
      <c r="G3483">
        <v>2</v>
      </c>
      <c r="H3483">
        <v>47.82</v>
      </c>
      <c r="I3483">
        <v>29.57</v>
      </c>
      <c r="J3483" t="s">
        <v>90</v>
      </c>
      <c r="K3483" t="s">
        <v>16</v>
      </c>
      <c r="L3483" t="s">
        <v>2087</v>
      </c>
      <c r="M3483">
        <v>0</v>
      </c>
      <c r="N3483" t="s">
        <v>157</v>
      </c>
      <c r="O3483" t="s">
        <v>2096</v>
      </c>
    </row>
    <row r="3484" spans="1:15">
      <c r="A3484" t="s">
        <v>4820</v>
      </c>
      <c r="B3484" t="s">
        <v>2097</v>
      </c>
      <c r="C3484" t="s">
        <v>2100</v>
      </c>
      <c r="D3484" s="1">
        <v>44546</v>
      </c>
      <c r="E3484" s="1">
        <v>44985</v>
      </c>
      <c r="F3484">
        <v>307</v>
      </c>
      <c r="G3484">
        <v>6</v>
      </c>
      <c r="H3484">
        <v>219.48</v>
      </c>
      <c r="I3484">
        <v>57.22</v>
      </c>
      <c r="J3484" t="s">
        <v>14</v>
      </c>
      <c r="K3484" t="s">
        <v>16</v>
      </c>
      <c r="L3484" t="s">
        <v>2095</v>
      </c>
      <c r="M3484">
        <v>3</v>
      </c>
      <c r="N3484" t="s">
        <v>179</v>
      </c>
      <c r="O3484" t="s">
        <v>2107</v>
      </c>
    </row>
    <row r="3485" spans="1:15">
      <c r="A3485" t="s">
        <v>4821</v>
      </c>
      <c r="B3485" t="s">
        <v>2099</v>
      </c>
      <c r="C3485" t="s">
        <v>2086</v>
      </c>
      <c r="D3485" s="1">
        <v>45253</v>
      </c>
      <c r="E3485" s="1">
        <v>44967</v>
      </c>
      <c r="F3485">
        <v>325</v>
      </c>
      <c r="G3485">
        <v>2</v>
      </c>
      <c r="H3485">
        <v>88.36</v>
      </c>
      <c r="I3485">
        <v>64.11</v>
      </c>
      <c r="J3485" t="s">
        <v>66</v>
      </c>
      <c r="K3485" t="s">
        <v>20</v>
      </c>
      <c r="L3485" t="s">
        <v>2095</v>
      </c>
      <c r="M3485">
        <v>0</v>
      </c>
      <c r="N3485" t="s">
        <v>204</v>
      </c>
      <c r="O3485" t="s">
        <v>2107</v>
      </c>
    </row>
    <row r="3486" spans="1:15">
      <c r="A3486" t="s">
        <v>4822</v>
      </c>
      <c r="B3486" t="s">
        <v>2085</v>
      </c>
      <c r="C3486" t="s">
        <v>2091</v>
      </c>
      <c r="D3486" s="1">
        <v>43732</v>
      </c>
      <c r="E3486" s="1">
        <v>45159</v>
      </c>
      <c r="F3486">
        <v>133</v>
      </c>
      <c r="G3486">
        <v>39</v>
      </c>
      <c r="H3486">
        <v>1375.77</v>
      </c>
      <c r="I3486">
        <v>176.21</v>
      </c>
      <c r="J3486" t="s">
        <v>90</v>
      </c>
      <c r="K3486" t="s">
        <v>16</v>
      </c>
      <c r="L3486" t="s">
        <v>2106</v>
      </c>
      <c r="M3486">
        <v>9</v>
      </c>
      <c r="N3486" t="s">
        <v>174</v>
      </c>
      <c r="O3486" t="s">
        <v>2096</v>
      </c>
    </row>
    <row r="3487" spans="1:15">
      <c r="A3487" t="s">
        <v>4823</v>
      </c>
      <c r="B3487" t="s">
        <v>2090</v>
      </c>
      <c r="C3487" t="s">
        <v>2100</v>
      </c>
      <c r="D3487" s="1">
        <v>43504</v>
      </c>
      <c r="E3487" s="1">
        <v>44962</v>
      </c>
      <c r="F3487">
        <v>330</v>
      </c>
      <c r="G3487">
        <v>4</v>
      </c>
      <c r="H3487">
        <v>152.08000000000001</v>
      </c>
      <c r="I3487">
        <v>114.73</v>
      </c>
      <c r="J3487" t="s">
        <v>115</v>
      </c>
      <c r="K3487" t="s">
        <v>20</v>
      </c>
      <c r="L3487" t="s">
        <v>2095</v>
      </c>
      <c r="M3487">
        <v>5</v>
      </c>
      <c r="N3487" t="s">
        <v>174</v>
      </c>
      <c r="O3487" t="s">
        <v>2107</v>
      </c>
    </row>
    <row r="3488" spans="1:15">
      <c r="A3488" t="s">
        <v>1827</v>
      </c>
      <c r="B3488" t="s">
        <v>2099</v>
      </c>
      <c r="C3488" t="s">
        <v>2091</v>
      </c>
      <c r="D3488" s="1">
        <v>43502</v>
      </c>
      <c r="E3488" s="1">
        <v>44965</v>
      </c>
      <c r="F3488">
        <v>327</v>
      </c>
      <c r="G3488">
        <v>1</v>
      </c>
      <c r="H3488">
        <v>40.29</v>
      </c>
      <c r="I3488">
        <v>63.46</v>
      </c>
      <c r="J3488" t="s">
        <v>90</v>
      </c>
      <c r="K3488" t="s">
        <v>16</v>
      </c>
      <c r="L3488" t="s">
        <v>2095</v>
      </c>
      <c r="M3488">
        <v>0</v>
      </c>
      <c r="N3488" t="s">
        <v>179</v>
      </c>
      <c r="O3488" t="s">
        <v>2088</v>
      </c>
    </row>
    <row r="3489" spans="1:15">
      <c r="A3489" t="s">
        <v>4824</v>
      </c>
      <c r="B3489" t="s">
        <v>2093</v>
      </c>
      <c r="C3489" t="s">
        <v>2111</v>
      </c>
      <c r="D3489" s="1">
        <v>44688</v>
      </c>
      <c r="E3489" s="1">
        <v>45086</v>
      </c>
      <c r="F3489">
        <v>206</v>
      </c>
      <c r="G3489">
        <v>5</v>
      </c>
      <c r="H3489">
        <v>180.9</v>
      </c>
      <c r="I3489">
        <v>25.46</v>
      </c>
      <c r="J3489" t="s">
        <v>14</v>
      </c>
      <c r="K3489" t="s">
        <v>16</v>
      </c>
      <c r="L3489" t="s">
        <v>2087</v>
      </c>
      <c r="M3489">
        <v>9</v>
      </c>
      <c r="N3489" t="s">
        <v>204</v>
      </c>
      <c r="O3489" t="s">
        <v>2096</v>
      </c>
    </row>
    <row r="3490" spans="1:15">
      <c r="A3490" t="s">
        <v>317</v>
      </c>
      <c r="B3490" t="s">
        <v>2093</v>
      </c>
      <c r="C3490" t="s">
        <v>2091</v>
      </c>
      <c r="D3490" s="1">
        <v>44419</v>
      </c>
      <c r="E3490" s="1">
        <v>45180</v>
      </c>
      <c r="F3490">
        <v>112</v>
      </c>
      <c r="G3490">
        <v>2</v>
      </c>
      <c r="H3490">
        <v>168.71</v>
      </c>
      <c r="I3490">
        <v>22.15</v>
      </c>
      <c r="J3490" t="s">
        <v>90</v>
      </c>
      <c r="K3490" t="s">
        <v>16</v>
      </c>
      <c r="L3490" t="s">
        <v>2095</v>
      </c>
      <c r="M3490">
        <v>10</v>
      </c>
      <c r="N3490" t="s">
        <v>165</v>
      </c>
      <c r="O3490" t="s">
        <v>2121</v>
      </c>
    </row>
    <row r="3491" spans="1:15">
      <c r="A3491" t="s">
        <v>4825</v>
      </c>
      <c r="B3491" t="s">
        <v>2113</v>
      </c>
      <c r="C3491" t="s">
        <v>2100</v>
      </c>
      <c r="D3491" s="1">
        <v>44595</v>
      </c>
      <c r="E3491" s="1">
        <v>44930</v>
      </c>
      <c r="F3491">
        <v>362</v>
      </c>
      <c r="G3491">
        <v>6</v>
      </c>
      <c r="H3491">
        <v>448.05</v>
      </c>
      <c r="I3491">
        <v>58.57</v>
      </c>
      <c r="J3491" t="s">
        <v>41</v>
      </c>
      <c r="K3491" t="s">
        <v>20</v>
      </c>
      <c r="L3491" t="s">
        <v>2106</v>
      </c>
      <c r="M3491">
        <v>5</v>
      </c>
      <c r="N3491" t="s">
        <v>157</v>
      </c>
      <c r="O3491" t="s">
        <v>2107</v>
      </c>
    </row>
    <row r="3492" spans="1:15">
      <c r="A3492" t="s">
        <v>4826</v>
      </c>
      <c r="B3492" t="s">
        <v>2097</v>
      </c>
      <c r="C3492" t="s">
        <v>2100</v>
      </c>
      <c r="D3492" s="1">
        <v>44920</v>
      </c>
      <c r="E3492" s="1">
        <v>45022</v>
      </c>
      <c r="F3492">
        <v>270</v>
      </c>
      <c r="G3492">
        <v>8</v>
      </c>
      <c r="H3492">
        <v>167.69</v>
      </c>
      <c r="I3492">
        <v>145.47</v>
      </c>
      <c r="J3492" t="s">
        <v>41</v>
      </c>
      <c r="K3492" t="s">
        <v>16</v>
      </c>
      <c r="L3492" t="s">
        <v>2095</v>
      </c>
      <c r="M3492">
        <v>0</v>
      </c>
      <c r="N3492" t="s">
        <v>194</v>
      </c>
      <c r="O3492" t="s">
        <v>2088</v>
      </c>
    </row>
    <row r="3493" spans="1:15">
      <c r="A3493" t="s">
        <v>4827</v>
      </c>
      <c r="B3493" t="s">
        <v>2113</v>
      </c>
      <c r="C3493" t="s">
        <v>2108</v>
      </c>
      <c r="D3493" s="1">
        <v>43538</v>
      </c>
      <c r="E3493" s="1">
        <v>45112</v>
      </c>
      <c r="F3493">
        <v>180</v>
      </c>
      <c r="G3493">
        <v>17</v>
      </c>
      <c r="H3493">
        <v>569.17999999999995</v>
      </c>
      <c r="I3493">
        <v>54.27</v>
      </c>
      <c r="J3493" t="s">
        <v>14</v>
      </c>
      <c r="K3493" t="s">
        <v>20</v>
      </c>
      <c r="L3493" t="s">
        <v>2087</v>
      </c>
      <c r="M3493">
        <v>1</v>
      </c>
      <c r="N3493" t="s">
        <v>157</v>
      </c>
      <c r="O3493" t="s">
        <v>2107</v>
      </c>
    </row>
    <row r="3494" spans="1:15">
      <c r="A3494" t="s">
        <v>4828</v>
      </c>
      <c r="B3494" t="s">
        <v>2093</v>
      </c>
      <c r="C3494" t="s">
        <v>2086</v>
      </c>
      <c r="D3494" s="1">
        <v>43881</v>
      </c>
      <c r="E3494" s="1">
        <v>44955</v>
      </c>
      <c r="F3494">
        <v>337</v>
      </c>
      <c r="G3494">
        <v>2</v>
      </c>
      <c r="H3494">
        <v>34.979999999999997</v>
      </c>
      <c r="I3494">
        <v>43.75</v>
      </c>
      <c r="J3494" t="s">
        <v>41</v>
      </c>
      <c r="K3494" t="s">
        <v>16</v>
      </c>
      <c r="L3494" t="s">
        <v>2095</v>
      </c>
      <c r="M3494">
        <v>7</v>
      </c>
      <c r="N3494" t="s">
        <v>194</v>
      </c>
      <c r="O3494" t="s">
        <v>2096</v>
      </c>
    </row>
    <row r="3495" spans="1:15">
      <c r="A3495" t="s">
        <v>1857</v>
      </c>
      <c r="B3495" t="s">
        <v>2093</v>
      </c>
      <c r="C3495" t="s">
        <v>2094</v>
      </c>
      <c r="D3495" s="1">
        <v>44325</v>
      </c>
      <c r="E3495" s="1">
        <v>45139</v>
      </c>
      <c r="F3495">
        <v>153</v>
      </c>
      <c r="G3495">
        <v>2</v>
      </c>
      <c r="H3495">
        <v>87.45</v>
      </c>
      <c r="I3495">
        <v>57.91</v>
      </c>
      <c r="J3495" t="s">
        <v>41</v>
      </c>
      <c r="K3495" t="s">
        <v>16</v>
      </c>
      <c r="L3495" t="s">
        <v>2106</v>
      </c>
      <c r="M3495">
        <v>0</v>
      </c>
      <c r="N3495" t="s">
        <v>157</v>
      </c>
      <c r="O3495" t="s">
        <v>2109</v>
      </c>
    </row>
    <row r="3496" spans="1:15">
      <c r="A3496" t="s">
        <v>4829</v>
      </c>
      <c r="B3496" t="s">
        <v>2097</v>
      </c>
      <c r="C3496" t="s">
        <v>2091</v>
      </c>
      <c r="D3496" s="1">
        <v>44035</v>
      </c>
      <c r="E3496" s="1">
        <v>45029</v>
      </c>
      <c r="F3496">
        <v>263</v>
      </c>
      <c r="G3496">
        <v>11</v>
      </c>
      <c r="H3496">
        <v>771.36</v>
      </c>
      <c r="I3496">
        <v>86.19</v>
      </c>
      <c r="J3496" t="s">
        <v>115</v>
      </c>
      <c r="K3496" t="s">
        <v>16</v>
      </c>
      <c r="L3496" t="s">
        <v>2106</v>
      </c>
      <c r="M3496">
        <v>5</v>
      </c>
      <c r="N3496" t="s">
        <v>179</v>
      </c>
      <c r="O3496" t="s">
        <v>2088</v>
      </c>
    </row>
    <row r="3497" spans="1:15">
      <c r="A3497" t="s">
        <v>1352</v>
      </c>
      <c r="B3497" t="s">
        <v>2085</v>
      </c>
      <c r="C3497" t="s">
        <v>2100</v>
      </c>
      <c r="D3497" s="1">
        <v>44077</v>
      </c>
      <c r="E3497" s="1">
        <v>44979</v>
      </c>
      <c r="F3497">
        <v>313</v>
      </c>
      <c r="G3497">
        <v>34</v>
      </c>
      <c r="H3497">
        <v>825.66</v>
      </c>
      <c r="I3497">
        <v>259.08</v>
      </c>
      <c r="J3497" t="s">
        <v>41</v>
      </c>
      <c r="K3497" t="s">
        <v>20</v>
      </c>
      <c r="L3497" t="s">
        <v>2087</v>
      </c>
      <c r="M3497">
        <v>7</v>
      </c>
      <c r="N3497" t="s">
        <v>194</v>
      </c>
      <c r="O3497" t="s">
        <v>2096</v>
      </c>
    </row>
    <row r="3498" spans="1:15">
      <c r="A3498" t="s">
        <v>4830</v>
      </c>
      <c r="B3498" t="s">
        <v>2085</v>
      </c>
      <c r="C3498" t="s">
        <v>2094</v>
      </c>
      <c r="D3498" s="1">
        <v>44793</v>
      </c>
      <c r="E3498" s="1">
        <v>44989</v>
      </c>
      <c r="F3498">
        <v>303</v>
      </c>
      <c r="G3498">
        <v>34</v>
      </c>
      <c r="H3498">
        <v>1482.18</v>
      </c>
      <c r="I3498">
        <v>203.9</v>
      </c>
      <c r="J3498" t="s">
        <v>90</v>
      </c>
      <c r="K3498" t="s">
        <v>16</v>
      </c>
      <c r="L3498" t="s">
        <v>2095</v>
      </c>
      <c r="M3498">
        <v>0</v>
      </c>
      <c r="N3498" t="s">
        <v>157</v>
      </c>
      <c r="O3498" t="s">
        <v>2088</v>
      </c>
    </row>
    <row r="3499" spans="1:15">
      <c r="A3499" t="s">
        <v>4831</v>
      </c>
      <c r="B3499" t="s">
        <v>2113</v>
      </c>
      <c r="C3499" t="s">
        <v>2108</v>
      </c>
      <c r="D3499" s="1">
        <v>44933</v>
      </c>
      <c r="E3499" s="1">
        <v>45272</v>
      </c>
      <c r="F3499">
        <v>20</v>
      </c>
      <c r="G3499">
        <v>16</v>
      </c>
      <c r="H3499">
        <v>533.62</v>
      </c>
      <c r="I3499">
        <v>48.04</v>
      </c>
      <c r="J3499" t="s">
        <v>66</v>
      </c>
      <c r="K3499" t="s">
        <v>16</v>
      </c>
      <c r="L3499" t="s">
        <v>2106</v>
      </c>
      <c r="M3499">
        <v>4</v>
      </c>
      <c r="N3499" t="s">
        <v>165</v>
      </c>
      <c r="O3499" t="s">
        <v>2107</v>
      </c>
    </row>
    <row r="3500" spans="1:15">
      <c r="A3500" t="s">
        <v>1328</v>
      </c>
      <c r="B3500" t="s">
        <v>2085</v>
      </c>
      <c r="C3500" t="s">
        <v>2091</v>
      </c>
      <c r="D3500" s="1">
        <v>44690</v>
      </c>
      <c r="E3500" s="1">
        <v>44937</v>
      </c>
      <c r="F3500">
        <v>355</v>
      </c>
      <c r="G3500">
        <v>15</v>
      </c>
      <c r="H3500">
        <v>1904.41</v>
      </c>
      <c r="I3500">
        <v>252.56</v>
      </c>
      <c r="J3500" t="s">
        <v>41</v>
      </c>
      <c r="K3500" t="s">
        <v>16</v>
      </c>
      <c r="L3500" t="s">
        <v>2095</v>
      </c>
      <c r="M3500">
        <v>1</v>
      </c>
      <c r="N3500" t="s">
        <v>204</v>
      </c>
      <c r="O3500" t="s">
        <v>2121</v>
      </c>
    </row>
    <row r="3501" spans="1:15">
      <c r="A3501" t="s">
        <v>1863</v>
      </c>
      <c r="B3501" t="s">
        <v>2085</v>
      </c>
      <c r="C3501" t="s">
        <v>2108</v>
      </c>
      <c r="D3501" s="1">
        <v>43480</v>
      </c>
      <c r="E3501" s="1">
        <v>45134</v>
      </c>
      <c r="F3501">
        <v>158</v>
      </c>
      <c r="G3501">
        <v>31</v>
      </c>
      <c r="H3501">
        <v>1949.06</v>
      </c>
      <c r="I3501">
        <v>286.26</v>
      </c>
      <c r="J3501" t="s">
        <v>14</v>
      </c>
      <c r="K3501" t="s">
        <v>20</v>
      </c>
      <c r="L3501" t="s">
        <v>2095</v>
      </c>
      <c r="M3501">
        <v>7</v>
      </c>
      <c r="N3501" t="s">
        <v>179</v>
      </c>
      <c r="O3501" t="s">
        <v>2121</v>
      </c>
    </row>
    <row r="3502" spans="1:15">
      <c r="A3502" t="s">
        <v>4832</v>
      </c>
      <c r="B3502" t="s">
        <v>2085</v>
      </c>
      <c r="C3502" t="s">
        <v>2091</v>
      </c>
      <c r="D3502" s="1">
        <v>44987</v>
      </c>
      <c r="E3502" s="1">
        <v>45223</v>
      </c>
      <c r="F3502">
        <v>69</v>
      </c>
      <c r="G3502">
        <v>26</v>
      </c>
      <c r="H3502">
        <v>2931.88</v>
      </c>
      <c r="I3502">
        <v>124</v>
      </c>
      <c r="J3502" t="s">
        <v>90</v>
      </c>
      <c r="K3502" t="s">
        <v>16</v>
      </c>
      <c r="L3502" t="s">
        <v>2087</v>
      </c>
      <c r="M3502">
        <v>10</v>
      </c>
      <c r="N3502" t="s">
        <v>194</v>
      </c>
      <c r="O3502" t="s">
        <v>2096</v>
      </c>
    </row>
    <row r="3503" spans="1:15">
      <c r="A3503" t="s">
        <v>4833</v>
      </c>
      <c r="B3503" t="s">
        <v>2113</v>
      </c>
      <c r="C3503" t="s">
        <v>2091</v>
      </c>
      <c r="D3503" s="1">
        <v>43792</v>
      </c>
      <c r="E3503" s="1">
        <v>45265</v>
      </c>
      <c r="F3503">
        <v>27</v>
      </c>
      <c r="G3503">
        <v>17</v>
      </c>
      <c r="H3503">
        <v>147.07</v>
      </c>
      <c r="I3503">
        <v>49.57</v>
      </c>
      <c r="J3503" t="s">
        <v>115</v>
      </c>
      <c r="K3503" t="s">
        <v>20</v>
      </c>
      <c r="L3503" t="s">
        <v>2087</v>
      </c>
      <c r="M3503">
        <v>3</v>
      </c>
      <c r="N3503" t="s">
        <v>165</v>
      </c>
      <c r="O3503" t="s">
        <v>2088</v>
      </c>
    </row>
    <row r="3504" spans="1:15">
      <c r="A3504" t="s">
        <v>1261</v>
      </c>
      <c r="B3504" t="s">
        <v>2093</v>
      </c>
      <c r="C3504" t="s">
        <v>2086</v>
      </c>
      <c r="D3504" s="1">
        <v>44988</v>
      </c>
      <c r="E3504" s="1">
        <v>45252</v>
      </c>
      <c r="F3504">
        <v>40</v>
      </c>
      <c r="G3504">
        <v>4</v>
      </c>
      <c r="H3504">
        <v>88.78</v>
      </c>
      <c r="I3504">
        <v>52.28</v>
      </c>
      <c r="J3504" t="s">
        <v>90</v>
      </c>
      <c r="K3504" t="s">
        <v>16</v>
      </c>
      <c r="L3504" t="s">
        <v>2095</v>
      </c>
      <c r="M3504">
        <v>2</v>
      </c>
      <c r="N3504" t="s">
        <v>174</v>
      </c>
      <c r="O3504" t="s">
        <v>2121</v>
      </c>
    </row>
    <row r="3505" spans="1:15">
      <c r="A3505" t="s">
        <v>4834</v>
      </c>
      <c r="B3505" t="s">
        <v>2090</v>
      </c>
      <c r="C3505" t="s">
        <v>2108</v>
      </c>
      <c r="D3505" s="1">
        <v>43931</v>
      </c>
      <c r="E3505" s="1">
        <v>45123</v>
      </c>
      <c r="F3505">
        <v>169</v>
      </c>
      <c r="G3505">
        <v>5</v>
      </c>
      <c r="H3505">
        <v>105.71</v>
      </c>
      <c r="I3505">
        <v>42.39</v>
      </c>
      <c r="J3505" t="s">
        <v>66</v>
      </c>
      <c r="K3505" t="s">
        <v>16</v>
      </c>
      <c r="L3505" t="s">
        <v>2087</v>
      </c>
      <c r="M3505">
        <v>7</v>
      </c>
      <c r="N3505" t="s">
        <v>204</v>
      </c>
      <c r="O3505" t="s">
        <v>2121</v>
      </c>
    </row>
    <row r="3506" spans="1:15">
      <c r="A3506" t="s">
        <v>4835</v>
      </c>
      <c r="B3506" t="s">
        <v>2085</v>
      </c>
      <c r="C3506" t="s">
        <v>2111</v>
      </c>
      <c r="D3506" s="1">
        <v>44921</v>
      </c>
      <c r="E3506" s="1">
        <v>45167</v>
      </c>
      <c r="F3506">
        <v>125</v>
      </c>
      <c r="G3506">
        <v>20</v>
      </c>
      <c r="H3506">
        <v>1441.23</v>
      </c>
      <c r="I3506">
        <v>128.53</v>
      </c>
      <c r="J3506" t="s">
        <v>115</v>
      </c>
      <c r="K3506" t="s">
        <v>16</v>
      </c>
      <c r="L3506" t="s">
        <v>2087</v>
      </c>
      <c r="M3506">
        <v>5</v>
      </c>
      <c r="N3506" t="s">
        <v>157</v>
      </c>
      <c r="O3506" t="s">
        <v>2096</v>
      </c>
    </row>
    <row r="3507" spans="1:15">
      <c r="A3507" t="s">
        <v>4836</v>
      </c>
      <c r="B3507" t="s">
        <v>2113</v>
      </c>
      <c r="C3507" t="s">
        <v>2111</v>
      </c>
      <c r="D3507" s="1">
        <v>44612</v>
      </c>
      <c r="E3507" s="1">
        <v>44953</v>
      </c>
      <c r="F3507">
        <v>339</v>
      </c>
      <c r="G3507">
        <v>16</v>
      </c>
      <c r="H3507">
        <v>390.23</v>
      </c>
      <c r="I3507">
        <v>47.76</v>
      </c>
      <c r="J3507" t="s">
        <v>41</v>
      </c>
      <c r="K3507" t="s">
        <v>20</v>
      </c>
      <c r="L3507" t="s">
        <v>2106</v>
      </c>
      <c r="M3507">
        <v>0</v>
      </c>
      <c r="N3507" t="s">
        <v>204</v>
      </c>
      <c r="O3507" t="s">
        <v>2088</v>
      </c>
    </row>
    <row r="3508" spans="1:15">
      <c r="A3508" t="s">
        <v>4837</v>
      </c>
      <c r="B3508" t="s">
        <v>2113</v>
      </c>
      <c r="C3508" t="s">
        <v>2091</v>
      </c>
      <c r="D3508" s="1">
        <v>44335</v>
      </c>
      <c r="E3508" s="1">
        <v>45057</v>
      </c>
      <c r="F3508">
        <v>235</v>
      </c>
      <c r="G3508">
        <v>14</v>
      </c>
      <c r="H3508">
        <v>335.24</v>
      </c>
      <c r="I3508">
        <v>78.69</v>
      </c>
      <c r="J3508" t="s">
        <v>90</v>
      </c>
      <c r="K3508" t="s">
        <v>20</v>
      </c>
      <c r="L3508" t="s">
        <v>2095</v>
      </c>
      <c r="M3508">
        <v>9</v>
      </c>
      <c r="N3508" t="s">
        <v>194</v>
      </c>
      <c r="O3508" t="s">
        <v>2107</v>
      </c>
    </row>
    <row r="3509" spans="1:15">
      <c r="A3509" t="s">
        <v>4838</v>
      </c>
      <c r="B3509" t="s">
        <v>2099</v>
      </c>
      <c r="C3509" t="s">
        <v>2086</v>
      </c>
      <c r="D3509" s="1">
        <v>43516</v>
      </c>
      <c r="E3509" s="1">
        <v>45216</v>
      </c>
      <c r="F3509">
        <v>76</v>
      </c>
      <c r="G3509">
        <v>1</v>
      </c>
      <c r="H3509">
        <v>24.94</v>
      </c>
      <c r="I3509">
        <v>82.67</v>
      </c>
      <c r="J3509" t="s">
        <v>41</v>
      </c>
      <c r="K3509" t="s">
        <v>16</v>
      </c>
      <c r="L3509" t="s">
        <v>2087</v>
      </c>
      <c r="M3509">
        <v>0</v>
      </c>
      <c r="N3509" t="s">
        <v>165</v>
      </c>
      <c r="O3509" t="s">
        <v>2088</v>
      </c>
    </row>
    <row r="3510" spans="1:15">
      <c r="A3510" t="s">
        <v>4839</v>
      </c>
      <c r="B3510" t="s">
        <v>2085</v>
      </c>
      <c r="C3510" t="s">
        <v>2091</v>
      </c>
      <c r="D3510" s="1">
        <v>44371</v>
      </c>
      <c r="E3510" s="1">
        <v>44948</v>
      </c>
      <c r="F3510">
        <v>344</v>
      </c>
      <c r="G3510">
        <v>20</v>
      </c>
      <c r="H3510">
        <v>2361.48</v>
      </c>
      <c r="I3510">
        <v>233</v>
      </c>
      <c r="J3510" t="s">
        <v>41</v>
      </c>
      <c r="K3510" t="s">
        <v>16</v>
      </c>
      <c r="L3510" t="s">
        <v>2095</v>
      </c>
      <c r="M3510">
        <v>7</v>
      </c>
      <c r="N3510" t="s">
        <v>194</v>
      </c>
      <c r="O3510" t="s">
        <v>2096</v>
      </c>
    </row>
    <row r="3511" spans="1:15">
      <c r="A3511" t="s">
        <v>4840</v>
      </c>
      <c r="B3511" t="s">
        <v>2099</v>
      </c>
      <c r="C3511" t="s">
        <v>2091</v>
      </c>
      <c r="D3511" s="1">
        <v>43821</v>
      </c>
      <c r="E3511" s="1">
        <v>45112</v>
      </c>
      <c r="F3511">
        <v>180</v>
      </c>
      <c r="G3511">
        <v>1</v>
      </c>
      <c r="H3511">
        <v>121.97</v>
      </c>
      <c r="I3511">
        <v>21.02</v>
      </c>
      <c r="J3511" t="s">
        <v>66</v>
      </c>
      <c r="K3511" t="s">
        <v>16</v>
      </c>
      <c r="L3511" t="s">
        <v>2095</v>
      </c>
      <c r="M3511">
        <v>10</v>
      </c>
      <c r="N3511" t="s">
        <v>165</v>
      </c>
      <c r="O3511" t="s">
        <v>2096</v>
      </c>
    </row>
    <row r="3512" spans="1:15">
      <c r="A3512" t="s">
        <v>4841</v>
      </c>
      <c r="B3512" t="s">
        <v>2097</v>
      </c>
      <c r="C3512" t="s">
        <v>2086</v>
      </c>
      <c r="D3512" s="1">
        <v>43847</v>
      </c>
      <c r="E3512" s="1">
        <v>45022</v>
      </c>
      <c r="F3512">
        <v>270</v>
      </c>
      <c r="G3512">
        <v>7</v>
      </c>
      <c r="H3512">
        <v>632.95000000000005</v>
      </c>
      <c r="I3512">
        <v>95.01</v>
      </c>
      <c r="J3512" t="s">
        <v>14</v>
      </c>
      <c r="K3512" t="s">
        <v>20</v>
      </c>
      <c r="L3512" t="s">
        <v>2087</v>
      </c>
      <c r="M3512">
        <v>4</v>
      </c>
      <c r="N3512" t="s">
        <v>174</v>
      </c>
      <c r="O3512" t="s">
        <v>2109</v>
      </c>
    </row>
    <row r="3513" spans="1:15">
      <c r="A3513" t="s">
        <v>4842</v>
      </c>
      <c r="B3513" t="s">
        <v>2113</v>
      </c>
      <c r="C3513" t="s">
        <v>2086</v>
      </c>
      <c r="D3513" s="1">
        <v>43972</v>
      </c>
      <c r="E3513" s="1">
        <v>45156</v>
      </c>
      <c r="F3513">
        <v>136</v>
      </c>
      <c r="G3513">
        <v>13</v>
      </c>
      <c r="H3513">
        <v>439.48</v>
      </c>
      <c r="I3513">
        <v>34.81</v>
      </c>
      <c r="J3513" t="s">
        <v>14</v>
      </c>
      <c r="K3513" t="s">
        <v>16</v>
      </c>
      <c r="L3513" t="s">
        <v>2106</v>
      </c>
      <c r="M3513">
        <v>4</v>
      </c>
      <c r="N3513" t="s">
        <v>232</v>
      </c>
      <c r="O3513" t="s">
        <v>2107</v>
      </c>
    </row>
    <row r="3514" spans="1:15">
      <c r="A3514" t="s">
        <v>4843</v>
      </c>
      <c r="B3514" t="s">
        <v>2090</v>
      </c>
      <c r="C3514" t="s">
        <v>2108</v>
      </c>
      <c r="D3514" s="1">
        <v>43898</v>
      </c>
      <c r="E3514" s="1">
        <v>45239</v>
      </c>
      <c r="F3514">
        <v>53</v>
      </c>
      <c r="G3514">
        <v>2</v>
      </c>
      <c r="H3514">
        <v>222.6</v>
      </c>
      <c r="I3514">
        <v>89.09</v>
      </c>
      <c r="J3514" t="s">
        <v>90</v>
      </c>
      <c r="K3514" t="s">
        <v>20</v>
      </c>
      <c r="L3514" t="s">
        <v>2106</v>
      </c>
      <c r="M3514">
        <v>1</v>
      </c>
      <c r="N3514" t="s">
        <v>174</v>
      </c>
      <c r="O3514" t="s">
        <v>2088</v>
      </c>
    </row>
    <row r="3515" spans="1:15">
      <c r="A3515" t="s">
        <v>4844</v>
      </c>
      <c r="B3515" t="s">
        <v>2097</v>
      </c>
      <c r="C3515" t="s">
        <v>2091</v>
      </c>
      <c r="D3515" s="1">
        <v>44354</v>
      </c>
      <c r="E3515" s="1">
        <v>44982</v>
      </c>
      <c r="F3515">
        <v>310</v>
      </c>
      <c r="G3515">
        <v>9</v>
      </c>
      <c r="H3515">
        <v>573.62</v>
      </c>
      <c r="I3515">
        <v>147.56</v>
      </c>
      <c r="J3515" t="s">
        <v>14</v>
      </c>
      <c r="K3515" t="s">
        <v>16</v>
      </c>
      <c r="L3515" t="s">
        <v>2087</v>
      </c>
      <c r="M3515">
        <v>6</v>
      </c>
      <c r="N3515" t="s">
        <v>194</v>
      </c>
      <c r="O3515" t="s">
        <v>2109</v>
      </c>
    </row>
    <row r="3516" spans="1:15">
      <c r="A3516" t="s">
        <v>4845</v>
      </c>
      <c r="B3516" t="s">
        <v>2099</v>
      </c>
      <c r="C3516" t="s">
        <v>2091</v>
      </c>
      <c r="D3516" s="1">
        <v>44194</v>
      </c>
      <c r="E3516" s="1">
        <v>45122</v>
      </c>
      <c r="F3516">
        <v>170</v>
      </c>
      <c r="G3516">
        <v>2</v>
      </c>
      <c r="H3516">
        <v>53.76</v>
      </c>
      <c r="I3516">
        <v>64.400000000000006</v>
      </c>
      <c r="J3516" t="s">
        <v>66</v>
      </c>
      <c r="K3516" t="s">
        <v>16</v>
      </c>
      <c r="L3516" t="s">
        <v>2106</v>
      </c>
      <c r="M3516">
        <v>4</v>
      </c>
      <c r="N3516" t="s">
        <v>194</v>
      </c>
      <c r="O3516" t="s">
        <v>2096</v>
      </c>
    </row>
    <row r="3517" spans="1:15">
      <c r="A3517" t="s">
        <v>999</v>
      </c>
      <c r="B3517" t="s">
        <v>2093</v>
      </c>
      <c r="C3517" t="s">
        <v>2086</v>
      </c>
      <c r="D3517" s="1">
        <v>44092</v>
      </c>
      <c r="E3517" s="1">
        <v>45053</v>
      </c>
      <c r="F3517">
        <v>239</v>
      </c>
      <c r="G3517">
        <v>1</v>
      </c>
      <c r="H3517">
        <v>140.29</v>
      </c>
      <c r="I3517">
        <v>79.92</v>
      </c>
      <c r="J3517" t="s">
        <v>115</v>
      </c>
      <c r="K3517" t="s">
        <v>20</v>
      </c>
      <c r="L3517" t="s">
        <v>2095</v>
      </c>
      <c r="M3517">
        <v>5</v>
      </c>
      <c r="N3517" t="s">
        <v>204</v>
      </c>
      <c r="O3517" t="s">
        <v>2096</v>
      </c>
    </row>
    <row r="3518" spans="1:15">
      <c r="A3518" t="s">
        <v>4846</v>
      </c>
      <c r="B3518" t="s">
        <v>2090</v>
      </c>
      <c r="C3518" t="s">
        <v>2091</v>
      </c>
      <c r="D3518" s="1">
        <v>43711</v>
      </c>
      <c r="E3518" s="1">
        <v>44931</v>
      </c>
      <c r="F3518">
        <v>361</v>
      </c>
      <c r="G3518">
        <v>6</v>
      </c>
      <c r="H3518">
        <v>362.93</v>
      </c>
      <c r="I3518">
        <v>81.17</v>
      </c>
      <c r="J3518" t="s">
        <v>115</v>
      </c>
      <c r="K3518" t="s">
        <v>16</v>
      </c>
      <c r="L3518" t="s">
        <v>2106</v>
      </c>
      <c r="M3518">
        <v>5</v>
      </c>
      <c r="N3518" t="s">
        <v>179</v>
      </c>
      <c r="O3518" t="s">
        <v>2096</v>
      </c>
    </row>
    <row r="3519" spans="1:15">
      <c r="A3519" t="s">
        <v>4847</v>
      </c>
      <c r="B3519" t="s">
        <v>2113</v>
      </c>
      <c r="C3519" t="s">
        <v>2094</v>
      </c>
      <c r="D3519" s="1">
        <v>44126</v>
      </c>
      <c r="E3519" s="1">
        <v>45276</v>
      </c>
      <c r="F3519">
        <v>16</v>
      </c>
      <c r="G3519">
        <v>12</v>
      </c>
      <c r="H3519">
        <v>364.36</v>
      </c>
      <c r="I3519">
        <v>72.92</v>
      </c>
      <c r="J3519" t="s">
        <v>41</v>
      </c>
      <c r="K3519" t="s">
        <v>16</v>
      </c>
      <c r="L3519" t="s">
        <v>2095</v>
      </c>
      <c r="M3519">
        <v>2</v>
      </c>
      <c r="N3519" t="s">
        <v>165</v>
      </c>
      <c r="O3519" t="s">
        <v>2088</v>
      </c>
    </row>
    <row r="3520" spans="1:15">
      <c r="A3520" t="s">
        <v>2008</v>
      </c>
      <c r="B3520" t="s">
        <v>2099</v>
      </c>
      <c r="C3520" t="s">
        <v>2086</v>
      </c>
      <c r="D3520" s="1">
        <v>45027</v>
      </c>
      <c r="E3520" s="1">
        <v>44989</v>
      </c>
      <c r="F3520">
        <v>303</v>
      </c>
      <c r="G3520">
        <v>2</v>
      </c>
      <c r="H3520">
        <v>128.27000000000001</v>
      </c>
      <c r="I3520">
        <v>29.43</v>
      </c>
      <c r="J3520" t="s">
        <v>115</v>
      </c>
      <c r="K3520" t="s">
        <v>16</v>
      </c>
      <c r="L3520" t="s">
        <v>2087</v>
      </c>
      <c r="M3520">
        <v>2</v>
      </c>
      <c r="N3520" t="s">
        <v>232</v>
      </c>
      <c r="O3520" t="s">
        <v>2107</v>
      </c>
    </row>
    <row r="3521" spans="1:15">
      <c r="A3521" t="s">
        <v>4848</v>
      </c>
      <c r="B3521" t="s">
        <v>2090</v>
      </c>
      <c r="C3521" t="s">
        <v>2091</v>
      </c>
      <c r="D3521" s="1">
        <v>45229</v>
      </c>
      <c r="E3521" s="1">
        <v>45100</v>
      </c>
      <c r="F3521">
        <v>192</v>
      </c>
      <c r="G3521">
        <v>8</v>
      </c>
      <c r="H3521">
        <v>399.89</v>
      </c>
      <c r="I3521">
        <v>43.42</v>
      </c>
      <c r="J3521" t="s">
        <v>14</v>
      </c>
      <c r="K3521" t="s">
        <v>16</v>
      </c>
      <c r="L3521" t="s">
        <v>2087</v>
      </c>
      <c r="M3521">
        <v>3</v>
      </c>
      <c r="N3521" t="s">
        <v>174</v>
      </c>
      <c r="O3521" t="s">
        <v>2088</v>
      </c>
    </row>
    <row r="3522" spans="1:15">
      <c r="A3522" t="s">
        <v>4849</v>
      </c>
      <c r="B3522" t="s">
        <v>2097</v>
      </c>
      <c r="C3522" t="s">
        <v>2111</v>
      </c>
      <c r="D3522" s="1">
        <v>44058</v>
      </c>
      <c r="E3522" s="1">
        <v>44936</v>
      </c>
      <c r="F3522">
        <v>356</v>
      </c>
      <c r="G3522">
        <v>3</v>
      </c>
      <c r="H3522">
        <v>297.55</v>
      </c>
      <c r="I3522">
        <v>140.13</v>
      </c>
      <c r="J3522" t="s">
        <v>90</v>
      </c>
      <c r="K3522" t="s">
        <v>20</v>
      </c>
      <c r="L3522" t="s">
        <v>2087</v>
      </c>
      <c r="M3522">
        <v>7</v>
      </c>
      <c r="N3522" t="s">
        <v>179</v>
      </c>
      <c r="O3522" t="s">
        <v>2109</v>
      </c>
    </row>
    <row r="3523" spans="1:15">
      <c r="A3523" t="s">
        <v>4850</v>
      </c>
      <c r="B3523" t="s">
        <v>2090</v>
      </c>
      <c r="C3523" t="s">
        <v>2111</v>
      </c>
      <c r="D3523" s="1">
        <v>44657</v>
      </c>
      <c r="E3523" s="1">
        <v>45258</v>
      </c>
      <c r="F3523">
        <v>34</v>
      </c>
      <c r="G3523">
        <v>3</v>
      </c>
      <c r="H3523">
        <v>302.74</v>
      </c>
      <c r="I3523">
        <v>109.68</v>
      </c>
      <c r="J3523" t="s">
        <v>14</v>
      </c>
      <c r="K3523" t="s">
        <v>16</v>
      </c>
      <c r="L3523" t="s">
        <v>2095</v>
      </c>
      <c r="M3523">
        <v>7</v>
      </c>
      <c r="N3523" t="s">
        <v>174</v>
      </c>
      <c r="O3523" t="s">
        <v>2088</v>
      </c>
    </row>
    <row r="3524" spans="1:15">
      <c r="A3524" t="s">
        <v>4851</v>
      </c>
      <c r="B3524" t="s">
        <v>2099</v>
      </c>
      <c r="C3524" t="s">
        <v>2094</v>
      </c>
      <c r="D3524" s="1">
        <v>44066</v>
      </c>
      <c r="E3524" s="1">
        <v>45083</v>
      </c>
      <c r="F3524">
        <v>209</v>
      </c>
      <c r="G3524">
        <v>1</v>
      </c>
      <c r="H3524">
        <v>98.24</v>
      </c>
      <c r="I3524">
        <v>98.26</v>
      </c>
      <c r="J3524" t="s">
        <v>66</v>
      </c>
      <c r="K3524" t="s">
        <v>16</v>
      </c>
      <c r="L3524" t="s">
        <v>2087</v>
      </c>
      <c r="M3524">
        <v>9</v>
      </c>
      <c r="N3524" t="s">
        <v>174</v>
      </c>
      <c r="O3524" t="s">
        <v>2121</v>
      </c>
    </row>
    <row r="3525" spans="1:15">
      <c r="A3525" t="s">
        <v>349</v>
      </c>
      <c r="B3525" t="s">
        <v>2097</v>
      </c>
      <c r="C3525" t="s">
        <v>2108</v>
      </c>
      <c r="D3525" s="1">
        <v>43890</v>
      </c>
      <c r="E3525" s="1">
        <v>45209</v>
      </c>
      <c r="F3525">
        <v>83</v>
      </c>
      <c r="G3525">
        <v>11</v>
      </c>
      <c r="H3525">
        <v>445.49</v>
      </c>
      <c r="I3525">
        <v>93.4</v>
      </c>
      <c r="J3525" t="s">
        <v>66</v>
      </c>
      <c r="K3525" t="s">
        <v>16</v>
      </c>
      <c r="L3525" t="s">
        <v>2095</v>
      </c>
      <c r="M3525">
        <v>10</v>
      </c>
      <c r="N3525" t="s">
        <v>194</v>
      </c>
      <c r="O3525" t="s">
        <v>2121</v>
      </c>
    </row>
    <row r="3526" spans="1:15">
      <c r="A3526" t="s">
        <v>1859</v>
      </c>
      <c r="B3526" t="s">
        <v>2099</v>
      </c>
      <c r="C3526" t="s">
        <v>2091</v>
      </c>
      <c r="D3526" s="1">
        <v>44411</v>
      </c>
      <c r="E3526" s="1">
        <v>45246</v>
      </c>
      <c r="F3526">
        <v>46</v>
      </c>
      <c r="G3526">
        <v>2</v>
      </c>
      <c r="H3526">
        <v>75.2</v>
      </c>
      <c r="I3526">
        <v>45.16</v>
      </c>
      <c r="J3526" t="s">
        <v>115</v>
      </c>
      <c r="K3526" t="s">
        <v>16</v>
      </c>
      <c r="L3526" t="s">
        <v>2095</v>
      </c>
      <c r="M3526">
        <v>6</v>
      </c>
      <c r="N3526" t="s">
        <v>157</v>
      </c>
      <c r="O3526" t="s">
        <v>2107</v>
      </c>
    </row>
    <row r="3527" spans="1:15">
      <c r="A3527" t="s">
        <v>4852</v>
      </c>
      <c r="B3527" t="s">
        <v>2093</v>
      </c>
      <c r="C3527" t="s">
        <v>2111</v>
      </c>
      <c r="D3527" s="1">
        <v>43933</v>
      </c>
      <c r="E3527" s="1">
        <v>45177</v>
      </c>
      <c r="F3527">
        <v>115</v>
      </c>
      <c r="G3527">
        <v>4</v>
      </c>
      <c r="H3527">
        <v>67.13</v>
      </c>
      <c r="I3527">
        <v>77.8</v>
      </c>
      <c r="J3527" t="s">
        <v>41</v>
      </c>
      <c r="K3527" t="s">
        <v>20</v>
      </c>
      <c r="L3527" t="s">
        <v>2106</v>
      </c>
      <c r="M3527">
        <v>9</v>
      </c>
      <c r="N3527" t="s">
        <v>174</v>
      </c>
      <c r="O3527" t="s">
        <v>2088</v>
      </c>
    </row>
    <row r="3528" spans="1:15">
      <c r="A3528" t="s">
        <v>4853</v>
      </c>
      <c r="B3528" t="s">
        <v>2093</v>
      </c>
      <c r="C3528" t="s">
        <v>2111</v>
      </c>
      <c r="D3528" s="1">
        <v>44123</v>
      </c>
      <c r="E3528" s="1">
        <v>45276</v>
      </c>
      <c r="F3528">
        <v>16</v>
      </c>
      <c r="G3528">
        <v>1</v>
      </c>
      <c r="H3528">
        <v>85.5</v>
      </c>
      <c r="I3528">
        <v>44.33</v>
      </c>
      <c r="J3528" t="s">
        <v>66</v>
      </c>
      <c r="K3528" t="s">
        <v>16</v>
      </c>
      <c r="L3528" t="s">
        <v>2106</v>
      </c>
      <c r="M3528">
        <v>3</v>
      </c>
      <c r="N3528" t="s">
        <v>194</v>
      </c>
      <c r="O3528" t="s">
        <v>2107</v>
      </c>
    </row>
    <row r="3529" spans="1:15">
      <c r="A3529" t="s">
        <v>4854</v>
      </c>
      <c r="B3529" t="s">
        <v>2085</v>
      </c>
      <c r="C3529" t="s">
        <v>2091</v>
      </c>
      <c r="D3529" s="1">
        <v>45218</v>
      </c>
      <c r="E3529" s="1">
        <v>45045</v>
      </c>
      <c r="F3529">
        <v>247</v>
      </c>
      <c r="G3529">
        <v>40</v>
      </c>
      <c r="H3529">
        <v>1786.33</v>
      </c>
      <c r="I3529">
        <v>203.67</v>
      </c>
      <c r="J3529" t="s">
        <v>115</v>
      </c>
      <c r="K3529" t="s">
        <v>20</v>
      </c>
      <c r="L3529" t="s">
        <v>2087</v>
      </c>
      <c r="M3529">
        <v>6</v>
      </c>
      <c r="N3529" t="s">
        <v>179</v>
      </c>
      <c r="O3529" t="s">
        <v>2088</v>
      </c>
    </row>
    <row r="3530" spans="1:15">
      <c r="A3530" t="s">
        <v>4855</v>
      </c>
      <c r="B3530" t="s">
        <v>2085</v>
      </c>
      <c r="C3530" t="s">
        <v>2111</v>
      </c>
      <c r="D3530" s="1">
        <v>44191</v>
      </c>
      <c r="E3530" s="1">
        <v>45248</v>
      </c>
      <c r="F3530">
        <v>44</v>
      </c>
      <c r="G3530">
        <v>32</v>
      </c>
      <c r="H3530">
        <v>2192.7399999999998</v>
      </c>
      <c r="I3530">
        <v>186.29</v>
      </c>
      <c r="J3530" t="s">
        <v>115</v>
      </c>
      <c r="K3530" t="s">
        <v>16</v>
      </c>
      <c r="L3530" t="s">
        <v>2087</v>
      </c>
      <c r="M3530">
        <v>0</v>
      </c>
      <c r="N3530" t="s">
        <v>157</v>
      </c>
      <c r="O3530" t="s">
        <v>2121</v>
      </c>
    </row>
    <row r="3531" spans="1:15">
      <c r="A3531" t="s">
        <v>4856</v>
      </c>
      <c r="B3531" t="s">
        <v>2097</v>
      </c>
      <c r="C3531" t="s">
        <v>2091</v>
      </c>
      <c r="D3531" s="1">
        <v>43978</v>
      </c>
      <c r="E3531" s="1">
        <v>45265</v>
      </c>
      <c r="F3531">
        <v>27</v>
      </c>
      <c r="G3531">
        <v>6</v>
      </c>
      <c r="H3531">
        <v>428.04</v>
      </c>
      <c r="I3531">
        <v>74.03</v>
      </c>
      <c r="J3531" t="s">
        <v>90</v>
      </c>
      <c r="K3531" t="s">
        <v>16</v>
      </c>
      <c r="L3531" t="s">
        <v>2106</v>
      </c>
      <c r="M3531">
        <v>0</v>
      </c>
      <c r="N3531" t="s">
        <v>174</v>
      </c>
      <c r="O3531" t="s">
        <v>2107</v>
      </c>
    </row>
    <row r="3532" spans="1:15">
      <c r="A3532" t="s">
        <v>4857</v>
      </c>
      <c r="B3532" t="s">
        <v>2085</v>
      </c>
      <c r="C3532" t="s">
        <v>2094</v>
      </c>
      <c r="D3532" s="1">
        <v>43619</v>
      </c>
      <c r="E3532" s="1">
        <v>45023</v>
      </c>
      <c r="F3532">
        <v>269</v>
      </c>
      <c r="G3532">
        <v>28</v>
      </c>
      <c r="H3532">
        <v>2989.66</v>
      </c>
      <c r="I3532">
        <v>138.56</v>
      </c>
      <c r="J3532" t="s">
        <v>90</v>
      </c>
      <c r="K3532" t="s">
        <v>20</v>
      </c>
      <c r="L3532" t="s">
        <v>2095</v>
      </c>
      <c r="M3532">
        <v>6</v>
      </c>
      <c r="N3532" t="s">
        <v>165</v>
      </c>
      <c r="O3532" t="s">
        <v>2088</v>
      </c>
    </row>
    <row r="3533" spans="1:15">
      <c r="A3533" t="s">
        <v>420</v>
      </c>
      <c r="B3533" t="s">
        <v>2097</v>
      </c>
      <c r="C3533" t="s">
        <v>2100</v>
      </c>
      <c r="D3533" s="1">
        <v>44053</v>
      </c>
      <c r="E3533" s="1">
        <v>45163</v>
      </c>
      <c r="F3533">
        <v>129</v>
      </c>
      <c r="G3533">
        <v>9</v>
      </c>
      <c r="H3533">
        <v>230.82</v>
      </c>
      <c r="I3533">
        <v>60.87</v>
      </c>
      <c r="J3533" t="s">
        <v>41</v>
      </c>
      <c r="K3533" t="s">
        <v>16</v>
      </c>
      <c r="L3533" t="s">
        <v>2087</v>
      </c>
      <c r="M3533">
        <v>3</v>
      </c>
      <c r="N3533" t="s">
        <v>194</v>
      </c>
      <c r="O3533" t="s">
        <v>2109</v>
      </c>
    </row>
    <row r="3534" spans="1:15">
      <c r="A3534" t="s">
        <v>4858</v>
      </c>
      <c r="B3534" t="s">
        <v>2090</v>
      </c>
      <c r="C3534" t="s">
        <v>2094</v>
      </c>
      <c r="D3534" s="1">
        <v>44967</v>
      </c>
      <c r="E3534" s="1">
        <v>45103</v>
      </c>
      <c r="F3534">
        <v>189</v>
      </c>
      <c r="G3534">
        <v>5</v>
      </c>
      <c r="H3534">
        <v>363.46</v>
      </c>
      <c r="I3534">
        <v>100.01</v>
      </c>
      <c r="J3534" t="s">
        <v>14</v>
      </c>
      <c r="K3534" t="s">
        <v>16</v>
      </c>
      <c r="L3534" t="s">
        <v>2087</v>
      </c>
      <c r="M3534">
        <v>5</v>
      </c>
      <c r="N3534" t="s">
        <v>179</v>
      </c>
      <c r="O3534" t="s">
        <v>2109</v>
      </c>
    </row>
    <row r="3535" spans="1:15">
      <c r="A3535" t="s">
        <v>777</v>
      </c>
      <c r="B3535" t="s">
        <v>2113</v>
      </c>
      <c r="C3535" t="s">
        <v>2111</v>
      </c>
      <c r="D3535" s="1">
        <v>43597</v>
      </c>
      <c r="E3535" s="1">
        <v>45260</v>
      </c>
      <c r="F3535">
        <v>32</v>
      </c>
      <c r="G3535">
        <v>19</v>
      </c>
      <c r="H3535">
        <v>551.36</v>
      </c>
      <c r="I3535">
        <v>79.489999999999995</v>
      </c>
      <c r="J3535" t="s">
        <v>90</v>
      </c>
      <c r="K3535" t="s">
        <v>20</v>
      </c>
      <c r="L3535" t="s">
        <v>2106</v>
      </c>
      <c r="M3535">
        <v>5</v>
      </c>
      <c r="N3535" t="s">
        <v>232</v>
      </c>
      <c r="O3535" t="s">
        <v>2107</v>
      </c>
    </row>
    <row r="3536" spans="1:15">
      <c r="A3536" t="s">
        <v>4859</v>
      </c>
      <c r="B3536" t="s">
        <v>2099</v>
      </c>
      <c r="C3536" t="s">
        <v>2086</v>
      </c>
      <c r="D3536" s="1">
        <v>43504</v>
      </c>
      <c r="E3536" s="1">
        <v>44934</v>
      </c>
      <c r="F3536">
        <v>358</v>
      </c>
      <c r="G3536">
        <v>2</v>
      </c>
      <c r="H3536">
        <v>50.08</v>
      </c>
      <c r="I3536">
        <v>70.97</v>
      </c>
      <c r="J3536" t="s">
        <v>115</v>
      </c>
      <c r="K3536" t="s">
        <v>20</v>
      </c>
      <c r="L3536" t="s">
        <v>2087</v>
      </c>
      <c r="M3536">
        <v>3</v>
      </c>
      <c r="N3536" t="s">
        <v>232</v>
      </c>
      <c r="O3536" t="s">
        <v>2107</v>
      </c>
    </row>
    <row r="3537" spans="1:15">
      <c r="A3537" t="s">
        <v>4860</v>
      </c>
      <c r="B3537" t="s">
        <v>2085</v>
      </c>
      <c r="C3537" t="s">
        <v>2108</v>
      </c>
      <c r="D3537" s="1">
        <v>44436</v>
      </c>
      <c r="E3537" s="1">
        <v>45186</v>
      </c>
      <c r="F3537">
        <v>106</v>
      </c>
      <c r="G3537">
        <v>15</v>
      </c>
      <c r="H3537">
        <v>1456.07</v>
      </c>
      <c r="I3537">
        <v>233.58</v>
      </c>
      <c r="J3537" t="s">
        <v>14</v>
      </c>
      <c r="K3537" t="s">
        <v>16</v>
      </c>
      <c r="L3537" t="s">
        <v>2087</v>
      </c>
      <c r="M3537">
        <v>6</v>
      </c>
      <c r="N3537" t="s">
        <v>174</v>
      </c>
      <c r="O3537" t="s">
        <v>2088</v>
      </c>
    </row>
    <row r="3538" spans="1:15">
      <c r="A3538" t="s">
        <v>4861</v>
      </c>
      <c r="B3538" t="s">
        <v>2090</v>
      </c>
      <c r="C3538" t="s">
        <v>2086</v>
      </c>
      <c r="D3538" s="1">
        <v>44007</v>
      </c>
      <c r="E3538" s="1">
        <v>44962</v>
      </c>
      <c r="F3538">
        <v>330</v>
      </c>
      <c r="G3538">
        <v>2</v>
      </c>
      <c r="H3538">
        <v>364.81</v>
      </c>
      <c r="I3538">
        <v>103.38</v>
      </c>
      <c r="J3538" t="s">
        <v>115</v>
      </c>
      <c r="K3538" t="s">
        <v>16</v>
      </c>
      <c r="L3538" t="s">
        <v>2106</v>
      </c>
      <c r="M3538">
        <v>2</v>
      </c>
      <c r="N3538" t="s">
        <v>194</v>
      </c>
      <c r="O3538" t="s">
        <v>2121</v>
      </c>
    </row>
    <row r="3539" spans="1:15">
      <c r="A3539" t="s">
        <v>4862</v>
      </c>
      <c r="B3539" t="s">
        <v>2099</v>
      </c>
      <c r="C3539" t="s">
        <v>2100</v>
      </c>
      <c r="D3539" s="1">
        <v>44351</v>
      </c>
      <c r="E3539" s="1">
        <v>44960</v>
      </c>
      <c r="F3539">
        <v>332</v>
      </c>
      <c r="G3539">
        <v>1</v>
      </c>
      <c r="H3539">
        <v>92.25</v>
      </c>
      <c r="I3539">
        <v>82.54</v>
      </c>
      <c r="J3539" t="s">
        <v>41</v>
      </c>
      <c r="K3539" t="s">
        <v>16</v>
      </c>
      <c r="L3539" t="s">
        <v>2106</v>
      </c>
      <c r="M3539">
        <v>6</v>
      </c>
      <c r="N3539" t="s">
        <v>174</v>
      </c>
      <c r="O3539" t="s">
        <v>2088</v>
      </c>
    </row>
    <row r="3540" spans="1:15">
      <c r="A3540" t="s">
        <v>4863</v>
      </c>
      <c r="B3540" t="s">
        <v>2099</v>
      </c>
      <c r="C3540" t="s">
        <v>2094</v>
      </c>
      <c r="D3540" s="1">
        <v>43878</v>
      </c>
      <c r="E3540" s="1">
        <v>44967</v>
      </c>
      <c r="F3540">
        <v>325</v>
      </c>
      <c r="G3540">
        <v>1</v>
      </c>
      <c r="H3540">
        <v>119.33</v>
      </c>
      <c r="I3540">
        <v>54.71</v>
      </c>
      <c r="J3540" t="s">
        <v>115</v>
      </c>
      <c r="K3540" t="s">
        <v>16</v>
      </c>
      <c r="L3540" t="s">
        <v>2106</v>
      </c>
      <c r="M3540">
        <v>1</v>
      </c>
      <c r="N3540" t="s">
        <v>232</v>
      </c>
      <c r="O3540" t="s">
        <v>2096</v>
      </c>
    </row>
    <row r="3541" spans="1:15">
      <c r="A3541" t="s">
        <v>4864</v>
      </c>
      <c r="B3541" t="s">
        <v>2097</v>
      </c>
      <c r="C3541" t="s">
        <v>2086</v>
      </c>
      <c r="D3541" s="1">
        <v>44673</v>
      </c>
      <c r="E3541" s="1">
        <v>45030</v>
      </c>
      <c r="F3541">
        <v>262</v>
      </c>
      <c r="G3541">
        <v>10</v>
      </c>
      <c r="H3541">
        <v>742.08</v>
      </c>
      <c r="I3541">
        <v>126.31</v>
      </c>
      <c r="J3541" t="s">
        <v>14</v>
      </c>
      <c r="K3541" t="s">
        <v>16</v>
      </c>
      <c r="L3541" t="s">
        <v>2087</v>
      </c>
      <c r="M3541">
        <v>0</v>
      </c>
      <c r="N3541" t="s">
        <v>165</v>
      </c>
      <c r="O3541" t="s">
        <v>2107</v>
      </c>
    </row>
    <row r="3542" spans="1:15">
      <c r="A3542" t="s">
        <v>4865</v>
      </c>
      <c r="B3542" t="s">
        <v>2085</v>
      </c>
      <c r="C3542" t="s">
        <v>2094</v>
      </c>
      <c r="D3542" s="1">
        <v>44978</v>
      </c>
      <c r="E3542" s="1">
        <v>45044</v>
      </c>
      <c r="F3542">
        <v>248</v>
      </c>
      <c r="G3542">
        <v>36</v>
      </c>
      <c r="H3542">
        <v>2775.82</v>
      </c>
      <c r="I3542">
        <v>204.93</v>
      </c>
      <c r="J3542" t="s">
        <v>115</v>
      </c>
      <c r="K3542" t="s">
        <v>16</v>
      </c>
      <c r="L3542" t="s">
        <v>2106</v>
      </c>
      <c r="M3542">
        <v>1</v>
      </c>
      <c r="N3542" t="s">
        <v>204</v>
      </c>
      <c r="O3542" t="s">
        <v>2121</v>
      </c>
    </row>
    <row r="3543" spans="1:15">
      <c r="A3543" t="s">
        <v>4866</v>
      </c>
      <c r="B3543" t="s">
        <v>2099</v>
      </c>
      <c r="C3543" t="s">
        <v>2086</v>
      </c>
      <c r="D3543" s="1">
        <v>44443</v>
      </c>
      <c r="E3543" s="1">
        <v>45028</v>
      </c>
      <c r="F3543">
        <v>264</v>
      </c>
      <c r="G3543">
        <v>2</v>
      </c>
      <c r="H3543">
        <v>53.16</v>
      </c>
      <c r="I3543">
        <v>34.79</v>
      </c>
      <c r="J3543" t="s">
        <v>90</v>
      </c>
      <c r="K3543" t="s">
        <v>20</v>
      </c>
      <c r="L3543" t="s">
        <v>2095</v>
      </c>
      <c r="M3543">
        <v>3</v>
      </c>
      <c r="N3543" t="s">
        <v>157</v>
      </c>
      <c r="O3543" t="s">
        <v>2109</v>
      </c>
    </row>
    <row r="3544" spans="1:15">
      <c r="A3544" t="s">
        <v>4867</v>
      </c>
      <c r="B3544" t="s">
        <v>2093</v>
      </c>
      <c r="C3544" t="s">
        <v>2086</v>
      </c>
      <c r="D3544" s="1">
        <v>44464</v>
      </c>
      <c r="E3544" s="1">
        <v>45283</v>
      </c>
      <c r="F3544">
        <v>9</v>
      </c>
      <c r="G3544">
        <v>2</v>
      </c>
      <c r="H3544">
        <v>180.97</v>
      </c>
      <c r="I3544">
        <v>29.68</v>
      </c>
      <c r="J3544" t="s">
        <v>14</v>
      </c>
      <c r="K3544" t="s">
        <v>20</v>
      </c>
      <c r="L3544" t="s">
        <v>2095</v>
      </c>
      <c r="M3544">
        <v>5</v>
      </c>
      <c r="N3544" t="s">
        <v>194</v>
      </c>
      <c r="O3544" t="s">
        <v>2107</v>
      </c>
    </row>
    <row r="3545" spans="1:15">
      <c r="A3545" t="s">
        <v>4868</v>
      </c>
      <c r="B3545" t="s">
        <v>2093</v>
      </c>
      <c r="C3545" t="s">
        <v>2111</v>
      </c>
      <c r="D3545" s="1">
        <v>44561</v>
      </c>
      <c r="E3545" s="1">
        <v>45054</v>
      </c>
      <c r="F3545">
        <v>238</v>
      </c>
      <c r="G3545">
        <v>5</v>
      </c>
      <c r="H3545">
        <v>61.52</v>
      </c>
      <c r="I3545">
        <v>61.3</v>
      </c>
      <c r="J3545" t="s">
        <v>41</v>
      </c>
      <c r="K3545" t="s">
        <v>16</v>
      </c>
      <c r="L3545" t="s">
        <v>2095</v>
      </c>
      <c r="M3545">
        <v>6</v>
      </c>
      <c r="N3545" t="s">
        <v>204</v>
      </c>
      <c r="O3545" t="s">
        <v>2096</v>
      </c>
    </row>
    <row r="3546" spans="1:15">
      <c r="A3546" t="s">
        <v>4869</v>
      </c>
      <c r="B3546" t="s">
        <v>2099</v>
      </c>
      <c r="C3546" t="s">
        <v>2108</v>
      </c>
      <c r="D3546" s="1">
        <v>44102</v>
      </c>
      <c r="E3546" s="1">
        <v>44964</v>
      </c>
      <c r="F3546">
        <v>328</v>
      </c>
      <c r="G3546">
        <v>1</v>
      </c>
      <c r="H3546">
        <v>104.72</v>
      </c>
      <c r="I3546">
        <v>39.549999999999997</v>
      </c>
      <c r="J3546" t="s">
        <v>90</v>
      </c>
      <c r="K3546" t="s">
        <v>20</v>
      </c>
      <c r="L3546" t="s">
        <v>2087</v>
      </c>
      <c r="M3546">
        <v>6</v>
      </c>
      <c r="N3546" t="s">
        <v>174</v>
      </c>
      <c r="O3546" t="s">
        <v>2107</v>
      </c>
    </row>
    <row r="3547" spans="1:15">
      <c r="A3547" t="s">
        <v>4870</v>
      </c>
      <c r="B3547" t="s">
        <v>2090</v>
      </c>
      <c r="C3547" t="s">
        <v>2100</v>
      </c>
      <c r="D3547" s="1">
        <v>44432</v>
      </c>
      <c r="E3547" s="1">
        <v>45008</v>
      </c>
      <c r="F3547">
        <v>284</v>
      </c>
      <c r="G3547">
        <v>5</v>
      </c>
      <c r="H3547">
        <v>179.13</v>
      </c>
      <c r="I3547">
        <v>119.53</v>
      </c>
      <c r="J3547" t="s">
        <v>66</v>
      </c>
      <c r="K3547" t="s">
        <v>20</v>
      </c>
      <c r="L3547" t="s">
        <v>2106</v>
      </c>
      <c r="M3547">
        <v>1</v>
      </c>
      <c r="N3547" t="s">
        <v>174</v>
      </c>
      <c r="O3547" t="s">
        <v>2121</v>
      </c>
    </row>
    <row r="3548" spans="1:15">
      <c r="A3548" t="s">
        <v>4871</v>
      </c>
      <c r="B3548" t="s">
        <v>2093</v>
      </c>
      <c r="C3548" t="s">
        <v>2111</v>
      </c>
      <c r="D3548" s="1">
        <v>44450</v>
      </c>
      <c r="E3548" s="1">
        <v>45201</v>
      </c>
      <c r="F3548">
        <v>91</v>
      </c>
      <c r="G3548">
        <v>1</v>
      </c>
      <c r="H3548">
        <v>72.19</v>
      </c>
      <c r="I3548">
        <v>25.28</v>
      </c>
      <c r="J3548" t="s">
        <v>41</v>
      </c>
      <c r="K3548" t="s">
        <v>20</v>
      </c>
      <c r="L3548" t="s">
        <v>2106</v>
      </c>
      <c r="M3548">
        <v>10</v>
      </c>
      <c r="N3548" t="s">
        <v>157</v>
      </c>
      <c r="O3548" t="s">
        <v>2109</v>
      </c>
    </row>
    <row r="3549" spans="1:15">
      <c r="A3549" t="s">
        <v>878</v>
      </c>
      <c r="B3549" t="s">
        <v>2090</v>
      </c>
      <c r="C3549" t="s">
        <v>2086</v>
      </c>
      <c r="D3549" s="1">
        <v>44139</v>
      </c>
      <c r="E3549" s="1">
        <v>45251</v>
      </c>
      <c r="F3549">
        <v>41</v>
      </c>
      <c r="G3549">
        <v>7</v>
      </c>
      <c r="H3549">
        <v>150.85</v>
      </c>
      <c r="I3549">
        <v>91.85</v>
      </c>
      <c r="J3549" t="s">
        <v>41</v>
      </c>
      <c r="K3549" t="s">
        <v>16</v>
      </c>
      <c r="L3549" t="s">
        <v>2106</v>
      </c>
      <c r="M3549">
        <v>2</v>
      </c>
      <c r="N3549" t="s">
        <v>179</v>
      </c>
      <c r="O3549" t="s">
        <v>2107</v>
      </c>
    </row>
    <row r="3550" spans="1:15">
      <c r="A3550" t="s">
        <v>4872</v>
      </c>
      <c r="B3550" t="s">
        <v>2099</v>
      </c>
      <c r="C3550" t="s">
        <v>2094</v>
      </c>
      <c r="D3550" s="1">
        <v>43977</v>
      </c>
      <c r="E3550" s="1">
        <v>45230</v>
      </c>
      <c r="F3550">
        <v>62</v>
      </c>
      <c r="G3550">
        <v>1</v>
      </c>
      <c r="H3550">
        <v>55.61</v>
      </c>
      <c r="I3550">
        <v>65.77</v>
      </c>
      <c r="J3550" t="s">
        <v>41</v>
      </c>
      <c r="K3550" t="s">
        <v>16</v>
      </c>
      <c r="L3550" t="s">
        <v>2106</v>
      </c>
      <c r="M3550">
        <v>8</v>
      </c>
      <c r="N3550" t="s">
        <v>165</v>
      </c>
      <c r="O3550" t="s">
        <v>2107</v>
      </c>
    </row>
    <row r="3551" spans="1:15">
      <c r="A3551" t="s">
        <v>4873</v>
      </c>
      <c r="B3551" t="s">
        <v>2097</v>
      </c>
      <c r="C3551" t="s">
        <v>2100</v>
      </c>
      <c r="D3551" s="1">
        <v>44081</v>
      </c>
      <c r="E3551" s="1">
        <v>45188</v>
      </c>
      <c r="F3551">
        <v>104</v>
      </c>
      <c r="G3551">
        <v>5</v>
      </c>
      <c r="H3551">
        <v>177.78</v>
      </c>
      <c r="I3551">
        <v>66.739999999999995</v>
      </c>
      <c r="J3551" t="s">
        <v>14</v>
      </c>
      <c r="K3551" t="s">
        <v>20</v>
      </c>
      <c r="L3551" t="s">
        <v>2095</v>
      </c>
      <c r="M3551">
        <v>5</v>
      </c>
      <c r="N3551" t="s">
        <v>204</v>
      </c>
      <c r="O3551" t="s">
        <v>2107</v>
      </c>
    </row>
    <row r="3552" spans="1:15">
      <c r="A3552" t="s">
        <v>1485</v>
      </c>
      <c r="B3552" t="s">
        <v>2097</v>
      </c>
      <c r="C3552" t="s">
        <v>2111</v>
      </c>
      <c r="D3552" s="1">
        <v>44597</v>
      </c>
      <c r="E3552" s="1">
        <v>44942</v>
      </c>
      <c r="F3552">
        <v>350</v>
      </c>
      <c r="G3552">
        <v>3</v>
      </c>
      <c r="H3552">
        <v>681.44</v>
      </c>
      <c r="I3552">
        <v>88.88</v>
      </c>
      <c r="J3552" t="s">
        <v>115</v>
      </c>
      <c r="K3552" t="s">
        <v>16</v>
      </c>
      <c r="L3552" t="s">
        <v>2087</v>
      </c>
      <c r="M3552">
        <v>7</v>
      </c>
      <c r="N3552" t="s">
        <v>174</v>
      </c>
      <c r="O3552" t="s">
        <v>2096</v>
      </c>
    </row>
    <row r="3553" spans="1:15">
      <c r="A3553" t="s">
        <v>4874</v>
      </c>
      <c r="B3553" t="s">
        <v>2113</v>
      </c>
      <c r="C3553" t="s">
        <v>2094</v>
      </c>
      <c r="D3553" s="1">
        <v>43467</v>
      </c>
      <c r="E3553" s="1">
        <v>45057</v>
      </c>
      <c r="F3553">
        <v>235</v>
      </c>
      <c r="G3553">
        <v>7</v>
      </c>
      <c r="H3553">
        <v>524.38</v>
      </c>
      <c r="I3553">
        <v>58.07</v>
      </c>
      <c r="J3553" t="s">
        <v>90</v>
      </c>
      <c r="K3553" t="s">
        <v>16</v>
      </c>
      <c r="L3553" t="s">
        <v>2095</v>
      </c>
      <c r="M3553">
        <v>0</v>
      </c>
      <c r="N3553" t="s">
        <v>232</v>
      </c>
      <c r="O3553" t="s">
        <v>2107</v>
      </c>
    </row>
    <row r="3554" spans="1:15">
      <c r="A3554" t="s">
        <v>4875</v>
      </c>
      <c r="B3554" t="s">
        <v>2099</v>
      </c>
      <c r="C3554" t="s">
        <v>2100</v>
      </c>
      <c r="D3554" s="1">
        <v>44497</v>
      </c>
      <c r="E3554" s="1">
        <v>45095</v>
      </c>
      <c r="F3554">
        <v>197</v>
      </c>
      <c r="G3554">
        <v>1</v>
      </c>
      <c r="H3554">
        <v>57.05</v>
      </c>
      <c r="I3554">
        <v>55.71</v>
      </c>
      <c r="J3554" t="s">
        <v>41</v>
      </c>
      <c r="K3554" t="s">
        <v>16</v>
      </c>
      <c r="L3554" t="s">
        <v>2087</v>
      </c>
      <c r="M3554">
        <v>8</v>
      </c>
      <c r="N3554" t="s">
        <v>165</v>
      </c>
      <c r="O3554" t="s">
        <v>2088</v>
      </c>
    </row>
    <row r="3555" spans="1:15">
      <c r="A3555" t="s">
        <v>4876</v>
      </c>
      <c r="B3555" t="s">
        <v>2099</v>
      </c>
      <c r="C3555" t="s">
        <v>2100</v>
      </c>
      <c r="D3555" s="1">
        <v>45106</v>
      </c>
      <c r="E3555" s="1">
        <v>44993</v>
      </c>
      <c r="F3555">
        <v>299</v>
      </c>
      <c r="G3555">
        <v>1</v>
      </c>
      <c r="H3555">
        <v>82.35</v>
      </c>
      <c r="I3555">
        <v>37.71</v>
      </c>
      <c r="J3555" t="s">
        <v>90</v>
      </c>
      <c r="K3555" t="s">
        <v>16</v>
      </c>
      <c r="L3555" t="s">
        <v>2095</v>
      </c>
      <c r="M3555">
        <v>6</v>
      </c>
      <c r="N3555" t="s">
        <v>179</v>
      </c>
      <c r="O3555" t="s">
        <v>2107</v>
      </c>
    </row>
    <row r="3556" spans="1:15">
      <c r="A3556" t="s">
        <v>4877</v>
      </c>
      <c r="B3556" t="s">
        <v>2090</v>
      </c>
      <c r="C3556" t="s">
        <v>2100</v>
      </c>
      <c r="D3556" s="1">
        <v>44911</v>
      </c>
      <c r="E3556" s="1">
        <v>45049</v>
      </c>
      <c r="F3556">
        <v>243</v>
      </c>
      <c r="G3556">
        <v>7</v>
      </c>
      <c r="H3556">
        <v>299.70999999999998</v>
      </c>
      <c r="I3556">
        <v>91.25</v>
      </c>
      <c r="J3556" t="s">
        <v>115</v>
      </c>
      <c r="K3556" t="s">
        <v>20</v>
      </c>
      <c r="L3556" t="s">
        <v>2106</v>
      </c>
      <c r="M3556">
        <v>0</v>
      </c>
      <c r="N3556" t="s">
        <v>204</v>
      </c>
      <c r="O3556" t="s">
        <v>2121</v>
      </c>
    </row>
    <row r="3557" spans="1:15">
      <c r="A3557" t="s">
        <v>1140</v>
      </c>
      <c r="B3557" t="s">
        <v>2099</v>
      </c>
      <c r="C3557" t="s">
        <v>2108</v>
      </c>
      <c r="D3557" s="1">
        <v>44589</v>
      </c>
      <c r="E3557" s="1">
        <v>45055</v>
      </c>
      <c r="F3557">
        <v>237</v>
      </c>
      <c r="G3557">
        <v>2</v>
      </c>
      <c r="H3557">
        <v>29.68</v>
      </c>
      <c r="I3557">
        <v>53.03</v>
      </c>
      <c r="J3557" t="s">
        <v>41</v>
      </c>
      <c r="K3557" t="s">
        <v>16</v>
      </c>
      <c r="L3557" t="s">
        <v>2087</v>
      </c>
      <c r="M3557">
        <v>3</v>
      </c>
      <c r="N3557" t="s">
        <v>165</v>
      </c>
      <c r="O3557" t="s">
        <v>2107</v>
      </c>
    </row>
    <row r="3558" spans="1:15">
      <c r="A3558" t="s">
        <v>4878</v>
      </c>
      <c r="B3558" t="s">
        <v>2099</v>
      </c>
      <c r="C3558" t="s">
        <v>2094</v>
      </c>
      <c r="D3558" s="1">
        <v>45228</v>
      </c>
      <c r="E3558" s="1">
        <v>45186</v>
      </c>
      <c r="F3558">
        <v>106</v>
      </c>
      <c r="G3558">
        <v>2</v>
      </c>
      <c r="H3558">
        <v>74.14</v>
      </c>
      <c r="I3558">
        <v>26.85</v>
      </c>
      <c r="J3558" t="s">
        <v>66</v>
      </c>
      <c r="K3558" t="s">
        <v>16</v>
      </c>
      <c r="L3558" t="s">
        <v>2087</v>
      </c>
      <c r="M3558">
        <v>7</v>
      </c>
      <c r="N3558" t="s">
        <v>204</v>
      </c>
      <c r="O3558" t="s">
        <v>2109</v>
      </c>
    </row>
    <row r="3559" spans="1:15">
      <c r="A3559" t="s">
        <v>4879</v>
      </c>
      <c r="B3559" t="s">
        <v>2093</v>
      </c>
      <c r="C3559" t="s">
        <v>2086</v>
      </c>
      <c r="D3559" s="1">
        <v>43748</v>
      </c>
      <c r="E3559" s="1">
        <v>45279</v>
      </c>
      <c r="F3559">
        <v>13</v>
      </c>
      <c r="G3559">
        <v>4</v>
      </c>
      <c r="H3559">
        <v>181.16</v>
      </c>
      <c r="I3559">
        <v>41.73</v>
      </c>
      <c r="J3559" t="s">
        <v>66</v>
      </c>
      <c r="K3559" t="s">
        <v>16</v>
      </c>
      <c r="L3559" t="s">
        <v>2106</v>
      </c>
      <c r="M3559">
        <v>3</v>
      </c>
      <c r="N3559" t="s">
        <v>204</v>
      </c>
      <c r="O3559" t="s">
        <v>2096</v>
      </c>
    </row>
    <row r="3560" spans="1:15">
      <c r="A3560" t="s">
        <v>4880</v>
      </c>
      <c r="B3560" t="s">
        <v>2090</v>
      </c>
      <c r="C3560" t="s">
        <v>2100</v>
      </c>
      <c r="D3560" s="1">
        <v>44895</v>
      </c>
      <c r="E3560" s="1">
        <v>45025</v>
      </c>
      <c r="F3560">
        <v>267</v>
      </c>
      <c r="G3560">
        <v>7</v>
      </c>
      <c r="H3560">
        <v>377.22</v>
      </c>
      <c r="I3560">
        <v>81.040000000000006</v>
      </c>
      <c r="J3560" t="s">
        <v>66</v>
      </c>
      <c r="K3560" t="s">
        <v>16</v>
      </c>
      <c r="L3560" t="s">
        <v>2106</v>
      </c>
      <c r="M3560">
        <v>9</v>
      </c>
      <c r="N3560" t="s">
        <v>157</v>
      </c>
      <c r="O3560" t="s">
        <v>2107</v>
      </c>
    </row>
    <row r="3561" spans="1:15">
      <c r="A3561" t="s">
        <v>4881</v>
      </c>
      <c r="B3561" t="s">
        <v>2090</v>
      </c>
      <c r="C3561" t="s">
        <v>2111</v>
      </c>
      <c r="D3561" s="1">
        <v>44012</v>
      </c>
      <c r="E3561" s="1">
        <v>45093</v>
      </c>
      <c r="F3561">
        <v>199</v>
      </c>
      <c r="G3561">
        <v>5</v>
      </c>
      <c r="H3561">
        <v>92.01</v>
      </c>
      <c r="I3561">
        <v>50.44</v>
      </c>
      <c r="J3561" t="s">
        <v>41</v>
      </c>
      <c r="K3561" t="s">
        <v>16</v>
      </c>
      <c r="L3561" t="s">
        <v>2087</v>
      </c>
      <c r="M3561">
        <v>7</v>
      </c>
      <c r="N3561" t="s">
        <v>165</v>
      </c>
      <c r="O3561" t="s">
        <v>2096</v>
      </c>
    </row>
    <row r="3562" spans="1:15">
      <c r="A3562" t="s">
        <v>4882</v>
      </c>
      <c r="B3562" t="s">
        <v>2097</v>
      </c>
      <c r="C3562" t="s">
        <v>2094</v>
      </c>
      <c r="D3562" s="1">
        <v>43820</v>
      </c>
      <c r="E3562" s="1">
        <v>45243</v>
      </c>
      <c r="F3562">
        <v>49</v>
      </c>
      <c r="G3562">
        <v>4</v>
      </c>
      <c r="H3562">
        <v>790.96</v>
      </c>
      <c r="I3562">
        <v>131.19999999999999</v>
      </c>
      <c r="J3562" t="s">
        <v>115</v>
      </c>
      <c r="K3562" t="s">
        <v>20</v>
      </c>
      <c r="L3562" t="s">
        <v>2106</v>
      </c>
      <c r="M3562">
        <v>1</v>
      </c>
      <c r="N3562" t="s">
        <v>204</v>
      </c>
      <c r="O3562" t="s">
        <v>2096</v>
      </c>
    </row>
    <row r="3563" spans="1:15">
      <c r="A3563" t="s">
        <v>4883</v>
      </c>
      <c r="B3563" t="s">
        <v>2093</v>
      </c>
      <c r="C3563" t="s">
        <v>2091</v>
      </c>
      <c r="D3563" s="1">
        <v>44307</v>
      </c>
      <c r="E3563" s="1">
        <v>45033</v>
      </c>
      <c r="F3563">
        <v>259</v>
      </c>
      <c r="G3563">
        <v>1</v>
      </c>
      <c r="H3563">
        <v>193.63</v>
      </c>
      <c r="I3563">
        <v>46.29</v>
      </c>
      <c r="J3563" t="s">
        <v>115</v>
      </c>
      <c r="K3563" t="s">
        <v>16</v>
      </c>
      <c r="L3563" t="s">
        <v>2095</v>
      </c>
      <c r="M3563">
        <v>3</v>
      </c>
      <c r="N3563" t="s">
        <v>179</v>
      </c>
      <c r="O3563" t="s">
        <v>2088</v>
      </c>
    </row>
    <row r="3564" spans="1:15">
      <c r="A3564" t="s">
        <v>4884</v>
      </c>
      <c r="B3564" t="s">
        <v>2093</v>
      </c>
      <c r="C3564" t="s">
        <v>2091</v>
      </c>
      <c r="D3564" s="1">
        <v>43650</v>
      </c>
      <c r="E3564" s="1">
        <v>45247</v>
      </c>
      <c r="F3564">
        <v>45</v>
      </c>
      <c r="G3564">
        <v>1</v>
      </c>
      <c r="H3564">
        <v>81.680000000000007</v>
      </c>
      <c r="I3564">
        <v>49.45</v>
      </c>
      <c r="J3564" t="s">
        <v>90</v>
      </c>
      <c r="K3564" t="s">
        <v>20</v>
      </c>
      <c r="L3564" t="s">
        <v>2106</v>
      </c>
      <c r="M3564">
        <v>0</v>
      </c>
      <c r="N3564" t="s">
        <v>232</v>
      </c>
      <c r="O3564" t="s">
        <v>2109</v>
      </c>
    </row>
    <row r="3565" spans="1:15">
      <c r="A3565" t="s">
        <v>1712</v>
      </c>
      <c r="B3565" t="s">
        <v>2113</v>
      </c>
      <c r="C3565" t="s">
        <v>2086</v>
      </c>
      <c r="D3565" s="1">
        <v>44312</v>
      </c>
      <c r="E3565" s="1">
        <v>44979</v>
      </c>
      <c r="F3565">
        <v>313</v>
      </c>
      <c r="G3565">
        <v>15</v>
      </c>
      <c r="H3565">
        <v>529.29</v>
      </c>
      <c r="I3565">
        <v>30.76</v>
      </c>
      <c r="J3565" t="s">
        <v>115</v>
      </c>
      <c r="K3565" t="s">
        <v>16</v>
      </c>
      <c r="L3565" t="s">
        <v>2095</v>
      </c>
      <c r="M3565">
        <v>7</v>
      </c>
      <c r="N3565" t="s">
        <v>179</v>
      </c>
      <c r="O3565" t="s">
        <v>2088</v>
      </c>
    </row>
    <row r="3566" spans="1:15">
      <c r="A3566" t="s">
        <v>4885</v>
      </c>
      <c r="B3566" t="s">
        <v>2097</v>
      </c>
      <c r="C3566" t="s">
        <v>2111</v>
      </c>
      <c r="D3566" s="1">
        <v>44740</v>
      </c>
      <c r="E3566" s="1">
        <v>45082</v>
      </c>
      <c r="F3566">
        <v>210</v>
      </c>
      <c r="G3566">
        <v>6</v>
      </c>
      <c r="H3566">
        <v>590.97</v>
      </c>
      <c r="I3566">
        <v>73.489999999999995</v>
      </c>
      <c r="J3566" t="s">
        <v>41</v>
      </c>
      <c r="K3566" t="s">
        <v>20</v>
      </c>
      <c r="L3566" t="s">
        <v>2087</v>
      </c>
      <c r="M3566">
        <v>5</v>
      </c>
      <c r="N3566" t="s">
        <v>232</v>
      </c>
      <c r="O3566" t="s">
        <v>2121</v>
      </c>
    </row>
    <row r="3567" spans="1:15">
      <c r="A3567" t="s">
        <v>4886</v>
      </c>
      <c r="B3567" t="s">
        <v>2097</v>
      </c>
      <c r="C3567" t="s">
        <v>2100</v>
      </c>
      <c r="D3567" s="1">
        <v>44292</v>
      </c>
      <c r="E3567" s="1">
        <v>45118</v>
      </c>
      <c r="F3567">
        <v>174</v>
      </c>
      <c r="G3567">
        <v>8</v>
      </c>
      <c r="H3567">
        <v>736.16</v>
      </c>
      <c r="I3567">
        <v>56.6</v>
      </c>
      <c r="J3567" t="s">
        <v>66</v>
      </c>
      <c r="K3567" t="s">
        <v>16</v>
      </c>
      <c r="L3567" t="s">
        <v>2087</v>
      </c>
      <c r="M3567">
        <v>7</v>
      </c>
      <c r="N3567" t="s">
        <v>194</v>
      </c>
      <c r="O3567" t="s">
        <v>2088</v>
      </c>
    </row>
    <row r="3568" spans="1:15">
      <c r="A3568" t="s">
        <v>4887</v>
      </c>
      <c r="B3568" t="s">
        <v>2099</v>
      </c>
      <c r="C3568" t="s">
        <v>2108</v>
      </c>
      <c r="D3568" s="1">
        <v>43488</v>
      </c>
      <c r="E3568" s="1">
        <v>45277</v>
      </c>
      <c r="F3568">
        <v>15</v>
      </c>
      <c r="G3568">
        <v>1</v>
      </c>
      <c r="H3568">
        <v>102.5</v>
      </c>
      <c r="I3568">
        <v>64.42</v>
      </c>
      <c r="J3568" t="s">
        <v>90</v>
      </c>
      <c r="K3568" t="s">
        <v>20</v>
      </c>
      <c r="L3568" t="s">
        <v>2106</v>
      </c>
      <c r="M3568">
        <v>0</v>
      </c>
      <c r="N3568" t="s">
        <v>179</v>
      </c>
      <c r="O3568" t="s">
        <v>2121</v>
      </c>
    </row>
    <row r="3569" spans="1:15">
      <c r="A3569" t="s">
        <v>4888</v>
      </c>
      <c r="B3569" t="s">
        <v>2099</v>
      </c>
      <c r="C3569" t="s">
        <v>2091</v>
      </c>
      <c r="D3569" s="1">
        <v>44110</v>
      </c>
      <c r="E3569" s="1">
        <v>45172</v>
      </c>
      <c r="F3569">
        <v>120</v>
      </c>
      <c r="G3569">
        <v>1</v>
      </c>
      <c r="H3569">
        <v>133.29</v>
      </c>
      <c r="I3569">
        <v>46.99</v>
      </c>
      <c r="J3569" t="s">
        <v>115</v>
      </c>
      <c r="K3569" t="s">
        <v>20</v>
      </c>
      <c r="L3569" t="s">
        <v>2106</v>
      </c>
      <c r="M3569">
        <v>4</v>
      </c>
      <c r="N3569" t="s">
        <v>174</v>
      </c>
      <c r="O3569" t="s">
        <v>2096</v>
      </c>
    </row>
    <row r="3570" spans="1:15">
      <c r="A3570" t="s">
        <v>1504</v>
      </c>
      <c r="B3570" t="s">
        <v>2090</v>
      </c>
      <c r="C3570" t="s">
        <v>2111</v>
      </c>
      <c r="D3570" s="1">
        <v>44349</v>
      </c>
      <c r="E3570" s="1">
        <v>45121</v>
      </c>
      <c r="F3570">
        <v>171</v>
      </c>
      <c r="G3570">
        <v>5</v>
      </c>
      <c r="H3570">
        <v>82.12</v>
      </c>
      <c r="I3570">
        <v>42.29</v>
      </c>
      <c r="J3570" t="s">
        <v>90</v>
      </c>
      <c r="K3570" t="s">
        <v>20</v>
      </c>
      <c r="L3570" t="s">
        <v>2095</v>
      </c>
      <c r="M3570">
        <v>10</v>
      </c>
      <c r="N3570" t="s">
        <v>194</v>
      </c>
      <c r="O3570" t="s">
        <v>2107</v>
      </c>
    </row>
    <row r="3571" spans="1:15">
      <c r="A3571" t="s">
        <v>4889</v>
      </c>
      <c r="B3571" t="s">
        <v>2085</v>
      </c>
      <c r="C3571" t="s">
        <v>2094</v>
      </c>
      <c r="D3571" s="1">
        <v>44885</v>
      </c>
      <c r="E3571" s="1">
        <v>45011</v>
      </c>
      <c r="F3571">
        <v>281</v>
      </c>
      <c r="G3571">
        <v>26</v>
      </c>
      <c r="H3571">
        <v>1632.63</v>
      </c>
      <c r="I3571">
        <v>104.17</v>
      </c>
      <c r="J3571" t="s">
        <v>66</v>
      </c>
      <c r="K3571" t="s">
        <v>20</v>
      </c>
      <c r="L3571" t="s">
        <v>2087</v>
      </c>
      <c r="M3571">
        <v>6</v>
      </c>
      <c r="N3571" t="s">
        <v>232</v>
      </c>
      <c r="O3571" t="s">
        <v>2109</v>
      </c>
    </row>
    <row r="3572" spans="1:15">
      <c r="A3572" t="s">
        <v>1961</v>
      </c>
      <c r="B3572" t="s">
        <v>2093</v>
      </c>
      <c r="C3572" t="s">
        <v>2108</v>
      </c>
      <c r="D3572" s="1">
        <v>43902</v>
      </c>
      <c r="E3572" s="1">
        <v>45044</v>
      </c>
      <c r="F3572">
        <v>248</v>
      </c>
      <c r="G3572">
        <v>5</v>
      </c>
      <c r="H3572">
        <v>45.54</v>
      </c>
      <c r="I3572">
        <v>25.08</v>
      </c>
      <c r="J3572" t="s">
        <v>90</v>
      </c>
      <c r="K3572" t="s">
        <v>20</v>
      </c>
      <c r="L3572" t="s">
        <v>2087</v>
      </c>
      <c r="M3572">
        <v>5</v>
      </c>
      <c r="N3572" t="s">
        <v>204</v>
      </c>
      <c r="O3572" t="s">
        <v>2121</v>
      </c>
    </row>
    <row r="3573" spans="1:15">
      <c r="A3573" t="s">
        <v>4890</v>
      </c>
      <c r="B3573" t="s">
        <v>2113</v>
      </c>
      <c r="C3573" t="s">
        <v>2094</v>
      </c>
      <c r="D3573" s="1">
        <v>44605</v>
      </c>
      <c r="E3573" s="1">
        <v>45024</v>
      </c>
      <c r="F3573">
        <v>268</v>
      </c>
      <c r="G3573">
        <v>13</v>
      </c>
      <c r="H3573">
        <v>296.60000000000002</v>
      </c>
      <c r="I3573">
        <v>30.84</v>
      </c>
      <c r="J3573" t="s">
        <v>41</v>
      </c>
      <c r="K3573" t="s">
        <v>16</v>
      </c>
      <c r="L3573" t="s">
        <v>2095</v>
      </c>
      <c r="M3573">
        <v>5</v>
      </c>
      <c r="N3573" t="s">
        <v>157</v>
      </c>
      <c r="O3573" t="s">
        <v>2107</v>
      </c>
    </row>
    <row r="3574" spans="1:15">
      <c r="A3574" t="s">
        <v>4891</v>
      </c>
      <c r="B3574" t="s">
        <v>2090</v>
      </c>
      <c r="C3574" t="s">
        <v>2086</v>
      </c>
      <c r="D3574" s="1">
        <v>44711</v>
      </c>
      <c r="E3574" s="1">
        <v>45287</v>
      </c>
      <c r="F3574">
        <v>5</v>
      </c>
      <c r="G3574">
        <v>6</v>
      </c>
      <c r="H3574">
        <v>130.37</v>
      </c>
      <c r="I3574">
        <v>90.37</v>
      </c>
      <c r="J3574" t="s">
        <v>90</v>
      </c>
      <c r="K3574" t="s">
        <v>20</v>
      </c>
      <c r="L3574" t="s">
        <v>2087</v>
      </c>
      <c r="M3574">
        <v>6</v>
      </c>
      <c r="N3574" t="s">
        <v>165</v>
      </c>
      <c r="O3574" t="s">
        <v>2096</v>
      </c>
    </row>
    <row r="3575" spans="1:15">
      <c r="A3575" t="s">
        <v>1805</v>
      </c>
      <c r="B3575" t="s">
        <v>2090</v>
      </c>
      <c r="C3575" t="s">
        <v>2111</v>
      </c>
      <c r="D3575" s="1">
        <v>45130</v>
      </c>
      <c r="E3575" s="1">
        <v>45277</v>
      </c>
      <c r="F3575">
        <v>15</v>
      </c>
      <c r="G3575">
        <v>7</v>
      </c>
      <c r="H3575">
        <v>330.05</v>
      </c>
      <c r="I3575">
        <v>114.99</v>
      </c>
      <c r="J3575" t="s">
        <v>115</v>
      </c>
      <c r="K3575" t="s">
        <v>16</v>
      </c>
      <c r="L3575" t="s">
        <v>2087</v>
      </c>
      <c r="M3575">
        <v>8</v>
      </c>
      <c r="N3575" t="s">
        <v>232</v>
      </c>
      <c r="O3575" t="s">
        <v>2096</v>
      </c>
    </row>
    <row r="3576" spans="1:15">
      <c r="A3576" t="s">
        <v>4892</v>
      </c>
      <c r="B3576" t="s">
        <v>2113</v>
      </c>
      <c r="C3576" t="s">
        <v>2094</v>
      </c>
      <c r="D3576" s="1">
        <v>44324</v>
      </c>
      <c r="E3576" s="1">
        <v>45041</v>
      </c>
      <c r="F3576">
        <v>251</v>
      </c>
      <c r="G3576">
        <v>8</v>
      </c>
      <c r="H3576">
        <v>244.56</v>
      </c>
      <c r="I3576">
        <v>30.98</v>
      </c>
      <c r="J3576" t="s">
        <v>115</v>
      </c>
      <c r="K3576" t="s">
        <v>16</v>
      </c>
      <c r="L3576" t="s">
        <v>2087</v>
      </c>
      <c r="M3576">
        <v>5</v>
      </c>
      <c r="N3576" t="s">
        <v>174</v>
      </c>
      <c r="O3576" t="s">
        <v>2107</v>
      </c>
    </row>
    <row r="3577" spans="1:15">
      <c r="A3577" t="s">
        <v>4893</v>
      </c>
      <c r="B3577" t="s">
        <v>2093</v>
      </c>
      <c r="C3577" t="s">
        <v>2086</v>
      </c>
      <c r="D3577" s="1">
        <v>43959</v>
      </c>
      <c r="E3577" s="1">
        <v>45157</v>
      </c>
      <c r="F3577">
        <v>135</v>
      </c>
      <c r="G3577">
        <v>4</v>
      </c>
      <c r="H3577">
        <v>50.56</v>
      </c>
      <c r="I3577">
        <v>53.83</v>
      </c>
      <c r="J3577" t="s">
        <v>14</v>
      </c>
      <c r="K3577" t="s">
        <v>16</v>
      </c>
      <c r="L3577" t="s">
        <v>2095</v>
      </c>
      <c r="M3577">
        <v>10</v>
      </c>
      <c r="N3577" t="s">
        <v>165</v>
      </c>
      <c r="O3577" t="s">
        <v>2088</v>
      </c>
    </row>
    <row r="3578" spans="1:15">
      <c r="A3578" t="s">
        <v>4894</v>
      </c>
      <c r="B3578" t="s">
        <v>2097</v>
      </c>
      <c r="C3578" t="s">
        <v>2111</v>
      </c>
      <c r="D3578" s="1">
        <v>44068</v>
      </c>
      <c r="E3578" s="1">
        <v>45037</v>
      </c>
      <c r="F3578">
        <v>255</v>
      </c>
      <c r="G3578">
        <v>3</v>
      </c>
      <c r="H3578">
        <v>540.42999999999995</v>
      </c>
      <c r="I3578">
        <v>118.78</v>
      </c>
      <c r="J3578" t="s">
        <v>41</v>
      </c>
      <c r="K3578" t="s">
        <v>16</v>
      </c>
      <c r="L3578" t="s">
        <v>2095</v>
      </c>
      <c r="M3578">
        <v>4</v>
      </c>
      <c r="N3578" t="s">
        <v>179</v>
      </c>
      <c r="O3578" t="s">
        <v>2121</v>
      </c>
    </row>
    <row r="3579" spans="1:15">
      <c r="A3579" t="s">
        <v>4895</v>
      </c>
      <c r="B3579" t="s">
        <v>2113</v>
      </c>
      <c r="C3579" t="s">
        <v>2091</v>
      </c>
      <c r="D3579" s="1">
        <v>43549</v>
      </c>
      <c r="E3579" s="1">
        <v>45170</v>
      </c>
      <c r="F3579">
        <v>122</v>
      </c>
      <c r="G3579">
        <v>19</v>
      </c>
      <c r="H3579">
        <v>403.33</v>
      </c>
      <c r="I3579">
        <v>59.83</v>
      </c>
      <c r="J3579" t="s">
        <v>66</v>
      </c>
      <c r="K3579" t="s">
        <v>16</v>
      </c>
      <c r="L3579" t="s">
        <v>2087</v>
      </c>
      <c r="M3579">
        <v>8</v>
      </c>
      <c r="N3579" t="s">
        <v>204</v>
      </c>
      <c r="O3579" t="s">
        <v>2107</v>
      </c>
    </row>
    <row r="3580" spans="1:15">
      <c r="A3580" t="s">
        <v>4896</v>
      </c>
      <c r="B3580" t="s">
        <v>2097</v>
      </c>
      <c r="C3580" t="s">
        <v>2100</v>
      </c>
      <c r="D3580" s="1">
        <v>44324</v>
      </c>
      <c r="E3580" s="1">
        <v>45105</v>
      </c>
      <c r="F3580">
        <v>187</v>
      </c>
      <c r="G3580">
        <v>3</v>
      </c>
      <c r="H3580">
        <v>398.03</v>
      </c>
      <c r="I3580">
        <v>70.97</v>
      </c>
      <c r="J3580" t="s">
        <v>115</v>
      </c>
      <c r="K3580" t="s">
        <v>16</v>
      </c>
      <c r="L3580" t="s">
        <v>2087</v>
      </c>
      <c r="M3580">
        <v>1</v>
      </c>
      <c r="N3580" t="s">
        <v>165</v>
      </c>
      <c r="O3580" t="s">
        <v>2121</v>
      </c>
    </row>
    <row r="3581" spans="1:15">
      <c r="A3581" t="s">
        <v>4897</v>
      </c>
      <c r="B3581" t="s">
        <v>2085</v>
      </c>
      <c r="C3581" t="s">
        <v>2100</v>
      </c>
      <c r="D3581" s="1">
        <v>44283</v>
      </c>
      <c r="E3581" s="1">
        <v>45175</v>
      </c>
      <c r="F3581">
        <v>117</v>
      </c>
      <c r="G3581">
        <v>37</v>
      </c>
      <c r="H3581">
        <v>915.73</v>
      </c>
      <c r="I3581">
        <v>119.81</v>
      </c>
      <c r="J3581" t="s">
        <v>90</v>
      </c>
      <c r="K3581" t="s">
        <v>16</v>
      </c>
      <c r="L3581" t="s">
        <v>2087</v>
      </c>
      <c r="M3581">
        <v>9</v>
      </c>
      <c r="N3581" t="s">
        <v>194</v>
      </c>
      <c r="O3581" t="s">
        <v>2088</v>
      </c>
    </row>
    <row r="3582" spans="1:15">
      <c r="A3582" t="s">
        <v>313</v>
      </c>
      <c r="B3582" t="s">
        <v>2093</v>
      </c>
      <c r="C3582" t="s">
        <v>2086</v>
      </c>
      <c r="D3582" s="1">
        <v>43737</v>
      </c>
      <c r="E3582" s="1">
        <v>45065</v>
      </c>
      <c r="F3582">
        <v>227</v>
      </c>
      <c r="G3582">
        <v>2</v>
      </c>
      <c r="H3582">
        <v>156.37</v>
      </c>
      <c r="I3582">
        <v>63.17</v>
      </c>
      <c r="J3582" t="s">
        <v>90</v>
      </c>
      <c r="K3582" t="s">
        <v>16</v>
      </c>
      <c r="L3582" t="s">
        <v>2095</v>
      </c>
      <c r="M3582">
        <v>7</v>
      </c>
      <c r="N3582" t="s">
        <v>174</v>
      </c>
      <c r="O3582" t="s">
        <v>2088</v>
      </c>
    </row>
    <row r="3583" spans="1:15">
      <c r="A3583" t="s">
        <v>4898</v>
      </c>
      <c r="B3583" t="s">
        <v>2099</v>
      </c>
      <c r="C3583" t="s">
        <v>2091</v>
      </c>
      <c r="D3583" s="1">
        <v>44659</v>
      </c>
      <c r="E3583" s="1">
        <v>44987</v>
      </c>
      <c r="F3583">
        <v>305</v>
      </c>
      <c r="G3583">
        <v>2</v>
      </c>
      <c r="H3583">
        <v>60.77</v>
      </c>
      <c r="I3583">
        <v>82.36</v>
      </c>
      <c r="J3583" t="s">
        <v>14</v>
      </c>
      <c r="K3583" t="s">
        <v>20</v>
      </c>
      <c r="L3583" t="s">
        <v>2087</v>
      </c>
      <c r="M3583">
        <v>5</v>
      </c>
      <c r="N3583" t="s">
        <v>194</v>
      </c>
      <c r="O3583" t="s">
        <v>2096</v>
      </c>
    </row>
    <row r="3584" spans="1:15">
      <c r="A3584" t="s">
        <v>4899</v>
      </c>
      <c r="B3584" t="s">
        <v>2097</v>
      </c>
      <c r="C3584" t="s">
        <v>2091</v>
      </c>
      <c r="D3584" s="1">
        <v>44034</v>
      </c>
      <c r="E3584" s="1">
        <v>45079</v>
      </c>
      <c r="F3584">
        <v>213</v>
      </c>
      <c r="G3584">
        <v>11</v>
      </c>
      <c r="H3584">
        <v>608.16</v>
      </c>
      <c r="I3584">
        <v>138.34</v>
      </c>
      <c r="J3584" t="s">
        <v>115</v>
      </c>
      <c r="K3584" t="s">
        <v>20</v>
      </c>
      <c r="L3584" t="s">
        <v>2106</v>
      </c>
      <c r="M3584">
        <v>2</v>
      </c>
      <c r="N3584" t="s">
        <v>204</v>
      </c>
      <c r="O3584" t="s">
        <v>2088</v>
      </c>
    </row>
    <row r="3585" spans="1:15">
      <c r="A3585" t="s">
        <v>1181</v>
      </c>
      <c r="B3585" t="s">
        <v>2099</v>
      </c>
      <c r="C3585" t="s">
        <v>2100</v>
      </c>
      <c r="D3585" s="1">
        <v>43948</v>
      </c>
      <c r="E3585" s="1">
        <v>45272</v>
      </c>
      <c r="F3585">
        <v>20</v>
      </c>
      <c r="G3585">
        <v>2</v>
      </c>
      <c r="H3585">
        <v>94.29</v>
      </c>
      <c r="I3585">
        <v>96.48</v>
      </c>
      <c r="J3585" t="s">
        <v>90</v>
      </c>
      <c r="K3585" t="s">
        <v>16</v>
      </c>
      <c r="L3585" t="s">
        <v>2087</v>
      </c>
      <c r="M3585">
        <v>8</v>
      </c>
      <c r="N3585" t="s">
        <v>232</v>
      </c>
      <c r="O3585" t="s">
        <v>2109</v>
      </c>
    </row>
    <row r="3586" spans="1:15">
      <c r="A3586" t="s">
        <v>4900</v>
      </c>
      <c r="B3586" t="s">
        <v>2090</v>
      </c>
      <c r="C3586" t="s">
        <v>2086</v>
      </c>
      <c r="D3586" s="1">
        <v>45251</v>
      </c>
      <c r="E3586" s="1">
        <v>44931</v>
      </c>
      <c r="F3586">
        <v>361</v>
      </c>
      <c r="G3586">
        <v>6</v>
      </c>
      <c r="H3586">
        <v>396.85</v>
      </c>
      <c r="I3586">
        <v>71.27</v>
      </c>
      <c r="J3586" t="s">
        <v>90</v>
      </c>
      <c r="K3586" t="s">
        <v>20</v>
      </c>
      <c r="L3586" t="s">
        <v>2087</v>
      </c>
      <c r="M3586">
        <v>3</v>
      </c>
      <c r="N3586" t="s">
        <v>232</v>
      </c>
      <c r="O3586" t="s">
        <v>2096</v>
      </c>
    </row>
    <row r="3587" spans="1:15">
      <c r="A3587" t="s">
        <v>4901</v>
      </c>
      <c r="B3587" t="s">
        <v>2113</v>
      </c>
      <c r="C3587" t="s">
        <v>2108</v>
      </c>
      <c r="D3587" s="1">
        <v>44662</v>
      </c>
      <c r="E3587" s="1">
        <v>44946</v>
      </c>
      <c r="F3587">
        <v>346</v>
      </c>
      <c r="G3587">
        <v>8</v>
      </c>
      <c r="H3587">
        <v>369.62</v>
      </c>
      <c r="I3587">
        <v>41.97</v>
      </c>
      <c r="J3587" t="s">
        <v>115</v>
      </c>
      <c r="K3587" t="s">
        <v>16</v>
      </c>
      <c r="L3587" t="s">
        <v>2106</v>
      </c>
      <c r="M3587">
        <v>0</v>
      </c>
      <c r="N3587" t="s">
        <v>165</v>
      </c>
      <c r="O3587" t="s">
        <v>2121</v>
      </c>
    </row>
    <row r="3588" spans="1:15">
      <c r="A3588" t="s">
        <v>4902</v>
      </c>
      <c r="B3588" t="s">
        <v>2113</v>
      </c>
      <c r="C3588" t="s">
        <v>2091</v>
      </c>
      <c r="D3588" s="1">
        <v>43575</v>
      </c>
      <c r="E3588" s="1">
        <v>45158</v>
      </c>
      <c r="F3588">
        <v>134</v>
      </c>
      <c r="G3588">
        <v>13</v>
      </c>
      <c r="H3588">
        <v>333.23</v>
      </c>
      <c r="I3588">
        <v>39.31</v>
      </c>
      <c r="J3588" t="s">
        <v>66</v>
      </c>
      <c r="K3588" t="s">
        <v>16</v>
      </c>
      <c r="L3588" t="s">
        <v>2087</v>
      </c>
      <c r="M3588">
        <v>5</v>
      </c>
      <c r="N3588" t="s">
        <v>165</v>
      </c>
      <c r="O3588" t="s">
        <v>2107</v>
      </c>
    </row>
    <row r="3589" spans="1:15">
      <c r="A3589" t="s">
        <v>4903</v>
      </c>
      <c r="B3589" t="s">
        <v>2099</v>
      </c>
      <c r="C3589" t="s">
        <v>2108</v>
      </c>
      <c r="D3589" s="1">
        <v>43983</v>
      </c>
      <c r="E3589" s="1">
        <v>45162</v>
      </c>
      <c r="F3589">
        <v>130</v>
      </c>
      <c r="G3589">
        <v>2</v>
      </c>
      <c r="H3589">
        <v>28.29</v>
      </c>
      <c r="I3589">
        <v>68.13</v>
      </c>
      <c r="J3589" t="s">
        <v>41</v>
      </c>
      <c r="K3589" t="s">
        <v>20</v>
      </c>
      <c r="L3589" t="s">
        <v>2087</v>
      </c>
      <c r="M3589">
        <v>4</v>
      </c>
      <c r="N3589" t="s">
        <v>174</v>
      </c>
      <c r="O3589" t="s">
        <v>2109</v>
      </c>
    </row>
    <row r="3590" spans="1:15">
      <c r="A3590" t="s">
        <v>4904</v>
      </c>
      <c r="B3590" t="s">
        <v>2113</v>
      </c>
      <c r="C3590" t="s">
        <v>2100</v>
      </c>
      <c r="D3590" s="1">
        <v>43719</v>
      </c>
      <c r="E3590" s="1">
        <v>45056</v>
      </c>
      <c r="F3590">
        <v>236</v>
      </c>
      <c r="G3590">
        <v>7</v>
      </c>
      <c r="H3590">
        <v>536.04</v>
      </c>
      <c r="I3590">
        <v>42.28</v>
      </c>
      <c r="J3590" t="s">
        <v>14</v>
      </c>
      <c r="K3590" t="s">
        <v>16</v>
      </c>
      <c r="L3590" t="s">
        <v>2087</v>
      </c>
      <c r="M3590">
        <v>8</v>
      </c>
      <c r="N3590" t="s">
        <v>157</v>
      </c>
      <c r="O3590" t="s">
        <v>2088</v>
      </c>
    </row>
    <row r="3591" spans="1:15">
      <c r="A3591" t="s">
        <v>345</v>
      </c>
      <c r="B3591" t="s">
        <v>2085</v>
      </c>
      <c r="C3591" t="s">
        <v>2108</v>
      </c>
      <c r="D3591" s="1">
        <v>44691</v>
      </c>
      <c r="E3591" s="1">
        <v>45238</v>
      </c>
      <c r="F3591">
        <v>54</v>
      </c>
      <c r="G3591">
        <v>19</v>
      </c>
      <c r="H3591">
        <v>1491.12</v>
      </c>
      <c r="I3591">
        <v>204.64</v>
      </c>
      <c r="J3591" t="s">
        <v>14</v>
      </c>
      <c r="K3591" t="s">
        <v>20</v>
      </c>
      <c r="L3591" t="s">
        <v>2095</v>
      </c>
      <c r="M3591">
        <v>8</v>
      </c>
      <c r="N3591" t="s">
        <v>165</v>
      </c>
      <c r="O3591" t="s">
        <v>2121</v>
      </c>
    </row>
    <row r="3592" spans="1:15">
      <c r="A3592" t="s">
        <v>1033</v>
      </c>
      <c r="B3592" t="s">
        <v>2090</v>
      </c>
      <c r="C3592" t="s">
        <v>2094</v>
      </c>
      <c r="D3592" s="1">
        <v>44939</v>
      </c>
      <c r="E3592" s="1">
        <v>45167</v>
      </c>
      <c r="F3592">
        <v>125</v>
      </c>
      <c r="G3592">
        <v>5</v>
      </c>
      <c r="H3592">
        <v>233.7</v>
      </c>
      <c r="I3592">
        <v>40.03</v>
      </c>
      <c r="J3592" t="s">
        <v>14</v>
      </c>
      <c r="K3592" t="s">
        <v>16</v>
      </c>
      <c r="L3592" t="s">
        <v>2095</v>
      </c>
      <c r="M3592">
        <v>9</v>
      </c>
      <c r="N3592" t="s">
        <v>165</v>
      </c>
      <c r="O3592" t="s">
        <v>2088</v>
      </c>
    </row>
    <row r="3593" spans="1:15">
      <c r="A3593" t="s">
        <v>4905</v>
      </c>
      <c r="B3593" t="s">
        <v>2097</v>
      </c>
      <c r="C3593" t="s">
        <v>2100</v>
      </c>
      <c r="D3593" s="1">
        <v>44391</v>
      </c>
      <c r="E3593" s="1">
        <v>45240</v>
      </c>
      <c r="F3593">
        <v>52</v>
      </c>
      <c r="G3593">
        <v>5</v>
      </c>
      <c r="H3593">
        <v>790.33</v>
      </c>
      <c r="I3593">
        <v>89.37</v>
      </c>
      <c r="J3593" t="s">
        <v>66</v>
      </c>
      <c r="K3593" t="s">
        <v>20</v>
      </c>
      <c r="L3593" t="s">
        <v>2087</v>
      </c>
      <c r="M3593">
        <v>3</v>
      </c>
      <c r="N3593" t="s">
        <v>174</v>
      </c>
      <c r="O3593" t="s">
        <v>2109</v>
      </c>
    </row>
    <row r="3594" spans="1:15">
      <c r="A3594" t="s">
        <v>1550</v>
      </c>
      <c r="B3594" t="s">
        <v>2099</v>
      </c>
      <c r="C3594" t="s">
        <v>2108</v>
      </c>
      <c r="D3594" s="1">
        <v>44298</v>
      </c>
      <c r="E3594" s="1">
        <v>45152</v>
      </c>
      <c r="F3594">
        <v>140</v>
      </c>
      <c r="G3594">
        <v>1</v>
      </c>
      <c r="H3594">
        <v>87.44</v>
      </c>
      <c r="I3594">
        <v>34.5</v>
      </c>
      <c r="J3594" t="s">
        <v>115</v>
      </c>
      <c r="K3594" t="s">
        <v>16</v>
      </c>
      <c r="L3594" t="s">
        <v>2095</v>
      </c>
      <c r="M3594">
        <v>6</v>
      </c>
      <c r="N3594" t="s">
        <v>157</v>
      </c>
      <c r="O3594" t="s">
        <v>2107</v>
      </c>
    </row>
    <row r="3595" spans="1:15">
      <c r="A3595" t="s">
        <v>4906</v>
      </c>
      <c r="B3595" t="s">
        <v>2090</v>
      </c>
      <c r="C3595" t="s">
        <v>2091</v>
      </c>
      <c r="D3595" s="1">
        <v>43961</v>
      </c>
      <c r="E3595" s="1">
        <v>44932</v>
      </c>
      <c r="F3595">
        <v>360</v>
      </c>
      <c r="G3595">
        <v>5</v>
      </c>
      <c r="H3595">
        <v>146.44</v>
      </c>
      <c r="I3595">
        <v>82.73</v>
      </c>
      <c r="J3595" t="s">
        <v>41</v>
      </c>
      <c r="K3595" t="s">
        <v>20</v>
      </c>
      <c r="L3595" t="s">
        <v>2087</v>
      </c>
      <c r="M3595">
        <v>2</v>
      </c>
      <c r="N3595" t="s">
        <v>194</v>
      </c>
      <c r="O3595" t="s">
        <v>2088</v>
      </c>
    </row>
    <row r="3596" spans="1:15">
      <c r="A3596" t="s">
        <v>4907</v>
      </c>
      <c r="B3596" t="s">
        <v>2090</v>
      </c>
      <c r="C3596" t="s">
        <v>2094</v>
      </c>
      <c r="D3596" s="1">
        <v>44290</v>
      </c>
      <c r="E3596" s="1">
        <v>45130</v>
      </c>
      <c r="F3596">
        <v>162</v>
      </c>
      <c r="G3596">
        <v>5</v>
      </c>
      <c r="H3596">
        <v>177.01</v>
      </c>
      <c r="I3596">
        <v>88.8</v>
      </c>
      <c r="J3596" t="s">
        <v>66</v>
      </c>
      <c r="K3596" t="s">
        <v>20</v>
      </c>
      <c r="L3596" t="s">
        <v>2087</v>
      </c>
      <c r="M3596">
        <v>7</v>
      </c>
      <c r="N3596" t="s">
        <v>174</v>
      </c>
      <c r="O3596" t="s">
        <v>2121</v>
      </c>
    </row>
    <row r="3597" spans="1:15">
      <c r="A3597" t="s">
        <v>4908</v>
      </c>
      <c r="B3597" t="s">
        <v>2097</v>
      </c>
      <c r="C3597" t="s">
        <v>2094</v>
      </c>
      <c r="D3597" s="1">
        <v>45110</v>
      </c>
      <c r="E3597" s="1">
        <v>45054</v>
      </c>
      <c r="F3597">
        <v>238</v>
      </c>
      <c r="G3597">
        <v>9</v>
      </c>
      <c r="H3597">
        <v>343.01</v>
      </c>
      <c r="I3597">
        <v>146.38</v>
      </c>
      <c r="J3597" t="s">
        <v>115</v>
      </c>
      <c r="K3597" t="s">
        <v>20</v>
      </c>
      <c r="L3597" t="s">
        <v>2087</v>
      </c>
      <c r="M3597">
        <v>4</v>
      </c>
      <c r="N3597" t="s">
        <v>174</v>
      </c>
      <c r="O3597" t="s">
        <v>2107</v>
      </c>
    </row>
    <row r="3598" spans="1:15">
      <c r="A3598" t="s">
        <v>4909</v>
      </c>
      <c r="B3598" t="s">
        <v>2085</v>
      </c>
      <c r="C3598" t="s">
        <v>2111</v>
      </c>
      <c r="D3598" s="1">
        <v>44573</v>
      </c>
      <c r="E3598" s="1">
        <v>45260</v>
      </c>
      <c r="F3598">
        <v>32</v>
      </c>
      <c r="G3598">
        <v>32</v>
      </c>
      <c r="H3598">
        <v>1823.17</v>
      </c>
      <c r="I3598">
        <v>134.08000000000001</v>
      </c>
      <c r="J3598" t="s">
        <v>14</v>
      </c>
      <c r="K3598" t="s">
        <v>20</v>
      </c>
      <c r="L3598" t="s">
        <v>2095</v>
      </c>
      <c r="M3598">
        <v>8</v>
      </c>
      <c r="N3598" t="s">
        <v>232</v>
      </c>
      <c r="O3598" t="s">
        <v>2107</v>
      </c>
    </row>
    <row r="3599" spans="1:15">
      <c r="A3599" t="s">
        <v>4910</v>
      </c>
      <c r="B3599" t="s">
        <v>2113</v>
      </c>
      <c r="C3599" t="s">
        <v>2086</v>
      </c>
      <c r="D3599" s="1">
        <v>45083</v>
      </c>
      <c r="E3599" s="1">
        <v>45272</v>
      </c>
      <c r="F3599">
        <v>20</v>
      </c>
      <c r="G3599">
        <v>10</v>
      </c>
      <c r="H3599">
        <v>366.32</v>
      </c>
      <c r="I3599">
        <v>75.86</v>
      </c>
      <c r="J3599" t="s">
        <v>41</v>
      </c>
      <c r="K3599" t="s">
        <v>16</v>
      </c>
      <c r="L3599" t="s">
        <v>2087</v>
      </c>
      <c r="M3599">
        <v>3</v>
      </c>
      <c r="N3599" t="s">
        <v>179</v>
      </c>
      <c r="O3599" t="s">
        <v>2109</v>
      </c>
    </row>
    <row r="3600" spans="1:15">
      <c r="A3600" t="s">
        <v>4911</v>
      </c>
      <c r="B3600" t="s">
        <v>2113</v>
      </c>
      <c r="C3600" t="s">
        <v>2086</v>
      </c>
      <c r="D3600" s="1">
        <v>44540</v>
      </c>
      <c r="E3600" s="1">
        <v>45145</v>
      </c>
      <c r="F3600">
        <v>147</v>
      </c>
      <c r="G3600">
        <v>5</v>
      </c>
      <c r="H3600">
        <v>244.42</v>
      </c>
      <c r="I3600">
        <v>47.74</v>
      </c>
      <c r="J3600" t="s">
        <v>90</v>
      </c>
      <c r="K3600" t="s">
        <v>20</v>
      </c>
      <c r="L3600" t="s">
        <v>2095</v>
      </c>
      <c r="M3600">
        <v>0</v>
      </c>
      <c r="N3600" t="s">
        <v>174</v>
      </c>
      <c r="O3600" t="s">
        <v>2088</v>
      </c>
    </row>
    <row r="3601" spans="1:15">
      <c r="A3601" t="s">
        <v>4912</v>
      </c>
      <c r="B3601" t="s">
        <v>2097</v>
      </c>
      <c r="C3601" t="s">
        <v>2094</v>
      </c>
      <c r="D3601" s="1">
        <v>44113</v>
      </c>
      <c r="E3601" s="1">
        <v>44995</v>
      </c>
      <c r="F3601">
        <v>297</v>
      </c>
      <c r="G3601">
        <v>6</v>
      </c>
      <c r="H3601">
        <v>272.29000000000002</v>
      </c>
      <c r="I3601">
        <v>128.56</v>
      </c>
      <c r="J3601" t="s">
        <v>14</v>
      </c>
      <c r="K3601" t="s">
        <v>16</v>
      </c>
      <c r="L3601" t="s">
        <v>2095</v>
      </c>
      <c r="M3601">
        <v>5</v>
      </c>
      <c r="N3601" t="s">
        <v>165</v>
      </c>
      <c r="O3601" t="s">
        <v>2109</v>
      </c>
    </row>
    <row r="3602" spans="1:15">
      <c r="A3602" t="s">
        <v>4913</v>
      </c>
      <c r="B3602" t="s">
        <v>2113</v>
      </c>
      <c r="C3602" t="s">
        <v>2100</v>
      </c>
      <c r="D3602" s="1">
        <v>44332</v>
      </c>
      <c r="E3602" s="1">
        <v>45191</v>
      </c>
      <c r="F3602">
        <v>101</v>
      </c>
      <c r="G3602">
        <v>13</v>
      </c>
      <c r="H3602">
        <v>447.6</v>
      </c>
      <c r="I3602">
        <v>37.270000000000003</v>
      </c>
      <c r="J3602" t="s">
        <v>14</v>
      </c>
      <c r="K3602" t="s">
        <v>20</v>
      </c>
      <c r="L3602" t="s">
        <v>2095</v>
      </c>
      <c r="M3602">
        <v>7</v>
      </c>
      <c r="N3602" t="s">
        <v>204</v>
      </c>
      <c r="O3602" t="s">
        <v>2088</v>
      </c>
    </row>
    <row r="3603" spans="1:15">
      <c r="A3603" t="s">
        <v>4914</v>
      </c>
      <c r="B3603" t="s">
        <v>2093</v>
      </c>
      <c r="C3603" t="s">
        <v>2100</v>
      </c>
      <c r="D3603" s="1">
        <v>45163</v>
      </c>
      <c r="E3603" s="1">
        <v>45095</v>
      </c>
      <c r="F3603">
        <v>197</v>
      </c>
      <c r="G3603">
        <v>2</v>
      </c>
      <c r="H3603">
        <v>166.74</v>
      </c>
      <c r="I3603">
        <v>33.57</v>
      </c>
      <c r="J3603" t="s">
        <v>115</v>
      </c>
      <c r="K3603" t="s">
        <v>16</v>
      </c>
      <c r="L3603" t="s">
        <v>2095</v>
      </c>
      <c r="M3603">
        <v>0</v>
      </c>
      <c r="N3603" t="s">
        <v>174</v>
      </c>
      <c r="O3603" t="s">
        <v>2088</v>
      </c>
    </row>
    <row r="3604" spans="1:15">
      <c r="A3604" t="s">
        <v>4915</v>
      </c>
      <c r="B3604" t="s">
        <v>2113</v>
      </c>
      <c r="C3604" t="s">
        <v>2100</v>
      </c>
      <c r="D3604" s="1">
        <v>44240</v>
      </c>
      <c r="E3604" s="1">
        <v>44969</v>
      </c>
      <c r="F3604">
        <v>323</v>
      </c>
      <c r="G3604">
        <v>13</v>
      </c>
      <c r="H3604">
        <v>498.26</v>
      </c>
      <c r="I3604">
        <v>52.39</v>
      </c>
      <c r="J3604" t="s">
        <v>41</v>
      </c>
      <c r="K3604" t="s">
        <v>20</v>
      </c>
      <c r="L3604" t="s">
        <v>2106</v>
      </c>
      <c r="M3604">
        <v>5</v>
      </c>
      <c r="N3604" t="s">
        <v>174</v>
      </c>
      <c r="O3604" t="s">
        <v>2109</v>
      </c>
    </row>
    <row r="3605" spans="1:15">
      <c r="A3605" t="s">
        <v>4916</v>
      </c>
      <c r="B3605" t="s">
        <v>2113</v>
      </c>
      <c r="C3605" t="s">
        <v>2108</v>
      </c>
      <c r="D3605" s="1">
        <v>44094</v>
      </c>
      <c r="E3605" s="1">
        <v>44959</v>
      </c>
      <c r="F3605">
        <v>333</v>
      </c>
      <c r="G3605">
        <v>7</v>
      </c>
      <c r="H3605">
        <v>106.94</v>
      </c>
      <c r="I3605">
        <v>33.89</v>
      </c>
      <c r="J3605" t="s">
        <v>90</v>
      </c>
      <c r="K3605" t="s">
        <v>16</v>
      </c>
      <c r="L3605" t="s">
        <v>2106</v>
      </c>
      <c r="M3605">
        <v>2</v>
      </c>
      <c r="N3605" t="s">
        <v>165</v>
      </c>
      <c r="O3605" t="s">
        <v>2109</v>
      </c>
    </row>
    <row r="3606" spans="1:15">
      <c r="A3606" t="s">
        <v>4917</v>
      </c>
      <c r="B3606" t="s">
        <v>2113</v>
      </c>
      <c r="C3606" t="s">
        <v>2108</v>
      </c>
      <c r="D3606" s="1">
        <v>44342</v>
      </c>
      <c r="E3606" s="1">
        <v>45116</v>
      </c>
      <c r="F3606">
        <v>176</v>
      </c>
      <c r="G3606">
        <v>9</v>
      </c>
      <c r="H3606">
        <v>205.98</v>
      </c>
      <c r="I3606">
        <v>61.73</v>
      </c>
      <c r="J3606" t="s">
        <v>66</v>
      </c>
      <c r="K3606" t="s">
        <v>16</v>
      </c>
      <c r="L3606" t="s">
        <v>2087</v>
      </c>
      <c r="M3606">
        <v>1</v>
      </c>
      <c r="N3606" t="s">
        <v>157</v>
      </c>
      <c r="O3606" t="s">
        <v>2096</v>
      </c>
    </row>
    <row r="3607" spans="1:15">
      <c r="A3607" t="s">
        <v>4918</v>
      </c>
      <c r="B3607" t="s">
        <v>2097</v>
      </c>
      <c r="C3607" t="s">
        <v>2091</v>
      </c>
      <c r="D3607" s="1">
        <v>44397</v>
      </c>
      <c r="E3607" s="1">
        <v>45272</v>
      </c>
      <c r="F3607">
        <v>20</v>
      </c>
      <c r="G3607">
        <v>11</v>
      </c>
      <c r="H3607">
        <v>332.29</v>
      </c>
      <c r="I3607">
        <v>147.88</v>
      </c>
      <c r="J3607" t="s">
        <v>90</v>
      </c>
      <c r="K3607" t="s">
        <v>16</v>
      </c>
      <c r="L3607" t="s">
        <v>2087</v>
      </c>
      <c r="M3607">
        <v>10</v>
      </c>
      <c r="N3607" t="s">
        <v>174</v>
      </c>
      <c r="O3607" t="s">
        <v>2096</v>
      </c>
    </row>
    <row r="3608" spans="1:15">
      <c r="A3608" t="s">
        <v>4919</v>
      </c>
      <c r="B3608" t="s">
        <v>2090</v>
      </c>
      <c r="C3608" t="s">
        <v>2086</v>
      </c>
      <c r="D3608" s="1">
        <v>44910</v>
      </c>
      <c r="E3608" s="1">
        <v>45188</v>
      </c>
      <c r="F3608">
        <v>104</v>
      </c>
      <c r="G3608">
        <v>8</v>
      </c>
      <c r="H3608">
        <v>321.18</v>
      </c>
      <c r="I3608">
        <v>89.41</v>
      </c>
      <c r="J3608" t="s">
        <v>14</v>
      </c>
      <c r="K3608" t="s">
        <v>16</v>
      </c>
      <c r="L3608" t="s">
        <v>2106</v>
      </c>
      <c r="M3608">
        <v>3</v>
      </c>
      <c r="N3608" t="s">
        <v>179</v>
      </c>
      <c r="O3608" t="s">
        <v>2121</v>
      </c>
    </row>
    <row r="3609" spans="1:15">
      <c r="A3609" t="s">
        <v>4920</v>
      </c>
      <c r="B3609" t="s">
        <v>2097</v>
      </c>
      <c r="C3609" t="s">
        <v>2094</v>
      </c>
      <c r="D3609" s="1">
        <v>45156</v>
      </c>
      <c r="E3609" s="1">
        <v>45019</v>
      </c>
      <c r="F3609">
        <v>273</v>
      </c>
      <c r="G3609">
        <v>8</v>
      </c>
      <c r="H3609">
        <v>719.72</v>
      </c>
      <c r="I3609">
        <v>114.06</v>
      </c>
      <c r="J3609" t="s">
        <v>90</v>
      </c>
      <c r="K3609" t="s">
        <v>16</v>
      </c>
      <c r="L3609" t="s">
        <v>2106</v>
      </c>
      <c r="M3609">
        <v>10</v>
      </c>
      <c r="N3609" t="s">
        <v>179</v>
      </c>
      <c r="O3609" t="s">
        <v>2109</v>
      </c>
    </row>
    <row r="3610" spans="1:15">
      <c r="A3610" t="s">
        <v>4921</v>
      </c>
      <c r="B3610" t="s">
        <v>2093</v>
      </c>
      <c r="C3610" t="s">
        <v>2086</v>
      </c>
      <c r="D3610" s="1">
        <v>43639</v>
      </c>
      <c r="E3610" s="1">
        <v>45054</v>
      </c>
      <c r="F3610">
        <v>238</v>
      </c>
      <c r="G3610">
        <v>1</v>
      </c>
      <c r="H3610">
        <v>114.41</v>
      </c>
      <c r="I3610">
        <v>79.38</v>
      </c>
      <c r="J3610" t="s">
        <v>66</v>
      </c>
      <c r="K3610" t="s">
        <v>20</v>
      </c>
      <c r="L3610" t="s">
        <v>2087</v>
      </c>
      <c r="M3610">
        <v>5</v>
      </c>
      <c r="N3610" t="s">
        <v>179</v>
      </c>
      <c r="O3610" t="s">
        <v>2096</v>
      </c>
    </row>
    <row r="3611" spans="1:15">
      <c r="A3611" t="s">
        <v>4922</v>
      </c>
      <c r="B3611" t="s">
        <v>2097</v>
      </c>
      <c r="C3611" t="s">
        <v>2111</v>
      </c>
      <c r="D3611" s="1">
        <v>44025</v>
      </c>
      <c r="E3611" s="1">
        <v>45243</v>
      </c>
      <c r="F3611">
        <v>49</v>
      </c>
      <c r="G3611">
        <v>7</v>
      </c>
      <c r="H3611">
        <v>653.5</v>
      </c>
      <c r="I3611">
        <v>96.32</v>
      </c>
      <c r="J3611" t="s">
        <v>115</v>
      </c>
      <c r="K3611" t="s">
        <v>20</v>
      </c>
      <c r="L3611" t="s">
        <v>2087</v>
      </c>
      <c r="M3611">
        <v>0</v>
      </c>
      <c r="N3611" t="s">
        <v>194</v>
      </c>
      <c r="O3611" t="s">
        <v>2088</v>
      </c>
    </row>
    <row r="3612" spans="1:15">
      <c r="A3612" t="s">
        <v>4923</v>
      </c>
      <c r="B3612" t="s">
        <v>2097</v>
      </c>
      <c r="C3612" t="s">
        <v>2100</v>
      </c>
      <c r="D3612" s="1">
        <v>44111</v>
      </c>
      <c r="E3612" s="1">
        <v>45064</v>
      </c>
      <c r="F3612">
        <v>228</v>
      </c>
      <c r="G3612">
        <v>7</v>
      </c>
      <c r="H3612">
        <v>183.66</v>
      </c>
      <c r="I3612">
        <v>84.58</v>
      </c>
      <c r="J3612" t="s">
        <v>66</v>
      </c>
      <c r="K3612" t="s">
        <v>16</v>
      </c>
      <c r="L3612" t="s">
        <v>2095</v>
      </c>
      <c r="M3612">
        <v>0</v>
      </c>
      <c r="N3612" t="s">
        <v>204</v>
      </c>
      <c r="O3612" t="s">
        <v>2088</v>
      </c>
    </row>
    <row r="3613" spans="1:15">
      <c r="A3613" t="s">
        <v>4924</v>
      </c>
      <c r="B3613" t="s">
        <v>2085</v>
      </c>
      <c r="C3613" t="s">
        <v>2108</v>
      </c>
      <c r="D3613" s="1">
        <v>43662</v>
      </c>
      <c r="E3613" s="1">
        <v>45246</v>
      </c>
      <c r="F3613">
        <v>46</v>
      </c>
      <c r="G3613">
        <v>33</v>
      </c>
      <c r="H3613">
        <v>2180.14</v>
      </c>
      <c r="I3613">
        <v>186.15</v>
      </c>
      <c r="J3613" t="s">
        <v>66</v>
      </c>
      <c r="K3613" t="s">
        <v>20</v>
      </c>
      <c r="L3613" t="s">
        <v>2087</v>
      </c>
      <c r="M3613">
        <v>3</v>
      </c>
      <c r="N3613" t="s">
        <v>165</v>
      </c>
      <c r="O3613" t="s">
        <v>2109</v>
      </c>
    </row>
    <row r="3614" spans="1:15">
      <c r="A3614" t="s">
        <v>4925</v>
      </c>
      <c r="B3614" t="s">
        <v>2097</v>
      </c>
      <c r="C3614" t="s">
        <v>2086</v>
      </c>
      <c r="D3614" s="1">
        <v>43709</v>
      </c>
      <c r="E3614" s="1">
        <v>45088</v>
      </c>
      <c r="F3614">
        <v>204</v>
      </c>
      <c r="G3614">
        <v>8</v>
      </c>
      <c r="H3614">
        <v>304.95999999999998</v>
      </c>
      <c r="I3614">
        <v>50.11</v>
      </c>
      <c r="J3614" t="s">
        <v>66</v>
      </c>
      <c r="K3614" t="s">
        <v>16</v>
      </c>
      <c r="L3614" t="s">
        <v>2087</v>
      </c>
      <c r="M3614">
        <v>3</v>
      </c>
      <c r="N3614" t="s">
        <v>179</v>
      </c>
      <c r="O3614" t="s">
        <v>2088</v>
      </c>
    </row>
    <row r="3615" spans="1:15">
      <c r="A3615" t="s">
        <v>824</v>
      </c>
      <c r="B3615" t="s">
        <v>2113</v>
      </c>
      <c r="C3615" t="s">
        <v>2108</v>
      </c>
      <c r="D3615" s="1">
        <v>44586</v>
      </c>
      <c r="E3615" s="1">
        <v>44935</v>
      </c>
      <c r="F3615">
        <v>357</v>
      </c>
      <c r="G3615">
        <v>13</v>
      </c>
      <c r="H3615">
        <v>546.02</v>
      </c>
      <c r="I3615">
        <v>67.92</v>
      </c>
      <c r="J3615" t="s">
        <v>66</v>
      </c>
      <c r="K3615" t="s">
        <v>16</v>
      </c>
      <c r="L3615" t="s">
        <v>2106</v>
      </c>
      <c r="M3615">
        <v>0</v>
      </c>
      <c r="N3615" t="s">
        <v>174</v>
      </c>
      <c r="O3615" t="s">
        <v>2088</v>
      </c>
    </row>
    <row r="3616" spans="1:15">
      <c r="A3616" t="s">
        <v>4926</v>
      </c>
      <c r="B3616" t="s">
        <v>2097</v>
      </c>
      <c r="C3616" t="s">
        <v>2086</v>
      </c>
      <c r="D3616" s="1">
        <v>43563</v>
      </c>
      <c r="E3616" s="1">
        <v>45168</v>
      </c>
      <c r="F3616">
        <v>124</v>
      </c>
      <c r="G3616">
        <v>6</v>
      </c>
      <c r="H3616">
        <v>219.85</v>
      </c>
      <c r="I3616">
        <v>85.49</v>
      </c>
      <c r="J3616" t="s">
        <v>90</v>
      </c>
      <c r="K3616" t="s">
        <v>16</v>
      </c>
      <c r="L3616" t="s">
        <v>2095</v>
      </c>
      <c r="M3616">
        <v>5</v>
      </c>
      <c r="N3616" t="s">
        <v>165</v>
      </c>
      <c r="O3616" t="s">
        <v>2107</v>
      </c>
    </row>
    <row r="3617" spans="1:15">
      <c r="A3617" t="s">
        <v>4927</v>
      </c>
      <c r="B3617" t="s">
        <v>2090</v>
      </c>
      <c r="C3617" t="s">
        <v>2108</v>
      </c>
      <c r="D3617" s="1">
        <v>44022</v>
      </c>
      <c r="E3617" s="1">
        <v>45251</v>
      </c>
      <c r="F3617">
        <v>41</v>
      </c>
      <c r="G3617">
        <v>2</v>
      </c>
      <c r="H3617">
        <v>351.72</v>
      </c>
      <c r="I3617">
        <v>59.19</v>
      </c>
      <c r="J3617" t="s">
        <v>41</v>
      </c>
      <c r="K3617" t="s">
        <v>16</v>
      </c>
      <c r="L3617" t="s">
        <v>2106</v>
      </c>
      <c r="M3617">
        <v>9</v>
      </c>
      <c r="N3617" t="s">
        <v>157</v>
      </c>
      <c r="O3617" t="s">
        <v>2109</v>
      </c>
    </row>
    <row r="3618" spans="1:15">
      <c r="A3618" t="s">
        <v>4928</v>
      </c>
      <c r="B3618" t="s">
        <v>2097</v>
      </c>
      <c r="C3618" t="s">
        <v>2094</v>
      </c>
      <c r="D3618" s="1">
        <v>45040</v>
      </c>
      <c r="E3618" s="1">
        <v>45290</v>
      </c>
      <c r="F3618">
        <v>2</v>
      </c>
      <c r="G3618">
        <v>3</v>
      </c>
      <c r="H3618">
        <v>730.84</v>
      </c>
      <c r="I3618">
        <v>118.14</v>
      </c>
      <c r="J3618" t="s">
        <v>66</v>
      </c>
      <c r="K3618" t="s">
        <v>20</v>
      </c>
      <c r="L3618" t="s">
        <v>2087</v>
      </c>
      <c r="M3618">
        <v>2</v>
      </c>
      <c r="N3618" t="s">
        <v>232</v>
      </c>
      <c r="O3618" t="s">
        <v>2121</v>
      </c>
    </row>
    <row r="3619" spans="1:15">
      <c r="A3619" t="s">
        <v>4929</v>
      </c>
      <c r="B3619" t="s">
        <v>2090</v>
      </c>
      <c r="C3619" t="s">
        <v>2086</v>
      </c>
      <c r="D3619" s="1">
        <v>44967</v>
      </c>
      <c r="E3619" s="1">
        <v>45153</v>
      </c>
      <c r="F3619">
        <v>139</v>
      </c>
      <c r="G3619">
        <v>5</v>
      </c>
      <c r="H3619">
        <v>198.87</v>
      </c>
      <c r="I3619">
        <v>103.73</v>
      </c>
      <c r="J3619" t="s">
        <v>41</v>
      </c>
      <c r="K3619" t="s">
        <v>16</v>
      </c>
      <c r="L3619" t="s">
        <v>2106</v>
      </c>
      <c r="M3619">
        <v>3</v>
      </c>
      <c r="N3619" t="s">
        <v>232</v>
      </c>
      <c r="O3619" t="s">
        <v>2088</v>
      </c>
    </row>
    <row r="3620" spans="1:15">
      <c r="A3620" t="s">
        <v>4930</v>
      </c>
      <c r="B3620" t="s">
        <v>2113</v>
      </c>
      <c r="C3620" t="s">
        <v>2086</v>
      </c>
      <c r="D3620" s="1">
        <v>44185</v>
      </c>
      <c r="E3620" s="1">
        <v>44967</v>
      </c>
      <c r="F3620">
        <v>325</v>
      </c>
      <c r="G3620">
        <v>11</v>
      </c>
      <c r="H3620">
        <v>135.82</v>
      </c>
      <c r="I3620">
        <v>58.92</v>
      </c>
      <c r="J3620" t="s">
        <v>115</v>
      </c>
      <c r="K3620" t="s">
        <v>20</v>
      </c>
      <c r="L3620" t="s">
        <v>2087</v>
      </c>
      <c r="M3620">
        <v>7</v>
      </c>
      <c r="N3620" t="s">
        <v>232</v>
      </c>
      <c r="O3620" t="s">
        <v>2109</v>
      </c>
    </row>
    <row r="3621" spans="1:15">
      <c r="A3621" t="s">
        <v>4931</v>
      </c>
      <c r="B3621" t="s">
        <v>2090</v>
      </c>
      <c r="C3621" t="s">
        <v>2108</v>
      </c>
      <c r="D3621" s="1">
        <v>45217</v>
      </c>
      <c r="E3621" s="1">
        <v>44934</v>
      </c>
      <c r="F3621">
        <v>358</v>
      </c>
      <c r="G3621">
        <v>3</v>
      </c>
      <c r="H3621">
        <v>331.27</v>
      </c>
      <c r="I3621">
        <v>82.35</v>
      </c>
      <c r="J3621" t="s">
        <v>115</v>
      </c>
      <c r="K3621" t="s">
        <v>16</v>
      </c>
      <c r="L3621" t="s">
        <v>2087</v>
      </c>
      <c r="M3621">
        <v>2</v>
      </c>
      <c r="N3621" t="s">
        <v>165</v>
      </c>
      <c r="O3621" t="s">
        <v>2088</v>
      </c>
    </row>
    <row r="3622" spans="1:15">
      <c r="A3622" t="s">
        <v>4932</v>
      </c>
      <c r="B3622" t="s">
        <v>2097</v>
      </c>
      <c r="C3622" t="s">
        <v>2086</v>
      </c>
      <c r="D3622" s="1">
        <v>45214</v>
      </c>
      <c r="E3622" s="1">
        <v>44963</v>
      </c>
      <c r="F3622">
        <v>329</v>
      </c>
      <c r="G3622">
        <v>10</v>
      </c>
      <c r="H3622">
        <v>486.98</v>
      </c>
      <c r="I3622">
        <v>51.21</v>
      </c>
      <c r="J3622" t="s">
        <v>115</v>
      </c>
      <c r="K3622" t="s">
        <v>20</v>
      </c>
      <c r="L3622" t="s">
        <v>2087</v>
      </c>
      <c r="M3622">
        <v>5</v>
      </c>
      <c r="N3622" t="s">
        <v>165</v>
      </c>
      <c r="O3622" t="s">
        <v>2088</v>
      </c>
    </row>
    <row r="3623" spans="1:15">
      <c r="A3623" t="s">
        <v>4933</v>
      </c>
      <c r="B3623" t="s">
        <v>2093</v>
      </c>
      <c r="C3623" t="s">
        <v>2108</v>
      </c>
      <c r="D3623" s="1">
        <v>44766</v>
      </c>
      <c r="E3623" s="1">
        <v>45281</v>
      </c>
      <c r="F3623">
        <v>11</v>
      </c>
      <c r="G3623">
        <v>5</v>
      </c>
      <c r="H3623">
        <v>79.709999999999994</v>
      </c>
      <c r="I3623">
        <v>65.349999999999994</v>
      </c>
      <c r="J3623" t="s">
        <v>14</v>
      </c>
      <c r="K3623" t="s">
        <v>16</v>
      </c>
      <c r="L3623" t="s">
        <v>2087</v>
      </c>
      <c r="M3623">
        <v>5</v>
      </c>
      <c r="N3623" t="s">
        <v>179</v>
      </c>
      <c r="O3623" t="s">
        <v>2109</v>
      </c>
    </row>
    <row r="3624" spans="1:15">
      <c r="A3624" t="s">
        <v>4934</v>
      </c>
      <c r="B3624" t="s">
        <v>2097</v>
      </c>
      <c r="C3624" t="s">
        <v>2091</v>
      </c>
      <c r="D3624" s="1">
        <v>44423</v>
      </c>
      <c r="E3624" s="1">
        <v>44928</v>
      </c>
      <c r="F3624">
        <v>364</v>
      </c>
      <c r="G3624">
        <v>8</v>
      </c>
      <c r="H3624">
        <v>591.29</v>
      </c>
      <c r="I3624">
        <v>87.72</v>
      </c>
      <c r="J3624" t="s">
        <v>41</v>
      </c>
      <c r="K3624" t="s">
        <v>16</v>
      </c>
      <c r="L3624" t="s">
        <v>2095</v>
      </c>
      <c r="M3624">
        <v>8</v>
      </c>
      <c r="N3624" t="s">
        <v>179</v>
      </c>
      <c r="O3624" t="s">
        <v>2088</v>
      </c>
    </row>
    <row r="3625" spans="1:15">
      <c r="A3625" t="s">
        <v>473</v>
      </c>
      <c r="B3625" t="s">
        <v>2099</v>
      </c>
      <c r="C3625" t="s">
        <v>2086</v>
      </c>
      <c r="D3625" s="1">
        <v>43575</v>
      </c>
      <c r="E3625" s="1">
        <v>45223</v>
      </c>
      <c r="F3625">
        <v>69</v>
      </c>
      <c r="G3625">
        <v>2</v>
      </c>
      <c r="H3625">
        <v>87.65</v>
      </c>
      <c r="I3625">
        <v>85.8</v>
      </c>
      <c r="J3625" t="s">
        <v>14</v>
      </c>
      <c r="K3625" t="s">
        <v>20</v>
      </c>
      <c r="L3625" t="s">
        <v>2095</v>
      </c>
      <c r="M3625">
        <v>0</v>
      </c>
      <c r="N3625" t="s">
        <v>204</v>
      </c>
      <c r="O3625" t="s">
        <v>2121</v>
      </c>
    </row>
    <row r="3626" spans="1:15">
      <c r="A3626" t="s">
        <v>4935</v>
      </c>
      <c r="B3626" t="s">
        <v>2093</v>
      </c>
      <c r="C3626" t="s">
        <v>2100</v>
      </c>
      <c r="D3626" s="1">
        <v>44664</v>
      </c>
      <c r="E3626" s="1">
        <v>44951</v>
      </c>
      <c r="F3626">
        <v>341</v>
      </c>
      <c r="G3626">
        <v>2</v>
      </c>
      <c r="H3626">
        <v>37.76</v>
      </c>
      <c r="I3626">
        <v>44.02</v>
      </c>
      <c r="J3626" t="s">
        <v>66</v>
      </c>
      <c r="K3626" t="s">
        <v>16</v>
      </c>
      <c r="L3626" t="s">
        <v>2106</v>
      </c>
      <c r="M3626">
        <v>0</v>
      </c>
      <c r="N3626" t="s">
        <v>165</v>
      </c>
      <c r="O3626" t="s">
        <v>2109</v>
      </c>
    </row>
    <row r="3627" spans="1:15">
      <c r="A3627" t="s">
        <v>1670</v>
      </c>
      <c r="B3627" t="s">
        <v>2113</v>
      </c>
      <c r="C3627" t="s">
        <v>2111</v>
      </c>
      <c r="D3627" s="1">
        <v>44723</v>
      </c>
      <c r="E3627" s="1">
        <v>45012</v>
      </c>
      <c r="F3627">
        <v>280</v>
      </c>
      <c r="G3627">
        <v>13</v>
      </c>
      <c r="H3627">
        <v>340.01</v>
      </c>
      <c r="I3627">
        <v>54.75</v>
      </c>
      <c r="J3627" t="s">
        <v>41</v>
      </c>
      <c r="K3627" t="s">
        <v>16</v>
      </c>
      <c r="L3627" t="s">
        <v>2106</v>
      </c>
      <c r="M3627">
        <v>4</v>
      </c>
      <c r="N3627" t="s">
        <v>179</v>
      </c>
      <c r="O3627" t="s">
        <v>2121</v>
      </c>
    </row>
    <row r="3628" spans="1:15">
      <c r="A3628" t="s">
        <v>972</v>
      </c>
      <c r="B3628" t="s">
        <v>2085</v>
      </c>
      <c r="C3628" t="s">
        <v>2111</v>
      </c>
      <c r="D3628" s="1">
        <v>44641</v>
      </c>
      <c r="E3628" s="1">
        <v>45174</v>
      </c>
      <c r="F3628">
        <v>118</v>
      </c>
      <c r="G3628">
        <v>33</v>
      </c>
      <c r="H3628">
        <v>1850.86</v>
      </c>
      <c r="I3628">
        <v>227.09</v>
      </c>
      <c r="J3628" t="s">
        <v>115</v>
      </c>
      <c r="K3628" t="s">
        <v>20</v>
      </c>
      <c r="L3628" t="s">
        <v>2106</v>
      </c>
      <c r="M3628">
        <v>10</v>
      </c>
      <c r="N3628" t="s">
        <v>174</v>
      </c>
      <c r="O3628" t="s">
        <v>2096</v>
      </c>
    </row>
    <row r="3629" spans="1:15">
      <c r="A3629" t="s">
        <v>4936</v>
      </c>
      <c r="B3629" t="s">
        <v>2085</v>
      </c>
      <c r="C3629" t="s">
        <v>2091</v>
      </c>
      <c r="D3629" s="1">
        <v>44280</v>
      </c>
      <c r="E3629" s="1">
        <v>45177</v>
      </c>
      <c r="F3629">
        <v>115</v>
      </c>
      <c r="G3629">
        <v>17</v>
      </c>
      <c r="H3629">
        <v>927.43</v>
      </c>
      <c r="I3629">
        <v>139.16999999999999</v>
      </c>
      <c r="J3629" t="s">
        <v>115</v>
      </c>
      <c r="K3629" t="s">
        <v>20</v>
      </c>
      <c r="L3629" t="s">
        <v>2106</v>
      </c>
      <c r="M3629">
        <v>1</v>
      </c>
      <c r="N3629" t="s">
        <v>165</v>
      </c>
      <c r="O3629" t="s">
        <v>2109</v>
      </c>
    </row>
    <row r="3630" spans="1:15">
      <c r="A3630" t="s">
        <v>4937</v>
      </c>
      <c r="B3630" t="s">
        <v>2090</v>
      </c>
      <c r="C3630" t="s">
        <v>2108</v>
      </c>
      <c r="D3630" s="1">
        <v>44353</v>
      </c>
      <c r="E3630" s="1">
        <v>44969</v>
      </c>
      <c r="F3630">
        <v>323</v>
      </c>
      <c r="G3630">
        <v>8</v>
      </c>
      <c r="H3630">
        <v>281.66000000000003</v>
      </c>
      <c r="I3630">
        <v>114.22</v>
      </c>
      <c r="J3630" t="s">
        <v>90</v>
      </c>
      <c r="K3630" t="s">
        <v>16</v>
      </c>
      <c r="L3630" t="s">
        <v>2106</v>
      </c>
      <c r="M3630">
        <v>6</v>
      </c>
      <c r="N3630" t="s">
        <v>194</v>
      </c>
      <c r="O3630" t="s">
        <v>2109</v>
      </c>
    </row>
    <row r="3631" spans="1:15">
      <c r="A3631" t="s">
        <v>4938</v>
      </c>
      <c r="B3631" t="s">
        <v>2085</v>
      </c>
      <c r="C3631" t="s">
        <v>2100</v>
      </c>
      <c r="D3631" s="1">
        <v>44175</v>
      </c>
      <c r="E3631" s="1">
        <v>45020</v>
      </c>
      <c r="F3631">
        <v>272</v>
      </c>
      <c r="G3631">
        <v>12</v>
      </c>
      <c r="H3631">
        <v>1875.17</v>
      </c>
      <c r="I3631">
        <v>214.63</v>
      </c>
      <c r="J3631" t="s">
        <v>66</v>
      </c>
      <c r="K3631" t="s">
        <v>16</v>
      </c>
      <c r="L3631" t="s">
        <v>2087</v>
      </c>
      <c r="M3631">
        <v>2</v>
      </c>
      <c r="N3631" t="s">
        <v>165</v>
      </c>
      <c r="O3631" t="s">
        <v>2096</v>
      </c>
    </row>
    <row r="3632" spans="1:15">
      <c r="A3632" t="s">
        <v>4939</v>
      </c>
      <c r="B3632" t="s">
        <v>2090</v>
      </c>
      <c r="C3632" t="s">
        <v>2111</v>
      </c>
      <c r="D3632" s="1">
        <v>45026</v>
      </c>
      <c r="E3632" s="1">
        <v>45025</v>
      </c>
      <c r="F3632">
        <v>267</v>
      </c>
      <c r="G3632">
        <v>3</v>
      </c>
      <c r="H3632">
        <v>114.05</v>
      </c>
      <c r="I3632">
        <v>94.78</v>
      </c>
      <c r="J3632" t="s">
        <v>14</v>
      </c>
      <c r="K3632" t="s">
        <v>16</v>
      </c>
      <c r="L3632" t="s">
        <v>2106</v>
      </c>
      <c r="M3632">
        <v>6</v>
      </c>
      <c r="N3632" t="s">
        <v>174</v>
      </c>
      <c r="O3632" t="s">
        <v>2088</v>
      </c>
    </row>
    <row r="3633" spans="1:15">
      <c r="A3633" t="s">
        <v>4940</v>
      </c>
      <c r="B3633" t="s">
        <v>2097</v>
      </c>
      <c r="C3633" t="s">
        <v>2111</v>
      </c>
      <c r="D3633" s="1">
        <v>44630</v>
      </c>
      <c r="E3633" s="1">
        <v>44950</v>
      </c>
      <c r="F3633">
        <v>342</v>
      </c>
      <c r="G3633">
        <v>5</v>
      </c>
      <c r="H3633">
        <v>208.88</v>
      </c>
      <c r="I3633">
        <v>65.83</v>
      </c>
      <c r="J3633" t="s">
        <v>90</v>
      </c>
      <c r="K3633" t="s">
        <v>16</v>
      </c>
      <c r="L3633" t="s">
        <v>2095</v>
      </c>
      <c r="M3633">
        <v>6</v>
      </c>
      <c r="N3633" t="s">
        <v>204</v>
      </c>
      <c r="O3633" t="s">
        <v>2121</v>
      </c>
    </row>
    <row r="3634" spans="1:15">
      <c r="A3634" t="s">
        <v>4941</v>
      </c>
      <c r="B3634" t="s">
        <v>2097</v>
      </c>
      <c r="C3634" t="s">
        <v>2086</v>
      </c>
      <c r="D3634" s="1">
        <v>44073</v>
      </c>
      <c r="E3634" s="1">
        <v>45002</v>
      </c>
      <c r="F3634">
        <v>290</v>
      </c>
      <c r="G3634">
        <v>3</v>
      </c>
      <c r="H3634">
        <v>507.4</v>
      </c>
      <c r="I3634">
        <v>52.42</v>
      </c>
      <c r="J3634" t="s">
        <v>41</v>
      </c>
      <c r="K3634" t="s">
        <v>16</v>
      </c>
      <c r="L3634" t="s">
        <v>2087</v>
      </c>
      <c r="M3634">
        <v>7</v>
      </c>
      <c r="N3634" t="s">
        <v>157</v>
      </c>
      <c r="O3634" t="s">
        <v>2107</v>
      </c>
    </row>
    <row r="3635" spans="1:15">
      <c r="A3635" t="s">
        <v>4942</v>
      </c>
      <c r="B3635" t="s">
        <v>2097</v>
      </c>
      <c r="C3635" t="s">
        <v>2111</v>
      </c>
      <c r="D3635" s="1">
        <v>44041</v>
      </c>
      <c r="E3635" s="1">
        <v>45169</v>
      </c>
      <c r="F3635">
        <v>123</v>
      </c>
      <c r="G3635">
        <v>7</v>
      </c>
      <c r="H3635">
        <v>398.29</v>
      </c>
      <c r="I3635">
        <v>123.95</v>
      </c>
      <c r="J3635" t="s">
        <v>14</v>
      </c>
      <c r="K3635" t="s">
        <v>16</v>
      </c>
      <c r="L3635" t="s">
        <v>2095</v>
      </c>
      <c r="M3635">
        <v>6</v>
      </c>
      <c r="N3635" t="s">
        <v>174</v>
      </c>
      <c r="O3635" t="s">
        <v>2109</v>
      </c>
    </row>
    <row r="3636" spans="1:15">
      <c r="A3636" t="s">
        <v>1593</v>
      </c>
      <c r="B3636" t="s">
        <v>2099</v>
      </c>
      <c r="C3636" t="s">
        <v>2091</v>
      </c>
      <c r="D3636" s="1">
        <v>44554</v>
      </c>
      <c r="E3636" s="1">
        <v>45243</v>
      </c>
      <c r="F3636">
        <v>49</v>
      </c>
      <c r="G3636">
        <v>1</v>
      </c>
      <c r="H3636">
        <v>83.89</v>
      </c>
      <c r="I3636">
        <v>56.25</v>
      </c>
      <c r="J3636" t="s">
        <v>14</v>
      </c>
      <c r="K3636" t="s">
        <v>16</v>
      </c>
      <c r="L3636" t="s">
        <v>2095</v>
      </c>
      <c r="M3636">
        <v>8</v>
      </c>
      <c r="N3636" t="s">
        <v>174</v>
      </c>
      <c r="O3636" t="s">
        <v>2096</v>
      </c>
    </row>
    <row r="3637" spans="1:15">
      <c r="A3637" t="s">
        <v>708</v>
      </c>
      <c r="B3637" t="s">
        <v>2085</v>
      </c>
      <c r="C3637" t="s">
        <v>2094</v>
      </c>
      <c r="D3637" s="1">
        <v>44497</v>
      </c>
      <c r="E3637" s="1">
        <v>45265</v>
      </c>
      <c r="F3637">
        <v>27</v>
      </c>
      <c r="G3637">
        <v>26</v>
      </c>
      <c r="H3637">
        <v>1154.07</v>
      </c>
      <c r="I3637">
        <v>221.62</v>
      </c>
      <c r="J3637" t="s">
        <v>90</v>
      </c>
      <c r="K3637" t="s">
        <v>20</v>
      </c>
      <c r="L3637" t="s">
        <v>2106</v>
      </c>
      <c r="M3637">
        <v>0</v>
      </c>
      <c r="N3637" t="s">
        <v>165</v>
      </c>
      <c r="O3637" t="s">
        <v>2096</v>
      </c>
    </row>
    <row r="3638" spans="1:15">
      <c r="A3638" t="s">
        <v>4943</v>
      </c>
      <c r="B3638" t="s">
        <v>2093</v>
      </c>
      <c r="C3638" t="s">
        <v>2094</v>
      </c>
      <c r="D3638" s="1">
        <v>45037</v>
      </c>
      <c r="E3638" s="1">
        <v>45127</v>
      </c>
      <c r="F3638">
        <v>165</v>
      </c>
      <c r="G3638">
        <v>1</v>
      </c>
      <c r="H3638">
        <v>107.54</v>
      </c>
      <c r="I3638">
        <v>64.09</v>
      </c>
      <c r="J3638" t="s">
        <v>90</v>
      </c>
      <c r="K3638" t="s">
        <v>20</v>
      </c>
      <c r="L3638" t="s">
        <v>2106</v>
      </c>
      <c r="M3638">
        <v>6</v>
      </c>
      <c r="N3638" t="s">
        <v>165</v>
      </c>
      <c r="O3638" t="s">
        <v>2121</v>
      </c>
    </row>
    <row r="3639" spans="1:15">
      <c r="A3639" t="s">
        <v>4944</v>
      </c>
      <c r="B3639" t="s">
        <v>2090</v>
      </c>
      <c r="C3639" t="s">
        <v>2111</v>
      </c>
      <c r="D3639" s="1">
        <v>44387</v>
      </c>
      <c r="E3639" s="1">
        <v>45230</v>
      </c>
      <c r="F3639">
        <v>62</v>
      </c>
      <c r="G3639">
        <v>7</v>
      </c>
      <c r="H3639">
        <v>198.52</v>
      </c>
      <c r="I3639">
        <v>100.51</v>
      </c>
      <c r="J3639" t="s">
        <v>41</v>
      </c>
      <c r="K3639" t="s">
        <v>20</v>
      </c>
      <c r="L3639" t="s">
        <v>2095</v>
      </c>
      <c r="M3639">
        <v>6</v>
      </c>
      <c r="N3639" t="s">
        <v>165</v>
      </c>
      <c r="O3639" t="s">
        <v>2109</v>
      </c>
    </row>
    <row r="3640" spans="1:15">
      <c r="A3640" t="s">
        <v>4945</v>
      </c>
      <c r="B3640" t="s">
        <v>2093</v>
      </c>
      <c r="C3640" t="s">
        <v>2086</v>
      </c>
      <c r="D3640" s="1">
        <v>44038</v>
      </c>
      <c r="E3640" s="1">
        <v>45177</v>
      </c>
      <c r="F3640">
        <v>115</v>
      </c>
      <c r="G3640">
        <v>3</v>
      </c>
      <c r="H3640">
        <v>137.65</v>
      </c>
      <c r="I3640">
        <v>65.02</v>
      </c>
      <c r="J3640" t="s">
        <v>14</v>
      </c>
      <c r="K3640" t="s">
        <v>16</v>
      </c>
      <c r="L3640" t="s">
        <v>2106</v>
      </c>
      <c r="M3640">
        <v>9</v>
      </c>
      <c r="N3640" t="s">
        <v>165</v>
      </c>
      <c r="O3640" t="s">
        <v>2088</v>
      </c>
    </row>
    <row r="3641" spans="1:15">
      <c r="A3641" t="s">
        <v>4946</v>
      </c>
      <c r="B3641" t="s">
        <v>2090</v>
      </c>
      <c r="C3641" t="s">
        <v>2094</v>
      </c>
      <c r="D3641" s="1">
        <v>44455</v>
      </c>
      <c r="E3641" s="1">
        <v>45197</v>
      </c>
      <c r="F3641">
        <v>95</v>
      </c>
      <c r="G3641">
        <v>8</v>
      </c>
      <c r="H3641">
        <v>280.26</v>
      </c>
      <c r="I3641">
        <v>99.38</v>
      </c>
      <c r="J3641" t="s">
        <v>115</v>
      </c>
      <c r="K3641" t="s">
        <v>20</v>
      </c>
      <c r="L3641" t="s">
        <v>2087</v>
      </c>
      <c r="M3641">
        <v>5</v>
      </c>
      <c r="N3641" t="s">
        <v>157</v>
      </c>
      <c r="O3641" t="s">
        <v>2107</v>
      </c>
    </row>
    <row r="3642" spans="1:15">
      <c r="A3642" t="s">
        <v>4947</v>
      </c>
      <c r="B3642" t="s">
        <v>2085</v>
      </c>
      <c r="C3642" t="s">
        <v>2094</v>
      </c>
      <c r="D3642" s="1">
        <v>43904</v>
      </c>
      <c r="E3642" s="1">
        <v>45026</v>
      </c>
      <c r="F3642">
        <v>266</v>
      </c>
      <c r="G3642">
        <v>29</v>
      </c>
      <c r="H3642">
        <v>809.81</v>
      </c>
      <c r="I3642">
        <v>163.16</v>
      </c>
      <c r="J3642" t="s">
        <v>41</v>
      </c>
      <c r="K3642" t="s">
        <v>16</v>
      </c>
      <c r="L3642" t="s">
        <v>2087</v>
      </c>
      <c r="M3642">
        <v>9</v>
      </c>
      <c r="N3642" t="s">
        <v>179</v>
      </c>
      <c r="O3642" t="s">
        <v>2088</v>
      </c>
    </row>
    <row r="3643" spans="1:15">
      <c r="A3643" t="s">
        <v>4948</v>
      </c>
      <c r="B3643" t="s">
        <v>2097</v>
      </c>
      <c r="C3643" t="s">
        <v>2091</v>
      </c>
      <c r="D3643" s="1">
        <v>43470</v>
      </c>
      <c r="E3643" s="1">
        <v>44939</v>
      </c>
      <c r="F3643">
        <v>353</v>
      </c>
      <c r="G3643">
        <v>3</v>
      </c>
      <c r="H3643">
        <v>661.89</v>
      </c>
      <c r="I3643">
        <v>134.87</v>
      </c>
      <c r="J3643" t="s">
        <v>90</v>
      </c>
      <c r="K3643" t="s">
        <v>16</v>
      </c>
      <c r="L3643" t="s">
        <v>2087</v>
      </c>
      <c r="M3643">
        <v>5</v>
      </c>
      <c r="N3643" t="s">
        <v>194</v>
      </c>
      <c r="O3643" t="s">
        <v>2109</v>
      </c>
    </row>
    <row r="3644" spans="1:15">
      <c r="A3644" t="s">
        <v>1560</v>
      </c>
      <c r="B3644" t="s">
        <v>2113</v>
      </c>
      <c r="C3644" t="s">
        <v>2108</v>
      </c>
      <c r="D3644" s="1">
        <v>44355</v>
      </c>
      <c r="E3644" s="1">
        <v>45075</v>
      </c>
      <c r="F3644">
        <v>217</v>
      </c>
      <c r="G3644">
        <v>11</v>
      </c>
      <c r="H3644">
        <v>506.22</v>
      </c>
      <c r="I3644">
        <v>68.790000000000006</v>
      </c>
      <c r="J3644" t="s">
        <v>14</v>
      </c>
      <c r="K3644" t="s">
        <v>16</v>
      </c>
      <c r="L3644" t="s">
        <v>2095</v>
      </c>
      <c r="M3644">
        <v>8</v>
      </c>
      <c r="N3644" t="s">
        <v>157</v>
      </c>
      <c r="O3644" t="s">
        <v>2121</v>
      </c>
    </row>
    <row r="3645" spans="1:15">
      <c r="A3645" t="s">
        <v>4949</v>
      </c>
      <c r="B3645" t="s">
        <v>2085</v>
      </c>
      <c r="C3645" t="s">
        <v>2091</v>
      </c>
      <c r="D3645" s="1">
        <v>45145</v>
      </c>
      <c r="E3645" s="1">
        <v>45251</v>
      </c>
      <c r="F3645">
        <v>41</v>
      </c>
      <c r="G3645">
        <v>15</v>
      </c>
      <c r="H3645">
        <v>1836.43</v>
      </c>
      <c r="I3645">
        <v>263.72000000000003</v>
      </c>
      <c r="J3645" t="s">
        <v>14</v>
      </c>
      <c r="K3645" t="s">
        <v>16</v>
      </c>
      <c r="L3645" t="s">
        <v>2087</v>
      </c>
      <c r="M3645">
        <v>8</v>
      </c>
      <c r="N3645" t="s">
        <v>157</v>
      </c>
      <c r="O3645" t="s">
        <v>2096</v>
      </c>
    </row>
    <row r="3646" spans="1:15">
      <c r="A3646" t="s">
        <v>4950</v>
      </c>
      <c r="B3646" t="s">
        <v>2099</v>
      </c>
      <c r="C3646" t="s">
        <v>2111</v>
      </c>
      <c r="D3646" s="1">
        <v>44869</v>
      </c>
      <c r="E3646" s="1">
        <v>45054</v>
      </c>
      <c r="F3646">
        <v>238</v>
      </c>
      <c r="G3646">
        <v>1</v>
      </c>
      <c r="H3646">
        <v>147.63999999999999</v>
      </c>
      <c r="I3646">
        <v>96.53</v>
      </c>
      <c r="J3646" t="s">
        <v>115</v>
      </c>
      <c r="K3646" t="s">
        <v>16</v>
      </c>
      <c r="L3646" t="s">
        <v>2106</v>
      </c>
      <c r="M3646">
        <v>4</v>
      </c>
      <c r="N3646" t="s">
        <v>232</v>
      </c>
      <c r="O3646" t="s">
        <v>2096</v>
      </c>
    </row>
    <row r="3647" spans="1:15">
      <c r="A3647" t="s">
        <v>4951</v>
      </c>
      <c r="B3647" t="s">
        <v>2090</v>
      </c>
      <c r="C3647" t="s">
        <v>2111</v>
      </c>
      <c r="D3647" s="1">
        <v>44888</v>
      </c>
      <c r="E3647" s="1">
        <v>44967</v>
      </c>
      <c r="F3647">
        <v>325</v>
      </c>
      <c r="G3647">
        <v>7</v>
      </c>
      <c r="H3647">
        <v>244.97</v>
      </c>
      <c r="I3647">
        <v>74.34</v>
      </c>
      <c r="J3647" t="s">
        <v>41</v>
      </c>
      <c r="K3647" t="s">
        <v>16</v>
      </c>
      <c r="L3647" t="s">
        <v>2106</v>
      </c>
      <c r="M3647">
        <v>0</v>
      </c>
      <c r="N3647" t="s">
        <v>194</v>
      </c>
      <c r="O3647" t="s">
        <v>2121</v>
      </c>
    </row>
    <row r="3648" spans="1:15">
      <c r="A3648" t="s">
        <v>1416</v>
      </c>
      <c r="B3648" t="s">
        <v>2093</v>
      </c>
      <c r="C3648" t="s">
        <v>2100</v>
      </c>
      <c r="D3648" s="1">
        <v>44861</v>
      </c>
      <c r="E3648" s="1">
        <v>45164</v>
      </c>
      <c r="F3648">
        <v>128</v>
      </c>
      <c r="G3648">
        <v>2</v>
      </c>
      <c r="H3648">
        <v>40.21</v>
      </c>
      <c r="I3648">
        <v>78.89</v>
      </c>
      <c r="J3648" t="s">
        <v>41</v>
      </c>
      <c r="K3648" t="s">
        <v>16</v>
      </c>
      <c r="L3648" t="s">
        <v>2095</v>
      </c>
      <c r="M3648">
        <v>2</v>
      </c>
      <c r="N3648" t="s">
        <v>204</v>
      </c>
      <c r="O3648" t="s">
        <v>2096</v>
      </c>
    </row>
    <row r="3649" spans="1:15">
      <c r="A3649" t="s">
        <v>4952</v>
      </c>
      <c r="B3649" t="s">
        <v>2093</v>
      </c>
      <c r="C3649" t="s">
        <v>2108</v>
      </c>
      <c r="D3649" s="1">
        <v>44553</v>
      </c>
      <c r="E3649" s="1">
        <v>44975</v>
      </c>
      <c r="F3649">
        <v>317</v>
      </c>
      <c r="G3649">
        <v>4</v>
      </c>
      <c r="H3649">
        <v>117.81</v>
      </c>
      <c r="I3649">
        <v>20.05</v>
      </c>
      <c r="J3649" t="s">
        <v>90</v>
      </c>
      <c r="K3649" t="s">
        <v>16</v>
      </c>
      <c r="L3649" t="s">
        <v>2087</v>
      </c>
      <c r="M3649">
        <v>3</v>
      </c>
      <c r="N3649" t="s">
        <v>194</v>
      </c>
      <c r="O3649" t="s">
        <v>2107</v>
      </c>
    </row>
    <row r="3650" spans="1:15">
      <c r="A3650" t="s">
        <v>4953</v>
      </c>
      <c r="B3650" t="s">
        <v>2085</v>
      </c>
      <c r="C3650" t="s">
        <v>2100</v>
      </c>
      <c r="D3650" s="1">
        <v>43879</v>
      </c>
      <c r="E3650" s="1">
        <v>45261</v>
      </c>
      <c r="F3650">
        <v>31</v>
      </c>
      <c r="G3650">
        <v>22</v>
      </c>
      <c r="H3650">
        <v>1134.93</v>
      </c>
      <c r="I3650">
        <v>183.64</v>
      </c>
      <c r="J3650" t="s">
        <v>14</v>
      </c>
      <c r="K3650" t="s">
        <v>16</v>
      </c>
      <c r="L3650" t="s">
        <v>2095</v>
      </c>
      <c r="M3650">
        <v>7</v>
      </c>
      <c r="N3650" t="s">
        <v>179</v>
      </c>
      <c r="O3650" t="s">
        <v>2096</v>
      </c>
    </row>
    <row r="3651" spans="1:15">
      <c r="A3651" t="s">
        <v>4954</v>
      </c>
      <c r="B3651" t="s">
        <v>2099</v>
      </c>
      <c r="C3651" t="s">
        <v>2111</v>
      </c>
      <c r="D3651" s="1">
        <v>44324</v>
      </c>
      <c r="E3651" s="1">
        <v>45084</v>
      </c>
      <c r="F3651">
        <v>208</v>
      </c>
      <c r="G3651">
        <v>2</v>
      </c>
      <c r="H3651">
        <v>88.38</v>
      </c>
      <c r="I3651">
        <v>54.65</v>
      </c>
      <c r="J3651" t="s">
        <v>66</v>
      </c>
      <c r="K3651" t="s">
        <v>16</v>
      </c>
      <c r="L3651" t="s">
        <v>2095</v>
      </c>
      <c r="M3651">
        <v>5</v>
      </c>
      <c r="N3651" t="s">
        <v>179</v>
      </c>
      <c r="O3651" t="s">
        <v>2088</v>
      </c>
    </row>
    <row r="3652" spans="1:15">
      <c r="A3652" t="s">
        <v>4955</v>
      </c>
      <c r="B3652" t="s">
        <v>2113</v>
      </c>
      <c r="C3652" t="s">
        <v>2094</v>
      </c>
      <c r="D3652" s="1">
        <v>44768</v>
      </c>
      <c r="E3652" s="1">
        <v>45165</v>
      </c>
      <c r="F3652">
        <v>127</v>
      </c>
      <c r="G3652">
        <v>18</v>
      </c>
      <c r="H3652">
        <v>374.63</v>
      </c>
      <c r="I3652">
        <v>46.78</v>
      </c>
      <c r="J3652" t="s">
        <v>41</v>
      </c>
      <c r="K3652" t="s">
        <v>16</v>
      </c>
      <c r="L3652" t="s">
        <v>2095</v>
      </c>
      <c r="M3652">
        <v>5</v>
      </c>
      <c r="N3652" t="s">
        <v>204</v>
      </c>
      <c r="O3652" t="s">
        <v>2109</v>
      </c>
    </row>
    <row r="3653" spans="1:15">
      <c r="A3653" t="s">
        <v>4956</v>
      </c>
      <c r="B3653" t="s">
        <v>2099</v>
      </c>
      <c r="C3653" t="s">
        <v>2086</v>
      </c>
      <c r="D3653" s="1">
        <v>43918</v>
      </c>
      <c r="E3653" s="1">
        <v>45275</v>
      </c>
      <c r="F3653">
        <v>17</v>
      </c>
      <c r="G3653">
        <v>2</v>
      </c>
      <c r="H3653">
        <v>113.27</v>
      </c>
      <c r="I3653">
        <v>84.9</v>
      </c>
      <c r="J3653" t="s">
        <v>66</v>
      </c>
      <c r="K3653" t="s">
        <v>16</v>
      </c>
      <c r="L3653" t="s">
        <v>2087</v>
      </c>
      <c r="M3653">
        <v>10</v>
      </c>
      <c r="N3653" t="s">
        <v>204</v>
      </c>
      <c r="O3653" t="s">
        <v>2096</v>
      </c>
    </row>
    <row r="3654" spans="1:15">
      <c r="A3654" t="s">
        <v>4957</v>
      </c>
      <c r="B3654" t="s">
        <v>2097</v>
      </c>
      <c r="C3654" t="s">
        <v>2108</v>
      </c>
      <c r="D3654" s="1">
        <v>44810</v>
      </c>
      <c r="E3654" s="1">
        <v>45172</v>
      </c>
      <c r="F3654">
        <v>120</v>
      </c>
      <c r="G3654">
        <v>5</v>
      </c>
      <c r="H3654">
        <v>783.21</v>
      </c>
      <c r="I3654">
        <v>115.08</v>
      </c>
      <c r="J3654" t="s">
        <v>14</v>
      </c>
      <c r="K3654" t="s">
        <v>16</v>
      </c>
      <c r="L3654" t="s">
        <v>2087</v>
      </c>
      <c r="M3654">
        <v>10</v>
      </c>
      <c r="N3654" t="s">
        <v>165</v>
      </c>
      <c r="O3654" t="s">
        <v>2096</v>
      </c>
    </row>
    <row r="3655" spans="1:15">
      <c r="A3655" t="s">
        <v>1097</v>
      </c>
      <c r="B3655" t="s">
        <v>2090</v>
      </c>
      <c r="C3655" t="s">
        <v>2108</v>
      </c>
      <c r="D3655" s="1">
        <v>44856</v>
      </c>
      <c r="E3655" s="1">
        <v>45152</v>
      </c>
      <c r="F3655">
        <v>140</v>
      </c>
      <c r="G3655">
        <v>4</v>
      </c>
      <c r="H3655">
        <v>307.99</v>
      </c>
      <c r="I3655">
        <v>117.3</v>
      </c>
      <c r="J3655" t="s">
        <v>14</v>
      </c>
      <c r="K3655" t="s">
        <v>16</v>
      </c>
      <c r="L3655" t="s">
        <v>2106</v>
      </c>
      <c r="M3655">
        <v>1</v>
      </c>
      <c r="N3655" t="s">
        <v>232</v>
      </c>
      <c r="O3655" t="s">
        <v>2088</v>
      </c>
    </row>
    <row r="3656" spans="1:15">
      <c r="A3656" t="s">
        <v>4958</v>
      </c>
      <c r="B3656" t="s">
        <v>2099</v>
      </c>
      <c r="C3656" t="s">
        <v>2100</v>
      </c>
      <c r="D3656" s="1">
        <v>44094</v>
      </c>
      <c r="E3656" s="1">
        <v>45176</v>
      </c>
      <c r="F3656">
        <v>116</v>
      </c>
      <c r="G3656">
        <v>1</v>
      </c>
      <c r="H3656">
        <v>38.31</v>
      </c>
      <c r="I3656">
        <v>24.64</v>
      </c>
      <c r="J3656" t="s">
        <v>41</v>
      </c>
      <c r="K3656" t="s">
        <v>16</v>
      </c>
      <c r="L3656" t="s">
        <v>2106</v>
      </c>
      <c r="M3656">
        <v>9</v>
      </c>
      <c r="N3656" t="s">
        <v>204</v>
      </c>
      <c r="O3656" t="s">
        <v>2096</v>
      </c>
    </row>
    <row r="3657" spans="1:15">
      <c r="A3657" t="s">
        <v>4959</v>
      </c>
      <c r="B3657" t="s">
        <v>2093</v>
      </c>
      <c r="C3657" t="s">
        <v>2094</v>
      </c>
      <c r="D3657" s="1">
        <v>44712</v>
      </c>
      <c r="E3657" s="1">
        <v>45288</v>
      </c>
      <c r="F3657">
        <v>4</v>
      </c>
      <c r="G3657">
        <v>1</v>
      </c>
      <c r="H3657">
        <v>91.44</v>
      </c>
      <c r="I3657">
        <v>77.87</v>
      </c>
      <c r="J3657" t="s">
        <v>41</v>
      </c>
      <c r="K3657" t="s">
        <v>16</v>
      </c>
      <c r="L3657" t="s">
        <v>2106</v>
      </c>
      <c r="M3657">
        <v>4</v>
      </c>
      <c r="N3657" t="s">
        <v>174</v>
      </c>
      <c r="O3657" t="s">
        <v>2109</v>
      </c>
    </row>
    <row r="3658" spans="1:15">
      <c r="A3658" t="s">
        <v>4960</v>
      </c>
      <c r="B3658" t="s">
        <v>2097</v>
      </c>
      <c r="C3658" t="s">
        <v>2111</v>
      </c>
      <c r="D3658" s="1">
        <v>45030</v>
      </c>
      <c r="E3658" s="1">
        <v>45187</v>
      </c>
      <c r="F3658">
        <v>105</v>
      </c>
      <c r="G3658">
        <v>3</v>
      </c>
      <c r="H3658">
        <v>432.37</v>
      </c>
      <c r="I3658">
        <v>104.75</v>
      </c>
      <c r="J3658" t="s">
        <v>66</v>
      </c>
      <c r="K3658" t="s">
        <v>20</v>
      </c>
      <c r="L3658" t="s">
        <v>2106</v>
      </c>
      <c r="M3658">
        <v>6</v>
      </c>
      <c r="N3658" t="s">
        <v>204</v>
      </c>
      <c r="O3658" t="s">
        <v>2096</v>
      </c>
    </row>
    <row r="3659" spans="1:15">
      <c r="A3659" t="s">
        <v>4961</v>
      </c>
      <c r="B3659" t="s">
        <v>2093</v>
      </c>
      <c r="C3659" t="s">
        <v>2094</v>
      </c>
      <c r="D3659" s="1">
        <v>44561</v>
      </c>
      <c r="E3659" s="1">
        <v>44956</v>
      </c>
      <c r="F3659">
        <v>336</v>
      </c>
      <c r="G3659">
        <v>2</v>
      </c>
      <c r="H3659">
        <v>34.54</v>
      </c>
      <c r="I3659">
        <v>75.81</v>
      </c>
      <c r="J3659" t="s">
        <v>14</v>
      </c>
      <c r="K3659" t="s">
        <v>20</v>
      </c>
      <c r="L3659" t="s">
        <v>2106</v>
      </c>
      <c r="M3659">
        <v>3</v>
      </c>
      <c r="N3659" t="s">
        <v>194</v>
      </c>
      <c r="O3659" t="s">
        <v>2107</v>
      </c>
    </row>
    <row r="3660" spans="1:15">
      <c r="A3660" t="s">
        <v>4962</v>
      </c>
      <c r="B3660" t="s">
        <v>2113</v>
      </c>
      <c r="C3660" t="s">
        <v>2108</v>
      </c>
      <c r="D3660" s="1">
        <v>44546</v>
      </c>
      <c r="E3660" s="1">
        <v>44958</v>
      </c>
      <c r="F3660">
        <v>334</v>
      </c>
      <c r="G3660">
        <v>11</v>
      </c>
      <c r="H3660">
        <v>303.70999999999998</v>
      </c>
      <c r="I3660">
        <v>46.09</v>
      </c>
      <c r="J3660" t="s">
        <v>115</v>
      </c>
      <c r="K3660" t="s">
        <v>16</v>
      </c>
      <c r="L3660" t="s">
        <v>2087</v>
      </c>
      <c r="M3660">
        <v>9</v>
      </c>
      <c r="N3660" t="s">
        <v>165</v>
      </c>
      <c r="O3660" t="s">
        <v>2107</v>
      </c>
    </row>
    <row r="3661" spans="1:15">
      <c r="A3661" t="s">
        <v>4963</v>
      </c>
      <c r="B3661" t="s">
        <v>2113</v>
      </c>
      <c r="C3661" t="s">
        <v>2108</v>
      </c>
      <c r="D3661" s="1">
        <v>43999</v>
      </c>
      <c r="E3661" s="1">
        <v>44975</v>
      </c>
      <c r="F3661">
        <v>317</v>
      </c>
      <c r="G3661">
        <v>20</v>
      </c>
      <c r="H3661">
        <v>172.49</v>
      </c>
      <c r="I3661">
        <v>75.11</v>
      </c>
      <c r="J3661" t="s">
        <v>90</v>
      </c>
      <c r="K3661" t="s">
        <v>16</v>
      </c>
      <c r="L3661" t="s">
        <v>2087</v>
      </c>
      <c r="M3661">
        <v>2</v>
      </c>
      <c r="N3661" t="s">
        <v>174</v>
      </c>
      <c r="O3661" t="s">
        <v>2088</v>
      </c>
    </row>
    <row r="3662" spans="1:15">
      <c r="A3662" t="s">
        <v>4964</v>
      </c>
      <c r="B3662" t="s">
        <v>2099</v>
      </c>
      <c r="C3662" t="s">
        <v>2094</v>
      </c>
      <c r="D3662" s="1">
        <v>44051</v>
      </c>
      <c r="E3662" s="1">
        <v>45182</v>
      </c>
      <c r="F3662">
        <v>110</v>
      </c>
      <c r="G3662">
        <v>2</v>
      </c>
      <c r="H3662">
        <v>51.38</v>
      </c>
      <c r="I3662">
        <v>69.38</v>
      </c>
      <c r="J3662" t="s">
        <v>41</v>
      </c>
      <c r="K3662" t="s">
        <v>20</v>
      </c>
      <c r="L3662" t="s">
        <v>2106</v>
      </c>
      <c r="M3662">
        <v>3</v>
      </c>
      <c r="N3662" t="s">
        <v>157</v>
      </c>
      <c r="O3662" t="s">
        <v>2109</v>
      </c>
    </row>
    <row r="3663" spans="1:15">
      <c r="A3663" t="s">
        <v>4965</v>
      </c>
      <c r="B3663" t="s">
        <v>2090</v>
      </c>
      <c r="C3663" t="s">
        <v>2108</v>
      </c>
      <c r="D3663" s="1">
        <v>43515</v>
      </c>
      <c r="E3663" s="1">
        <v>45236</v>
      </c>
      <c r="F3663">
        <v>56</v>
      </c>
      <c r="G3663">
        <v>3</v>
      </c>
      <c r="H3663">
        <v>313.39999999999998</v>
      </c>
      <c r="I3663">
        <v>81.8</v>
      </c>
      <c r="J3663" t="s">
        <v>41</v>
      </c>
      <c r="K3663" t="s">
        <v>20</v>
      </c>
      <c r="L3663" t="s">
        <v>2087</v>
      </c>
      <c r="M3663">
        <v>1</v>
      </c>
      <c r="N3663" t="s">
        <v>204</v>
      </c>
      <c r="O3663" t="s">
        <v>2107</v>
      </c>
    </row>
    <row r="3664" spans="1:15">
      <c r="A3664" t="s">
        <v>4966</v>
      </c>
      <c r="B3664" t="s">
        <v>2090</v>
      </c>
      <c r="C3664" t="s">
        <v>2086</v>
      </c>
      <c r="D3664" s="1">
        <v>44179</v>
      </c>
      <c r="E3664" s="1">
        <v>45062</v>
      </c>
      <c r="F3664">
        <v>230</v>
      </c>
      <c r="G3664">
        <v>7</v>
      </c>
      <c r="H3664">
        <v>268.55</v>
      </c>
      <c r="I3664">
        <v>84.52</v>
      </c>
      <c r="J3664" t="s">
        <v>41</v>
      </c>
      <c r="K3664" t="s">
        <v>16</v>
      </c>
      <c r="L3664" t="s">
        <v>2095</v>
      </c>
      <c r="M3664">
        <v>7</v>
      </c>
      <c r="N3664" t="s">
        <v>204</v>
      </c>
      <c r="O3664" t="s">
        <v>2107</v>
      </c>
    </row>
    <row r="3665" spans="1:15">
      <c r="A3665" t="s">
        <v>4967</v>
      </c>
      <c r="B3665" t="s">
        <v>2097</v>
      </c>
      <c r="C3665" t="s">
        <v>2091</v>
      </c>
      <c r="D3665" s="1">
        <v>44533</v>
      </c>
      <c r="E3665" s="1">
        <v>44976</v>
      </c>
      <c r="F3665">
        <v>316</v>
      </c>
      <c r="G3665">
        <v>4</v>
      </c>
      <c r="H3665">
        <v>710.01</v>
      </c>
      <c r="I3665">
        <v>68.72</v>
      </c>
      <c r="J3665" t="s">
        <v>115</v>
      </c>
      <c r="K3665" t="s">
        <v>16</v>
      </c>
      <c r="L3665" t="s">
        <v>2087</v>
      </c>
      <c r="M3665">
        <v>6</v>
      </c>
      <c r="N3665" t="s">
        <v>157</v>
      </c>
      <c r="O3665" t="s">
        <v>2121</v>
      </c>
    </row>
    <row r="3666" spans="1:15">
      <c r="A3666" t="s">
        <v>4968</v>
      </c>
      <c r="B3666" t="s">
        <v>2085</v>
      </c>
      <c r="C3666" t="s">
        <v>2094</v>
      </c>
      <c r="D3666" s="1">
        <v>45241</v>
      </c>
      <c r="E3666" s="1">
        <v>45056</v>
      </c>
      <c r="F3666">
        <v>236</v>
      </c>
      <c r="G3666">
        <v>20</v>
      </c>
      <c r="H3666">
        <v>2554.41</v>
      </c>
      <c r="I3666">
        <v>224.58</v>
      </c>
      <c r="J3666" t="s">
        <v>90</v>
      </c>
      <c r="K3666" t="s">
        <v>16</v>
      </c>
      <c r="L3666" t="s">
        <v>2087</v>
      </c>
      <c r="M3666">
        <v>2</v>
      </c>
      <c r="N3666" t="s">
        <v>179</v>
      </c>
      <c r="O3666" t="s">
        <v>2107</v>
      </c>
    </row>
    <row r="3667" spans="1:15">
      <c r="A3667" t="s">
        <v>4969</v>
      </c>
      <c r="B3667" t="s">
        <v>2113</v>
      </c>
      <c r="C3667" t="s">
        <v>2111</v>
      </c>
      <c r="D3667" s="1">
        <v>45100</v>
      </c>
      <c r="E3667" s="1">
        <v>45096</v>
      </c>
      <c r="F3667">
        <v>196</v>
      </c>
      <c r="G3667">
        <v>17</v>
      </c>
      <c r="H3667">
        <v>522.4</v>
      </c>
      <c r="I3667">
        <v>50.06</v>
      </c>
      <c r="J3667" t="s">
        <v>90</v>
      </c>
      <c r="K3667" t="s">
        <v>20</v>
      </c>
      <c r="L3667" t="s">
        <v>2095</v>
      </c>
      <c r="M3667">
        <v>1</v>
      </c>
      <c r="N3667" t="s">
        <v>204</v>
      </c>
      <c r="O3667" t="s">
        <v>2121</v>
      </c>
    </row>
    <row r="3668" spans="1:15">
      <c r="A3668" t="s">
        <v>4970</v>
      </c>
      <c r="B3668" t="s">
        <v>2085</v>
      </c>
      <c r="C3668" t="s">
        <v>2108</v>
      </c>
      <c r="D3668" s="1">
        <v>44811</v>
      </c>
      <c r="E3668" s="1">
        <v>45000</v>
      </c>
      <c r="F3668">
        <v>292</v>
      </c>
      <c r="G3668">
        <v>26</v>
      </c>
      <c r="H3668">
        <v>1029.49</v>
      </c>
      <c r="I3668">
        <v>174.31</v>
      </c>
      <c r="J3668" t="s">
        <v>115</v>
      </c>
      <c r="K3668" t="s">
        <v>16</v>
      </c>
      <c r="L3668" t="s">
        <v>2087</v>
      </c>
      <c r="M3668">
        <v>4</v>
      </c>
      <c r="N3668" t="s">
        <v>165</v>
      </c>
      <c r="O3668" t="s">
        <v>2109</v>
      </c>
    </row>
    <row r="3669" spans="1:15">
      <c r="A3669" t="s">
        <v>4971</v>
      </c>
      <c r="B3669" t="s">
        <v>2085</v>
      </c>
      <c r="C3669" t="s">
        <v>2094</v>
      </c>
      <c r="D3669" s="1">
        <v>44747</v>
      </c>
      <c r="E3669" s="1">
        <v>44938</v>
      </c>
      <c r="F3669">
        <v>354</v>
      </c>
      <c r="G3669">
        <v>34</v>
      </c>
      <c r="H3669">
        <v>2177.6</v>
      </c>
      <c r="I3669">
        <v>165.42</v>
      </c>
      <c r="J3669" t="s">
        <v>90</v>
      </c>
      <c r="K3669" t="s">
        <v>16</v>
      </c>
      <c r="L3669" t="s">
        <v>2106</v>
      </c>
      <c r="M3669">
        <v>5</v>
      </c>
      <c r="N3669" t="s">
        <v>165</v>
      </c>
      <c r="O3669" t="s">
        <v>2088</v>
      </c>
    </row>
    <row r="3670" spans="1:15">
      <c r="A3670" t="s">
        <v>1364</v>
      </c>
      <c r="B3670" t="s">
        <v>2085</v>
      </c>
      <c r="C3670" t="s">
        <v>2094</v>
      </c>
      <c r="D3670" s="1">
        <v>44407</v>
      </c>
      <c r="E3670" s="1">
        <v>45192</v>
      </c>
      <c r="F3670">
        <v>100</v>
      </c>
      <c r="G3670">
        <v>27</v>
      </c>
      <c r="H3670">
        <v>1715.17</v>
      </c>
      <c r="I3670">
        <v>162.47999999999999</v>
      </c>
      <c r="J3670" t="s">
        <v>14</v>
      </c>
      <c r="K3670" t="s">
        <v>16</v>
      </c>
      <c r="L3670" t="s">
        <v>2106</v>
      </c>
      <c r="M3670">
        <v>10</v>
      </c>
      <c r="N3670" t="s">
        <v>157</v>
      </c>
      <c r="O3670" t="s">
        <v>2096</v>
      </c>
    </row>
    <row r="3671" spans="1:15">
      <c r="A3671" t="s">
        <v>4972</v>
      </c>
      <c r="B3671" t="s">
        <v>2097</v>
      </c>
      <c r="C3671" t="s">
        <v>2091</v>
      </c>
      <c r="D3671" s="1">
        <v>45049</v>
      </c>
      <c r="E3671" s="1">
        <v>45047</v>
      </c>
      <c r="F3671">
        <v>245</v>
      </c>
      <c r="G3671">
        <v>10</v>
      </c>
      <c r="H3671">
        <v>433.21</v>
      </c>
      <c r="I3671">
        <v>99.54</v>
      </c>
      <c r="J3671" t="s">
        <v>66</v>
      </c>
      <c r="K3671" t="s">
        <v>20</v>
      </c>
      <c r="L3671" t="s">
        <v>2087</v>
      </c>
      <c r="M3671">
        <v>8</v>
      </c>
      <c r="N3671" t="s">
        <v>157</v>
      </c>
      <c r="O3671" t="s">
        <v>2107</v>
      </c>
    </row>
    <row r="3672" spans="1:15">
      <c r="A3672" t="s">
        <v>4973</v>
      </c>
      <c r="B3672" t="s">
        <v>2113</v>
      </c>
      <c r="C3672" t="s">
        <v>2086</v>
      </c>
      <c r="D3672" s="1">
        <v>45111</v>
      </c>
      <c r="E3672" s="1">
        <v>45204</v>
      </c>
      <c r="F3672">
        <v>88</v>
      </c>
      <c r="G3672">
        <v>16</v>
      </c>
      <c r="H3672">
        <v>163.4</v>
      </c>
      <c r="I3672">
        <v>71.31</v>
      </c>
      <c r="J3672" t="s">
        <v>14</v>
      </c>
      <c r="K3672" t="s">
        <v>16</v>
      </c>
      <c r="L3672" t="s">
        <v>2095</v>
      </c>
      <c r="M3672">
        <v>10</v>
      </c>
      <c r="N3672" t="s">
        <v>157</v>
      </c>
      <c r="O3672" t="s">
        <v>2121</v>
      </c>
    </row>
    <row r="3673" spans="1:15">
      <c r="A3673" t="s">
        <v>4974</v>
      </c>
      <c r="B3673" t="s">
        <v>2097</v>
      </c>
      <c r="C3673" t="s">
        <v>2094</v>
      </c>
      <c r="D3673" s="1">
        <v>45165</v>
      </c>
      <c r="E3673" s="1">
        <v>45107</v>
      </c>
      <c r="F3673">
        <v>185</v>
      </c>
      <c r="G3673">
        <v>7</v>
      </c>
      <c r="H3673">
        <v>220.12</v>
      </c>
      <c r="I3673">
        <v>92.39</v>
      </c>
      <c r="J3673" t="s">
        <v>90</v>
      </c>
      <c r="K3673" t="s">
        <v>16</v>
      </c>
      <c r="L3673" t="s">
        <v>2087</v>
      </c>
      <c r="M3673">
        <v>1</v>
      </c>
      <c r="N3673" t="s">
        <v>174</v>
      </c>
      <c r="O3673" t="s">
        <v>2088</v>
      </c>
    </row>
    <row r="3674" spans="1:15">
      <c r="A3674" t="s">
        <v>4975</v>
      </c>
      <c r="B3674" t="s">
        <v>2093</v>
      </c>
      <c r="C3674" t="s">
        <v>2091</v>
      </c>
      <c r="D3674" s="1">
        <v>44845</v>
      </c>
      <c r="E3674" s="1">
        <v>45163</v>
      </c>
      <c r="F3674">
        <v>129</v>
      </c>
      <c r="G3674">
        <v>1</v>
      </c>
      <c r="H3674">
        <v>35.54</v>
      </c>
      <c r="I3674">
        <v>25.99</v>
      </c>
      <c r="J3674" t="s">
        <v>115</v>
      </c>
      <c r="K3674" t="s">
        <v>20</v>
      </c>
      <c r="L3674" t="s">
        <v>2106</v>
      </c>
      <c r="M3674">
        <v>10</v>
      </c>
      <c r="N3674" t="s">
        <v>174</v>
      </c>
      <c r="O3674" t="s">
        <v>2107</v>
      </c>
    </row>
    <row r="3675" spans="1:15">
      <c r="A3675" t="s">
        <v>4976</v>
      </c>
      <c r="B3675" t="s">
        <v>2090</v>
      </c>
      <c r="C3675" t="s">
        <v>2086</v>
      </c>
      <c r="D3675" s="1">
        <v>45114</v>
      </c>
      <c r="E3675" s="1">
        <v>45087</v>
      </c>
      <c r="F3675">
        <v>205</v>
      </c>
      <c r="G3675">
        <v>6</v>
      </c>
      <c r="H3675">
        <v>342.19</v>
      </c>
      <c r="I3675">
        <v>58.82</v>
      </c>
      <c r="J3675" t="s">
        <v>66</v>
      </c>
      <c r="K3675" t="s">
        <v>16</v>
      </c>
      <c r="L3675" t="s">
        <v>2106</v>
      </c>
      <c r="M3675">
        <v>0</v>
      </c>
      <c r="N3675" t="s">
        <v>165</v>
      </c>
      <c r="O3675" t="s">
        <v>2096</v>
      </c>
    </row>
    <row r="3676" spans="1:15">
      <c r="A3676" t="s">
        <v>1466</v>
      </c>
      <c r="B3676" t="s">
        <v>2097</v>
      </c>
      <c r="C3676" t="s">
        <v>2108</v>
      </c>
      <c r="D3676" s="1">
        <v>44372</v>
      </c>
      <c r="E3676" s="1">
        <v>45177</v>
      </c>
      <c r="F3676">
        <v>115</v>
      </c>
      <c r="G3676">
        <v>10</v>
      </c>
      <c r="H3676">
        <v>458.64</v>
      </c>
      <c r="I3676">
        <v>63.55</v>
      </c>
      <c r="J3676" t="s">
        <v>14</v>
      </c>
      <c r="K3676" t="s">
        <v>16</v>
      </c>
      <c r="L3676" t="s">
        <v>2087</v>
      </c>
      <c r="M3676">
        <v>10</v>
      </c>
      <c r="N3676" t="s">
        <v>232</v>
      </c>
      <c r="O3676" t="s">
        <v>2121</v>
      </c>
    </row>
    <row r="3677" spans="1:15">
      <c r="A3677" t="s">
        <v>4977</v>
      </c>
      <c r="B3677" t="s">
        <v>2097</v>
      </c>
      <c r="C3677" t="s">
        <v>2094</v>
      </c>
      <c r="D3677" s="1">
        <v>44389</v>
      </c>
      <c r="E3677" s="1">
        <v>45071</v>
      </c>
      <c r="F3677">
        <v>221</v>
      </c>
      <c r="G3677">
        <v>3</v>
      </c>
      <c r="H3677">
        <v>691.49</v>
      </c>
      <c r="I3677">
        <v>59.61</v>
      </c>
      <c r="J3677" t="s">
        <v>90</v>
      </c>
      <c r="K3677" t="s">
        <v>20</v>
      </c>
      <c r="L3677" t="s">
        <v>2087</v>
      </c>
      <c r="M3677">
        <v>0</v>
      </c>
      <c r="N3677" t="s">
        <v>232</v>
      </c>
      <c r="O3677" t="s">
        <v>2096</v>
      </c>
    </row>
    <row r="3678" spans="1:15">
      <c r="A3678" t="s">
        <v>4978</v>
      </c>
      <c r="B3678" t="s">
        <v>2093</v>
      </c>
      <c r="C3678" t="s">
        <v>2086</v>
      </c>
      <c r="D3678" s="1">
        <v>45264</v>
      </c>
      <c r="E3678" s="1">
        <v>45202</v>
      </c>
      <c r="F3678">
        <v>90</v>
      </c>
      <c r="G3678">
        <v>2</v>
      </c>
      <c r="H3678">
        <v>34.9</v>
      </c>
      <c r="I3678">
        <v>68.13</v>
      </c>
      <c r="J3678" t="s">
        <v>41</v>
      </c>
      <c r="K3678" t="s">
        <v>16</v>
      </c>
      <c r="L3678" t="s">
        <v>2106</v>
      </c>
      <c r="M3678">
        <v>10</v>
      </c>
      <c r="N3678" t="s">
        <v>174</v>
      </c>
      <c r="O3678" t="s">
        <v>2109</v>
      </c>
    </row>
    <row r="3679" spans="1:15">
      <c r="A3679" t="s">
        <v>1741</v>
      </c>
      <c r="B3679" t="s">
        <v>2113</v>
      </c>
      <c r="C3679" t="s">
        <v>2108</v>
      </c>
      <c r="D3679" s="1">
        <v>44133</v>
      </c>
      <c r="E3679" s="1">
        <v>45211</v>
      </c>
      <c r="F3679">
        <v>81</v>
      </c>
      <c r="G3679">
        <v>8</v>
      </c>
      <c r="H3679">
        <v>402.51</v>
      </c>
      <c r="I3679">
        <v>68.19</v>
      </c>
      <c r="J3679" t="s">
        <v>66</v>
      </c>
      <c r="K3679" t="s">
        <v>16</v>
      </c>
      <c r="L3679" t="s">
        <v>2095</v>
      </c>
      <c r="M3679">
        <v>9</v>
      </c>
      <c r="N3679" t="s">
        <v>157</v>
      </c>
      <c r="O3679" t="s">
        <v>2109</v>
      </c>
    </row>
    <row r="3680" spans="1:15">
      <c r="A3680" t="s">
        <v>4979</v>
      </c>
      <c r="B3680" t="s">
        <v>2099</v>
      </c>
      <c r="C3680" t="s">
        <v>2086</v>
      </c>
      <c r="D3680" s="1">
        <v>44776</v>
      </c>
      <c r="E3680" s="1">
        <v>45090</v>
      </c>
      <c r="F3680">
        <v>202</v>
      </c>
      <c r="G3680">
        <v>2</v>
      </c>
      <c r="H3680">
        <v>61.85</v>
      </c>
      <c r="I3680">
        <v>85.71</v>
      </c>
      <c r="J3680" t="s">
        <v>90</v>
      </c>
      <c r="K3680" t="s">
        <v>16</v>
      </c>
      <c r="L3680" t="s">
        <v>2106</v>
      </c>
      <c r="M3680">
        <v>0</v>
      </c>
      <c r="N3680" t="s">
        <v>157</v>
      </c>
      <c r="O3680" t="s">
        <v>2107</v>
      </c>
    </row>
    <row r="3681" spans="1:15">
      <c r="A3681" t="s">
        <v>4980</v>
      </c>
      <c r="B3681" t="s">
        <v>2090</v>
      </c>
      <c r="C3681" t="s">
        <v>2111</v>
      </c>
      <c r="D3681" s="1">
        <v>44313</v>
      </c>
      <c r="E3681" s="1">
        <v>44949</v>
      </c>
      <c r="F3681">
        <v>343</v>
      </c>
      <c r="G3681">
        <v>5</v>
      </c>
      <c r="H3681">
        <v>182.48</v>
      </c>
      <c r="I3681">
        <v>54.27</v>
      </c>
      <c r="J3681" t="s">
        <v>115</v>
      </c>
      <c r="K3681" t="s">
        <v>16</v>
      </c>
      <c r="L3681" t="s">
        <v>2087</v>
      </c>
      <c r="M3681">
        <v>9</v>
      </c>
      <c r="N3681" t="s">
        <v>232</v>
      </c>
      <c r="O3681" t="s">
        <v>2096</v>
      </c>
    </row>
    <row r="3682" spans="1:15">
      <c r="A3682" t="s">
        <v>4981</v>
      </c>
      <c r="B3682" t="s">
        <v>2093</v>
      </c>
      <c r="C3682" t="s">
        <v>2111</v>
      </c>
      <c r="D3682" s="1">
        <v>44513</v>
      </c>
      <c r="E3682" s="1">
        <v>44933</v>
      </c>
      <c r="F3682">
        <v>359</v>
      </c>
      <c r="G3682">
        <v>1</v>
      </c>
      <c r="H3682">
        <v>176.71</v>
      </c>
      <c r="I3682">
        <v>66.099999999999994</v>
      </c>
      <c r="J3682" t="s">
        <v>41</v>
      </c>
      <c r="K3682" t="s">
        <v>16</v>
      </c>
      <c r="L3682" t="s">
        <v>2095</v>
      </c>
      <c r="M3682">
        <v>5</v>
      </c>
      <c r="N3682" t="s">
        <v>157</v>
      </c>
      <c r="O3682" t="s">
        <v>2109</v>
      </c>
    </row>
    <row r="3683" spans="1:15">
      <c r="A3683" t="s">
        <v>4982</v>
      </c>
      <c r="B3683" t="s">
        <v>2090</v>
      </c>
      <c r="C3683" t="s">
        <v>2108</v>
      </c>
      <c r="D3683" s="1">
        <v>44538</v>
      </c>
      <c r="E3683" s="1">
        <v>45172</v>
      </c>
      <c r="F3683">
        <v>120</v>
      </c>
      <c r="G3683">
        <v>3</v>
      </c>
      <c r="H3683">
        <v>254.77</v>
      </c>
      <c r="I3683">
        <v>71.78</v>
      </c>
      <c r="J3683" t="s">
        <v>41</v>
      </c>
      <c r="K3683" t="s">
        <v>20</v>
      </c>
      <c r="L3683" t="s">
        <v>2106</v>
      </c>
      <c r="M3683">
        <v>10</v>
      </c>
      <c r="N3683" t="s">
        <v>157</v>
      </c>
      <c r="O3683" t="s">
        <v>2096</v>
      </c>
    </row>
    <row r="3684" spans="1:15">
      <c r="A3684" t="s">
        <v>4983</v>
      </c>
      <c r="B3684" t="s">
        <v>2097</v>
      </c>
      <c r="C3684" t="s">
        <v>2111</v>
      </c>
      <c r="D3684" s="1">
        <v>45224</v>
      </c>
      <c r="E3684" s="1">
        <v>45204</v>
      </c>
      <c r="F3684">
        <v>88</v>
      </c>
      <c r="G3684">
        <v>3</v>
      </c>
      <c r="H3684">
        <v>445.3</v>
      </c>
      <c r="I3684">
        <v>56.14</v>
      </c>
      <c r="J3684" t="s">
        <v>90</v>
      </c>
      <c r="K3684" t="s">
        <v>20</v>
      </c>
      <c r="L3684" t="s">
        <v>2106</v>
      </c>
      <c r="M3684">
        <v>2</v>
      </c>
      <c r="N3684" t="s">
        <v>157</v>
      </c>
      <c r="O3684" t="s">
        <v>2107</v>
      </c>
    </row>
    <row r="3685" spans="1:15">
      <c r="A3685" t="s">
        <v>4984</v>
      </c>
      <c r="B3685" t="s">
        <v>2093</v>
      </c>
      <c r="C3685" t="s">
        <v>2111</v>
      </c>
      <c r="D3685" s="1">
        <v>44267</v>
      </c>
      <c r="E3685" s="1">
        <v>45012</v>
      </c>
      <c r="F3685">
        <v>280</v>
      </c>
      <c r="G3685">
        <v>5</v>
      </c>
      <c r="H3685">
        <v>109.45</v>
      </c>
      <c r="I3685">
        <v>76.69</v>
      </c>
      <c r="J3685" t="s">
        <v>66</v>
      </c>
      <c r="K3685" t="s">
        <v>16</v>
      </c>
      <c r="L3685" t="s">
        <v>2095</v>
      </c>
      <c r="M3685">
        <v>5</v>
      </c>
      <c r="N3685" t="s">
        <v>179</v>
      </c>
      <c r="O3685" t="s">
        <v>2096</v>
      </c>
    </row>
    <row r="3686" spans="1:15">
      <c r="A3686" t="s">
        <v>4985</v>
      </c>
      <c r="B3686" t="s">
        <v>2090</v>
      </c>
      <c r="C3686" t="s">
        <v>2091</v>
      </c>
      <c r="D3686" s="1">
        <v>45060</v>
      </c>
      <c r="E3686" s="1">
        <v>45274</v>
      </c>
      <c r="F3686">
        <v>18</v>
      </c>
      <c r="G3686">
        <v>6</v>
      </c>
      <c r="H3686">
        <v>99.04</v>
      </c>
      <c r="I3686">
        <v>40.21</v>
      </c>
      <c r="J3686" t="s">
        <v>90</v>
      </c>
      <c r="K3686" t="s">
        <v>20</v>
      </c>
      <c r="L3686" t="s">
        <v>2095</v>
      </c>
      <c r="M3686">
        <v>9</v>
      </c>
      <c r="N3686" t="s">
        <v>165</v>
      </c>
      <c r="O3686" t="s">
        <v>2107</v>
      </c>
    </row>
    <row r="3687" spans="1:15">
      <c r="A3687" t="s">
        <v>4986</v>
      </c>
      <c r="B3687" t="s">
        <v>2093</v>
      </c>
      <c r="C3687" t="s">
        <v>2086</v>
      </c>
      <c r="D3687" s="1">
        <v>43782</v>
      </c>
      <c r="E3687" s="1">
        <v>45266</v>
      </c>
      <c r="F3687">
        <v>26</v>
      </c>
      <c r="G3687">
        <v>5</v>
      </c>
      <c r="H3687">
        <v>82.4</v>
      </c>
      <c r="I3687">
        <v>69.290000000000006</v>
      </c>
      <c r="J3687" t="s">
        <v>90</v>
      </c>
      <c r="K3687" t="s">
        <v>16</v>
      </c>
      <c r="L3687" t="s">
        <v>2087</v>
      </c>
      <c r="M3687">
        <v>8</v>
      </c>
      <c r="N3687" t="s">
        <v>179</v>
      </c>
      <c r="O3687" t="s">
        <v>2107</v>
      </c>
    </row>
    <row r="3688" spans="1:15">
      <c r="A3688" t="s">
        <v>4987</v>
      </c>
      <c r="B3688" t="s">
        <v>2113</v>
      </c>
      <c r="C3688" t="s">
        <v>2108</v>
      </c>
      <c r="D3688" s="1">
        <v>44611</v>
      </c>
      <c r="E3688" s="1">
        <v>45225</v>
      </c>
      <c r="F3688">
        <v>67</v>
      </c>
      <c r="G3688">
        <v>10</v>
      </c>
      <c r="H3688">
        <v>451.74</v>
      </c>
      <c r="I3688">
        <v>49.52</v>
      </c>
      <c r="J3688" t="s">
        <v>115</v>
      </c>
      <c r="K3688" t="s">
        <v>16</v>
      </c>
      <c r="L3688" t="s">
        <v>2106</v>
      </c>
      <c r="M3688">
        <v>10</v>
      </c>
      <c r="N3688" t="s">
        <v>194</v>
      </c>
      <c r="O3688" t="s">
        <v>2088</v>
      </c>
    </row>
    <row r="3689" spans="1:15">
      <c r="A3689" t="s">
        <v>4988</v>
      </c>
      <c r="B3689" t="s">
        <v>2113</v>
      </c>
      <c r="C3689" t="s">
        <v>2091</v>
      </c>
      <c r="D3689" s="1">
        <v>43754</v>
      </c>
      <c r="E3689" s="1">
        <v>45044</v>
      </c>
      <c r="F3689">
        <v>248</v>
      </c>
      <c r="G3689">
        <v>16</v>
      </c>
      <c r="H3689">
        <v>404.5</v>
      </c>
      <c r="I3689">
        <v>32.65</v>
      </c>
      <c r="J3689" t="s">
        <v>66</v>
      </c>
      <c r="K3689" t="s">
        <v>16</v>
      </c>
      <c r="L3689" t="s">
        <v>2106</v>
      </c>
      <c r="M3689">
        <v>8</v>
      </c>
      <c r="N3689" t="s">
        <v>194</v>
      </c>
      <c r="O3689" t="s">
        <v>2109</v>
      </c>
    </row>
    <row r="3690" spans="1:15">
      <c r="A3690" t="s">
        <v>1903</v>
      </c>
      <c r="B3690" t="s">
        <v>2097</v>
      </c>
      <c r="C3690" t="s">
        <v>2108</v>
      </c>
      <c r="D3690" s="1">
        <v>44807</v>
      </c>
      <c r="E3690" s="1">
        <v>45037</v>
      </c>
      <c r="F3690">
        <v>255</v>
      </c>
      <c r="G3690">
        <v>11</v>
      </c>
      <c r="H3690">
        <v>572.15</v>
      </c>
      <c r="I3690">
        <v>76.25</v>
      </c>
      <c r="J3690" t="s">
        <v>115</v>
      </c>
      <c r="K3690" t="s">
        <v>20</v>
      </c>
      <c r="L3690" t="s">
        <v>2095</v>
      </c>
      <c r="M3690">
        <v>6</v>
      </c>
      <c r="N3690" t="s">
        <v>174</v>
      </c>
      <c r="O3690" t="s">
        <v>2088</v>
      </c>
    </row>
    <row r="3691" spans="1:15">
      <c r="A3691" t="s">
        <v>4989</v>
      </c>
      <c r="B3691" t="s">
        <v>2085</v>
      </c>
      <c r="C3691" t="s">
        <v>2091</v>
      </c>
      <c r="D3691" s="1">
        <v>44465</v>
      </c>
      <c r="E3691" s="1">
        <v>45114</v>
      </c>
      <c r="F3691">
        <v>178</v>
      </c>
      <c r="G3691">
        <v>23</v>
      </c>
      <c r="H3691">
        <v>1506.59</v>
      </c>
      <c r="I3691">
        <v>282.05</v>
      </c>
      <c r="J3691" t="s">
        <v>14</v>
      </c>
      <c r="K3691" t="s">
        <v>20</v>
      </c>
      <c r="L3691" t="s">
        <v>2106</v>
      </c>
      <c r="M3691">
        <v>2</v>
      </c>
      <c r="N3691" t="s">
        <v>232</v>
      </c>
      <c r="O3691" t="s">
        <v>2109</v>
      </c>
    </row>
    <row r="3692" spans="1:15">
      <c r="A3692" t="s">
        <v>1598</v>
      </c>
      <c r="B3692" t="s">
        <v>2085</v>
      </c>
      <c r="C3692" t="s">
        <v>2108</v>
      </c>
      <c r="D3692" s="1">
        <v>45018</v>
      </c>
      <c r="E3692" s="1">
        <v>44956</v>
      </c>
      <c r="F3692">
        <v>336</v>
      </c>
      <c r="G3692">
        <v>20</v>
      </c>
      <c r="H3692">
        <v>2383.0700000000002</v>
      </c>
      <c r="I3692">
        <v>220.29</v>
      </c>
      <c r="J3692" t="s">
        <v>115</v>
      </c>
      <c r="K3692" t="s">
        <v>16</v>
      </c>
      <c r="L3692" t="s">
        <v>2095</v>
      </c>
      <c r="M3692">
        <v>6</v>
      </c>
      <c r="N3692" t="s">
        <v>204</v>
      </c>
      <c r="O3692" t="s">
        <v>2088</v>
      </c>
    </row>
    <row r="3693" spans="1:15">
      <c r="A3693" t="s">
        <v>4990</v>
      </c>
      <c r="B3693" t="s">
        <v>2113</v>
      </c>
      <c r="C3693" t="s">
        <v>2086</v>
      </c>
      <c r="D3693" s="1">
        <v>44686</v>
      </c>
      <c r="E3693" s="1">
        <v>45187</v>
      </c>
      <c r="F3693">
        <v>105</v>
      </c>
      <c r="G3693">
        <v>10</v>
      </c>
      <c r="H3693">
        <v>426.04</v>
      </c>
      <c r="I3693">
        <v>39.36</v>
      </c>
      <c r="J3693" t="s">
        <v>14</v>
      </c>
      <c r="K3693" t="s">
        <v>16</v>
      </c>
      <c r="L3693" t="s">
        <v>2087</v>
      </c>
      <c r="M3693">
        <v>4</v>
      </c>
      <c r="N3693" t="s">
        <v>232</v>
      </c>
      <c r="O3693" t="s">
        <v>2096</v>
      </c>
    </row>
    <row r="3694" spans="1:15">
      <c r="A3694" t="s">
        <v>4991</v>
      </c>
      <c r="B3694" t="s">
        <v>2085</v>
      </c>
      <c r="C3694" t="s">
        <v>2091</v>
      </c>
      <c r="D3694" s="1">
        <v>44435</v>
      </c>
      <c r="E3694" s="1">
        <v>45247</v>
      </c>
      <c r="F3694">
        <v>45</v>
      </c>
      <c r="G3694">
        <v>29</v>
      </c>
      <c r="H3694">
        <v>2895.24</v>
      </c>
      <c r="I3694">
        <v>291.68</v>
      </c>
      <c r="J3694" t="s">
        <v>115</v>
      </c>
      <c r="K3694" t="s">
        <v>16</v>
      </c>
      <c r="L3694" t="s">
        <v>2087</v>
      </c>
      <c r="M3694">
        <v>8</v>
      </c>
      <c r="N3694" t="s">
        <v>194</v>
      </c>
      <c r="O3694" t="s">
        <v>2088</v>
      </c>
    </row>
    <row r="3695" spans="1:15">
      <c r="A3695" t="s">
        <v>4992</v>
      </c>
      <c r="B3695" t="s">
        <v>2093</v>
      </c>
      <c r="C3695" t="s">
        <v>2086</v>
      </c>
      <c r="D3695" s="1">
        <v>45189</v>
      </c>
      <c r="E3695" s="1">
        <v>44949</v>
      </c>
      <c r="F3695">
        <v>343</v>
      </c>
      <c r="G3695">
        <v>4</v>
      </c>
      <c r="H3695">
        <v>75.98</v>
      </c>
      <c r="I3695">
        <v>35.450000000000003</v>
      </c>
      <c r="J3695" t="s">
        <v>41</v>
      </c>
      <c r="K3695" t="s">
        <v>16</v>
      </c>
      <c r="L3695" t="s">
        <v>2095</v>
      </c>
      <c r="M3695">
        <v>8</v>
      </c>
      <c r="N3695" t="s">
        <v>179</v>
      </c>
      <c r="O3695" t="s">
        <v>2088</v>
      </c>
    </row>
    <row r="3696" spans="1:15">
      <c r="A3696" t="s">
        <v>4993</v>
      </c>
      <c r="B3696" t="s">
        <v>2099</v>
      </c>
      <c r="C3696" t="s">
        <v>2091</v>
      </c>
      <c r="D3696" s="1">
        <v>44476</v>
      </c>
      <c r="E3696" s="1">
        <v>45263</v>
      </c>
      <c r="F3696">
        <v>29</v>
      </c>
      <c r="G3696">
        <v>2</v>
      </c>
      <c r="H3696">
        <v>115.55</v>
      </c>
      <c r="I3696">
        <v>87.22</v>
      </c>
      <c r="J3696" t="s">
        <v>14</v>
      </c>
      <c r="K3696" t="s">
        <v>16</v>
      </c>
      <c r="L3696" t="s">
        <v>2106</v>
      </c>
      <c r="M3696">
        <v>10</v>
      </c>
      <c r="N3696" t="s">
        <v>165</v>
      </c>
      <c r="O3696" t="s">
        <v>2096</v>
      </c>
    </row>
    <row r="3697" spans="1:15">
      <c r="A3697" t="s">
        <v>4994</v>
      </c>
      <c r="B3697" t="s">
        <v>2113</v>
      </c>
      <c r="C3697" t="s">
        <v>2091</v>
      </c>
      <c r="D3697" s="1">
        <v>44485</v>
      </c>
      <c r="E3697" s="1">
        <v>45073</v>
      </c>
      <c r="F3697">
        <v>219</v>
      </c>
      <c r="G3697">
        <v>19</v>
      </c>
      <c r="H3697">
        <v>501.08</v>
      </c>
      <c r="I3697">
        <v>34.020000000000003</v>
      </c>
      <c r="J3697" t="s">
        <v>66</v>
      </c>
      <c r="K3697" t="s">
        <v>16</v>
      </c>
      <c r="L3697" t="s">
        <v>2087</v>
      </c>
      <c r="M3697">
        <v>10</v>
      </c>
      <c r="N3697" t="s">
        <v>157</v>
      </c>
      <c r="O3697" t="s">
        <v>2088</v>
      </c>
    </row>
    <row r="3698" spans="1:15">
      <c r="A3698" t="s">
        <v>4995</v>
      </c>
      <c r="B3698" t="s">
        <v>2097</v>
      </c>
      <c r="C3698" t="s">
        <v>2108</v>
      </c>
      <c r="D3698" s="1">
        <v>44894</v>
      </c>
      <c r="E3698" s="1">
        <v>45118</v>
      </c>
      <c r="F3698">
        <v>174</v>
      </c>
      <c r="G3698">
        <v>8</v>
      </c>
      <c r="H3698">
        <v>373.5</v>
      </c>
      <c r="I3698">
        <v>131.93</v>
      </c>
      <c r="J3698" t="s">
        <v>90</v>
      </c>
      <c r="K3698" t="s">
        <v>20</v>
      </c>
      <c r="L3698" t="s">
        <v>2095</v>
      </c>
      <c r="M3698">
        <v>8</v>
      </c>
      <c r="N3698" t="s">
        <v>194</v>
      </c>
      <c r="O3698" t="s">
        <v>2109</v>
      </c>
    </row>
    <row r="3699" spans="1:15">
      <c r="A3699" t="s">
        <v>4996</v>
      </c>
      <c r="B3699" t="s">
        <v>2090</v>
      </c>
      <c r="C3699" t="s">
        <v>2086</v>
      </c>
      <c r="D3699" s="1">
        <v>44888</v>
      </c>
      <c r="E3699" s="1">
        <v>45261</v>
      </c>
      <c r="F3699">
        <v>31</v>
      </c>
      <c r="G3699">
        <v>7</v>
      </c>
      <c r="H3699">
        <v>84.24</v>
      </c>
      <c r="I3699">
        <v>48.32</v>
      </c>
      <c r="J3699" t="s">
        <v>14</v>
      </c>
      <c r="K3699" t="s">
        <v>16</v>
      </c>
      <c r="L3699" t="s">
        <v>2095</v>
      </c>
      <c r="M3699">
        <v>6</v>
      </c>
      <c r="N3699" t="s">
        <v>179</v>
      </c>
      <c r="O3699" t="s">
        <v>2107</v>
      </c>
    </row>
    <row r="3700" spans="1:15">
      <c r="A3700" t="s">
        <v>4997</v>
      </c>
      <c r="B3700" t="s">
        <v>2113</v>
      </c>
      <c r="C3700" t="s">
        <v>2100</v>
      </c>
      <c r="D3700" s="1">
        <v>44865</v>
      </c>
      <c r="E3700" s="1">
        <v>45073</v>
      </c>
      <c r="F3700">
        <v>219</v>
      </c>
      <c r="G3700">
        <v>10</v>
      </c>
      <c r="H3700">
        <v>246.7</v>
      </c>
      <c r="I3700">
        <v>62.28</v>
      </c>
      <c r="J3700" t="s">
        <v>14</v>
      </c>
      <c r="K3700" t="s">
        <v>16</v>
      </c>
      <c r="L3700" t="s">
        <v>2095</v>
      </c>
      <c r="M3700">
        <v>5</v>
      </c>
      <c r="N3700" t="s">
        <v>174</v>
      </c>
      <c r="O3700" t="s">
        <v>2088</v>
      </c>
    </row>
    <row r="3701" spans="1:15">
      <c r="A3701" t="s">
        <v>4998</v>
      </c>
      <c r="B3701" t="s">
        <v>2093</v>
      </c>
      <c r="C3701" t="s">
        <v>2108</v>
      </c>
      <c r="D3701" s="1">
        <v>43750</v>
      </c>
      <c r="E3701" s="1">
        <v>45084</v>
      </c>
      <c r="F3701">
        <v>208</v>
      </c>
      <c r="G3701">
        <v>1</v>
      </c>
      <c r="H3701">
        <v>96.83</v>
      </c>
      <c r="I3701">
        <v>59.05</v>
      </c>
      <c r="J3701" t="s">
        <v>66</v>
      </c>
      <c r="K3701" t="s">
        <v>16</v>
      </c>
      <c r="L3701" t="s">
        <v>2095</v>
      </c>
      <c r="M3701">
        <v>9</v>
      </c>
      <c r="N3701" t="s">
        <v>194</v>
      </c>
      <c r="O3701" t="s">
        <v>2109</v>
      </c>
    </row>
    <row r="3702" spans="1:15">
      <c r="A3702" t="s">
        <v>4999</v>
      </c>
      <c r="B3702" t="s">
        <v>2093</v>
      </c>
      <c r="C3702" t="s">
        <v>2100</v>
      </c>
      <c r="D3702" s="1">
        <v>44556</v>
      </c>
      <c r="E3702" s="1">
        <v>45172</v>
      </c>
      <c r="F3702">
        <v>120</v>
      </c>
      <c r="G3702">
        <v>4</v>
      </c>
      <c r="H3702">
        <v>182.58</v>
      </c>
      <c r="I3702">
        <v>70.260000000000005</v>
      </c>
      <c r="J3702" t="s">
        <v>66</v>
      </c>
      <c r="K3702" t="s">
        <v>16</v>
      </c>
      <c r="L3702" t="s">
        <v>2087</v>
      </c>
      <c r="M3702">
        <v>3</v>
      </c>
      <c r="N3702" t="s">
        <v>174</v>
      </c>
      <c r="O3702" t="s">
        <v>2088</v>
      </c>
    </row>
    <row r="3703" spans="1:15">
      <c r="A3703" t="s">
        <v>1495</v>
      </c>
      <c r="B3703" t="s">
        <v>2097</v>
      </c>
      <c r="C3703" t="s">
        <v>2086</v>
      </c>
      <c r="D3703" s="1">
        <v>44701</v>
      </c>
      <c r="E3703" s="1">
        <v>44942</v>
      </c>
      <c r="F3703">
        <v>350</v>
      </c>
      <c r="G3703">
        <v>8</v>
      </c>
      <c r="H3703">
        <v>435.65</v>
      </c>
      <c r="I3703">
        <v>116.94</v>
      </c>
      <c r="J3703" t="s">
        <v>14</v>
      </c>
      <c r="K3703" t="s">
        <v>20</v>
      </c>
      <c r="L3703" t="s">
        <v>2095</v>
      </c>
      <c r="M3703">
        <v>0</v>
      </c>
      <c r="N3703" t="s">
        <v>165</v>
      </c>
      <c r="O3703" t="s">
        <v>2109</v>
      </c>
    </row>
    <row r="3704" spans="1:15">
      <c r="A3704" t="s">
        <v>465</v>
      </c>
      <c r="B3704" t="s">
        <v>2097</v>
      </c>
      <c r="C3704" t="s">
        <v>2111</v>
      </c>
      <c r="D3704" s="1">
        <v>45043</v>
      </c>
      <c r="E3704" s="1">
        <v>45272</v>
      </c>
      <c r="F3704">
        <v>20</v>
      </c>
      <c r="G3704">
        <v>7</v>
      </c>
      <c r="H3704">
        <v>566.61</v>
      </c>
      <c r="I3704">
        <v>80.739999999999995</v>
      </c>
      <c r="J3704" t="s">
        <v>115</v>
      </c>
      <c r="K3704" t="s">
        <v>16</v>
      </c>
      <c r="L3704" t="s">
        <v>2087</v>
      </c>
      <c r="M3704">
        <v>2</v>
      </c>
      <c r="N3704" t="s">
        <v>174</v>
      </c>
      <c r="O3704" t="s">
        <v>2107</v>
      </c>
    </row>
    <row r="3705" spans="1:15">
      <c r="A3705" t="s">
        <v>5000</v>
      </c>
      <c r="B3705" t="s">
        <v>2097</v>
      </c>
      <c r="C3705" t="s">
        <v>2094</v>
      </c>
      <c r="D3705" s="1">
        <v>44620</v>
      </c>
      <c r="E3705" s="1">
        <v>45171</v>
      </c>
      <c r="F3705">
        <v>121</v>
      </c>
      <c r="G3705">
        <v>6</v>
      </c>
      <c r="H3705">
        <v>160.02000000000001</v>
      </c>
      <c r="I3705">
        <v>128.1</v>
      </c>
      <c r="J3705" t="s">
        <v>90</v>
      </c>
      <c r="K3705" t="s">
        <v>16</v>
      </c>
      <c r="L3705" t="s">
        <v>2095</v>
      </c>
      <c r="M3705">
        <v>6</v>
      </c>
      <c r="N3705" t="s">
        <v>232</v>
      </c>
      <c r="O3705" t="s">
        <v>2107</v>
      </c>
    </row>
    <row r="3706" spans="1:15">
      <c r="A3706" t="s">
        <v>5001</v>
      </c>
      <c r="B3706" t="s">
        <v>2090</v>
      </c>
      <c r="C3706" t="s">
        <v>2108</v>
      </c>
      <c r="D3706" s="1">
        <v>44386</v>
      </c>
      <c r="E3706" s="1">
        <v>45111</v>
      </c>
      <c r="F3706">
        <v>181</v>
      </c>
      <c r="G3706">
        <v>8</v>
      </c>
      <c r="H3706">
        <v>233.66</v>
      </c>
      <c r="I3706">
        <v>67.540000000000006</v>
      </c>
      <c r="J3706" t="s">
        <v>66</v>
      </c>
      <c r="K3706" t="s">
        <v>16</v>
      </c>
      <c r="L3706" t="s">
        <v>2095</v>
      </c>
      <c r="M3706">
        <v>5</v>
      </c>
      <c r="N3706" t="s">
        <v>232</v>
      </c>
      <c r="O3706" t="s">
        <v>2109</v>
      </c>
    </row>
    <row r="3707" spans="1:15">
      <c r="A3707" t="s">
        <v>5002</v>
      </c>
      <c r="B3707" t="s">
        <v>2090</v>
      </c>
      <c r="C3707" t="s">
        <v>2108</v>
      </c>
      <c r="D3707" s="1">
        <v>44203</v>
      </c>
      <c r="E3707" s="1">
        <v>44939</v>
      </c>
      <c r="F3707">
        <v>353</v>
      </c>
      <c r="G3707">
        <v>4</v>
      </c>
      <c r="H3707">
        <v>381.03</v>
      </c>
      <c r="I3707">
        <v>110.14</v>
      </c>
      <c r="J3707" t="s">
        <v>90</v>
      </c>
      <c r="K3707" t="s">
        <v>16</v>
      </c>
      <c r="L3707" t="s">
        <v>2087</v>
      </c>
      <c r="M3707">
        <v>8</v>
      </c>
      <c r="N3707" t="s">
        <v>204</v>
      </c>
      <c r="O3707" t="s">
        <v>2088</v>
      </c>
    </row>
    <row r="3708" spans="1:15">
      <c r="A3708" t="s">
        <v>1554</v>
      </c>
      <c r="B3708" t="s">
        <v>2097</v>
      </c>
      <c r="C3708" t="s">
        <v>2091</v>
      </c>
      <c r="D3708" s="1">
        <v>44434</v>
      </c>
      <c r="E3708" s="1">
        <v>44984</v>
      </c>
      <c r="F3708">
        <v>308</v>
      </c>
      <c r="G3708">
        <v>9</v>
      </c>
      <c r="H3708">
        <v>351.42</v>
      </c>
      <c r="I3708">
        <v>147.32</v>
      </c>
      <c r="J3708" t="s">
        <v>14</v>
      </c>
      <c r="K3708" t="s">
        <v>16</v>
      </c>
      <c r="L3708" t="s">
        <v>2095</v>
      </c>
      <c r="M3708">
        <v>2</v>
      </c>
      <c r="N3708" t="s">
        <v>194</v>
      </c>
      <c r="O3708" t="s">
        <v>2121</v>
      </c>
    </row>
    <row r="3709" spans="1:15">
      <c r="A3709" t="s">
        <v>5003</v>
      </c>
      <c r="B3709" t="s">
        <v>2113</v>
      </c>
      <c r="C3709" t="s">
        <v>2094</v>
      </c>
      <c r="D3709" s="1">
        <v>43976</v>
      </c>
      <c r="E3709" s="1">
        <v>45049</v>
      </c>
      <c r="F3709">
        <v>243</v>
      </c>
      <c r="G3709">
        <v>17</v>
      </c>
      <c r="H3709">
        <v>420.54</v>
      </c>
      <c r="I3709">
        <v>47.03</v>
      </c>
      <c r="J3709" t="s">
        <v>90</v>
      </c>
      <c r="K3709" t="s">
        <v>20</v>
      </c>
      <c r="L3709" t="s">
        <v>2106</v>
      </c>
      <c r="M3709">
        <v>5</v>
      </c>
      <c r="N3709" t="s">
        <v>157</v>
      </c>
      <c r="O3709" t="s">
        <v>2088</v>
      </c>
    </row>
    <row r="3710" spans="1:15">
      <c r="A3710" t="s">
        <v>5004</v>
      </c>
      <c r="B3710" t="s">
        <v>2113</v>
      </c>
      <c r="C3710" t="s">
        <v>2108</v>
      </c>
      <c r="D3710" s="1">
        <v>45141</v>
      </c>
      <c r="E3710" s="1">
        <v>44987</v>
      </c>
      <c r="F3710">
        <v>305</v>
      </c>
      <c r="G3710">
        <v>14</v>
      </c>
      <c r="H3710">
        <v>243.91</v>
      </c>
      <c r="I3710">
        <v>30.3</v>
      </c>
      <c r="J3710" t="s">
        <v>66</v>
      </c>
      <c r="K3710" t="s">
        <v>16</v>
      </c>
      <c r="L3710" t="s">
        <v>2095</v>
      </c>
      <c r="M3710">
        <v>5</v>
      </c>
      <c r="N3710" t="s">
        <v>165</v>
      </c>
      <c r="O3710" t="s">
        <v>2109</v>
      </c>
    </row>
    <row r="3711" spans="1:15">
      <c r="A3711" t="s">
        <v>5005</v>
      </c>
      <c r="B3711" t="s">
        <v>2097</v>
      </c>
      <c r="C3711" t="s">
        <v>2111</v>
      </c>
      <c r="D3711" s="1">
        <v>44151</v>
      </c>
      <c r="E3711" s="1">
        <v>45259</v>
      </c>
      <c r="F3711">
        <v>33</v>
      </c>
      <c r="G3711">
        <v>6</v>
      </c>
      <c r="H3711">
        <v>463.55</v>
      </c>
      <c r="I3711">
        <v>92.74</v>
      </c>
      <c r="J3711" t="s">
        <v>14</v>
      </c>
      <c r="K3711" t="s">
        <v>20</v>
      </c>
      <c r="L3711" t="s">
        <v>2095</v>
      </c>
      <c r="M3711">
        <v>9</v>
      </c>
      <c r="N3711" t="s">
        <v>204</v>
      </c>
      <c r="O3711" t="s">
        <v>2096</v>
      </c>
    </row>
    <row r="3712" spans="1:15">
      <c r="A3712" t="s">
        <v>5006</v>
      </c>
      <c r="B3712" t="s">
        <v>2097</v>
      </c>
      <c r="C3712" t="s">
        <v>2086</v>
      </c>
      <c r="D3712" s="1">
        <v>44211</v>
      </c>
      <c r="E3712" s="1">
        <v>45262</v>
      </c>
      <c r="F3712">
        <v>30</v>
      </c>
      <c r="G3712">
        <v>11</v>
      </c>
      <c r="H3712">
        <v>569.21</v>
      </c>
      <c r="I3712">
        <v>135.55000000000001</v>
      </c>
      <c r="J3712" t="s">
        <v>66</v>
      </c>
      <c r="K3712" t="s">
        <v>16</v>
      </c>
      <c r="L3712" t="s">
        <v>2106</v>
      </c>
      <c r="M3712">
        <v>4</v>
      </c>
      <c r="N3712" t="s">
        <v>157</v>
      </c>
      <c r="O3712" t="s">
        <v>2107</v>
      </c>
    </row>
    <row r="3713" spans="1:15">
      <c r="A3713" t="s">
        <v>5007</v>
      </c>
      <c r="B3713" t="s">
        <v>2090</v>
      </c>
      <c r="C3713" t="s">
        <v>2091</v>
      </c>
      <c r="D3713" s="1">
        <v>43970</v>
      </c>
      <c r="E3713" s="1">
        <v>45258</v>
      </c>
      <c r="F3713">
        <v>34</v>
      </c>
      <c r="G3713">
        <v>6</v>
      </c>
      <c r="H3713">
        <v>380.55</v>
      </c>
      <c r="I3713">
        <v>93.21</v>
      </c>
      <c r="J3713" t="s">
        <v>66</v>
      </c>
      <c r="K3713" t="s">
        <v>16</v>
      </c>
      <c r="L3713" t="s">
        <v>2106</v>
      </c>
      <c r="M3713">
        <v>10</v>
      </c>
      <c r="N3713" t="s">
        <v>232</v>
      </c>
      <c r="O3713" t="s">
        <v>2109</v>
      </c>
    </row>
    <row r="3714" spans="1:15">
      <c r="A3714" t="s">
        <v>5008</v>
      </c>
      <c r="B3714" t="s">
        <v>2099</v>
      </c>
      <c r="C3714" t="s">
        <v>2100</v>
      </c>
      <c r="D3714" s="1">
        <v>43687</v>
      </c>
      <c r="E3714" s="1">
        <v>45282</v>
      </c>
      <c r="F3714">
        <v>10</v>
      </c>
      <c r="G3714">
        <v>1</v>
      </c>
      <c r="H3714">
        <v>30.53</v>
      </c>
      <c r="I3714">
        <v>20.46</v>
      </c>
      <c r="J3714" t="s">
        <v>90</v>
      </c>
      <c r="K3714" t="s">
        <v>20</v>
      </c>
      <c r="L3714" t="s">
        <v>2087</v>
      </c>
      <c r="M3714">
        <v>4</v>
      </c>
      <c r="N3714" t="s">
        <v>179</v>
      </c>
      <c r="O3714" t="s">
        <v>2107</v>
      </c>
    </row>
    <row r="3715" spans="1:15">
      <c r="A3715" t="s">
        <v>5009</v>
      </c>
      <c r="B3715" t="s">
        <v>2099</v>
      </c>
      <c r="C3715" t="s">
        <v>2086</v>
      </c>
      <c r="D3715" s="1">
        <v>43471</v>
      </c>
      <c r="E3715" s="1">
        <v>45230</v>
      </c>
      <c r="F3715">
        <v>62</v>
      </c>
      <c r="G3715">
        <v>1</v>
      </c>
      <c r="H3715">
        <v>127.88</v>
      </c>
      <c r="I3715">
        <v>63.64</v>
      </c>
      <c r="J3715" t="s">
        <v>66</v>
      </c>
      <c r="K3715" t="s">
        <v>20</v>
      </c>
      <c r="L3715" t="s">
        <v>2095</v>
      </c>
      <c r="M3715">
        <v>7</v>
      </c>
      <c r="N3715" t="s">
        <v>174</v>
      </c>
      <c r="O3715" t="s">
        <v>2121</v>
      </c>
    </row>
    <row r="3716" spans="1:15">
      <c r="A3716" t="s">
        <v>1030</v>
      </c>
      <c r="B3716" t="s">
        <v>2097</v>
      </c>
      <c r="C3716" t="s">
        <v>2091</v>
      </c>
      <c r="D3716" s="1">
        <v>43983</v>
      </c>
      <c r="E3716" s="1">
        <v>45236</v>
      </c>
      <c r="F3716">
        <v>56</v>
      </c>
      <c r="G3716">
        <v>9</v>
      </c>
      <c r="H3716">
        <v>522.74</v>
      </c>
      <c r="I3716">
        <v>77.13</v>
      </c>
      <c r="J3716" t="s">
        <v>66</v>
      </c>
      <c r="K3716" t="s">
        <v>16</v>
      </c>
      <c r="L3716" t="s">
        <v>2087</v>
      </c>
      <c r="M3716">
        <v>8</v>
      </c>
      <c r="N3716" t="s">
        <v>232</v>
      </c>
      <c r="O3716" t="s">
        <v>2088</v>
      </c>
    </row>
    <row r="3717" spans="1:15">
      <c r="A3717" t="s">
        <v>5010</v>
      </c>
      <c r="B3717" t="s">
        <v>2097</v>
      </c>
      <c r="C3717" t="s">
        <v>2108</v>
      </c>
      <c r="D3717" s="1">
        <v>44976</v>
      </c>
      <c r="E3717" s="1">
        <v>44973</v>
      </c>
      <c r="F3717">
        <v>319</v>
      </c>
      <c r="G3717">
        <v>11</v>
      </c>
      <c r="H3717">
        <v>421.64</v>
      </c>
      <c r="I3717">
        <v>89.1</v>
      </c>
      <c r="J3717" t="s">
        <v>115</v>
      </c>
      <c r="K3717" t="s">
        <v>20</v>
      </c>
      <c r="L3717" t="s">
        <v>2087</v>
      </c>
      <c r="M3717">
        <v>7</v>
      </c>
      <c r="N3717" t="s">
        <v>204</v>
      </c>
      <c r="O3717" t="s">
        <v>2121</v>
      </c>
    </row>
    <row r="3718" spans="1:15">
      <c r="A3718" t="s">
        <v>5011</v>
      </c>
      <c r="B3718" t="s">
        <v>2093</v>
      </c>
      <c r="C3718" t="s">
        <v>2111</v>
      </c>
      <c r="D3718" s="1">
        <v>44065</v>
      </c>
      <c r="E3718" s="1">
        <v>45023</v>
      </c>
      <c r="F3718">
        <v>269</v>
      </c>
      <c r="G3718">
        <v>3</v>
      </c>
      <c r="H3718">
        <v>119</v>
      </c>
      <c r="I3718">
        <v>23.35</v>
      </c>
      <c r="J3718" t="s">
        <v>115</v>
      </c>
      <c r="K3718" t="s">
        <v>16</v>
      </c>
      <c r="L3718" t="s">
        <v>2106</v>
      </c>
      <c r="M3718">
        <v>5</v>
      </c>
      <c r="N3718" t="s">
        <v>157</v>
      </c>
      <c r="O3718" t="s">
        <v>2096</v>
      </c>
    </row>
    <row r="3719" spans="1:15">
      <c r="A3719" t="s">
        <v>5012</v>
      </c>
      <c r="B3719" t="s">
        <v>2093</v>
      </c>
      <c r="C3719" t="s">
        <v>2094</v>
      </c>
      <c r="D3719" s="1">
        <v>44777</v>
      </c>
      <c r="E3719" s="1">
        <v>44941</v>
      </c>
      <c r="F3719">
        <v>351</v>
      </c>
      <c r="G3719">
        <v>4</v>
      </c>
      <c r="H3719">
        <v>172.33</v>
      </c>
      <c r="I3719">
        <v>64.16</v>
      </c>
      <c r="J3719" t="s">
        <v>41</v>
      </c>
      <c r="K3719" t="s">
        <v>20</v>
      </c>
      <c r="L3719" t="s">
        <v>2095</v>
      </c>
      <c r="M3719">
        <v>2</v>
      </c>
      <c r="N3719" t="s">
        <v>204</v>
      </c>
      <c r="O3719" t="s">
        <v>2096</v>
      </c>
    </row>
    <row r="3720" spans="1:15">
      <c r="A3720" t="s">
        <v>5013</v>
      </c>
      <c r="B3720" t="s">
        <v>2113</v>
      </c>
      <c r="C3720" t="s">
        <v>2108</v>
      </c>
      <c r="D3720" s="1">
        <v>43593</v>
      </c>
      <c r="E3720" s="1">
        <v>44998</v>
      </c>
      <c r="F3720">
        <v>294</v>
      </c>
      <c r="G3720">
        <v>15</v>
      </c>
      <c r="H3720">
        <v>448.46</v>
      </c>
      <c r="I3720">
        <v>54.5</v>
      </c>
      <c r="J3720" t="s">
        <v>115</v>
      </c>
      <c r="K3720" t="s">
        <v>16</v>
      </c>
      <c r="L3720" t="s">
        <v>2087</v>
      </c>
      <c r="M3720">
        <v>9</v>
      </c>
      <c r="N3720" t="s">
        <v>194</v>
      </c>
      <c r="O3720" t="s">
        <v>2088</v>
      </c>
    </row>
    <row r="3721" spans="1:15">
      <c r="A3721" t="s">
        <v>5014</v>
      </c>
      <c r="B3721" t="s">
        <v>2099</v>
      </c>
      <c r="C3721" t="s">
        <v>2108</v>
      </c>
      <c r="D3721" s="1">
        <v>45249</v>
      </c>
      <c r="E3721" s="1">
        <v>44975</v>
      </c>
      <c r="F3721">
        <v>317</v>
      </c>
      <c r="G3721">
        <v>2</v>
      </c>
      <c r="H3721">
        <v>94.52</v>
      </c>
      <c r="I3721">
        <v>49.95</v>
      </c>
      <c r="J3721" t="s">
        <v>41</v>
      </c>
      <c r="K3721" t="s">
        <v>16</v>
      </c>
      <c r="L3721" t="s">
        <v>2106</v>
      </c>
      <c r="M3721">
        <v>1</v>
      </c>
      <c r="N3721" t="s">
        <v>157</v>
      </c>
      <c r="O3721" t="s">
        <v>2096</v>
      </c>
    </row>
    <row r="3722" spans="1:15">
      <c r="A3722" t="s">
        <v>5015</v>
      </c>
      <c r="B3722" t="s">
        <v>2099</v>
      </c>
      <c r="C3722" t="s">
        <v>2108</v>
      </c>
      <c r="D3722" s="1">
        <v>45066</v>
      </c>
      <c r="E3722" s="1">
        <v>45193</v>
      </c>
      <c r="F3722">
        <v>99</v>
      </c>
      <c r="G3722">
        <v>1</v>
      </c>
      <c r="H3722">
        <v>78.63</v>
      </c>
      <c r="I3722">
        <v>36.78</v>
      </c>
      <c r="J3722" t="s">
        <v>41</v>
      </c>
      <c r="K3722" t="s">
        <v>16</v>
      </c>
      <c r="L3722" t="s">
        <v>2106</v>
      </c>
      <c r="M3722">
        <v>4</v>
      </c>
      <c r="N3722" t="s">
        <v>174</v>
      </c>
      <c r="O3722" t="s">
        <v>2107</v>
      </c>
    </row>
    <row r="3723" spans="1:15">
      <c r="A3723" t="s">
        <v>5016</v>
      </c>
      <c r="B3723" t="s">
        <v>2093</v>
      </c>
      <c r="C3723" t="s">
        <v>2108</v>
      </c>
      <c r="D3723" s="1">
        <v>44137</v>
      </c>
      <c r="E3723" s="1">
        <v>45225</v>
      </c>
      <c r="F3723">
        <v>67</v>
      </c>
      <c r="G3723">
        <v>2</v>
      </c>
      <c r="H3723">
        <v>160.04</v>
      </c>
      <c r="I3723">
        <v>79.34</v>
      </c>
      <c r="J3723" t="s">
        <v>41</v>
      </c>
      <c r="K3723" t="s">
        <v>16</v>
      </c>
      <c r="L3723" t="s">
        <v>2095</v>
      </c>
      <c r="M3723">
        <v>5</v>
      </c>
      <c r="N3723" t="s">
        <v>165</v>
      </c>
      <c r="O3723" t="s">
        <v>2088</v>
      </c>
    </row>
    <row r="3724" spans="1:15">
      <c r="A3724" t="s">
        <v>5017</v>
      </c>
      <c r="B3724" t="s">
        <v>2085</v>
      </c>
      <c r="C3724" t="s">
        <v>2111</v>
      </c>
      <c r="D3724" s="1">
        <v>45179</v>
      </c>
      <c r="E3724" s="1">
        <v>45182</v>
      </c>
      <c r="F3724">
        <v>110</v>
      </c>
      <c r="G3724">
        <v>35</v>
      </c>
      <c r="H3724">
        <v>1198.47</v>
      </c>
      <c r="I3724">
        <v>169.51</v>
      </c>
      <c r="J3724" t="s">
        <v>14</v>
      </c>
      <c r="K3724" t="s">
        <v>16</v>
      </c>
      <c r="L3724" t="s">
        <v>2095</v>
      </c>
      <c r="M3724">
        <v>7</v>
      </c>
      <c r="N3724" t="s">
        <v>194</v>
      </c>
      <c r="O3724" t="s">
        <v>2107</v>
      </c>
    </row>
    <row r="3725" spans="1:15">
      <c r="A3725" t="s">
        <v>5018</v>
      </c>
      <c r="B3725" t="s">
        <v>2113</v>
      </c>
      <c r="C3725" t="s">
        <v>2100</v>
      </c>
      <c r="D3725" s="1">
        <v>43723</v>
      </c>
      <c r="E3725" s="1">
        <v>45190</v>
      </c>
      <c r="F3725">
        <v>102</v>
      </c>
      <c r="G3725">
        <v>8</v>
      </c>
      <c r="H3725">
        <v>555.20000000000005</v>
      </c>
      <c r="I3725">
        <v>44.15</v>
      </c>
      <c r="J3725" t="s">
        <v>41</v>
      </c>
      <c r="K3725" t="s">
        <v>16</v>
      </c>
      <c r="L3725" t="s">
        <v>2087</v>
      </c>
      <c r="M3725">
        <v>0</v>
      </c>
      <c r="N3725" t="s">
        <v>157</v>
      </c>
      <c r="O3725" t="s">
        <v>2107</v>
      </c>
    </row>
    <row r="3726" spans="1:15">
      <c r="A3726" t="s">
        <v>5019</v>
      </c>
      <c r="B3726" t="s">
        <v>2085</v>
      </c>
      <c r="C3726" t="s">
        <v>2086</v>
      </c>
      <c r="D3726" s="1">
        <v>43534</v>
      </c>
      <c r="E3726" s="1">
        <v>44993</v>
      </c>
      <c r="F3726">
        <v>299</v>
      </c>
      <c r="G3726">
        <v>26</v>
      </c>
      <c r="H3726">
        <v>1364.16</v>
      </c>
      <c r="I3726">
        <v>280.56</v>
      </c>
      <c r="J3726" t="s">
        <v>14</v>
      </c>
      <c r="K3726" t="s">
        <v>16</v>
      </c>
      <c r="L3726" t="s">
        <v>2087</v>
      </c>
      <c r="M3726">
        <v>0</v>
      </c>
      <c r="N3726" t="s">
        <v>179</v>
      </c>
      <c r="O3726" t="s">
        <v>2109</v>
      </c>
    </row>
    <row r="3727" spans="1:15">
      <c r="A3727" t="s">
        <v>5020</v>
      </c>
      <c r="B3727" t="s">
        <v>2099</v>
      </c>
      <c r="C3727" t="s">
        <v>2108</v>
      </c>
      <c r="D3727" s="1">
        <v>43891</v>
      </c>
      <c r="E3727" s="1">
        <v>45070</v>
      </c>
      <c r="F3727">
        <v>222</v>
      </c>
      <c r="G3727">
        <v>1</v>
      </c>
      <c r="H3727">
        <v>127.95</v>
      </c>
      <c r="I3727">
        <v>41.9</v>
      </c>
      <c r="J3727" t="s">
        <v>90</v>
      </c>
      <c r="K3727" t="s">
        <v>16</v>
      </c>
      <c r="L3727" t="s">
        <v>2095</v>
      </c>
      <c r="M3727">
        <v>10</v>
      </c>
      <c r="N3727" t="s">
        <v>165</v>
      </c>
      <c r="O3727" t="s">
        <v>2109</v>
      </c>
    </row>
    <row r="3728" spans="1:15">
      <c r="A3728" t="s">
        <v>5021</v>
      </c>
      <c r="B3728" t="s">
        <v>2097</v>
      </c>
      <c r="C3728" t="s">
        <v>2100</v>
      </c>
      <c r="D3728" s="1">
        <v>43617</v>
      </c>
      <c r="E3728" s="1">
        <v>45290</v>
      </c>
      <c r="F3728">
        <v>2</v>
      </c>
      <c r="G3728">
        <v>6</v>
      </c>
      <c r="H3728">
        <v>620.96</v>
      </c>
      <c r="I3728">
        <v>89.81</v>
      </c>
      <c r="J3728" t="s">
        <v>41</v>
      </c>
      <c r="K3728" t="s">
        <v>20</v>
      </c>
      <c r="L3728" t="s">
        <v>2106</v>
      </c>
      <c r="M3728">
        <v>10</v>
      </c>
      <c r="N3728" t="s">
        <v>204</v>
      </c>
      <c r="O3728" t="s">
        <v>2096</v>
      </c>
    </row>
    <row r="3729" spans="1:15">
      <c r="A3729" t="s">
        <v>5022</v>
      </c>
      <c r="B3729" t="s">
        <v>2097</v>
      </c>
      <c r="C3729" t="s">
        <v>2094</v>
      </c>
      <c r="D3729" s="1">
        <v>44944</v>
      </c>
      <c r="E3729" s="1">
        <v>44972</v>
      </c>
      <c r="F3729">
        <v>320</v>
      </c>
      <c r="G3729">
        <v>8</v>
      </c>
      <c r="H3729">
        <v>247.99</v>
      </c>
      <c r="I3729">
        <v>86</v>
      </c>
      <c r="J3729" t="s">
        <v>41</v>
      </c>
      <c r="K3729" t="s">
        <v>16</v>
      </c>
      <c r="L3729" t="s">
        <v>2095</v>
      </c>
      <c r="M3729">
        <v>7</v>
      </c>
      <c r="N3729" t="s">
        <v>157</v>
      </c>
      <c r="O3729" t="s">
        <v>2107</v>
      </c>
    </row>
    <row r="3730" spans="1:15">
      <c r="A3730" t="s">
        <v>1074</v>
      </c>
      <c r="B3730" t="s">
        <v>2093</v>
      </c>
      <c r="C3730" t="s">
        <v>2094</v>
      </c>
      <c r="D3730" s="1">
        <v>44005</v>
      </c>
      <c r="E3730" s="1">
        <v>45264</v>
      </c>
      <c r="F3730">
        <v>28</v>
      </c>
      <c r="G3730">
        <v>4</v>
      </c>
      <c r="H3730">
        <v>186.91</v>
      </c>
      <c r="I3730">
        <v>41.95</v>
      </c>
      <c r="J3730" t="s">
        <v>115</v>
      </c>
      <c r="K3730" t="s">
        <v>16</v>
      </c>
      <c r="L3730" t="s">
        <v>2095</v>
      </c>
      <c r="M3730">
        <v>6</v>
      </c>
      <c r="N3730" t="s">
        <v>174</v>
      </c>
      <c r="O3730" t="s">
        <v>2107</v>
      </c>
    </row>
    <row r="3731" spans="1:15">
      <c r="A3731" t="s">
        <v>5023</v>
      </c>
      <c r="B3731" t="s">
        <v>2093</v>
      </c>
      <c r="C3731" t="s">
        <v>2094</v>
      </c>
      <c r="D3731" s="1">
        <v>43780</v>
      </c>
      <c r="E3731" s="1">
        <v>45013</v>
      </c>
      <c r="F3731">
        <v>279</v>
      </c>
      <c r="G3731">
        <v>2</v>
      </c>
      <c r="H3731">
        <v>86.75</v>
      </c>
      <c r="I3731">
        <v>59.31</v>
      </c>
      <c r="J3731" t="s">
        <v>14</v>
      </c>
      <c r="K3731" t="s">
        <v>16</v>
      </c>
      <c r="L3731" t="s">
        <v>2106</v>
      </c>
      <c r="M3731">
        <v>5</v>
      </c>
      <c r="N3731" t="s">
        <v>179</v>
      </c>
      <c r="O3731" t="s">
        <v>2107</v>
      </c>
    </row>
    <row r="3732" spans="1:15">
      <c r="A3732" t="s">
        <v>5024</v>
      </c>
      <c r="B3732" t="s">
        <v>2085</v>
      </c>
      <c r="C3732" t="s">
        <v>2086</v>
      </c>
      <c r="D3732" s="1">
        <v>43703</v>
      </c>
      <c r="E3732" s="1">
        <v>45042</v>
      </c>
      <c r="F3732">
        <v>250</v>
      </c>
      <c r="G3732">
        <v>36</v>
      </c>
      <c r="H3732">
        <v>1692.33</v>
      </c>
      <c r="I3732">
        <v>115.37</v>
      </c>
      <c r="J3732" t="s">
        <v>14</v>
      </c>
      <c r="K3732" t="s">
        <v>16</v>
      </c>
      <c r="L3732" t="s">
        <v>2087</v>
      </c>
      <c r="M3732">
        <v>5</v>
      </c>
      <c r="N3732" t="s">
        <v>165</v>
      </c>
      <c r="O3732" t="s">
        <v>2088</v>
      </c>
    </row>
    <row r="3733" spans="1:15">
      <c r="A3733" t="s">
        <v>5025</v>
      </c>
      <c r="B3733" t="s">
        <v>2090</v>
      </c>
      <c r="C3733" t="s">
        <v>2094</v>
      </c>
      <c r="D3733" s="1">
        <v>43804</v>
      </c>
      <c r="E3733" s="1">
        <v>45027</v>
      </c>
      <c r="F3733">
        <v>265</v>
      </c>
      <c r="G3733">
        <v>3</v>
      </c>
      <c r="H3733">
        <v>231.45</v>
      </c>
      <c r="I3733">
        <v>107.65</v>
      </c>
      <c r="J3733" t="s">
        <v>14</v>
      </c>
      <c r="K3733" t="s">
        <v>20</v>
      </c>
      <c r="L3733" t="s">
        <v>2087</v>
      </c>
      <c r="M3733">
        <v>0</v>
      </c>
      <c r="N3733" t="s">
        <v>179</v>
      </c>
      <c r="O3733" t="s">
        <v>2121</v>
      </c>
    </row>
    <row r="3734" spans="1:15">
      <c r="A3734" t="s">
        <v>5026</v>
      </c>
      <c r="B3734" t="s">
        <v>2099</v>
      </c>
      <c r="C3734" t="s">
        <v>2091</v>
      </c>
      <c r="D3734" s="1">
        <v>44198</v>
      </c>
      <c r="E3734" s="1">
        <v>45132</v>
      </c>
      <c r="F3734">
        <v>160</v>
      </c>
      <c r="G3734">
        <v>1</v>
      </c>
      <c r="H3734">
        <v>48.46</v>
      </c>
      <c r="I3734">
        <v>49.28</v>
      </c>
      <c r="J3734" t="s">
        <v>115</v>
      </c>
      <c r="K3734" t="s">
        <v>16</v>
      </c>
      <c r="L3734" t="s">
        <v>2106</v>
      </c>
      <c r="M3734">
        <v>8</v>
      </c>
      <c r="N3734" t="s">
        <v>174</v>
      </c>
      <c r="O3734" t="s">
        <v>2088</v>
      </c>
    </row>
    <row r="3735" spans="1:15">
      <c r="A3735" t="s">
        <v>5027</v>
      </c>
      <c r="B3735" t="s">
        <v>2097</v>
      </c>
      <c r="C3735" t="s">
        <v>2094</v>
      </c>
      <c r="D3735" s="1">
        <v>44620</v>
      </c>
      <c r="E3735" s="1">
        <v>45151</v>
      </c>
      <c r="F3735">
        <v>141</v>
      </c>
      <c r="G3735">
        <v>11</v>
      </c>
      <c r="H3735">
        <v>319.41000000000003</v>
      </c>
      <c r="I3735">
        <v>70.989999999999995</v>
      </c>
      <c r="J3735" t="s">
        <v>115</v>
      </c>
      <c r="K3735" t="s">
        <v>16</v>
      </c>
      <c r="L3735" t="s">
        <v>2106</v>
      </c>
      <c r="M3735">
        <v>8</v>
      </c>
      <c r="N3735" t="s">
        <v>174</v>
      </c>
      <c r="O3735" t="s">
        <v>2096</v>
      </c>
    </row>
    <row r="3736" spans="1:15">
      <c r="A3736" t="s">
        <v>5028</v>
      </c>
      <c r="B3736" t="s">
        <v>2113</v>
      </c>
      <c r="C3736" t="s">
        <v>2086</v>
      </c>
      <c r="D3736" s="1">
        <v>45156</v>
      </c>
      <c r="E3736" s="1">
        <v>45030</v>
      </c>
      <c r="F3736">
        <v>262</v>
      </c>
      <c r="G3736">
        <v>16</v>
      </c>
      <c r="H3736">
        <v>344.17</v>
      </c>
      <c r="I3736">
        <v>77.95</v>
      </c>
      <c r="J3736" t="s">
        <v>14</v>
      </c>
      <c r="K3736" t="s">
        <v>16</v>
      </c>
      <c r="L3736" t="s">
        <v>2106</v>
      </c>
      <c r="M3736">
        <v>2</v>
      </c>
      <c r="N3736" t="s">
        <v>204</v>
      </c>
      <c r="O3736" t="s">
        <v>2109</v>
      </c>
    </row>
    <row r="3737" spans="1:15">
      <c r="A3737" t="s">
        <v>1801</v>
      </c>
      <c r="B3737" t="s">
        <v>2085</v>
      </c>
      <c r="C3737" t="s">
        <v>2094</v>
      </c>
      <c r="D3737" s="1">
        <v>43981</v>
      </c>
      <c r="E3737" s="1">
        <v>45160</v>
      </c>
      <c r="F3737">
        <v>132</v>
      </c>
      <c r="G3737">
        <v>30</v>
      </c>
      <c r="H3737">
        <v>2282.35</v>
      </c>
      <c r="I3737">
        <v>102.01</v>
      </c>
      <c r="J3737" t="s">
        <v>14</v>
      </c>
      <c r="K3737" t="s">
        <v>16</v>
      </c>
      <c r="L3737" t="s">
        <v>2087</v>
      </c>
      <c r="M3737">
        <v>5</v>
      </c>
      <c r="N3737" t="s">
        <v>174</v>
      </c>
      <c r="O3737" t="s">
        <v>2121</v>
      </c>
    </row>
    <row r="3738" spans="1:15">
      <c r="A3738" t="s">
        <v>5029</v>
      </c>
      <c r="B3738" t="s">
        <v>2099</v>
      </c>
      <c r="C3738" t="s">
        <v>2108</v>
      </c>
      <c r="D3738" s="1">
        <v>44685</v>
      </c>
      <c r="E3738" s="1">
        <v>45240</v>
      </c>
      <c r="F3738">
        <v>52</v>
      </c>
      <c r="G3738">
        <v>2</v>
      </c>
      <c r="H3738">
        <v>65.11</v>
      </c>
      <c r="I3738">
        <v>45.86</v>
      </c>
      <c r="J3738" t="s">
        <v>14</v>
      </c>
      <c r="K3738" t="s">
        <v>20</v>
      </c>
      <c r="L3738" t="s">
        <v>2087</v>
      </c>
      <c r="M3738">
        <v>5</v>
      </c>
      <c r="N3738" t="s">
        <v>232</v>
      </c>
      <c r="O3738" t="s">
        <v>2109</v>
      </c>
    </row>
    <row r="3739" spans="1:15">
      <c r="A3739" t="s">
        <v>5030</v>
      </c>
      <c r="B3739" t="s">
        <v>2090</v>
      </c>
      <c r="C3739" t="s">
        <v>2091</v>
      </c>
      <c r="D3739" s="1">
        <v>44925</v>
      </c>
      <c r="E3739" s="1">
        <v>44995</v>
      </c>
      <c r="F3739">
        <v>297</v>
      </c>
      <c r="G3739">
        <v>5</v>
      </c>
      <c r="H3739">
        <v>356.91</v>
      </c>
      <c r="I3739">
        <v>99.9</v>
      </c>
      <c r="J3739" t="s">
        <v>41</v>
      </c>
      <c r="K3739" t="s">
        <v>16</v>
      </c>
      <c r="L3739" t="s">
        <v>2087</v>
      </c>
      <c r="M3739">
        <v>2</v>
      </c>
      <c r="N3739" t="s">
        <v>174</v>
      </c>
      <c r="O3739" t="s">
        <v>2121</v>
      </c>
    </row>
    <row r="3740" spans="1:15">
      <c r="A3740" t="s">
        <v>5031</v>
      </c>
      <c r="B3740" t="s">
        <v>2097</v>
      </c>
      <c r="C3740" t="s">
        <v>2111</v>
      </c>
      <c r="D3740" s="1">
        <v>43597</v>
      </c>
      <c r="E3740" s="1">
        <v>45220</v>
      </c>
      <c r="F3740">
        <v>72</v>
      </c>
      <c r="G3740">
        <v>3</v>
      </c>
      <c r="H3740">
        <v>189.82</v>
      </c>
      <c r="I3740">
        <v>73.91</v>
      </c>
      <c r="J3740" t="s">
        <v>14</v>
      </c>
      <c r="K3740" t="s">
        <v>16</v>
      </c>
      <c r="L3740" t="s">
        <v>2106</v>
      </c>
      <c r="M3740">
        <v>7</v>
      </c>
      <c r="N3740" t="s">
        <v>179</v>
      </c>
      <c r="O3740" t="s">
        <v>2096</v>
      </c>
    </row>
    <row r="3741" spans="1:15">
      <c r="A3741" t="s">
        <v>5032</v>
      </c>
      <c r="B3741" t="s">
        <v>2093</v>
      </c>
      <c r="C3741" t="s">
        <v>2108</v>
      </c>
      <c r="D3741" s="1">
        <v>44677</v>
      </c>
      <c r="E3741" s="1">
        <v>44967</v>
      </c>
      <c r="F3741">
        <v>325</v>
      </c>
      <c r="G3741">
        <v>2</v>
      </c>
      <c r="H3741">
        <v>94.91</v>
      </c>
      <c r="I3741">
        <v>34.53</v>
      </c>
      <c r="J3741" t="s">
        <v>14</v>
      </c>
      <c r="K3741" t="s">
        <v>16</v>
      </c>
      <c r="L3741" t="s">
        <v>2106</v>
      </c>
      <c r="M3741">
        <v>2</v>
      </c>
      <c r="N3741" t="s">
        <v>179</v>
      </c>
      <c r="O3741" t="s">
        <v>2096</v>
      </c>
    </row>
    <row r="3742" spans="1:15">
      <c r="A3742" t="s">
        <v>5033</v>
      </c>
      <c r="B3742" t="s">
        <v>2097</v>
      </c>
      <c r="C3742" t="s">
        <v>2091</v>
      </c>
      <c r="D3742" s="1">
        <v>43761</v>
      </c>
      <c r="E3742" s="1">
        <v>45037</v>
      </c>
      <c r="F3742">
        <v>255</v>
      </c>
      <c r="G3742">
        <v>11</v>
      </c>
      <c r="H3742">
        <v>408.63</v>
      </c>
      <c r="I3742">
        <v>63.36</v>
      </c>
      <c r="J3742" t="s">
        <v>115</v>
      </c>
      <c r="K3742" t="s">
        <v>16</v>
      </c>
      <c r="L3742" t="s">
        <v>2106</v>
      </c>
      <c r="M3742">
        <v>1</v>
      </c>
      <c r="N3742" t="s">
        <v>194</v>
      </c>
      <c r="O3742" t="s">
        <v>2096</v>
      </c>
    </row>
    <row r="3743" spans="1:15">
      <c r="A3743" t="s">
        <v>5034</v>
      </c>
      <c r="B3743" t="s">
        <v>2093</v>
      </c>
      <c r="C3743" t="s">
        <v>2091</v>
      </c>
      <c r="D3743" s="1">
        <v>44076</v>
      </c>
      <c r="E3743" s="1">
        <v>44996</v>
      </c>
      <c r="F3743">
        <v>296</v>
      </c>
      <c r="G3743">
        <v>2</v>
      </c>
      <c r="H3743">
        <v>138.12</v>
      </c>
      <c r="I3743">
        <v>75.790000000000006</v>
      </c>
      <c r="J3743" t="s">
        <v>66</v>
      </c>
      <c r="K3743" t="s">
        <v>20</v>
      </c>
      <c r="L3743" t="s">
        <v>2106</v>
      </c>
      <c r="M3743">
        <v>2</v>
      </c>
      <c r="N3743" t="s">
        <v>157</v>
      </c>
      <c r="O3743" t="s">
        <v>2121</v>
      </c>
    </row>
    <row r="3744" spans="1:15">
      <c r="A3744" t="s">
        <v>5035</v>
      </c>
      <c r="B3744" t="s">
        <v>2097</v>
      </c>
      <c r="C3744" t="s">
        <v>2111</v>
      </c>
      <c r="D3744" s="1">
        <v>45051</v>
      </c>
      <c r="E3744" s="1">
        <v>45286</v>
      </c>
      <c r="F3744">
        <v>6</v>
      </c>
      <c r="G3744">
        <v>3</v>
      </c>
      <c r="H3744">
        <v>246.63</v>
      </c>
      <c r="I3744">
        <v>119.13</v>
      </c>
      <c r="J3744" t="s">
        <v>14</v>
      </c>
      <c r="K3744" t="s">
        <v>16</v>
      </c>
      <c r="L3744" t="s">
        <v>2095</v>
      </c>
      <c r="M3744">
        <v>3</v>
      </c>
      <c r="N3744" t="s">
        <v>157</v>
      </c>
      <c r="O3744" t="s">
        <v>2109</v>
      </c>
    </row>
    <row r="3745" spans="1:15">
      <c r="A3745" t="s">
        <v>5036</v>
      </c>
      <c r="B3745" t="s">
        <v>2090</v>
      </c>
      <c r="C3745" t="s">
        <v>2108</v>
      </c>
      <c r="D3745" s="1">
        <v>43795</v>
      </c>
      <c r="E3745" s="1">
        <v>45062</v>
      </c>
      <c r="F3745">
        <v>230</v>
      </c>
      <c r="G3745">
        <v>6</v>
      </c>
      <c r="H3745">
        <v>134.82</v>
      </c>
      <c r="I3745">
        <v>92.74</v>
      </c>
      <c r="J3745" t="s">
        <v>41</v>
      </c>
      <c r="K3745" t="s">
        <v>16</v>
      </c>
      <c r="L3745" t="s">
        <v>2095</v>
      </c>
      <c r="M3745">
        <v>10</v>
      </c>
      <c r="N3745" t="s">
        <v>232</v>
      </c>
      <c r="O3745" t="s">
        <v>2109</v>
      </c>
    </row>
    <row r="3746" spans="1:15">
      <c r="A3746" t="s">
        <v>5037</v>
      </c>
      <c r="B3746" t="s">
        <v>2090</v>
      </c>
      <c r="C3746" t="s">
        <v>2086</v>
      </c>
      <c r="D3746" s="1">
        <v>43937</v>
      </c>
      <c r="E3746" s="1">
        <v>45009</v>
      </c>
      <c r="F3746">
        <v>283</v>
      </c>
      <c r="G3746">
        <v>2</v>
      </c>
      <c r="H3746">
        <v>308.52999999999997</v>
      </c>
      <c r="I3746">
        <v>58.67</v>
      </c>
      <c r="J3746" t="s">
        <v>66</v>
      </c>
      <c r="K3746" t="s">
        <v>16</v>
      </c>
      <c r="L3746" t="s">
        <v>2095</v>
      </c>
      <c r="M3746">
        <v>10</v>
      </c>
      <c r="N3746" t="s">
        <v>204</v>
      </c>
      <c r="O3746" t="s">
        <v>2109</v>
      </c>
    </row>
    <row r="3747" spans="1:15">
      <c r="A3747" t="s">
        <v>5038</v>
      </c>
      <c r="B3747" t="s">
        <v>2097</v>
      </c>
      <c r="C3747" t="s">
        <v>2108</v>
      </c>
      <c r="D3747" s="1">
        <v>44028</v>
      </c>
      <c r="E3747" s="1">
        <v>45135</v>
      </c>
      <c r="F3747">
        <v>157</v>
      </c>
      <c r="G3747">
        <v>7</v>
      </c>
      <c r="H3747">
        <v>731.28</v>
      </c>
      <c r="I3747">
        <v>119.63</v>
      </c>
      <c r="J3747" t="s">
        <v>90</v>
      </c>
      <c r="K3747" t="s">
        <v>16</v>
      </c>
      <c r="L3747" t="s">
        <v>2087</v>
      </c>
      <c r="M3747">
        <v>0</v>
      </c>
      <c r="N3747" t="s">
        <v>179</v>
      </c>
      <c r="O3747" t="s">
        <v>2088</v>
      </c>
    </row>
    <row r="3748" spans="1:15">
      <c r="A3748" t="s">
        <v>5039</v>
      </c>
      <c r="B3748" t="s">
        <v>2090</v>
      </c>
      <c r="C3748" t="s">
        <v>2100</v>
      </c>
      <c r="D3748" s="1">
        <v>44209</v>
      </c>
      <c r="E3748" s="1">
        <v>45037</v>
      </c>
      <c r="F3748">
        <v>255</v>
      </c>
      <c r="G3748">
        <v>8</v>
      </c>
      <c r="H3748">
        <v>225.38</v>
      </c>
      <c r="I3748">
        <v>86.4</v>
      </c>
      <c r="J3748" t="s">
        <v>14</v>
      </c>
      <c r="K3748" t="s">
        <v>16</v>
      </c>
      <c r="L3748" t="s">
        <v>2095</v>
      </c>
      <c r="M3748">
        <v>8</v>
      </c>
      <c r="N3748" t="s">
        <v>157</v>
      </c>
      <c r="O3748" t="s">
        <v>2096</v>
      </c>
    </row>
    <row r="3749" spans="1:15">
      <c r="A3749" t="s">
        <v>1277</v>
      </c>
      <c r="B3749" t="s">
        <v>2093</v>
      </c>
      <c r="C3749" t="s">
        <v>2100</v>
      </c>
      <c r="D3749" s="1">
        <v>43969</v>
      </c>
      <c r="E3749" s="1">
        <v>45048</v>
      </c>
      <c r="F3749">
        <v>244</v>
      </c>
      <c r="G3749">
        <v>4</v>
      </c>
      <c r="H3749">
        <v>36.76</v>
      </c>
      <c r="I3749">
        <v>23.23</v>
      </c>
      <c r="J3749" t="s">
        <v>14</v>
      </c>
      <c r="K3749" t="s">
        <v>16</v>
      </c>
      <c r="L3749" t="s">
        <v>2087</v>
      </c>
      <c r="M3749">
        <v>3</v>
      </c>
      <c r="N3749" t="s">
        <v>174</v>
      </c>
      <c r="O3749" t="s">
        <v>2121</v>
      </c>
    </row>
    <row r="3750" spans="1:15">
      <c r="A3750" t="s">
        <v>5040</v>
      </c>
      <c r="B3750" t="s">
        <v>2099</v>
      </c>
      <c r="C3750" t="s">
        <v>2108</v>
      </c>
      <c r="D3750" s="1">
        <v>43607</v>
      </c>
      <c r="E3750" s="1">
        <v>45177</v>
      </c>
      <c r="F3750">
        <v>115</v>
      </c>
      <c r="G3750">
        <v>2</v>
      </c>
      <c r="H3750">
        <v>129.13999999999999</v>
      </c>
      <c r="I3750">
        <v>33.11</v>
      </c>
      <c r="J3750" t="s">
        <v>41</v>
      </c>
      <c r="K3750" t="s">
        <v>16</v>
      </c>
      <c r="L3750" t="s">
        <v>2095</v>
      </c>
      <c r="M3750">
        <v>9</v>
      </c>
      <c r="N3750" t="s">
        <v>157</v>
      </c>
      <c r="O3750" t="s">
        <v>2121</v>
      </c>
    </row>
    <row r="3751" spans="1:15">
      <c r="A3751" t="s">
        <v>5041</v>
      </c>
      <c r="B3751" t="s">
        <v>2113</v>
      </c>
      <c r="C3751" t="s">
        <v>2108</v>
      </c>
      <c r="D3751" s="1">
        <v>43866</v>
      </c>
      <c r="E3751" s="1">
        <v>45205</v>
      </c>
      <c r="F3751">
        <v>87</v>
      </c>
      <c r="G3751">
        <v>20</v>
      </c>
      <c r="H3751">
        <v>453.85</v>
      </c>
      <c r="I3751">
        <v>73.25</v>
      </c>
      <c r="J3751" t="s">
        <v>41</v>
      </c>
      <c r="K3751" t="s">
        <v>20</v>
      </c>
      <c r="L3751" t="s">
        <v>2087</v>
      </c>
      <c r="M3751">
        <v>3</v>
      </c>
      <c r="N3751" t="s">
        <v>232</v>
      </c>
      <c r="O3751" t="s">
        <v>2107</v>
      </c>
    </row>
    <row r="3752" spans="1:15">
      <c r="A3752" t="s">
        <v>5042</v>
      </c>
      <c r="B3752" t="s">
        <v>2085</v>
      </c>
      <c r="C3752" t="s">
        <v>2091</v>
      </c>
      <c r="D3752" s="1">
        <v>43805</v>
      </c>
      <c r="E3752" s="1">
        <v>45022</v>
      </c>
      <c r="F3752">
        <v>270</v>
      </c>
      <c r="G3752">
        <v>20</v>
      </c>
      <c r="H3752">
        <v>1750.79</v>
      </c>
      <c r="I3752">
        <v>218.8</v>
      </c>
      <c r="J3752" t="s">
        <v>115</v>
      </c>
      <c r="K3752" t="s">
        <v>16</v>
      </c>
      <c r="L3752" t="s">
        <v>2095</v>
      </c>
      <c r="M3752">
        <v>8</v>
      </c>
      <c r="N3752" t="s">
        <v>165</v>
      </c>
      <c r="O3752" t="s">
        <v>2096</v>
      </c>
    </row>
    <row r="3753" spans="1:15">
      <c r="A3753" t="s">
        <v>5043</v>
      </c>
      <c r="B3753" t="s">
        <v>2097</v>
      </c>
      <c r="C3753" t="s">
        <v>2091</v>
      </c>
      <c r="D3753" s="1">
        <v>44944</v>
      </c>
      <c r="E3753" s="1">
        <v>45010</v>
      </c>
      <c r="F3753">
        <v>282</v>
      </c>
      <c r="G3753">
        <v>11</v>
      </c>
      <c r="H3753">
        <v>760.23</v>
      </c>
      <c r="I3753">
        <v>82.54</v>
      </c>
      <c r="J3753" t="s">
        <v>66</v>
      </c>
      <c r="K3753" t="s">
        <v>20</v>
      </c>
      <c r="L3753" t="s">
        <v>2095</v>
      </c>
      <c r="M3753">
        <v>6</v>
      </c>
      <c r="N3753" t="s">
        <v>157</v>
      </c>
      <c r="O3753" t="s">
        <v>2109</v>
      </c>
    </row>
    <row r="3754" spans="1:15">
      <c r="A3754" t="s">
        <v>5044</v>
      </c>
      <c r="B3754" t="s">
        <v>2093</v>
      </c>
      <c r="C3754" t="s">
        <v>2108</v>
      </c>
      <c r="D3754" s="1">
        <v>44062</v>
      </c>
      <c r="E3754" s="1">
        <v>44948</v>
      </c>
      <c r="F3754">
        <v>344</v>
      </c>
      <c r="G3754">
        <v>1</v>
      </c>
      <c r="H3754">
        <v>161.13999999999999</v>
      </c>
      <c r="I3754">
        <v>71.709999999999994</v>
      </c>
      <c r="J3754" t="s">
        <v>14</v>
      </c>
      <c r="K3754" t="s">
        <v>16</v>
      </c>
      <c r="L3754" t="s">
        <v>2087</v>
      </c>
      <c r="M3754">
        <v>1</v>
      </c>
      <c r="N3754" t="s">
        <v>157</v>
      </c>
      <c r="O3754" t="s">
        <v>2121</v>
      </c>
    </row>
    <row r="3755" spans="1:15">
      <c r="A3755" t="s">
        <v>5045</v>
      </c>
      <c r="B3755" t="s">
        <v>2113</v>
      </c>
      <c r="C3755" t="s">
        <v>2100</v>
      </c>
      <c r="D3755" s="1">
        <v>43981</v>
      </c>
      <c r="E3755" s="1">
        <v>45116</v>
      </c>
      <c r="F3755">
        <v>176</v>
      </c>
      <c r="G3755">
        <v>10</v>
      </c>
      <c r="H3755">
        <v>192.76</v>
      </c>
      <c r="I3755">
        <v>79.37</v>
      </c>
      <c r="J3755" t="s">
        <v>90</v>
      </c>
      <c r="K3755" t="s">
        <v>20</v>
      </c>
      <c r="L3755" t="s">
        <v>2095</v>
      </c>
      <c r="M3755">
        <v>8</v>
      </c>
      <c r="N3755" t="s">
        <v>165</v>
      </c>
      <c r="O3755" t="s">
        <v>2088</v>
      </c>
    </row>
    <row r="3756" spans="1:15">
      <c r="A3756" t="s">
        <v>5046</v>
      </c>
      <c r="B3756" t="s">
        <v>2097</v>
      </c>
      <c r="C3756" t="s">
        <v>2094</v>
      </c>
      <c r="D3756" s="1">
        <v>44179</v>
      </c>
      <c r="E3756" s="1">
        <v>44944</v>
      </c>
      <c r="F3756">
        <v>348</v>
      </c>
      <c r="G3756">
        <v>6</v>
      </c>
      <c r="H3756">
        <v>738.29</v>
      </c>
      <c r="I3756">
        <v>119.73</v>
      </c>
      <c r="J3756" t="s">
        <v>90</v>
      </c>
      <c r="K3756" t="s">
        <v>16</v>
      </c>
      <c r="L3756" t="s">
        <v>2106</v>
      </c>
      <c r="M3756">
        <v>9</v>
      </c>
      <c r="N3756" t="s">
        <v>165</v>
      </c>
      <c r="O3756" t="s">
        <v>2107</v>
      </c>
    </row>
    <row r="3757" spans="1:15">
      <c r="A3757" t="s">
        <v>5047</v>
      </c>
      <c r="B3757" t="s">
        <v>2097</v>
      </c>
      <c r="C3757" t="s">
        <v>2086</v>
      </c>
      <c r="D3757" s="1">
        <v>43868</v>
      </c>
      <c r="E3757" s="1">
        <v>45102</v>
      </c>
      <c r="F3757">
        <v>190</v>
      </c>
      <c r="G3757">
        <v>10</v>
      </c>
      <c r="H3757">
        <v>330.92</v>
      </c>
      <c r="I3757">
        <v>85.24</v>
      </c>
      <c r="J3757" t="s">
        <v>41</v>
      </c>
      <c r="K3757" t="s">
        <v>16</v>
      </c>
      <c r="L3757" t="s">
        <v>2106</v>
      </c>
      <c r="M3757">
        <v>8</v>
      </c>
      <c r="N3757" t="s">
        <v>204</v>
      </c>
      <c r="O3757" t="s">
        <v>2088</v>
      </c>
    </row>
    <row r="3758" spans="1:15">
      <c r="A3758" t="s">
        <v>938</v>
      </c>
      <c r="B3758" t="s">
        <v>2093</v>
      </c>
      <c r="C3758" t="s">
        <v>2111</v>
      </c>
      <c r="D3758" s="1">
        <v>44963</v>
      </c>
      <c r="E3758" s="1">
        <v>45239</v>
      </c>
      <c r="F3758">
        <v>53</v>
      </c>
      <c r="G3758">
        <v>5</v>
      </c>
      <c r="H3758">
        <v>92.09</v>
      </c>
      <c r="I3758">
        <v>57.45</v>
      </c>
      <c r="J3758" t="s">
        <v>66</v>
      </c>
      <c r="K3758" t="s">
        <v>16</v>
      </c>
      <c r="L3758" t="s">
        <v>2095</v>
      </c>
      <c r="M3758">
        <v>9</v>
      </c>
      <c r="N3758" t="s">
        <v>165</v>
      </c>
      <c r="O3758" t="s">
        <v>2121</v>
      </c>
    </row>
    <row r="3759" spans="1:15">
      <c r="A3759" t="s">
        <v>1578</v>
      </c>
      <c r="B3759" t="s">
        <v>2113</v>
      </c>
      <c r="C3759" t="s">
        <v>2091</v>
      </c>
      <c r="D3759" s="1">
        <v>44507</v>
      </c>
      <c r="E3759" s="1">
        <v>45285</v>
      </c>
      <c r="F3759">
        <v>7</v>
      </c>
      <c r="G3759">
        <v>20</v>
      </c>
      <c r="H3759">
        <v>280.7</v>
      </c>
      <c r="I3759">
        <v>47.28</v>
      </c>
      <c r="J3759" t="s">
        <v>66</v>
      </c>
      <c r="K3759" t="s">
        <v>16</v>
      </c>
      <c r="L3759" t="s">
        <v>2095</v>
      </c>
      <c r="M3759">
        <v>3</v>
      </c>
      <c r="N3759" t="s">
        <v>157</v>
      </c>
      <c r="O3759" t="s">
        <v>2107</v>
      </c>
    </row>
    <row r="3760" spans="1:15">
      <c r="A3760" t="s">
        <v>5048</v>
      </c>
      <c r="B3760" t="s">
        <v>2085</v>
      </c>
      <c r="C3760" t="s">
        <v>2086</v>
      </c>
      <c r="D3760" s="1">
        <v>45255</v>
      </c>
      <c r="E3760" s="1">
        <v>44962</v>
      </c>
      <c r="F3760">
        <v>330</v>
      </c>
      <c r="G3760">
        <v>12</v>
      </c>
      <c r="H3760">
        <v>1860.52</v>
      </c>
      <c r="I3760">
        <v>211.91</v>
      </c>
      <c r="J3760" t="s">
        <v>90</v>
      </c>
      <c r="K3760" t="s">
        <v>20</v>
      </c>
      <c r="L3760" t="s">
        <v>2087</v>
      </c>
      <c r="M3760">
        <v>8</v>
      </c>
      <c r="N3760" t="s">
        <v>179</v>
      </c>
      <c r="O3760" t="s">
        <v>2121</v>
      </c>
    </row>
    <row r="3761" spans="1:15">
      <c r="A3761" t="s">
        <v>446</v>
      </c>
      <c r="B3761" t="s">
        <v>2099</v>
      </c>
      <c r="C3761" t="s">
        <v>2091</v>
      </c>
      <c r="D3761" s="1">
        <v>45008</v>
      </c>
      <c r="E3761" s="1">
        <v>45106</v>
      </c>
      <c r="F3761">
        <v>186</v>
      </c>
      <c r="G3761">
        <v>2</v>
      </c>
      <c r="H3761">
        <v>57.07</v>
      </c>
      <c r="I3761">
        <v>77.53</v>
      </c>
      <c r="J3761" t="s">
        <v>115</v>
      </c>
      <c r="K3761" t="s">
        <v>16</v>
      </c>
      <c r="L3761" t="s">
        <v>2087</v>
      </c>
      <c r="M3761">
        <v>8</v>
      </c>
      <c r="N3761" t="s">
        <v>157</v>
      </c>
      <c r="O3761" t="s">
        <v>2121</v>
      </c>
    </row>
    <row r="3762" spans="1:15">
      <c r="A3762" t="s">
        <v>5049</v>
      </c>
      <c r="B3762" t="s">
        <v>2093</v>
      </c>
      <c r="C3762" t="s">
        <v>2086</v>
      </c>
      <c r="D3762" s="1">
        <v>44772</v>
      </c>
      <c r="E3762" s="1">
        <v>45122</v>
      </c>
      <c r="F3762">
        <v>170</v>
      </c>
      <c r="G3762">
        <v>4</v>
      </c>
      <c r="H3762">
        <v>177.8</v>
      </c>
      <c r="I3762">
        <v>22.48</v>
      </c>
      <c r="J3762" t="s">
        <v>41</v>
      </c>
      <c r="K3762" t="s">
        <v>20</v>
      </c>
      <c r="L3762" t="s">
        <v>2095</v>
      </c>
      <c r="M3762">
        <v>7</v>
      </c>
      <c r="N3762" t="s">
        <v>179</v>
      </c>
      <c r="O3762" t="s">
        <v>2096</v>
      </c>
    </row>
    <row r="3763" spans="1:15">
      <c r="A3763" t="s">
        <v>5050</v>
      </c>
      <c r="B3763" t="s">
        <v>2093</v>
      </c>
      <c r="C3763" t="s">
        <v>2108</v>
      </c>
      <c r="D3763" s="1">
        <v>44865</v>
      </c>
      <c r="E3763" s="1">
        <v>45115</v>
      </c>
      <c r="F3763">
        <v>177</v>
      </c>
      <c r="G3763">
        <v>2</v>
      </c>
      <c r="H3763">
        <v>86.6</v>
      </c>
      <c r="I3763">
        <v>27.81</v>
      </c>
      <c r="J3763" t="s">
        <v>66</v>
      </c>
      <c r="K3763" t="s">
        <v>20</v>
      </c>
      <c r="L3763" t="s">
        <v>2095</v>
      </c>
      <c r="M3763">
        <v>1</v>
      </c>
      <c r="N3763" t="s">
        <v>165</v>
      </c>
      <c r="O3763" t="s">
        <v>2096</v>
      </c>
    </row>
    <row r="3764" spans="1:15">
      <c r="A3764" t="s">
        <v>5051</v>
      </c>
      <c r="B3764" t="s">
        <v>2113</v>
      </c>
      <c r="C3764" t="s">
        <v>2091</v>
      </c>
      <c r="D3764" s="1">
        <v>44087</v>
      </c>
      <c r="E3764" s="1">
        <v>44963</v>
      </c>
      <c r="F3764">
        <v>329</v>
      </c>
      <c r="G3764">
        <v>16</v>
      </c>
      <c r="H3764">
        <v>469.43</v>
      </c>
      <c r="I3764">
        <v>38.9</v>
      </c>
      <c r="J3764" t="s">
        <v>90</v>
      </c>
      <c r="K3764" t="s">
        <v>20</v>
      </c>
      <c r="L3764" t="s">
        <v>2087</v>
      </c>
      <c r="M3764">
        <v>7</v>
      </c>
      <c r="N3764" t="s">
        <v>204</v>
      </c>
      <c r="O3764" t="s">
        <v>2088</v>
      </c>
    </row>
    <row r="3765" spans="1:15">
      <c r="A3765" t="s">
        <v>808</v>
      </c>
      <c r="B3765" t="s">
        <v>2085</v>
      </c>
      <c r="C3765" t="s">
        <v>2108</v>
      </c>
      <c r="D3765" s="1">
        <v>44009</v>
      </c>
      <c r="E3765" s="1">
        <v>44952</v>
      </c>
      <c r="F3765">
        <v>340</v>
      </c>
      <c r="G3765">
        <v>37</v>
      </c>
      <c r="H3765">
        <v>2224.1999999999998</v>
      </c>
      <c r="I3765">
        <v>213.92</v>
      </c>
      <c r="J3765" t="s">
        <v>66</v>
      </c>
      <c r="K3765" t="s">
        <v>20</v>
      </c>
      <c r="L3765" t="s">
        <v>2087</v>
      </c>
      <c r="M3765">
        <v>4</v>
      </c>
      <c r="N3765" t="s">
        <v>204</v>
      </c>
      <c r="O3765" t="s">
        <v>2096</v>
      </c>
    </row>
    <row r="3766" spans="1:15">
      <c r="A3766" t="s">
        <v>5052</v>
      </c>
      <c r="B3766" t="s">
        <v>2097</v>
      </c>
      <c r="C3766" t="s">
        <v>2094</v>
      </c>
      <c r="D3766" s="1">
        <v>45189</v>
      </c>
      <c r="E3766" s="1">
        <v>45074</v>
      </c>
      <c r="F3766">
        <v>218</v>
      </c>
      <c r="G3766">
        <v>6</v>
      </c>
      <c r="H3766">
        <v>425.79</v>
      </c>
      <c r="I3766">
        <v>76.66</v>
      </c>
      <c r="J3766" t="s">
        <v>41</v>
      </c>
      <c r="K3766" t="s">
        <v>20</v>
      </c>
      <c r="L3766" t="s">
        <v>2095</v>
      </c>
      <c r="M3766">
        <v>0</v>
      </c>
      <c r="N3766" t="s">
        <v>204</v>
      </c>
      <c r="O3766" t="s">
        <v>2121</v>
      </c>
    </row>
    <row r="3767" spans="1:15">
      <c r="A3767" t="s">
        <v>5053</v>
      </c>
      <c r="B3767" t="s">
        <v>2113</v>
      </c>
      <c r="C3767" t="s">
        <v>2091</v>
      </c>
      <c r="D3767" s="1">
        <v>43603</v>
      </c>
      <c r="E3767" s="1">
        <v>45078</v>
      </c>
      <c r="F3767">
        <v>214</v>
      </c>
      <c r="G3767">
        <v>12</v>
      </c>
      <c r="H3767">
        <v>170.12</v>
      </c>
      <c r="I3767">
        <v>50.4</v>
      </c>
      <c r="J3767" t="s">
        <v>66</v>
      </c>
      <c r="K3767" t="s">
        <v>16</v>
      </c>
      <c r="L3767" t="s">
        <v>2106</v>
      </c>
      <c r="M3767">
        <v>10</v>
      </c>
      <c r="N3767" t="s">
        <v>179</v>
      </c>
      <c r="O3767" t="s">
        <v>2107</v>
      </c>
    </row>
    <row r="3768" spans="1:15">
      <c r="A3768" t="s">
        <v>5054</v>
      </c>
      <c r="B3768" t="s">
        <v>2099</v>
      </c>
      <c r="C3768" t="s">
        <v>2091</v>
      </c>
      <c r="D3768" s="1">
        <v>44922</v>
      </c>
      <c r="E3768" s="1">
        <v>45063</v>
      </c>
      <c r="F3768">
        <v>229</v>
      </c>
      <c r="G3768">
        <v>1</v>
      </c>
      <c r="H3768">
        <v>64.88</v>
      </c>
      <c r="I3768">
        <v>91.17</v>
      </c>
      <c r="J3768" t="s">
        <v>14</v>
      </c>
      <c r="K3768" t="s">
        <v>16</v>
      </c>
      <c r="L3768" t="s">
        <v>2106</v>
      </c>
      <c r="M3768">
        <v>1</v>
      </c>
      <c r="N3768" t="s">
        <v>194</v>
      </c>
      <c r="O3768" t="s">
        <v>2109</v>
      </c>
    </row>
    <row r="3769" spans="1:15">
      <c r="A3769" t="s">
        <v>837</v>
      </c>
      <c r="B3769" t="s">
        <v>2090</v>
      </c>
      <c r="C3769" t="s">
        <v>2091</v>
      </c>
      <c r="D3769" s="1">
        <v>44975</v>
      </c>
      <c r="E3769" s="1">
        <v>45113</v>
      </c>
      <c r="F3769">
        <v>179</v>
      </c>
      <c r="G3769">
        <v>3</v>
      </c>
      <c r="H3769">
        <v>288.17</v>
      </c>
      <c r="I3769">
        <v>42.41</v>
      </c>
      <c r="J3769" t="s">
        <v>14</v>
      </c>
      <c r="K3769" t="s">
        <v>20</v>
      </c>
      <c r="L3769" t="s">
        <v>2095</v>
      </c>
      <c r="M3769">
        <v>2</v>
      </c>
      <c r="N3769" t="s">
        <v>194</v>
      </c>
      <c r="O3769" t="s">
        <v>2107</v>
      </c>
    </row>
    <row r="3770" spans="1:15">
      <c r="A3770" t="s">
        <v>5055</v>
      </c>
      <c r="B3770" t="s">
        <v>2093</v>
      </c>
      <c r="C3770" t="s">
        <v>2100</v>
      </c>
      <c r="D3770" s="1">
        <v>44363</v>
      </c>
      <c r="E3770" s="1">
        <v>45208</v>
      </c>
      <c r="F3770">
        <v>84</v>
      </c>
      <c r="G3770">
        <v>4</v>
      </c>
      <c r="H3770">
        <v>76.86</v>
      </c>
      <c r="I3770">
        <v>46.65</v>
      </c>
      <c r="J3770" t="s">
        <v>14</v>
      </c>
      <c r="K3770" t="s">
        <v>16</v>
      </c>
      <c r="L3770" t="s">
        <v>2087</v>
      </c>
      <c r="M3770">
        <v>10</v>
      </c>
      <c r="N3770" t="s">
        <v>165</v>
      </c>
      <c r="O3770" t="s">
        <v>2109</v>
      </c>
    </row>
    <row r="3771" spans="1:15">
      <c r="A3771" t="s">
        <v>872</v>
      </c>
      <c r="B3771" t="s">
        <v>2113</v>
      </c>
      <c r="C3771" t="s">
        <v>2111</v>
      </c>
      <c r="D3771" s="1">
        <v>45245</v>
      </c>
      <c r="E3771" s="1">
        <v>45046</v>
      </c>
      <c r="F3771">
        <v>246</v>
      </c>
      <c r="G3771">
        <v>14</v>
      </c>
      <c r="H3771">
        <v>181.66</v>
      </c>
      <c r="I3771">
        <v>50.68</v>
      </c>
      <c r="J3771" t="s">
        <v>90</v>
      </c>
      <c r="K3771" t="s">
        <v>20</v>
      </c>
      <c r="L3771" t="s">
        <v>2106</v>
      </c>
      <c r="M3771">
        <v>0</v>
      </c>
      <c r="N3771" t="s">
        <v>204</v>
      </c>
      <c r="O3771" t="s">
        <v>2088</v>
      </c>
    </row>
    <row r="3772" spans="1:15">
      <c r="A3772" t="s">
        <v>2060</v>
      </c>
      <c r="B3772" t="s">
        <v>2085</v>
      </c>
      <c r="C3772" t="s">
        <v>2091</v>
      </c>
      <c r="D3772" s="1">
        <v>43541</v>
      </c>
      <c r="E3772" s="1">
        <v>44982</v>
      </c>
      <c r="F3772">
        <v>310</v>
      </c>
      <c r="G3772">
        <v>35</v>
      </c>
      <c r="H3772">
        <v>887.54</v>
      </c>
      <c r="I3772">
        <v>113.84</v>
      </c>
      <c r="J3772" t="s">
        <v>66</v>
      </c>
      <c r="K3772" t="s">
        <v>16</v>
      </c>
      <c r="L3772" t="s">
        <v>2106</v>
      </c>
      <c r="M3772">
        <v>0</v>
      </c>
      <c r="N3772" t="s">
        <v>194</v>
      </c>
      <c r="O3772" t="s">
        <v>2109</v>
      </c>
    </row>
    <row r="3773" spans="1:15">
      <c r="A3773" t="s">
        <v>997</v>
      </c>
      <c r="B3773" t="s">
        <v>2090</v>
      </c>
      <c r="C3773" t="s">
        <v>2100</v>
      </c>
      <c r="D3773" s="1">
        <v>43696</v>
      </c>
      <c r="E3773" s="1">
        <v>45187</v>
      </c>
      <c r="F3773">
        <v>105</v>
      </c>
      <c r="G3773">
        <v>7</v>
      </c>
      <c r="H3773">
        <v>175.14</v>
      </c>
      <c r="I3773">
        <v>50.31</v>
      </c>
      <c r="J3773" t="s">
        <v>66</v>
      </c>
      <c r="K3773" t="s">
        <v>20</v>
      </c>
      <c r="L3773" t="s">
        <v>2106</v>
      </c>
      <c r="M3773">
        <v>10</v>
      </c>
      <c r="N3773" t="s">
        <v>174</v>
      </c>
      <c r="O3773" t="s">
        <v>2096</v>
      </c>
    </row>
    <row r="3774" spans="1:15">
      <c r="A3774" t="s">
        <v>5056</v>
      </c>
      <c r="B3774" t="s">
        <v>2113</v>
      </c>
      <c r="C3774" t="s">
        <v>2100</v>
      </c>
      <c r="D3774" s="1">
        <v>44813</v>
      </c>
      <c r="E3774" s="1">
        <v>44958</v>
      </c>
      <c r="F3774">
        <v>334</v>
      </c>
      <c r="G3774">
        <v>13</v>
      </c>
      <c r="H3774">
        <v>392.09</v>
      </c>
      <c r="I3774">
        <v>71.33</v>
      </c>
      <c r="J3774" t="s">
        <v>41</v>
      </c>
      <c r="K3774" t="s">
        <v>20</v>
      </c>
      <c r="L3774" t="s">
        <v>2095</v>
      </c>
      <c r="M3774">
        <v>1</v>
      </c>
      <c r="N3774" t="s">
        <v>165</v>
      </c>
      <c r="O3774" t="s">
        <v>2121</v>
      </c>
    </row>
    <row r="3775" spans="1:15">
      <c r="A3775" t="s">
        <v>1130</v>
      </c>
      <c r="B3775" t="s">
        <v>2090</v>
      </c>
      <c r="C3775" t="s">
        <v>2111</v>
      </c>
      <c r="D3775" s="1">
        <v>44696</v>
      </c>
      <c r="E3775" s="1">
        <v>45033</v>
      </c>
      <c r="F3775">
        <v>259</v>
      </c>
      <c r="G3775">
        <v>3</v>
      </c>
      <c r="H3775">
        <v>399.74</v>
      </c>
      <c r="I3775">
        <v>62.66</v>
      </c>
      <c r="J3775" t="s">
        <v>90</v>
      </c>
      <c r="K3775" t="s">
        <v>16</v>
      </c>
      <c r="L3775" t="s">
        <v>2095</v>
      </c>
      <c r="M3775">
        <v>4</v>
      </c>
      <c r="N3775" t="s">
        <v>174</v>
      </c>
      <c r="O3775" t="s">
        <v>2107</v>
      </c>
    </row>
    <row r="3776" spans="1:15">
      <c r="A3776" t="s">
        <v>403</v>
      </c>
      <c r="B3776" t="s">
        <v>2085</v>
      </c>
      <c r="C3776" t="s">
        <v>2091</v>
      </c>
      <c r="D3776" s="1">
        <v>44028</v>
      </c>
      <c r="E3776" s="1">
        <v>45277</v>
      </c>
      <c r="F3776">
        <v>15</v>
      </c>
      <c r="G3776">
        <v>13</v>
      </c>
      <c r="H3776">
        <v>1808.52</v>
      </c>
      <c r="I3776">
        <v>234.25</v>
      </c>
      <c r="J3776" t="s">
        <v>14</v>
      </c>
      <c r="K3776" t="s">
        <v>16</v>
      </c>
      <c r="L3776" t="s">
        <v>2087</v>
      </c>
      <c r="M3776">
        <v>5</v>
      </c>
      <c r="N3776" t="s">
        <v>179</v>
      </c>
      <c r="O3776" t="s">
        <v>2096</v>
      </c>
    </row>
    <row r="3777" spans="1:15">
      <c r="A3777" t="s">
        <v>5057</v>
      </c>
      <c r="B3777" t="s">
        <v>2097</v>
      </c>
      <c r="C3777" t="s">
        <v>2094</v>
      </c>
      <c r="D3777" s="1">
        <v>44399</v>
      </c>
      <c r="E3777" s="1">
        <v>45208</v>
      </c>
      <c r="F3777">
        <v>84</v>
      </c>
      <c r="G3777">
        <v>4</v>
      </c>
      <c r="H3777">
        <v>386.88</v>
      </c>
      <c r="I3777">
        <v>102.22</v>
      </c>
      <c r="J3777" t="s">
        <v>14</v>
      </c>
      <c r="K3777" t="s">
        <v>16</v>
      </c>
      <c r="L3777" t="s">
        <v>2087</v>
      </c>
      <c r="M3777">
        <v>0</v>
      </c>
      <c r="N3777" t="s">
        <v>179</v>
      </c>
      <c r="O3777" t="s">
        <v>2109</v>
      </c>
    </row>
    <row r="3778" spans="1:15">
      <c r="A3778" t="s">
        <v>5058</v>
      </c>
      <c r="B3778" t="s">
        <v>2099</v>
      </c>
      <c r="C3778" t="s">
        <v>2091</v>
      </c>
      <c r="D3778" s="1">
        <v>44008</v>
      </c>
      <c r="E3778" s="1">
        <v>45194</v>
      </c>
      <c r="F3778">
        <v>98</v>
      </c>
      <c r="G3778">
        <v>2</v>
      </c>
      <c r="H3778">
        <v>104.17</v>
      </c>
      <c r="I3778">
        <v>41.38</v>
      </c>
      <c r="J3778" t="s">
        <v>66</v>
      </c>
      <c r="K3778" t="s">
        <v>16</v>
      </c>
      <c r="L3778" t="s">
        <v>2087</v>
      </c>
      <c r="M3778">
        <v>6</v>
      </c>
      <c r="N3778" t="s">
        <v>174</v>
      </c>
      <c r="O3778" t="s">
        <v>2088</v>
      </c>
    </row>
    <row r="3779" spans="1:15">
      <c r="A3779" t="s">
        <v>1461</v>
      </c>
      <c r="B3779" t="s">
        <v>2113</v>
      </c>
      <c r="C3779" t="s">
        <v>2111</v>
      </c>
      <c r="D3779" s="1">
        <v>44403</v>
      </c>
      <c r="E3779" s="1">
        <v>45169</v>
      </c>
      <c r="F3779">
        <v>123</v>
      </c>
      <c r="G3779">
        <v>8</v>
      </c>
      <c r="H3779">
        <v>232.92</v>
      </c>
      <c r="I3779">
        <v>36.58</v>
      </c>
      <c r="J3779" t="s">
        <v>41</v>
      </c>
      <c r="K3779" t="s">
        <v>16</v>
      </c>
      <c r="L3779" t="s">
        <v>2087</v>
      </c>
      <c r="M3779">
        <v>3</v>
      </c>
      <c r="N3779" t="s">
        <v>232</v>
      </c>
      <c r="O3779" t="s">
        <v>2109</v>
      </c>
    </row>
    <row r="3780" spans="1:15">
      <c r="A3780" t="s">
        <v>5059</v>
      </c>
      <c r="B3780" t="s">
        <v>2085</v>
      </c>
      <c r="C3780" t="s">
        <v>2100</v>
      </c>
      <c r="D3780" s="1">
        <v>43628</v>
      </c>
      <c r="E3780" s="1">
        <v>45290</v>
      </c>
      <c r="F3780">
        <v>2</v>
      </c>
      <c r="G3780">
        <v>15</v>
      </c>
      <c r="H3780">
        <v>2922.15</v>
      </c>
      <c r="I3780">
        <v>124.43</v>
      </c>
      <c r="J3780" t="s">
        <v>41</v>
      </c>
      <c r="K3780" t="s">
        <v>20</v>
      </c>
      <c r="L3780" t="s">
        <v>2087</v>
      </c>
      <c r="M3780">
        <v>1</v>
      </c>
      <c r="N3780" t="s">
        <v>194</v>
      </c>
      <c r="O3780" t="s">
        <v>2107</v>
      </c>
    </row>
    <row r="3781" spans="1:15">
      <c r="A3781" t="s">
        <v>5060</v>
      </c>
      <c r="B3781" t="s">
        <v>2113</v>
      </c>
      <c r="C3781" t="s">
        <v>2100</v>
      </c>
      <c r="D3781" s="1">
        <v>43681</v>
      </c>
      <c r="E3781" s="1">
        <v>45258</v>
      </c>
      <c r="F3781">
        <v>34</v>
      </c>
      <c r="G3781">
        <v>11</v>
      </c>
      <c r="H3781">
        <v>231.62</v>
      </c>
      <c r="I3781">
        <v>31.79</v>
      </c>
      <c r="J3781" t="s">
        <v>66</v>
      </c>
      <c r="K3781" t="s">
        <v>16</v>
      </c>
      <c r="L3781" t="s">
        <v>2106</v>
      </c>
      <c r="M3781">
        <v>4</v>
      </c>
      <c r="N3781" t="s">
        <v>165</v>
      </c>
      <c r="O3781" t="s">
        <v>2109</v>
      </c>
    </row>
    <row r="3782" spans="1:15">
      <c r="A3782" t="s">
        <v>5061</v>
      </c>
      <c r="B3782" t="s">
        <v>2097</v>
      </c>
      <c r="C3782" t="s">
        <v>2100</v>
      </c>
      <c r="D3782" s="1">
        <v>44897</v>
      </c>
      <c r="E3782" s="1">
        <v>44945</v>
      </c>
      <c r="F3782">
        <v>347</v>
      </c>
      <c r="G3782">
        <v>8</v>
      </c>
      <c r="H3782">
        <v>376.05</v>
      </c>
      <c r="I3782">
        <v>62.15</v>
      </c>
      <c r="J3782" t="s">
        <v>41</v>
      </c>
      <c r="K3782" t="s">
        <v>16</v>
      </c>
      <c r="L3782" t="s">
        <v>2095</v>
      </c>
      <c r="M3782">
        <v>2</v>
      </c>
      <c r="N3782" t="s">
        <v>157</v>
      </c>
      <c r="O3782" t="s">
        <v>2096</v>
      </c>
    </row>
    <row r="3783" spans="1:15">
      <c r="A3783" t="s">
        <v>5062</v>
      </c>
      <c r="B3783" t="s">
        <v>2099</v>
      </c>
      <c r="C3783" t="s">
        <v>2094</v>
      </c>
      <c r="D3783" s="1">
        <v>44793</v>
      </c>
      <c r="E3783" s="1">
        <v>45083</v>
      </c>
      <c r="F3783">
        <v>209</v>
      </c>
      <c r="G3783">
        <v>1</v>
      </c>
      <c r="H3783">
        <v>61.85</v>
      </c>
      <c r="I3783">
        <v>22.55</v>
      </c>
      <c r="J3783" t="s">
        <v>41</v>
      </c>
      <c r="K3783" t="s">
        <v>16</v>
      </c>
      <c r="L3783" t="s">
        <v>2095</v>
      </c>
      <c r="M3783">
        <v>8</v>
      </c>
      <c r="N3783" t="s">
        <v>232</v>
      </c>
      <c r="O3783" t="s">
        <v>2109</v>
      </c>
    </row>
    <row r="3784" spans="1:15">
      <c r="A3784" t="s">
        <v>754</v>
      </c>
      <c r="B3784" t="s">
        <v>2093</v>
      </c>
      <c r="C3784" t="s">
        <v>2094</v>
      </c>
      <c r="D3784" s="1">
        <v>44680</v>
      </c>
      <c r="E3784" s="1">
        <v>44992</v>
      </c>
      <c r="F3784">
        <v>300</v>
      </c>
      <c r="G3784">
        <v>1</v>
      </c>
      <c r="H3784">
        <v>155.75</v>
      </c>
      <c r="I3784">
        <v>45.71</v>
      </c>
      <c r="J3784" t="s">
        <v>41</v>
      </c>
      <c r="K3784" t="s">
        <v>16</v>
      </c>
      <c r="L3784" t="s">
        <v>2087</v>
      </c>
      <c r="M3784">
        <v>0</v>
      </c>
      <c r="N3784" t="s">
        <v>174</v>
      </c>
      <c r="O3784" t="s">
        <v>2096</v>
      </c>
    </row>
    <row r="3785" spans="1:15">
      <c r="A3785" t="s">
        <v>5063</v>
      </c>
      <c r="B3785" t="s">
        <v>2090</v>
      </c>
      <c r="C3785" t="s">
        <v>2086</v>
      </c>
      <c r="D3785" s="1">
        <v>45067</v>
      </c>
      <c r="E3785" s="1">
        <v>44965</v>
      </c>
      <c r="F3785">
        <v>327</v>
      </c>
      <c r="G3785">
        <v>7</v>
      </c>
      <c r="H3785">
        <v>289.56</v>
      </c>
      <c r="I3785">
        <v>86.01</v>
      </c>
      <c r="J3785" t="s">
        <v>14</v>
      </c>
      <c r="K3785" t="s">
        <v>20</v>
      </c>
      <c r="L3785" t="s">
        <v>2087</v>
      </c>
      <c r="M3785">
        <v>0</v>
      </c>
      <c r="N3785" t="s">
        <v>174</v>
      </c>
      <c r="O3785" t="s">
        <v>2088</v>
      </c>
    </row>
    <row r="3786" spans="1:15">
      <c r="A3786" t="s">
        <v>5064</v>
      </c>
      <c r="B3786" t="s">
        <v>2090</v>
      </c>
      <c r="C3786" t="s">
        <v>2100</v>
      </c>
      <c r="D3786" s="1">
        <v>44938</v>
      </c>
      <c r="E3786" s="1">
        <v>45246</v>
      </c>
      <c r="F3786">
        <v>46</v>
      </c>
      <c r="G3786">
        <v>7</v>
      </c>
      <c r="H3786">
        <v>241.62</v>
      </c>
      <c r="I3786">
        <v>53.18</v>
      </c>
      <c r="J3786" t="s">
        <v>14</v>
      </c>
      <c r="K3786" t="s">
        <v>20</v>
      </c>
      <c r="L3786" t="s">
        <v>2095</v>
      </c>
      <c r="M3786">
        <v>10</v>
      </c>
      <c r="N3786" t="s">
        <v>165</v>
      </c>
      <c r="O3786" t="s">
        <v>2107</v>
      </c>
    </row>
    <row r="3787" spans="1:15">
      <c r="A3787" t="s">
        <v>1440</v>
      </c>
      <c r="B3787" t="s">
        <v>2090</v>
      </c>
      <c r="C3787" t="s">
        <v>2094</v>
      </c>
      <c r="D3787" s="1">
        <v>44967</v>
      </c>
      <c r="E3787" s="1">
        <v>44966</v>
      </c>
      <c r="F3787">
        <v>326</v>
      </c>
      <c r="G3787">
        <v>6</v>
      </c>
      <c r="H3787">
        <v>223.19</v>
      </c>
      <c r="I3787">
        <v>111.89</v>
      </c>
      <c r="J3787" t="s">
        <v>115</v>
      </c>
      <c r="K3787" t="s">
        <v>16</v>
      </c>
      <c r="L3787" t="s">
        <v>2106</v>
      </c>
      <c r="M3787">
        <v>2</v>
      </c>
      <c r="N3787" t="s">
        <v>179</v>
      </c>
      <c r="O3787" t="s">
        <v>2121</v>
      </c>
    </row>
    <row r="3788" spans="1:15">
      <c r="A3788" t="s">
        <v>5065</v>
      </c>
      <c r="B3788" t="s">
        <v>2113</v>
      </c>
      <c r="C3788" t="s">
        <v>2100</v>
      </c>
      <c r="D3788" s="1">
        <v>43556</v>
      </c>
      <c r="E3788" s="1">
        <v>45003</v>
      </c>
      <c r="F3788">
        <v>289</v>
      </c>
      <c r="G3788">
        <v>11</v>
      </c>
      <c r="H3788">
        <v>248.93</v>
      </c>
      <c r="I3788">
        <v>46.54</v>
      </c>
      <c r="J3788" t="s">
        <v>90</v>
      </c>
      <c r="K3788" t="s">
        <v>16</v>
      </c>
      <c r="L3788" t="s">
        <v>2106</v>
      </c>
      <c r="M3788">
        <v>2</v>
      </c>
      <c r="N3788" t="s">
        <v>204</v>
      </c>
      <c r="O3788" t="s">
        <v>2107</v>
      </c>
    </row>
    <row r="3789" spans="1:15">
      <c r="A3789" t="s">
        <v>5066</v>
      </c>
      <c r="B3789" t="s">
        <v>2090</v>
      </c>
      <c r="C3789" t="s">
        <v>2094</v>
      </c>
      <c r="D3789" s="1">
        <v>44272</v>
      </c>
      <c r="E3789" s="1">
        <v>45150</v>
      </c>
      <c r="F3789">
        <v>142</v>
      </c>
      <c r="G3789">
        <v>7</v>
      </c>
      <c r="H3789">
        <v>218.72</v>
      </c>
      <c r="I3789">
        <v>87.62</v>
      </c>
      <c r="J3789" t="s">
        <v>115</v>
      </c>
      <c r="K3789" t="s">
        <v>16</v>
      </c>
      <c r="L3789" t="s">
        <v>2095</v>
      </c>
      <c r="M3789">
        <v>0</v>
      </c>
      <c r="N3789" t="s">
        <v>194</v>
      </c>
      <c r="O3789" t="s">
        <v>2096</v>
      </c>
    </row>
    <row r="3790" spans="1:15">
      <c r="A3790" t="s">
        <v>5067</v>
      </c>
      <c r="B3790" t="s">
        <v>2097</v>
      </c>
      <c r="C3790" t="s">
        <v>2091</v>
      </c>
      <c r="D3790" s="1">
        <v>45143</v>
      </c>
      <c r="E3790" s="1">
        <v>45065</v>
      </c>
      <c r="F3790">
        <v>227</v>
      </c>
      <c r="G3790">
        <v>5</v>
      </c>
      <c r="H3790">
        <v>604.25</v>
      </c>
      <c r="I3790">
        <v>96.83</v>
      </c>
      <c r="J3790" t="s">
        <v>14</v>
      </c>
      <c r="K3790" t="s">
        <v>20</v>
      </c>
      <c r="L3790" t="s">
        <v>2087</v>
      </c>
      <c r="M3790">
        <v>7</v>
      </c>
      <c r="N3790" t="s">
        <v>204</v>
      </c>
      <c r="O3790" t="s">
        <v>2109</v>
      </c>
    </row>
    <row r="3791" spans="1:15">
      <c r="A3791" t="s">
        <v>5068</v>
      </c>
      <c r="B3791" t="s">
        <v>2090</v>
      </c>
      <c r="C3791" t="s">
        <v>2111</v>
      </c>
      <c r="D3791" s="1">
        <v>44405</v>
      </c>
      <c r="E3791" s="1">
        <v>45186</v>
      </c>
      <c r="F3791">
        <v>106</v>
      </c>
      <c r="G3791">
        <v>6</v>
      </c>
      <c r="H3791">
        <v>154.75</v>
      </c>
      <c r="I3791">
        <v>70.83</v>
      </c>
      <c r="J3791" t="s">
        <v>14</v>
      </c>
      <c r="K3791" t="s">
        <v>16</v>
      </c>
      <c r="L3791" t="s">
        <v>2095</v>
      </c>
      <c r="M3791">
        <v>8</v>
      </c>
      <c r="N3791" t="s">
        <v>165</v>
      </c>
      <c r="O3791" t="s">
        <v>2107</v>
      </c>
    </row>
    <row r="3792" spans="1:15">
      <c r="A3792" t="s">
        <v>5069</v>
      </c>
      <c r="B3792" t="s">
        <v>2113</v>
      </c>
      <c r="C3792" t="s">
        <v>2111</v>
      </c>
      <c r="D3792" s="1">
        <v>44762</v>
      </c>
      <c r="E3792" s="1">
        <v>45110</v>
      </c>
      <c r="F3792">
        <v>182</v>
      </c>
      <c r="G3792">
        <v>6</v>
      </c>
      <c r="H3792">
        <v>351.66</v>
      </c>
      <c r="I3792">
        <v>69.62</v>
      </c>
      <c r="J3792" t="s">
        <v>41</v>
      </c>
      <c r="K3792" t="s">
        <v>16</v>
      </c>
      <c r="L3792" t="s">
        <v>2106</v>
      </c>
      <c r="M3792">
        <v>1</v>
      </c>
      <c r="N3792" t="s">
        <v>194</v>
      </c>
      <c r="O3792" t="s">
        <v>2109</v>
      </c>
    </row>
    <row r="3793" spans="1:15">
      <c r="A3793" t="s">
        <v>5070</v>
      </c>
      <c r="B3793" t="s">
        <v>2090</v>
      </c>
      <c r="C3793" t="s">
        <v>2100</v>
      </c>
      <c r="D3793" s="1">
        <v>43975</v>
      </c>
      <c r="E3793" s="1">
        <v>45148</v>
      </c>
      <c r="F3793">
        <v>144</v>
      </c>
      <c r="G3793">
        <v>3</v>
      </c>
      <c r="H3793">
        <v>97.52</v>
      </c>
      <c r="I3793">
        <v>54.42</v>
      </c>
      <c r="J3793" t="s">
        <v>14</v>
      </c>
      <c r="K3793" t="s">
        <v>20</v>
      </c>
      <c r="L3793" t="s">
        <v>2087</v>
      </c>
      <c r="M3793">
        <v>10</v>
      </c>
      <c r="N3793" t="s">
        <v>157</v>
      </c>
      <c r="O3793" t="s">
        <v>2096</v>
      </c>
    </row>
    <row r="3794" spans="1:15">
      <c r="A3794" t="s">
        <v>5071</v>
      </c>
      <c r="B3794" t="s">
        <v>2085</v>
      </c>
      <c r="C3794" t="s">
        <v>2108</v>
      </c>
      <c r="D3794" s="1">
        <v>44673</v>
      </c>
      <c r="E3794" s="1">
        <v>45093</v>
      </c>
      <c r="F3794">
        <v>199</v>
      </c>
      <c r="G3794">
        <v>26</v>
      </c>
      <c r="H3794">
        <v>2617.7800000000002</v>
      </c>
      <c r="I3794">
        <v>283.41000000000003</v>
      </c>
      <c r="J3794" t="s">
        <v>14</v>
      </c>
      <c r="K3794" t="s">
        <v>20</v>
      </c>
      <c r="L3794" t="s">
        <v>2095</v>
      </c>
      <c r="M3794">
        <v>6</v>
      </c>
      <c r="N3794" t="s">
        <v>165</v>
      </c>
      <c r="O3794" t="s">
        <v>2109</v>
      </c>
    </row>
    <row r="3795" spans="1:15">
      <c r="A3795" t="s">
        <v>894</v>
      </c>
      <c r="B3795" t="s">
        <v>2085</v>
      </c>
      <c r="C3795" t="s">
        <v>2100</v>
      </c>
      <c r="D3795" s="1">
        <v>44323</v>
      </c>
      <c r="E3795" s="1">
        <v>45227</v>
      </c>
      <c r="F3795">
        <v>65</v>
      </c>
      <c r="G3795">
        <v>40</v>
      </c>
      <c r="H3795">
        <v>2300.35</v>
      </c>
      <c r="I3795">
        <v>283.25</v>
      </c>
      <c r="J3795" t="s">
        <v>14</v>
      </c>
      <c r="K3795" t="s">
        <v>16</v>
      </c>
      <c r="L3795" t="s">
        <v>2095</v>
      </c>
      <c r="M3795">
        <v>8</v>
      </c>
      <c r="N3795" t="s">
        <v>194</v>
      </c>
      <c r="O3795" t="s">
        <v>2096</v>
      </c>
    </row>
    <row r="3796" spans="1:15">
      <c r="A3796" t="s">
        <v>5072</v>
      </c>
      <c r="B3796" t="s">
        <v>2093</v>
      </c>
      <c r="C3796" t="s">
        <v>2108</v>
      </c>
      <c r="D3796" s="1">
        <v>43835</v>
      </c>
      <c r="E3796" s="1">
        <v>45264</v>
      </c>
      <c r="F3796">
        <v>28</v>
      </c>
      <c r="G3796">
        <v>2</v>
      </c>
      <c r="H3796">
        <v>136.21</v>
      </c>
      <c r="I3796">
        <v>64.540000000000006</v>
      </c>
      <c r="J3796" t="s">
        <v>90</v>
      </c>
      <c r="K3796" t="s">
        <v>16</v>
      </c>
      <c r="L3796" t="s">
        <v>2087</v>
      </c>
      <c r="M3796">
        <v>3</v>
      </c>
      <c r="N3796" t="s">
        <v>179</v>
      </c>
      <c r="O3796" t="s">
        <v>2109</v>
      </c>
    </row>
    <row r="3797" spans="1:15">
      <c r="A3797" t="s">
        <v>2039</v>
      </c>
      <c r="B3797" t="s">
        <v>2085</v>
      </c>
      <c r="C3797" t="s">
        <v>2091</v>
      </c>
      <c r="D3797" s="1">
        <v>45113</v>
      </c>
      <c r="E3797" s="1">
        <v>45032</v>
      </c>
      <c r="F3797">
        <v>260</v>
      </c>
      <c r="G3797">
        <v>36</v>
      </c>
      <c r="H3797">
        <v>1962.99</v>
      </c>
      <c r="I3797">
        <v>145.71</v>
      </c>
      <c r="J3797" t="s">
        <v>115</v>
      </c>
      <c r="K3797" t="s">
        <v>20</v>
      </c>
      <c r="L3797" t="s">
        <v>2106</v>
      </c>
      <c r="M3797">
        <v>5</v>
      </c>
      <c r="N3797" t="s">
        <v>174</v>
      </c>
      <c r="O3797" t="s">
        <v>2109</v>
      </c>
    </row>
    <row r="3798" spans="1:15">
      <c r="A3798" t="s">
        <v>5073</v>
      </c>
      <c r="B3798" t="s">
        <v>2099</v>
      </c>
      <c r="C3798" t="s">
        <v>2094</v>
      </c>
      <c r="D3798" s="1">
        <v>43483</v>
      </c>
      <c r="E3798" s="1">
        <v>45101</v>
      </c>
      <c r="F3798">
        <v>191</v>
      </c>
      <c r="G3798">
        <v>2</v>
      </c>
      <c r="H3798">
        <v>103.56</v>
      </c>
      <c r="I3798">
        <v>59.46</v>
      </c>
      <c r="J3798" t="s">
        <v>14</v>
      </c>
      <c r="K3798" t="s">
        <v>20</v>
      </c>
      <c r="L3798" t="s">
        <v>2106</v>
      </c>
      <c r="M3798">
        <v>0</v>
      </c>
      <c r="N3798" t="s">
        <v>165</v>
      </c>
      <c r="O3798" t="s">
        <v>2096</v>
      </c>
    </row>
    <row r="3799" spans="1:15">
      <c r="A3799" t="s">
        <v>5074</v>
      </c>
      <c r="B3799" t="s">
        <v>2113</v>
      </c>
      <c r="C3799" t="s">
        <v>2100</v>
      </c>
      <c r="D3799" s="1">
        <v>43912</v>
      </c>
      <c r="E3799" s="1">
        <v>44949</v>
      </c>
      <c r="F3799">
        <v>343</v>
      </c>
      <c r="G3799">
        <v>6</v>
      </c>
      <c r="H3799">
        <v>439.39</v>
      </c>
      <c r="I3799">
        <v>32.67</v>
      </c>
      <c r="J3799" t="s">
        <v>115</v>
      </c>
      <c r="K3799" t="s">
        <v>16</v>
      </c>
      <c r="L3799" t="s">
        <v>2087</v>
      </c>
      <c r="M3799">
        <v>0</v>
      </c>
      <c r="N3799" t="s">
        <v>165</v>
      </c>
      <c r="O3799" t="s">
        <v>2088</v>
      </c>
    </row>
    <row r="3800" spans="1:15">
      <c r="A3800" t="s">
        <v>526</v>
      </c>
      <c r="B3800" t="s">
        <v>2090</v>
      </c>
      <c r="C3800" t="s">
        <v>2094</v>
      </c>
      <c r="D3800" s="1">
        <v>44225</v>
      </c>
      <c r="E3800" s="1">
        <v>45147</v>
      </c>
      <c r="F3800">
        <v>145</v>
      </c>
      <c r="G3800">
        <v>8</v>
      </c>
      <c r="H3800">
        <v>91.41</v>
      </c>
      <c r="I3800">
        <v>118.68</v>
      </c>
      <c r="J3800" t="s">
        <v>66</v>
      </c>
      <c r="K3800" t="s">
        <v>16</v>
      </c>
      <c r="L3800" t="s">
        <v>2106</v>
      </c>
      <c r="M3800">
        <v>9</v>
      </c>
      <c r="N3800" t="s">
        <v>165</v>
      </c>
      <c r="O3800" t="s">
        <v>2121</v>
      </c>
    </row>
    <row r="3801" spans="1:15">
      <c r="A3801" t="s">
        <v>5075</v>
      </c>
      <c r="B3801" t="s">
        <v>2085</v>
      </c>
      <c r="C3801" t="s">
        <v>2111</v>
      </c>
      <c r="D3801" s="1">
        <v>43600</v>
      </c>
      <c r="E3801" s="1">
        <v>45127</v>
      </c>
      <c r="F3801">
        <v>165</v>
      </c>
      <c r="G3801">
        <v>39</v>
      </c>
      <c r="H3801">
        <v>1078.97</v>
      </c>
      <c r="I3801">
        <v>142.24</v>
      </c>
      <c r="J3801" t="s">
        <v>66</v>
      </c>
      <c r="K3801" t="s">
        <v>16</v>
      </c>
      <c r="L3801" t="s">
        <v>2106</v>
      </c>
      <c r="M3801">
        <v>2</v>
      </c>
      <c r="N3801" t="s">
        <v>232</v>
      </c>
      <c r="O3801" t="s">
        <v>2088</v>
      </c>
    </row>
    <row r="3802" spans="1:15">
      <c r="A3802" t="s">
        <v>1542</v>
      </c>
      <c r="B3802" t="s">
        <v>2090</v>
      </c>
      <c r="C3802" t="s">
        <v>2086</v>
      </c>
      <c r="D3802" s="1">
        <v>43706</v>
      </c>
      <c r="E3802" s="1">
        <v>45249</v>
      </c>
      <c r="F3802">
        <v>43</v>
      </c>
      <c r="G3802">
        <v>2</v>
      </c>
      <c r="H3802">
        <v>220.87</v>
      </c>
      <c r="I3802">
        <v>47.38</v>
      </c>
      <c r="J3802" t="s">
        <v>14</v>
      </c>
      <c r="K3802" t="s">
        <v>20</v>
      </c>
      <c r="L3802" t="s">
        <v>2087</v>
      </c>
      <c r="M3802">
        <v>9</v>
      </c>
      <c r="N3802" t="s">
        <v>232</v>
      </c>
      <c r="O3802" t="s">
        <v>2107</v>
      </c>
    </row>
    <row r="3803" spans="1:15">
      <c r="A3803" t="s">
        <v>5076</v>
      </c>
      <c r="B3803" t="s">
        <v>2099</v>
      </c>
      <c r="C3803" t="s">
        <v>2111</v>
      </c>
      <c r="D3803" s="1">
        <v>43951</v>
      </c>
      <c r="E3803" s="1">
        <v>44995</v>
      </c>
      <c r="F3803">
        <v>297</v>
      </c>
      <c r="G3803">
        <v>2</v>
      </c>
      <c r="H3803">
        <v>87.84</v>
      </c>
      <c r="I3803">
        <v>68.790000000000006</v>
      </c>
      <c r="J3803" t="s">
        <v>90</v>
      </c>
      <c r="K3803" t="s">
        <v>16</v>
      </c>
      <c r="L3803" t="s">
        <v>2087</v>
      </c>
      <c r="M3803">
        <v>9</v>
      </c>
      <c r="N3803" t="s">
        <v>179</v>
      </c>
      <c r="O3803" t="s">
        <v>2096</v>
      </c>
    </row>
    <row r="3804" spans="1:15">
      <c r="A3804" t="s">
        <v>5077</v>
      </c>
      <c r="B3804" t="s">
        <v>2085</v>
      </c>
      <c r="C3804" t="s">
        <v>2108</v>
      </c>
      <c r="D3804" s="1">
        <v>44226</v>
      </c>
      <c r="E3804" s="1">
        <v>44938</v>
      </c>
      <c r="F3804">
        <v>354</v>
      </c>
      <c r="G3804">
        <v>36</v>
      </c>
      <c r="H3804">
        <v>1852.12</v>
      </c>
      <c r="I3804">
        <v>187.78</v>
      </c>
      <c r="J3804" t="s">
        <v>14</v>
      </c>
      <c r="K3804" t="s">
        <v>16</v>
      </c>
      <c r="L3804" t="s">
        <v>2095</v>
      </c>
      <c r="M3804">
        <v>7</v>
      </c>
      <c r="N3804" t="s">
        <v>194</v>
      </c>
      <c r="O3804" t="s">
        <v>2107</v>
      </c>
    </row>
    <row r="3805" spans="1:15">
      <c r="A3805" t="s">
        <v>5078</v>
      </c>
      <c r="B3805" t="s">
        <v>2093</v>
      </c>
      <c r="C3805" t="s">
        <v>2091</v>
      </c>
      <c r="D3805" s="1">
        <v>44786</v>
      </c>
      <c r="E3805" s="1">
        <v>45267</v>
      </c>
      <c r="F3805">
        <v>25</v>
      </c>
      <c r="G3805">
        <v>1</v>
      </c>
      <c r="H3805">
        <v>86.51</v>
      </c>
      <c r="I3805">
        <v>46.75</v>
      </c>
      <c r="J3805" t="s">
        <v>41</v>
      </c>
      <c r="K3805" t="s">
        <v>20</v>
      </c>
      <c r="L3805" t="s">
        <v>2087</v>
      </c>
      <c r="M3805">
        <v>0</v>
      </c>
      <c r="N3805" t="s">
        <v>165</v>
      </c>
      <c r="O3805" t="s">
        <v>2088</v>
      </c>
    </row>
    <row r="3806" spans="1:15">
      <c r="A3806" t="s">
        <v>5079</v>
      </c>
      <c r="B3806" t="s">
        <v>2097</v>
      </c>
      <c r="C3806" t="s">
        <v>2091</v>
      </c>
      <c r="D3806" s="1">
        <v>44660</v>
      </c>
      <c r="E3806" s="1">
        <v>44957</v>
      </c>
      <c r="F3806">
        <v>335</v>
      </c>
      <c r="G3806">
        <v>11</v>
      </c>
      <c r="H3806">
        <v>405.88</v>
      </c>
      <c r="I3806">
        <v>140.72</v>
      </c>
      <c r="J3806" t="s">
        <v>90</v>
      </c>
      <c r="K3806" t="s">
        <v>16</v>
      </c>
      <c r="L3806" t="s">
        <v>2087</v>
      </c>
      <c r="M3806">
        <v>8</v>
      </c>
      <c r="N3806" t="s">
        <v>204</v>
      </c>
      <c r="O3806" t="s">
        <v>2109</v>
      </c>
    </row>
    <row r="3807" spans="1:15">
      <c r="A3807" t="s">
        <v>5080</v>
      </c>
      <c r="B3807" t="s">
        <v>2113</v>
      </c>
      <c r="C3807" t="s">
        <v>2111</v>
      </c>
      <c r="D3807" s="1">
        <v>43882</v>
      </c>
      <c r="E3807" s="1">
        <v>45093</v>
      </c>
      <c r="F3807">
        <v>199</v>
      </c>
      <c r="G3807">
        <v>17</v>
      </c>
      <c r="H3807">
        <v>335.99</v>
      </c>
      <c r="I3807">
        <v>48.36</v>
      </c>
      <c r="J3807" t="s">
        <v>66</v>
      </c>
      <c r="K3807" t="s">
        <v>16</v>
      </c>
      <c r="L3807" t="s">
        <v>2087</v>
      </c>
      <c r="M3807">
        <v>10</v>
      </c>
      <c r="N3807" t="s">
        <v>165</v>
      </c>
      <c r="O3807" t="s">
        <v>2109</v>
      </c>
    </row>
    <row r="3808" spans="1:15">
      <c r="A3808" t="s">
        <v>822</v>
      </c>
      <c r="B3808" t="s">
        <v>2113</v>
      </c>
      <c r="C3808" t="s">
        <v>2111</v>
      </c>
      <c r="D3808" s="1">
        <v>43468</v>
      </c>
      <c r="E3808" s="1">
        <v>45192</v>
      </c>
      <c r="F3808">
        <v>100</v>
      </c>
      <c r="G3808">
        <v>11</v>
      </c>
      <c r="H3808">
        <v>399.23</v>
      </c>
      <c r="I3808">
        <v>36.83</v>
      </c>
      <c r="J3808" t="s">
        <v>41</v>
      </c>
      <c r="K3808" t="s">
        <v>16</v>
      </c>
      <c r="L3808" t="s">
        <v>2087</v>
      </c>
      <c r="M3808">
        <v>8</v>
      </c>
      <c r="N3808" t="s">
        <v>174</v>
      </c>
      <c r="O3808" t="s">
        <v>2096</v>
      </c>
    </row>
    <row r="3809" spans="1:15">
      <c r="A3809" t="s">
        <v>5081</v>
      </c>
      <c r="B3809" t="s">
        <v>2097</v>
      </c>
      <c r="C3809" t="s">
        <v>2091</v>
      </c>
      <c r="D3809" s="1">
        <v>43702</v>
      </c>
      <c r="E3809" s="1">
        <v>44928</v>
      </c>
      <c r="F3809">
        <v>364</v>
      </c>
      <c r="G3809">
        <v>10</v>
      </c>
      <c r="H3809">
        <v>500.85</v>
      </c>
      <c r="I3809">
        <v>135.62</v>
      </c>
      <c r="J3809" t="s">
        <v>41</v>
      </c>
      <c r="K3809" t="s">
        <v>16</v>
      </c>
      <c r="L3809" t="s">
        <v>2106</v>
      </c>
      <c r="M3809">
        <v>2</v>
      </c>
      <c r="N3809" t="s">
        <v>179</v>
      </c>
      <c r="O3809" t="s">
        <v>2107</v>
      </c>
    </row>
    <row r="3810" spans="1:15">
      <c r="A3810" t="s">
        <v>5082</v>
      </c>
      <c r="B3810" t="s">
        <v>2113</v>
      </c>
      <c r="C3810" t="s">
        <v>2086</v>
      </c>
      <c r="D3810" s="1">
        <v>44689</v>
      </c>
      <c r="E3810" s="1">
        <v>45277</v>
      </c>
      <c r="F3810">
        <v>15</v>
      </c>
      <c r="G3810">
        <v>8</v>
      </c>
      <c r="H3810">
        <v>506.37</v>
      </c>
      <c r="I3810">
        <v>50.25</v>
      </c>
      <c r="J3810" t="s">
        <v>14</v>
      </c>
      <c r="K3810" t="s">
        <v>20</v>
      </c>
      <c r="L3810" t="s">
        <v>2087</v>
      </c>
      <c r="M3810">
        <v>5</v>
      </c>
      <c r="N3810" t="s">
        <v>204</v>
      </c>
      <c r="O3810" t="s">
        <v>2088</v>
      </c>
    </row>
    <row r="3811" spans="1:15">
      <c r="A3811" t="s">
        <v>5083</v>
      </c>
      <c r="B3811" t="s">
        <v>2090</v>
      </c>
      <c r="C3811" t="s">
        <v>2111</v>
      </c>
      <c r="D3811" s="1">
        <v>44286</v>
      </c>
      <c r="E3811" s="1">
        <v>45131</v>
      </c>
      <c r="F3811">
        <v>161</v>
      </c>
      <c r="G3811">
        <v>8</v>
      </c>
      <c r="H3811">
        <v>334.98</v>
      </c>
      <c r="I3811">
        <v>49.1</v>
      </c>
      <c r="J3811" t="s">
        <v>115</v>
      </c>
      <c r="K3811" t="s">
        <v>16</v>
      </c>
      <c r="L3811" t="s">
        <v>2087</v>
      </c>
      <c r="M3811">
        <v>6</v>
      </c>
      <c r="N3811" t="s">
        <v>194</v>
      </c>
      <c r="O3811" t="s">
        <v>2121</v>
      </c>
    </row>
    <row r="3812" spans="1:15">
      <c r="A3812" t="s">
        <v>1116</v>
      </c>
      <c r="B3812" t="s">
        <v>2113</v>
      </c>
      <c r="C3812" t="s">
        <v>2108</v>
      </c>
      <c r="D3812" s="1">
        <v>44057</v>
      </c>
      <c r="E3812" s="1">
        <v>45270</v>
      </c>
      <c r="F3812">
        <v>22</v>
      </c>
      <c r="G3812">
        <v>6</v>
      </c>
      <c r="H3812">
        <v>240.35</v>
      </c>
      <c r="I3812">
        <v>69.2</v>
      </c>
      <c r="J3812" t="s">
        <v>90</v>
      </c>
      <c r="K3812" t="s">
        <v>20</v>
      </c>
      <c r="L3812" t="s">
        <v>2095</v>
      </c>
      <c r="M3812">
        <v>6</v>
      </c>
      <c r="N3812" t="s">
        <v>165</v>
      </c>
      <c r="O3812" t="s">
        <v>2107</v>
      </c>
    </row>
    <row r="3813" spans="1:15">
      <c r="A3813" t="s">
        <v>5084</v>
      </c>
      <c r="B3813" t="s">
        <v>2097</v>
      </c>
      <c r="C3813" t="s">
        <v>2100</v>
      </c>
      <c r="D3813" s="1">
        <v>44375</v>
      </c>
      <c r="E3813" s="1">
        <v>44994</v>
      </c>
      <c r="F3813">
        <v>298</v>
      </c>
      <c r="G3813">
        <v>5</v>
      </c>
      <c r="H3813">
        <v>790.37</v>
      </c>
      <c r="I3813">
        <v>118.98</v>
      </c>
      <c r="J3813" t="s">
        <v>14</v>
      </c>
      <c r="K3813" t="s">
        <v>16</v>
      </c>
      <c r="L3813" t="s">
        <v>2087</v>
      </c>
      <c r="M3813">
        <v>4</v>
      </c>
      <c r="N3813" t="s">
        <v>179</v>
      </c>
      <c r="O3813" t="s">
        <v>2096</v>
      </c>
    </row>
    <row r="3814" spans="1:15">
      <c r="A3814" t="s">
        <v>5085</v>
      </c>
      <c r="B3814" t="s">
        <v>2097</v>
      </c>
      <c r="C3814" t="s">
        <v>2094</v>
      </c>
      <c r="D3814" s="1">
        <v>44537</v>
      </c>
      <c r="E3814" s="1">
        <v>45259</v>
      </c>
      <c r="F3814">
        <v>33</v>
      </c>
      <c r="G3814">
        <v>9</v>
      </c>
      <c r="H3814">
        <v>162.56</v>
      </c>
      <c r="I3814">
        <v>134.93</v>
      </c>
      <c r="J3814" t="s">
        <v>90</v>
      </c>
      <c r="K3814" t="s">
        <v>16</v>
      </c>
      <c r="L3814" t="s">
        <v>2106</v>
      </c>
      <c r="M3814">
        <v>5</v>
      </c>
      <c r="N3814" t="s">
        <v>232</v>
      </c>
      <c r="O3814" t="s">
        <v>2107</v>
      </c>
    </row>
    <row r="3815" spans="1:15">
      <c r="A3815" t="s">
        <v>5086</v>
      </c>
      <c r="B3815" t="s">
        <v>2085</v>
      </c>
      <c r="C3815" t="s">
        <v>2100</v>
      </c>
      <c r="D3815" s="1">
        <v>44573</v>
      </c>
      <c r="E3815" s="1">
        <v>45186</v>
      </c>
      <c r="F3815">
        <v>106</v>
      </c>
      <c r="G3815">
        <v>34</v>
      </c>
      <c r="H3815">
        <v>1966.88</v>
      </c>
      <c r="I3815">
        <v>163.41</v>
      </c>
      <c r="J3815" t="s">
        <v>66</v>
      </c>
      <c r="K3815" t="s">
        <v>20</v>
      </c>
      <c r="L3815" t="s">
        <v>2106</v>
      </c>
      <c r="M3815">
        <v>3</v>
      </c>
      <c r="N3815" t="s">
        <v>179</v>
      </c>
      <c r="O3815" t="s">
        <v>2107</v>
      </c>
    </row>
    <row r="3816" spans="1:15">
      <c r="A3816" t="s">
        <v>1290</v>
      </c>
      <c r="B3816" t="s">
        <v>2093</v>
      </c>
      <c r="C3816" t="s">
        <v>2111</v>
      </c>
      <c r="D3816" s="1">
        <v>43855</v>
      </c>
      <c r="E3816" s="1">
        <v>45237</v>
      </c>
      <c r="F3816">
        <v>55</v>
      </c>
      <c r="G3816">
        <v>5</v>
      </c>
      <c r="H3816">
        <v>106.46</v>
      </c>
      <c r="I3816">
        <v>36.47</v>
      </c>
      <c r="J3816" t="s">
        <v>115</v>
      </c>
      <c r="K3816" t="s">
        <v>16</v>
      </c>
      <c r="L3816" t="s">
        <v>2095</v>
      </c>
      <c r="M3816">
        <v>3</v>
      </c>
      <c r="N3816" t="s">
        <v>232</v>
      </c>
      <c r="O3816" t="s">
        <v>2121</v>
      </c>
    </row>
    <row r="3817" spans="1:15">
      <c r="A3817" t="s">
        <v>5087</v>
      </c>
      <c r="B3817" t="s">
        <v>2090</v>
      </c>
      <c r="C3817" t="s">
        <v>2094</v>
      </c>
      <c r="D3817" s="1">
        <v>44088</v>
      </c>
      <c r="E3817" s="1">
        <v>45082</v>
      </c>
      <c r="F3817">
        <v>210</v>
      </c>
      <c r="G3817">
        <v>5</v>
      </c>
      <c r="H3817">
        <v>211.4</v>
      </c>
      <c r="I3817">
        <v>102.79</v>
      </c>
      <c r="J3817" t="s">
        <v>41</v>
      </c>
      <c r="K3817" t="s">
        <v>20</v>
      </c>
      <c r="L3817" t="s">
        <v>2106</v>
      </c>
      <c r="M3817">
        <v>3</v>
      </c>
      <c r="N3817" t="s">
        <v>165</v>
      </c>
      <c r="O3817" t="s">
        <v>2109</v>
      </c>
    </row>
    <row r="3818" spans="1:15">
      <c r="A3818" t="s">
        <v>5088</v>
      </c>
      <c r="B3818" t="s">
        <v>2097</v>
      </c>
      <c r="C3818" t="s">
        <v>2086</v>
      </c>
      <c r="D3818" s="1">
        <v>44736</v>
      </c>
      <c r="E3818" s="1">
        <v>44958</v>
      </c>
      <c r="F3818">
        <v>334</v>
      </c>
      <c r="G3818">
        <v>9</v>
      </c>
      <c r="H3818">
        <v>651.24</v>
      </c>
      <c r="I3818">
        <v>114.6</v>
      </c>
      <c r="J3818" t="s">
        <v>66</v>
      </c>
      <c r="K3818" t="s">
        <v>16</v>
      </c>
      <c r="L3818" t="s">
        <v>2087</v>
      </c>
      <c r="M3818">
        <v>3</v>
      </c>
      <c r="N3818" t="s">
        <v>179</v>
      </c>
      <c r="O3818" t="s">
        <v>2109</v>
      </c>
    </row>
    <row r="3819" spans="1:15">
      <c r="A3819" t="s">
        <v>5089</v>
      </c>
      <c r="B3819" t="s">
        <v>2090</v>
      </c>
      <c r="C3819" t="s">
        <v>2108</v>
      </c>
      <c r="D3819" s="1">
        <v>43680</v>
      </c>
      <c r="E3819" s="1">
        <v>45197</v>
      </c>
      <c r="F3819">
        <v>95</v>
      </c>
      <c r="G3819">
        <v>4</v>
      </c>
      <c r="H3819">
        <v>221.69</v>
      </c>
      <c r="I3819">
        <v>100.3</v>
      </c>
      <c r="J3819" t="s">
        <v>41</v>
      </c>
      <c r="K3819" t="s">
        <v>20</v>
      </c>
      <c r="L3819" t="s">
        <v>2087</v>
      </c>
      <c r="M3819">
        <v>2</v>
      </c>
      <c r="N3819" t="s">
        <v>165</v>
      </c>
      <c r="O3819" t="s">
        <v>2088</v>
      </c>
    </row>
    <row r="3820" spans="1:15">
      <c r="A3820" t="s">
        <v>5090</v>
      </c>
      <c r="B3820" t="s">
        <v>2085</v>
      </c>
      <c r="C3820" t="s">
        <v>2100</v>
      </c>
      <c r="D3820" s="1">
        <v>43805</v>
      </c>
      <c r="E3820" s="1">
        <v>45255</v>
      </c>
      <c r="F3820">
        <v>37</v>
      </c>
      <c r="G3820">
        <v>12</v>
      </c>
      <c r="H3820">
        <v>1148.5899999999999</v>
      </c>
      <c r="I3820">
        <v>286.5</v>
      </c>
      <c r="J3820" t="s">
        <v>115</v>
      </c>
      <c r="K3820" t="s">
        <v>16</v>
      </c>
      <c r="L3820" t="s">
        <v>2095</v>
      </c>
      <c r="M3820">
        <v>3</v>
      </c>
      <c r="N3820" t="s">
        <v>194</v>
      </c>
      <c r="O3820" t="s">
        <v>2109</v>
      </c>
    </row>
    <row r="3821" spans="1:15">
      <c r="A3821" t="s">
        <v>884</v>
      </c>
      <c r="B3821" t="s">
        <v>2093</v>
      </c>
      <c r="C3821" t="s">
        <v>2100</v>
      </c>
      <c r="D3821" s="1">
        <v>43792</v>
      </c>
      <c r="E3821" s="1">
        <v>44984</v>
      </c>
      <c r="F3821">
        <v>308</v>
      </c>
      <c r="G3821">
        <v>1</v>
      </c>
      <c r="H3821">
        <v>83.95</v>
      </c>
      <c r="I3821">
        <v>67.37</v>
      </c>
      <c r="J3821" t="s">
        <v>90</v>
      </c>
      <c r="K3821" t="s">
        <v>16</v>
      </c>
      <c r="L3821" t="s">
        <v>2106</v>
      </c>
      <c r="M3821">
        <v>0</v>
      </c>
      <c r="N3821" t="s">
        <v>179</v>
      </c>
      <c r="O3821" t="s">
        <v>2088</v>
      </c>
    </row>
    <row r="3822" spans="1:15">
      <c r="A3822" t="s">
        <v>5091</v>
      </c>
      <c r="B3822" t="s">
        <v>2090</v>
      </c>
      <c r="C3822" t="s">
        <v>2086</v>
      </c>
      <c r="D3822" s="1">
        <v>44340</v>
      </c>
      <c r="E3822" s="1">
        <v>45089</v>
      </c>
      <c r="F3822">
        <v>203</v>
      </c>
      <c r="G3822">
        <v>5</v>
      </c>
      <c r="H3822">
        <v>94.15</v>
      </c>
      <c r="I3822">
        <v>41.58</v>
      </c>
      <c r="J3822" t="s">
        <v>115</v>
      </c>
      <c r="K3822" t="s">
        <v>16</v>
      </c>
      <c r="L3822" t="s">
        <v>2106</v>
      </c>
      <c r="M3822">
        <v>10</v>
      </c>
      <c r="N3822" t="s">
        <v>157</v>
      </c>
      <c r="O3822" t="s">
        <v>2121</v>
      </c>
    </row>
    <row r="3823" spans="1:15">
      <c r="A3823" t="s">
        <v>5092</v>
      </c>
      <c r="B3823" t="s">
        <v>2097</v>
      </c>
      <c r="C3823" t="s">
        <v>2091</v>
      </c>
      <c r="D3823" s="1">
        <v>43733</v>
      </c>
      <c r="E3823" s="1">
        <v>45222</v>
      </c>
      <c r="F3823">
        <v>70</v>
      </c>
      <c r="G3823">
        <v>8</v>
      </c>
      <c r="H3823">
        <v>700.9</v>
      </c>
      <c r="I3823">
        <v>86.05</v>
      </c>
      <c r="J3823" t="s">
        <v>115</v>
      </c>
      <c r="K3823" t="s">
        <v>16</v>
      </c>
      <c r="L3823" t="s">
        <v>2087</v>
      </c>
      <c r="M3823">
        <v>10</v>
      </c>
      <c r="N3823" t="s">
        <v>174</v>
      </c>
      <c r="O3823" t="s">
        <v>2121</v>
      </c>
    </row>
    <row r="3824" spans="1:15">
      <c r="A3824" t="s">
        <v>5093</v>
      </c>
      <c r="B3824" t="s">
        <v>2093</v>
      </c>
      <c r="C3824" t="s">
        <v>2086</v>
      </c>
      <c r="D3824" s="1">
        <v>43942</v>
      </c>
      <c r="E3824" s="1">
        <v>45221</v>
      </c>
      <c r="F3824">
        <v>71</v>
      </c>
      <c r="G3824">
        <v>3</v>
      </c>
      <c r="H3824">
        <v>136.41999999999999</v>
      </c>
      <c r="I3824">
        <v>21.07</v>
      </c>
      <c r="J3824" t="s">
        <v>90</v>
      </c>
      <c r="K3824" t="s">
        <v>16</v>
      </c>
      <c r="L3824" t="s">
        <v>2106</v>
      </c>
      <c r="M3824">
        <v>3</v>
      </c>
      <c r="N3824" t="s">
        <v>165</v>
      </c>
      <c r="O3824" t="s">
        <v>2121</v>
      </c>
    </row>
    <row r="3825" spans="1:15">
      <c r="A3825" t="s">
        <v>496</v>
      </c>
      <c r="B3825" t="s">
        <v>2099</v>
      </c>
      <c r="C3825" t="s">
        <v>2094</v>
      </c>
      <c r="D3825" s="1">
        <v>43711</v>
      </c>
      <c r="E3825" s="1">
        <v>45058</v>
      </c>
      <c r="F3825">
        <v>234</v>
      </c>
      <c r="G3825">
        <v>2</v>
      </c>
      <c r="H3825">
        <v>98.35</v>
      </c>
      <c r="I3825">
        <v>21.81</v>
      </c>
      <c r="J3825" t="s">
        <v>115</v>
      </c>
      <c r="K3825" t="s">
        <v>20</v>
      </c>
      <c r="L3825" t="s">
        <v>2087</v>
      </c>
      <c r="M3825">
        <v>0</v>
      </c>
      <c r="N3825" t="s">
        <v>157</v>
      </c>
      <c r="O3825" t="s">
        <v>2088</v>
      </c>
    </row>
    <row r="3826" spans="1:15">
      <c r="A3826" t="s">
        <v>558</v>
      </c>
      <c r="B3826" t="s">
        <v>2093</v>
      </c>
      <c r="C3826" t="s">
        <v>2086</v>
      </c>
      <c r="D3826" s="1">
        <v>43841</v>
      </c>
      <c r="E3826" s="1">
        <v>45278</v>
      </c>
      <c r="F3826">
        <v>14</v>
      </c>
      <c r="G3826">
        <v>4</v>
      </c>
      <c r="H3826">
        <v>164.92</v>
      </c>
      <c r="I3826">
        <v>79.290000000000006</v>
      </c>
      <c r="J3826" t="s">
        <v>41</v>
      </c>
      <c r="K3826" t="s">
        <v>16</v>
      </c>
      <c r="L3826" t="s">
        <v>2087</v>
      </c>
      <c r="M3826">
        <v>10</v>
      </c>
      <c r="N3826" t="s">
        <v>157</v>
      </c>
      <c r="O3826" t="s">
        <v>2096</v>
      </c>
    </row>
    <row r="3827" spans="1:15">
      <c r="A3827" t="s">
        <v>5094</v>
      </c>
      <c r="B3827" t="s">
        <v>2099</v>
      </c>
      <c r="C3827" t="s">
        <v>2111</v>
      </c>
      <c r="D3827" s="1">
        <v>43679</v>
      </c>
      <c r="E3827" s="1">
        <v>45243</v>
      </c>
      <c r="F3827">
        <v>49</v>
      </c>
      <c r="G3827">
        <v>1</v>
      </c>
      <c r="H3827">
        <v>80.62</v>
      </c>
      <c r="I3827">
        <v>68.069999999999993</v>
      </c>
      <c r="J3827" t="s">
        <v>66</v>
      </c>
      <c r="K3827" t="s">
        <v>20</v>
      </c>
      <c r="L3827" t="s">
        <v>2106</v>
      </c>
      <c r="M3827">
        <v>7</v>
      </c>
      <c r="N3827" t="s">
        <v>232</v>
      </c>
      <c r="O3827" t="s">
        <v>2109</v>
      </c>
    </row>
    <row r="3828" spans="1:15">
      <c r="A3828" t="s">
        <v>5095</v>
      </c>
      <c r="B3828" t="s">
        <v>2085</v>
      </c>
      <c r="C3828" t="s">
        <v>2091</v>
      </c>
      <c r="D3828" s="1">
        <v>45033</v>
      </c>
      <c r="E3828" s="1">
        <v>45253</v>
      </c>
      <c r="F3828">
        <v>39</v>
      </c>
      <c r="G3828">
        <v>14</v>
      </c>
      <c r="H3828">
        <v>1589.61</v>
      </c>
      <c r="I3828">
        <v>203.12</v>
      </c>
      <c r="J3828" t="s">
        <v>41</v>
      </c>
      <c r="K3828" t="s">
        <v>16</v>
      </c>
      <c r="L3828" t="s">
        <v>2087</v>
      </c>
      <c r="M3828">
        <v>1</v>
      </c>
      <c r="N3828" t="s">
        <v>157</v>
      </c>
      <c r="O3828" t="s">
        <v>2088</v>
      </c>
    </row>
    <row r="3829" spans="1:15">
      <c r="A3829" t="s">
        <v>5096</v>
      </c>
      <c r="B3829" t="s">
        <v>2090</v>
      </c>
      <c r="C3829" t="s">
        <v>2094</v>
      </c>
      <c r="D3829" s="1">
        <v>43981</v>
      </c>
      <c r="E3829" s="1">
        <v>45104</v>
      </c>
      <c r="F3829">
        <v>188</v>
      </c>
      <c r="G3829">
        <v>3</v>
      </c>
      <c r="H3829">
        <v>272.93</v>
      </c>
      <c r="I3829">
        <v>91.65</v>
      </c>
      <c r="J3829" t="s">
        <v>14</v>
      </c>
      <c r="K3829" t="s">
        <v>20</v>
      </c>
      <c r="L3829" t="s">
        <v>2095</v>
      </c>
      <c r="M3829">
        <v>3</v>
      </c>
      <c r="N3829" t="s">
        <v>179</v>
      </c>
      <c r="O3829" t="s">
        <v>2109</v>
      </c>
    </row>
    <row r="3830" spans="1:15">
      <c r="A3830" t="s">
        <v>5097</v>
      </c>
      <c r="B3830" t="s">
        <v>2090</v>
      </c>
      <c r="C3830" t="s">
        <v>2094</v>
      </c>
      <c r="D3830" s="1">
        <v>45007</v>
      </c>
      <c r="E3830" s="1">
        <v>45289</v>
      </c>
      <c r="F3830">
        <v>3</v>
      </c>
      <c r="G3830">
        <v>6</v>
      </c>
      <c r="H3830">
        <v>114.58</v>
      </c>
      <c r="I3830">
        <v>92.05</v>
      </c>
      <c r="J3830" t="s">
        <v>41</v>
      </c>
      <c r="K3830" t="s">
        <v>16</v>
      </c>
      <c r="L3830" t="s">
        <v>2095</v>
      </c>
      <c r="M3830">
        <v>7</v>
      </c>
      <c r="N3830" t="s">
        <v>179</v>
      </c>
      <c r="O3830" t="s">
        <v>2121</v>
      </c>
    </row>
    <row r="3831" spans="1:15">
      <c r="A3831" t="s">
        <v>1338</v>
      </c>
      <c r="B3831" t="s">
        <v>2097</v>
      </c>
      <c r="C3831" t="s">
        <v>2094</v>
      </c>
      <c r="D3831" s="1">
        <v>43875</v>
      </c>
      <c r="E3831" s="1">
        <v>45231</v>
      </c>
      <c r="F3831">
        <v>61</v>
      </c>
      <c r="G3831">
        <v>11</v>
      </c>
      <c r="H3831">
        <v>698.7</v>
      </c>
      <c r="I3831">
        <v>54.58</v>
      </c>
      <c r="J3831" t="s">
        <v>14</v>
      </c>
      <c r="K3831" t="s">
        <v>20</v>
      </c>
      <c r="L3831" t="s">
        <v>2106</v>
      </c>
      <c r="M3831">
        <v>0</v>
      </c>
      <c r="N3831" t="s">
        <v>204</v>
      </c>
      <c r="O3831" t="s">
        <v>2088</v>
      </c>
    </row>
    <row r="3832" spans="1:15">
      <c r="A3832" t="s">
        <v>5098</v>
      </c>
      <c r="B3832" t="s">
        <v>2099</v>
      </c>
      <c r="C3832" t="s">
        <v>2094</v>
      </c>
      <c r="D3832" s="1">
        <v>43467</v>
      </c>
      <c r="E3832" s="1">
        <v>44944</v>
      </c>
      <c r="F3832">
        <v>348</v>
      </c>
      <c r="G3832">
        <v>2</v>
      </c>
      <c r="H3832">
        <v>78.040000000000006</v>
      </c>
      <c r="I3832">
        <v>46.64</v>
      </c>
      <c r="J3832" t="s">
        <v>41</v>
      </c>
      <c r="K3832" t="s">
        <v>20</v>
      </c>
      <c r="L3832" t="s">
        <v>2087</v>
      </c>
      <c r="M3832">
        <v>7</v>
      </c>
      <c r="N3832" t="s">
        <v>179</v>
      </c>
      <c r="O3832" t="s">
        <v>2109</v>
      </c>
    </row>
    <row r="3833" spans="1:15">
      <c r="A3833" t="s">
        <v>1908</v>
      </c>
      <c r="B3833" t="s">
        <v>2093</v>
      </c>
      <c r="C3833" t="s">
        <v>2091</v>
      </c>
      <c r="D3833" s="1">
        <v>44392</v>
      </c>
      <c r="E3833" s="1">
        <v>45033</v>
      </c>
      <c r="F3833">
        <v>259</v>
      </c>
      <c r="G3833">
        <v>1</v>
      </c>
      <c r="H3833">
        <v>140.88999999999999</v>
      </c>
      <c r="I3833">
        <v>43.55</v>
      </c>
      <c r="J3833" t="s">
        <v>90</v>
      </c>
      <c r="K3833" t="s">
        <v>16</v>
      </c>
      <c r="L3833" t="s">
        <v>2087</v>
      </c>
      <c r="M3833">
        <v>2</v>
      </c>
      <c r="N3833" t="s">
        <v>194</v>
      </c>
      <c r="O3833" t="s">
        <v>2109</v>
      </c>
    </row>
    <row r="3834" spans="1:15">
      <c r="A3834" t="s">
        <v>5099</v>
      </c>
      <c r="B3834" t="s">
        <v>2113</v>
      </c>
      <c r="C3834" t="s">
        <v>2108</v>
      </c>
      <c r="D3834" s="1">
        <v>43656</v>
      </c>
      <c r="E3834" s="1">
        <v>45149</v>
      </c>
      <c r="F3834">
        <v>143</v>
      </c>
      <c r="G3834">
        <v>7</v>
      </c>
      <c r="H3834">
        <v>597.54999999999995</v>
      </c>
      <c r="I3834">
        <v>68.22</v>
      </c>
      <c r="J3834" t="s">
        <v>41</v>
      </c>
      <c r="K3834" t="s">
        <v>16</v>
      </c>
      <c r="L3834" t="s">
        <v>2106</v>
      </c>
      <c r="M3834">
        <v>5</v>
      </c>
      <c r="N3834" t="s">
        <v>204</v>
      </c>
      <c r="O3834" t="s">
        <v>2109</v>
      </c>
    </row>
    <row r="3835" spans="1:15">
      <c r="A3835" t="s">
        <v>619</v>
      </c>
      <c r="B3835" t="s">
        <v>2093</v>
      </c>
      <c r="C3835" t="s">
        <v>2091</v>
      </c>
      <c r="D3835" s="1">
        <v>45041</v>
      </c>
      <c r="E3835" s="1">
        <v>45280</v>
      </c>
      <c r="F3835">
        <v>12</v>
      </c>
      <c r="G3835">
        <v>1</v>
      </c>
      <c r="H3835">
        <v>139.01</v>
      </c>
      <c r="I3835">
        <v>50.5</v>
      </c>
      <c r="J3835" t="s">
        <v>66</v>
      </c>
      <c r="K3835" t="s">
        <v>20</v>
      </c>
      <c r="L3835" t="s">
        <v>2095</v>
      </c>
      <c r="M3835">
        <v>6</v>
      </c>
      <c r="N3835" t="s">
        <v>194</v>
      </c>
      <c r="O3835" t="s">
        <v>2088</v>
      </c>
    </row>
    <row r="3836" spans="1:15">
      <c r="A3836" t="s">
        <v>5100</v>
      </c>
      <c r="B3836" t="s">
        <v>2113</v>
      </c>
      <c r="C3836" t="s">
        <v>2094</v>
      </c>
      <c r="D3836" s="1">
        <v>44386</v>
      </c>
      <c r="E3836" s="1">
        <v>45275</v>
      </c>
      <c r="F3836">
        <v>17</v>
      </c>
      <c r="G3836">
        <v>7</v>
      </c>
      <c r="H3836">
        <v>321.81</v>
      </c>
      <c r="I3836">
        <v>38.1</v>
      </c>
      <c r="J3836" t="s">
        <v>90</v>
      </c>
      <c r="K3836" t="s">
        <v>16</v>
      </c>
      <c r="L3836" t="s">
        <v>2095</v>
      </c>
      <c r="M3836">
        <v>0</v>
      </c>
      <c r="N3836" t="s">
        <v>179</v>
      </c>
      <c r="O3836" t="s">
        <v>2109</v>
      </c>
    </row>
    <row r="3837" spans="1:15">
      <c r="A3837" t="s">
        <v>5101</v>
      </c>
      <c r="B3837" t="s">
        <v>2085</v>
      </c>
      <c r="C3837" t="s">
        <v>2108</v>
      </c>
      <c r="D3837" s="1">
        <v>43629</v>
      </c>
      <c r="E3837" s="1">
        <v>45179</v>
      </c>
      <c r="F3837">
        <v>113</v>
      </c>
      <c r="G3837">
        <v>20</v>
      </c>
      <c r="H3837">
        <v>2714.89</v>
      </c>
      <c r="I3837">
        <v>178.2</v>
      </c>
      <c r="J3837" t="s">
        <v>66</v>
      </c>
      <c r="K3837" t="s">
        <v>16</v>
      </c>
      <c r="L3837" t="s">
        <v>2106</v>
      </c>
      <c r="M3837">
        <v>6</v>
      </c>
      <c r="N3837" t="s">
        <v>194</v>
      </c>
      <c r="O3837" t="s">
        <v>2096</v>
      </c>
    </row>
    <row r="3838" spans="1:15">
      <c r="A3838" t="s">
        <v>5102</v>
      </c>
      <c r="B3838" t="s">
        <v>2093</v>
      </c>
      <c r="C3838" t="s">
        <v>2100</v>
      </c>
      <c r="D3838" s="1">
        <v>43783</v>
      </c>
      <c r="E3838" s="1">
        <v>45094</v>
      </c>
      <c r="F3838">
        <v>198</v>
      </c>
      <c r="G3838">
        <v>1</v>
      </c>
      <c r="H3838">
        <v>40.44</v>
      </c>
      <c r="I3838">
        <v>63.7</v>
      </c>
      <c r="J3838" t="s">
        <v>115</v>
      </c>
      <c r="K3838" t="s">
        <v>16</v>
      </c>
      <c r="L3838" t="s">
        <v>2106</v>
      </c>
      <c r="M3838">
        <v>5</v>
      </c>
      <c r="N3838" t="s">
        <v>232</v>
      </c>
      <c r="O3838" t="s">
        <v>2109</v>
      </c>
    </row>
    <row r="3839" spans="1:15">
      <c r="A3839" t="s">
        <v>5103</v>
      </c>
      <c r="B3839" t="s">
        <v>2097</v>
      </c>
      <c r="C3839" t="s">
        <v>2100</v>
      </c>
      <c r="D3839" s="1">
        <v>44606</v>
      </c>
      <c r="E3839" s="1">
        <v>45169</v>
      </c>
      <c r="F3839">
        <v>123</v>
      </c>
      <c r="G3839">
        <v>10</v>
      </c>
      <c r="H3839">
        <v>488.19</v>
      </c>
      <c r="I3839">
        <v>112.59</v>
      </c>
      <c r="J3839" t="s">
        <v>90</v>
      </c>
      <c r="K3839" t="s">
        <v>16</v>
      </c>
      <c r="L3839" t="s">
        <v>2087</v>
      </c>
      <c r="M3839">
        <v>4</v>
      </c>
      <c r="N3839" t="s">
        <v>174</v>
      </c>
      <c r="O3839" t="s">
        <v>2107</v>
      </c>
    </row>
    <row r="3840" spans="1:15">
      <c r="A3840" t="s">
        <v>5104</v>
      </c>
      <c r="B3840" t="s">
        <v>2097</v>
      </c>
      <c r="C3840" t="s">
        <v>2094</v>
      </c>
      <c r="D3840" s="1">
        <v>43714</v>
      </c>
      <c r="E3840" s="1">
        <v>45071</v>
      </c>
      <c r="F3840">
        <v>221</v>
      </c>
      <c r="G3840">
        <v>7</v>
      </c>
      <c r="H3840">
        <v>760.28</v>
      </c>
      <c r="I3840">
        <v>97.11</v>
      </c>
      <c r="J3840" t="s">
        <v>14</v>
      </c>
      <c r="K3840" t="s">
        <v>16</v>
      </c>
      <c r="L3840" t="s">
        <v>2087</v>
      </c>
      <c r="M3840">
        <v>4</v>
      </c>
      <c r="N3840" t="s">
        <v>165</v>
      </c>
      <c r="O3840" t="s">
        <v>2096</v>
      </c>
    </row>
    <row r="3841" spans="1:15">
      <c r="A3841" t="s">
        <v>5105</v>
      </c>
      <c r="B3841" t="s">
        <v>2097</v>
      </c>
      <c r="C3841" t="s">
        <v>2108</v>
      </c>
      <c r="D3841" s="1">
        <v>45142</v>
      </c>
      <c r="E3841" s="1">
        <v>45109</v>
      </c>
      <c r="F3841">
        <v>183</v>
      </c>
      <c r="G3841">
        <v>11</v>
      </c>
      <c r="H3841">
        <v>570.87</v>
      </c>
      <c r="I3841">
        <v>66.34</v>
      </c>
      <c r="J3841" t="s">
        <v>90</v>
      </c>
      <c r="K3841" t="s">
        <v>16</v>
      </c>
      <c r="L3841" t="s">
        <v>2095</v>
      </c>
      <c r="M3841">
        <v>9</v>
      </c>
      <c r="N3841" t="s">
        <v>157</v>
      </c>
      <c r="O3841" t="s">
        <v>2109</v>
      </c>
    </row>
    <row r="3842" spans="1:15">
      <c r="A3842" t="s">
        <v>5106</v>
      </c>
      <c r="B3842" t="s">
        <v>2099</v>
      </c>
      <c r="C3842" t="s">
        <v>2094</v>
      </c>
      <c r="D3842" s="1">
        <v>45025</v>
      </c>
      <c r="E3842" s="1">
        <v>45055</v>
      </c>
      <c r="F3842">
        <v>237</v>
      </c>
      <c r="G3842">
        <v>2</v>
      </c>
      <c r="H3842">
        <v>70.5</v>
      </c>
      <c r="I3842">
        <v>56.34</v>
      </c>
      <c r="J3842" t="s">
        <v>66</v>
      </c>
      <c r="K3842" t="s">
        <v>16</v>
      </c>
      <c r="L3842" t="s">
        <v>2095</v>
      </c>
      <c r="M3842">
        <v>4</v>
      </c>
      <c r="N3842" t="s">
        <v>232</v>
      </c>
      <c r="O3842" t="s">
        <v>2088</v>
      </c>
    </row>
    <row r="3843" spans="1:15">
      <c r="A3843" t="s">
        <v>1497</v>
      </c>
      <c r="B3843" t="s">
        <v>2090</v>
      </c>
      <c r="C3843" t="s">
        <v>2091</v>
      </c>
      <c r="D3843" s="1">
        <v>44199</v>
      </c>
      <c r="E3843" s="1">
        <v>45095</v>
      </c>
      <c r="F3843">
        <v>197</v>
      </c>
      <c r="G3843">
        <v>3</v>
      </c>
      <c r="H3843">
        <v>273.62</v>
      </c>
      <c r="I3843">
        <v>68.900000000000006</v>
      </c>
      <c r="J3843" t="s">
        <v>90</v>
      </c>
      <c r="K3843" t="s">
        <v>20</v>
      </c>
      <c r="L3843" t="s">
        <v>2087</v>
      </c>
      <c r="M3843">
        <v>10</v>
      </c>
      <c r="N3843" t="s">
        <v>157</v>
      </c>
      <c r="O3843" t="s">
        <v>2107</v>
      </c>
    </row>
    <row r="3844" spans="1:15">
      <c r="A3844" t="s">
        <v>5107</v>
      </c>
      <c r="B3844" t="s">
        <v>2093</v>
      </c>
      <c r="C3844" t="s">
        <v>2094</v>
      </c>
      <c r="D3844" s="1">
        <v>43534</v>
      </c>
      <c r="E3844" s="1">
        <v>45096</v>
      </c>
      <c r="F3844">
        <v>196</v>
      </c>
      <c r="G3844">
        <v>1</v>
      </c>
      <c r="H3844">
        <v>175.53</v>
      </c>
      <c r="I3844">
        <v>35.72</v>
      </c>
      <c r="J3844" t="s">
        <v>66</v>
      </c>
      <c r="K3844" t="s">
        <v>16</v>
      </c>
      <c r="L3844" t="s">
        <v>2087</v>
      </c>
      <c r="M3844">
        <v>5</v>
      </c>
      <c r="N3844" t="s">
        <v>232</v>
      </c>
      <c r="O3844" t="s">
        <v>2107</v>
      </c>
    </row>
    <row r="3845" spans="1:15">
      <c r="A3845" t="s">
        <v>5108</v>
      </c>
      <c r="B3845" t="s">
        <v>2090</v>
      </c>
      <c r="C3845" t="s">
        <v>2086</v>
      </c>
      <c r="D3845" s="1">
        <v>43488</v>
      </c>
      <c r="E3845" s="1">
        <v>44961</v>
      </c>
      <c r="F3845">
        <v>331</v>
      </c>
      <c r="G3845">
        <v>7</v>
      </c>
      <c r="H3845">
        <v>393.1</v>
      </c>
      <c r="I3845">
        <v>96.63</v>
      </c>
      <c r="J3845" t="s">
        <v>90</v>
      </c>
      <c r="K3845" t="s">
        <v>16</v>
      </c>
      <c r="L3845" t="s">
        <v>2106</v>
      </c>
      <c r="M3845">
        <v>9</v>
      </c>
      <c r="N3845" t="s">
        <v>157</v>
      </c>
      <c r="O3845" t="s">
        <v>2109</v>
      </c>
    </row>
    <row r="3846" spans="1:15">
      <c r="A3846" t="s">
        <v>5109</v>
      </c>
      <c r="B3846" t="s">
        <v>2085</v>
      </c>
      <c r="C3846" t="s">
        <v>2086</v>
      </c>
      <c r="D3846" s="1">
        <v>44144</v>
      </c>
      <c r="E3846" s="1">
        <v>45002</v>
      </c>
      <c r="F3846">
        <v>290</v>
      </c>
      <c r="G3846">
        <v>20</v>
      </c>
      <c r="H3846">
        <v>2686.78</v>
      </c>
      <c r="I3846">
        <v>202.29</v>
      </c>
      <c r="J3846" t="s">
        <v>90</v>
      </c>
      <c r="K3846" t="s">
        <v>16</v>
      </c>
      <c r="L3846" t="s">
        <v>2087</v>
      </c>
      <c r="M3846">
        <v>8</v>
      </c>
      <c r="N3846" t="s">
        <v>157</v>
      </c>
      <c r="O3846" t="s">
        <v>2121</v>
      </c>
    </row>
    <row r="3847" spans="1:15">
      <c r="A3847" t="s">
        <v>5110</v>
      </c>
      <c r="B3847" t="s">
        <v>2093</v>
      </c>
      <c r="C3847" t="s">
        <v>2108</v>
      </c>
      <c r="D3847" s="1">
        <v>44659</v>
      </c>
      <c r="E3847" s="1">
        <v>45244</v>
      </c>
      <c r="F3847">
        <v>48</v>
      </c>
      <c r="G3847">
        <v>3</v>
      </c>
      <c r="H3847">
        <v>68.2</v>
      </c>
      <c r="I3847">
        <v>27.89</v>
      </c>
      <c r="J3847" t="s">
        <v>90</v>
      </c>
      <c r="K3847" t="s">
        <v>20</v>
      </c>
      <c r="L3847" t="s">
        <v>2095</v>
      </c>
      <c r="M3847">
        <v>8</v>
      </c>
      <c r="N3847" t="s">
        <v>194</v>
      </c>
      <c r="O3847" t="s">
        <v>2121</v>
      </c>
    </row>
    <row r="3848" spans="1:15">
      <c r="A3848" t="s">
        <v>5111</v>
      </c>
      <c r="B3848" t="s">
        <v>2113</v>
      </c>
      <c r="C3848" t="s">
        <v>2086</v>
      </c>
      <c r="D3848" s="1">
        <v>44726</v>
      </c>
      <c r="E3848" s="1">
        <v>45059</v>
      </c>
      <c r="F3848">
        <v>233</v>
      </c>
      <c r="G3848">
        <v>10</v>
      </c>
      <c r="H3848">
        <v>501.56</v>
      </c>
      <c r="I3848">
        <v>33.03</v>
      </c>
      <c r="J3848" t="s">
        <v>14</v>
      </c>
      <c r="K3848" t="s">
        <v>16</v>
      </c>
      <c r="L3848" t="s">
        <v>2106</v>
      </c>
      <c r="M3848">
        <v>6</v>
      </c>
      <c r="N3848" t="s">
        <v>232</v>
      </c>
      <c r="O3848" t="s">
        <v>2088</v>
      </c>
    </row>
    <row r="3849" spans="1:15">
      <c r="A3849" t="s">
        <v>5112</v>
      </c>
      <c r="B3849" t="s">
        <v>2099</v>
      </c>
      <c r="C3849" t="s">
        <v>2108</v>
      </c>
      <c r="D3849" s="1">
        <v>43874</v>
      </c>
      <c r="E3849" s="1">
        <v>45057</v>
      </c>
      <c r="F3849">
        <v>235</v>
      </c>
      <c r="G3849">
        <v>1</v>
      </c>
      <c r="H3849">
        <v>90.1</v>
      </c>
      <c r="I3849">
        <v>56.11</v>
      </c>
      <c r="J3849" t="s">
        <v>41</v>
      </c>
      <c r="K3849" t="s">
        <v>16</v>
      </c>
      <c r="L3849" t="s">
        <v>2095</v>
      </c>
      <c r="M3849">
        <v>4</v>
      </c>
      <c r="N3849" t="s">
        <v>204</v>
      </c>
      <c r="O3849" t="s">
        <v>2109</v>
      </c>
    </row>
    <row r="3850" spans="1:15">
      <c r="A3850" t="s">
        <v>5113</v>
      </c>
      <c r="B3850" t="s">
        <v>2085</v>
      </c>
      <c r="C3850" t="s">
        <v>2086</v>
      </c>
      <c r="D3850" s="1">
        <v>43862</v>
      </c>
      <c r="E3850" s="1">
        <v>45172</v>
      </c>
      <c r="F3850">
        <v>120</v>
      </c>
      <c r="G3850">
        <v>15</v>
      </c>
      <c r="H3850">
        <v>1572.1</v>
      </c>
      <c r="I3850">
        <v>209.97</v>
      </c>
      <c r="J3850" t="s">
        <v>14</v>
      </c>
      <c r="K3850" t="s">
        <v>16</v>
      </c>
      <c r="L3850" t="s">
        <v>2087</v>
      </c>
      <c r="M3850">
        <v>1</v>
      </c>
      <c r="N3850" t="s">
        <v>179</v>
      </c>
      <c r="O3850" t="s">
        <v>2109</v>
      </c>
    </row>
    <row r="3851" spans="1:15">
      <c r="A3851" t="s">
        <v>5114</v>
      </c>
      <c r="B3851" t="s">
        <v>2097</v>
      </c>
      <c r="C3851" t="s">
        <v>2091</v>
      </c>
      <c r="D3851" s="1">
        <v>44436</v>
      </c>
      <c r="E3851" s="1">
        <v>44970</v>
      </c>
      <c r="F3851">
        <v>322</v>
      </c>
      <c r="G3851">
        <v>4</v>
      </c>
      <c r="H3851">
        <v>631.36</v>
      </c>
      <c r="I3851">
        <v>71.16</v>
      </c>
      <c r="J3851" t="s">
        <v>115</v>
      </c>
      <c r="K3851" t="s">
        <v>20</v>
      </c>
      <c r="L3851" t="s">
        <v>2087</v>
      </c>
      <c r="M3851">
        <v>3</v>
      </c>
      <c r="N3851" t="s">
        <v>174</v>
      </c>
      <c r="O3851" t="s">
        <v>2121</v>
      </c>
    </row>
    <row r="3852" spans="1:15">
      <c r="A3852" t="s">
        <v>5115</v>
      </c>
      <c r="B3852" t="s">
        <v>2085</v>
      </c>
      <c r="C3852" t="s">
        <v>2108</v>
      </c>
      <c r="D3852" s="1">
        <v>43620</v>
      </c>
      <c r="E3852" s="1">
        <v>45218</v>
      </c>
      <c r="F3852">
        <v>74</v>
      </c>
      <c r="G3852">
        <v>34</v>
      </c>
      <c r="H3852">
        <v>2207.58</v>
      </c>
      <c r="I3852">
        <v>143.1</v>
      </c>
      <c r="J3852" t="s">
        <v>14</v>
      </c>
      <c r="K3852" t="s">
        <v>16</v>
      </c>
      <c r="L3852" t="s">
        <v>2087</v>
      </c>
      <c r="M3852">
        <v>6</v>
      </c>
      <c r="N3852" t="s">
        <v>179</v>
      </c>
      <c r="O3852" t="s">
        <v>2096</v>
      </c>
    </row>
    <row r="3853" spans="1:15">
      <c r="A3853" t="s">
        <v>353</v>
      </c>
      <c r="B3853" t="s">
        <v>2099</v>
      </c>
      <c r="C3853" t="s">
        <v>2108</v>
      </c>
      <c r="D3853" s="1">
        <v>44279</v>
      </c>
      <c r="E3853" s="1">
        <v>45243</v>
      </c>
      <c r="F3853">
        <v>49</v>
      </c>
      <c r="G3853">
        <v>1</v>
      </c>
      <c r="H3853">
        <v>60.39</v>
      </c>
      <c r="I3853">
        <v>73.95</v>
      </c>
      <c r="J3853" t="s">
        <v>115</v>
      </c>
      <c r="K3853" t="s">
        <v>20</v>
      </c>
      <c r="L3853" t="s">
        <v>2106</v>
      </c>
      <c r="M3853">
        <v>9</v>
      </c>
      <c r="N3853" t="s">
        <v>165</v>
      </c>
      <c r="O3853" t="s">
        <v>2109</v>
      </c>
    </row>
    <row r="3854" spans="1:15">
      <c r="A3854" t="s">
        <v>5116</v>
      </c>
      <c r="B3854" t="s">
        <v>2099</v>
      </c>
      <c r="C3854" t="s">
        <v>2091</v>
      </c>
      <c r="D3854" s="1">
        <v>44494</v>
      </c>
      <c r="E3854" s="1">
        <v>44997</v>
      </c>
      <c r="F3854">
        <v>295</v>
      </c>
      <c r="G3854">
        <v>2</v>
      </c>
      <c r="H3854">
        <v>42.4</v>
      </c>
      <c r="I3854">
        <v>78.92</v>
      </c>
      <c r="J3854" t="s">
        <v>66</v>
      </c>
      <c r="K3854" t="s">
        <v>16</v>
      </c>
      <c r="L3854" t="s">
        <v>2106</v>
      </c>
      <c r="M3854">
        <v>10</v>
      </c>
      <c r="N3854" t="s">
        <v>165</v>
      </c>
      <c r="O3854" t="s">
        <v>2107</v>
      </c>
    </row>
    <row r="3855" spans="1:15">
      <c r="A3855" t="s">
        <v>5117</v>
      </c>
      <c r="B3855" t="s">
        <v>2097</v>
      </c>
      <c r="C3855" t="s">
        <v>2100</v>
      </c>
      <c r="D3855" s="1">
        <v>44596</v>
      </c>
      <c r="E3855" s="1">
        <v>45143</v>
      </c>
      <c r="F3855">
        <v>149</v>
      </c>
      <c r="G3855">
        <v>7</v>
      </c>
      <c r="H3855">
        <v>471.12</v>
      </c>
      <c r="I3855">
        <v>115.23</v>
      </c>
      <c r="J3855" t="s">
        <v>14</v>
      </c>
      <c r="K3855" t="s">
        <v>20</v>
      </c>
      <c r="L3855" t="s">
        <v>2087</v>
      </c>
      <c r="M3855">
        <v>1</v>
      </c>
      <c r="N3855" t="s">
        <v>204</v>
      </c>
      <c r="O3855" t="s">
        <v>2109</v>
      </c>
    </row>
    <row r="3856" spans="1:15">
      <c r="A3856" t="s">
        <v>260</v>
      </c>
      <c r="B3856" t="s">
        <v>2085</v>
      </c>
      <c r="C3856" t="s">
        <v>2086</v>
      </c>
      <c r="D3856" s="1">
        <v>44201</v>
      </c>
      <c r="E3856" s="1">
        <v>45162</v>
      </c>
      <c r="F3856">
        <v>130</v>
      </c>
      <c r="G3856">
        <v>32</v>
      </c>
      <c r="H3856">
        <v>1388.87</v>
      </c>
      <c r="I3856">
        <v>233.12</v>
      </c>
      <c r="J3856" t="s">
        <v>41</v>
      </c>
      <c r="K3856" t="s">
        <v>16</v>
      </c>
      <c r="L3856" t="s">
        <v>2087</v>
      </c>
      <c r="M3856">
        <v>8</v>
      </c>
      <c r="N3856" t="s">
        <v>194</v>
      </c>
      <c r="O3856" t="s">
        <v>2107</v>
      </c>
    </row>
    <row r="3857" spans="1:15">
      <c r="A3857" t="s">
        <v>5118</v>
      </c>
      <c r="B3857" t="s">
        <v>2097</v>
      </c>
      <c r="C3857" t="s">
        <v>2086</v>
      </c>
      <c r="D3857" s="1">
        <v>43578</v>
      </c>
      <c r="E3857" s="1">
        <v>44940</v>
      </c>
      <c r="F3857">
        <v>352</v>
      </c>
      <c r="G3857">
        <v>8</v>
      </c>
      <c r="H3857">
        <v>797.78</v>
      </c>
      <c r="I3857">
        <v>109.77</v>
      </c>
      <c r="J3857" t="s">
        <v>41</v>
      </c>
      <c r="K3857" t="s">
        <v>16</v>
      </c>
      <c r="L3857" t="s">
        <v>2095</v>
      </c>
      <c r="M3857">
        <v>3</v>
      </c>
      <c r="N3857" t="s">
        <v>179</v>
      </c>
      <c r="O3857" t="s">
        <v>2109</v>
      </c>
    </row>
    <row r="3858" spans="1:15">
      <c r="A3858" t="s">
        <v>5119</v>
      </c>
      <c r="B3858" t="s">
        <v>2097</v>
      </c>
      <c r="C3858" t="s">
        <v>2111</v>
      </c>
      <c r="D3858" s="1">
        <v>44051</v>
      </c>
      <c r="E3858" s="1">
        <v>45171</v>
      </c>
      <c r="F3858">
        <v>121</v>
      </c>
      <c r="G3858">
        <v>7</v>
      </c>
      <c r="H3858">
        <v>371.73</v>
      </c>
      <c r="I3858">
        <v>62.86</v>
      </c>
      <c r="J3858" t="s">
        <v>14</v>
      </c>
      <c r="K3858" t="s">
        <v>16</v>
      </c>
      <c r="L3858" t="s">
        <v>2087</v>
      </c>
      <c r="M3858">
        <v>8</v>
      </c>
      <c r="N3858" t="s">
        <v>157</v>
      </c>
      <c r="O3858" t="s">
        <v>2107</v>
      </c>
    </row>
    <row r="3859" spans="1:15">
      <c r="A3859" t="s">
        <v>5120</v>
      </c>
      <c r="B3859" t="s">
        <v>2085</v>
      </c>
      <c r="C3859" t="s">
        <v>2111</v>
      </c>
      <c r="D3859" s="1">
        <v>43638</v>
      </c>
      <c r="E3859" s="1">
        <v>45154</v>
      </c>
      <c r="F3859">
        <v>138</v>
      </c>
      <c r="G3859">
        <v>29</v>
      </c>
      <c r="H3859">
        <v>1049.2</v>
      </c>
      <c r="I3859">
        <v>213.16</v>
      </c>
      <c r="J3859" t="s">
        <v>115</v>
      </c>
      <c r="K3859" t="s">
        <v>16</v>
      </c>
      <c r="L3859" t="s">
        <v>2087</v>
      </c>
      <c r="M3859">
        <v>0</v>
      </c>
      <c r="N3859" t="s">
        <v>204</v>
      </c>
      <c r="O3859" t="s">
        <v>2109</v>
      </c>
    </row>
    <row r="3860" spans="1:15">
      <c r="A3860" t="s">
        <v>940</v>
      </c>
      <c r="B3860" t="s">
        <v>2099</v>
      </c>
      <c r="C3860" t="s">
        <v>2091</v>
      </c>
      <c r="D3860" s="1">
        <v>45159</v>
      </c>
      <c r="E3860" s="1">
        <v>44986</v>
      </c>
      <c r="F3860">
        <v>306</v>
      </c>
      <c r="G3860">
        <v>2</v>
      </c>
      <c r="H3860">
        <v>146.77000000000001</v>
      </c>
      <c r="I3860">
        <v>68.459999999999994</v>
      </c>
      <c r="J3860" t="s">
        <v>14</v>
      </c>
      <c r="K3860" t="s">
        <v>16</v>
      </c>
      <c r="L3860" t="s">
        <v>2087</v>
      </c>
      <c r="M3860">
        <v>5</v>
      </c>
      <c r="N3860" t="s">
        <v>157</v>
      </c>
      <c r="O3860" t="s">
        <v>2088</v>
      </c>
    </row>
    <row r="3861" spans="1:15">
      <c r="A3861" t="s">
        <v>5121</v>
      </c>
      <c r="B3861" t="s">
        <v>2097</v>
      </c>
      <c r="C3861" t="s">
        <v>2111</v>
      </c>
      <c r="D3861" s="1">
        <v>44180</v>
      </c>
      <c r="E3861" s="1">
        <v>45092</v>
      </c>
      <c r="F3861">
        <v>200</v>
      </c>
      <c r="G3861">
        <v>6</v>
      </c>
      <c r="H3861">
        <v>410.16</v>
      </c>
      <c r="I3861">
        <v>79.599999999999994</v>
      </c>
      <c r="J3861" t="s">
        <v>41</v>
      </c>
      <c r="K3861" t="s">
        <v>16</v>
      </c>
      <c r="L3861" t="s">
        <v>2095</v>
      </c>
      <c r="M3861">
        <v>3</v>
      </c>
      <c r="N3861" t="s">
        <v>165</v>
      </c>
      <c r="O3861" t="s">
        <v>2107</v>
      </c>
    </row>
    <row r="3862" spans="1:15">
      <c r="A3862" t="s">
        <v>5122</v>
      </c>
      <c r="B3862" t="s">
        <v>2093</v>
      </c>
      <c r="C3862" t="s">
        <v>2100</v>
      </c>
      <c r="D3862" s="1">
        <v>44080</v>
      </c>
      <c r="E3862" s="1">
        <v>45284</v>
      </c>
      <c r="F3862">
        <v>8</v>
      </c>
      <c r="G3862">
        <v>1</v>
      </c>
      <c r="H3862">
        <v>35.619999999999997</v>
      </c>
      <c r="I3862">
        <v>29.63</v>
      </c>
      <c r="J3862" t="s">
        <v>90</v>
      </c>
      <c r="K3862" t="s">
        <v>16</v>
      </c>
      <c r="L3862" t="s">
        <v>2106</v>
      </c>
      <c r="M3862">
        <v>1</v>
      </c>
      <c r="N3862" t="s">
        <v>194</v>
      </c>
      <c r="O3862" t="s">
        <v>2088</v>
      </c>
    </row>
    <row r="3863" spans="1:15">
      <c r="A3863" t="s">
        <v>5123</v>
      </c>
      <c r="B3863" t="s">
        <v>2090</v>
      </c>
      <c r="C3863" t="s">
        <v>2100</v>
      </c>
      <c r="D3863" s="1">
        <v>45028</v>
      </c>
      <c r="E3863" s="1">
        <v>45156</v>
      </c>
      <c r="F3863">
        <v>136</v>
      </c>
      <c r="G3863">
        <v>7</v>
      </c>
      <c r="H3863">
        <v>273.7</v>
      </c>
      <c r="I3863">
        <v>107.93</v>
      </c>
      <c r="J3863" t="s">
        <v>14</v>
      </c>
      <c r="K3863" t="s">
        <v>16</v>
      </c>
      <c r="L3863" t="s">
        <v>2095</v>
      </c>
      <c r="M3863">
        <v>7</v>
      </c>
      <c r="N3863" t="s">
        <v>174</v>
      </c>
      <c r="O3863" t="s">
        <v>2121</v>
      </c>
    </row>
    <row r="3864" spans="1:15">
      <c r="A3864" t="s">
        <v>5124</v>
      </c>
      <c r="B3864" t="s">
        <v>2099</v>
      </c>
      <c r="C3864" t="s">
        <v>2094</v>
      </c>
      <c r="D3864" s="1">
        <v>43550</v>
      </c>
      <c r="E3864" s="1">
        <v>44961</v>
      </c>
      <c r="F3864">
        <v>331</v>
      </c>
      <c r="G3864">
        <v>1</v>
      </c>
      <c r="H3864">
        <v>68.06</v>
      </c>
      <c r="I3864">
        <v>35.69</v>
      </c>
      <c r="J3864" t="s">
        <v>41</v>
      </c>
      <c r="K3864" t="s">
        <v>16</v>
      </c>
      <c r="L3864" t="s">
        <v>2087</v>
      </c>
      <c r="M3864">
        <v>5</v>
      </c>
      <c r="N3864" t="s">
        <v>204</v>
      </c>
      <c r="O3864" t="s">
        <v>2107</v>
      </c>
    </row>
    <row r="3865" spans="1:15">
      <c r="A3865" t="s">
        <v>1567</v>
      </c>
      <c r="B3865" t="s">
        <v>2099</v>
      </c>
      <c r="C3865" t="s">
        <v>2100</v>
      </c>
      <c r="D3865" s="1">
        <v>45111</v>
      </c>
      <c r="E3865" s="1">
        <v>45044</v>
      </c>
      <c r="F3865">
        <v>248</v>
      </c>
      <c r="G3865">
        <v>2</v>
      </c>
      <c r="H3865">
        <v>100.09</v>
      </c>
      <c r="I3865">
        <v>61.25</v>
      </c>
      <c r="J3865" t="s">
        <v>115</v>
      </c>
      <c r="K3865" t="s">
        <v>16</v>
      </c>
      <c r="L3865" t="s">
        <v>2095</v>
      </c>
      <c r="M3865">
        <v>6</v>
      </c>
      <c r="N3865" t="s">
        <v>165</v>
      </c>
      <c r="O3865" t="s">
        <v>2121</v>
      </c>
    </row>
    <row r="3866" spans="1:15">
      <c r="A3866" t="s">
        <v>896</v>
      </c>
      <c r="B3866" t="s">
        <v>2093</v>
      </c>
      <c r="C3866" t="s">
        <v>2111</v>
      </c>
      <c r="D3866" s="1">
        <v>44505</v>
      </c>
      <c r="E3866" s="1">
        <v>44986</v>
      </c>
      <c r="F3866">
        <v>306</v>
      </c>
      <c r="G3866">
        <v>3</v>
      </c>
      <c r="H3866">
        <v>152.29</v>
      </c>
      <c r="I3866">
        <v>73.87</v>
      </c>
      <c r="J3866" t="s">
        <v>90</v>
      </c>
      <c r="K3866" t="s">
        <v>16</v>
      </c>
      <c r="L3866" t="s">
        <v>2095</v>
      </c>
      <c r="M3866">
        <v>6</v>
      </c>
      <c r="N3866" t="s">
        <v>179</v>
      </c>
      <c r="O3866" t="s">
        <v>2109</v>
      </c>
    </row>
    <row r="3867" spans="1:15">
      <c r="A3867" t="s">
        <v>5125</v>
      </c>
      <c r="B3867" t="s">
        <v>2097</v>
      </c>
      <c r="C3867" t="s">
        <v>2094</v>
      </c>
      <c r="D3867" s="1">
        <v>44919</v>
      </c>
      <c r="E3867" s="1">
        <v>44938</v>
      </c>
      <c r="F3867">
        <v>354</v>
      </c>
      <c r="G3867">
        <v>5</v>
      </c>
      <c r="H3867">
        <v>561.94000000000005</v>
      </c>
      <c r="I3867">
        <v>87.7</v>
      </c>
      <c r="J3867" t="s">
        <v>41</v>
      </c>
      <c r="K3867" t="s">
        <v>20</v>
      </c>
      <c r="L3867" t="s">
        <v>2087</v>
      </c>
      <c r="M3867">
        <v>2</v>
      </c>
      <c r="N3867" t="s">
        <v>232</v>
      </c>
      <c r="O3867" t="s">
        <v>2088</v>
      </c>
    </row>
    <row r="3868" spans="1:15">
      <c r="A3868" t="s">
        <v>5126</v>
      </c>
      <c r="B3868" t="s">
        <v>2097</v>
      </c>
      <c r="C3868" t="s">
        <v>2094</v>
      </c>
      <c r="D3868" s="1">
        <v>44011</v>
      </c>
      <c r="E3868" s="1">
        <v>45155</v>
      </c>
      <c r="F3868">
        <v>137</v>
      </c>
      <c r="G3868">
        <v>4</v>
      </c>
      <c r="H3868">
        <v>208.23</v>
      </c>
      <c r="I3868">
        <v>132.94999999999999</v>
      </c>
      <c r="J3868" t="s">
        <v>41</v>
      </c>
      <c r="K3868" t="s">
        <v>20</v>
      </c>
      <c r="L3868" t="s">
        <v>2106</v>
      </c>
      <c r="M3868">
        <v>5</v>
      </c>
      <c r="N3868" t="s">
        <v>174</v>
      </c>
      <c r="O3868" t="s">
        <v>2109</v>
      </c>
    </row>
    <row r="3869" spans="1:15">
      <c r="A3869" t="s">
        <v>5127</v>
      </c>
      <c r="B3869" t="s">
        <v>2090</v>
      </c>
      <c r="C3869" t="s">
        <v>2086</v>
      </c>
      <c r="D3869" s="1">
        <v>43588</v>
      </c>
      <c r="E3869" s="1">
        <v>45221</v>
      </c>
      <c r="F3869">
        <v>71</v>
      </c>
      <c r="G3869">
        <v>7</v>
      </c>
      <c r="H3869">
        <v>234.66</v>
      </c>
      <c r="I3869">
        <v>111.97</v>
      </c>
      <c r="J3869" t="s">
        <v>41</v>
      </c>
      <c r="K3869" t="s">
        <v>20</v>
      </c>
      <c r="L3869" t="s">
        <v>2087</v>
      </c>
      <c r="M3869">
        <v>2</v>
      </c>
      <c r="N3869" t="s">
        <v>179</v>
      </c>
      <c r="O3869" t="s">
        <v>2096</v>
      </c>
    </row>
    <row r="3870" spans="1:15">
      <c r="A3870" t="s">
        <v>5128</v>
      </c>
      <c r="B3870" t="s">
        <v>2085</v>
      </c>
      <c r="C3870" t="s">
        <v>2086</v>
      </c>
      <c r="D3870" s="1">
        <v>43775</v>
      </c>
      <c r="E3870" s="1">
        <v>45230</v>
      </c>
      <c r="F3870">
        <v>62</v>
      </c>
      <c r="G3870">
        <v>16</v>
      </c>
      <c r="H3870">
        <v>2848.31</v>
      </c>
      <c r="I3870">
        <v>143.11000000000001</v>
      </c>
      <c r="J3870" t="s">
        <v>115</v>
      </c>
      <c r="K3870" t="s">
        <v>16</v>
      </c>
      <c r="L3870" t="s">
        <v>2106</v>
      </c>
      <c r="M3870">
        <v>9</v>
      </c>
      <c r="N3870" t="s">
        <v>179</v>
      </c>
      <c r="O3870" t="s">
        <v>2096</v>
      </c>
    </row>
    <row r="3871" spans="1:15">
      <c r="A3871" t="s">
        <v>5129</v>
      </c>
      <c r="B3871" t="s">
        <v>2085</v>
      </c>
      <c r="C3871" t="s">
        <v>2094</v>
      </c>
      <c r="D3871" s="1">
        <v>45064</v>
      </c>
      <c r="E3871" s="1">
        <v>45273</v>
      </c>
      <c r="F3871">
        <v>19</v>
      </c>
      <c r="G3871">
        <v>23</v>
      </c>
      <c r="H3871">
        <v>2755.3</v>
      </c>
      <c r="I3871">
        <v>256.2</v>
      </c>
      <c r="J3871" t="s">
        <v>115</v>
      </c>
      <c r="K3871" t="s">
        <v>16</v>
      </c>
      <c r="L3871" t="s">
        <v>2087</v>
      </c>
      <c r="M3871">
        <v>7</v>
      </c>
      <c r="N3871" t="s">
        <v>204</v>
      </c>
      <c r="O3871" t="s">
        <v>2096</v>
      </c>
    </row>
    <row r="3872" spans="1:15">
      <c r="A3872" t="s">
        <v>5130</v>
      </c>
      <c r="B3872" t="s">
        <v>2099</v>
      </c>
      <c r="C3872" t="s">
        <v>2091</v>
      </c>
      <c r="D3872" s="1">
        <v>44516</v>
      </c>
      <c r="E3872" s="1">
        <v>44944</v>
      </c>
      <c r="F3872">
        <v>348</v>
      </c>
      <c r="G3872">
        <v>1</v>
      </c>
      <c r="H3872">
        <v>114</v>
      </c>
      <c r="I3872">
        <v>98.16</v>
      </c>
      <c r="J3872" t="s">
        <v>14</v>
      </c>
      <c r="K3872" t="s">
        <v>16</v>
      </c>
      <c r="L3872" t="s">
        <v>2106</v>
      </c>
      <c r="M3872">
        <v>0</v>
      </c>
      <c r="N3872" t="s">
        <v>174</v>
      </c>
      <c r="O3872" t="s">
        <v>2121</v>
      </c>
    </row>
    <row r="3873" spans="1:15">
      <c r="A3873" t="s">
        <v>331</v>
      </c>
      <c r="B3873" t="s">
        <v>2093</v>
      </c>
      <c r="C3873" t="s">
        <v>2091</v>
      </c>
      <c r="D3873" s="1">
        <v>43628</v>
      </c>
      <c r="E3873" s="1">
        <v>45285</v>
      </c>
      <c r="F3873">
        <v>7</v>
      </c>
      <c r="G3873">
        <v>3</v>
      </c>
      <c r="H3873">
        <v>177.93</v>
      </c>
      <c r="I3873">
        <v>51.25</v>
      </c>
      <c r="J3873" t="s">
        <v>14</v>
      </c>
      <c r="K3873" t="s">
        <v>16</v>
      </c>
      <c r="L3873" t="s">
        <v>2095</v>
      </c>
      <c r="M3873">
        <v>3</v>
      </c>
      <c r="N3873" t="s">
        <v>204</v>
      </c>
      <c r="O3873" t="s">
        <v>2096</v>
      </c>
    </row>
    <row r="3874" spans="1:15">
      <c r="A3874" t="s">
        <v>556</v>
      </c>
      <c r="B3874" t="s">
        <v>2113</v>
      </c>
      <c r="C3874" t="s">
        <v>2111</v>
      </c>
      <c r="D3874" s="1">
        <v>44972</v>
      </c>
      <c r="E3874" s="1">
        <v>44982</v>
      </c>
      <c r="F3874">
        <v>310</v>
      </c>
      <c r="G3874">
        <v>20</v>
      </c>
      <c r="H3874">
        <v>230.99</v>
      </c>
      <c r="I3874">
        <v>39.29</v>
      </c>
      <c r="J3874" t="s">
        <v>66</v>
      </c>
      <c r="K3874" t="s">
        <v>16</v>
      </c>
      <c r="L3874" t="s">
        <v>2106</v>
      </c>
      <c r="M3874">
        <v>5</v>
      </c>
      <c r="N3874" t="s">
        <v>232</v>
      </c>
      <c r="O3874" t="s">
        <v>2088</v>
      </c>
    </row>
    <row r="3875" spans="1:15">
      <c r="A3875" t="s">
        <v>5131</v>
      </c>
      <c r="B3875" t="s">
        <v>2097</v>
      </c>
      <c r="C3875" t="s">
        <v>2086</v>
      </c>
      <c r="D3875" s="1">
        <v>44972</v>
      </c>
      <c r="E3875" s="1">
        <v>44982</v>
      </c>
      <c r="F3875">
        <v>310</v>
      </c>
      <c r="G3875">
        <v>4</v>
      </c>
      <c r="H3875">
        <v>643.08000000000004</v>
      </c>
      <c r="I3875">
        <v>97.4</v>
      </c>
      <c r="J3875" t="s">
        <v>90</v>
      </c>
      <c r="K3875" t="s">
        <v>20</v>
      </c>
      <c r="L3875" t="s">
        <v>2106</v>
      </c>
      <c r="M3875">
        <v>0</v>
      </c>
      <c r="N3875" t="s">
        <v>232</v>
      </c>
      <c r="O3875" t="s">
        <v>2096</v>
      </c>
    </row>
    <row r="3876" spans="1:15">
      <c r="A3876" t="s">
        <v>5132</v>
      </c>
      <c r="B3876" t="s">
        <v>2097</v>
      </c>
      <c r="C3876" t="s">
        <v>2108</v>
      </c>
      <c r="D3876" s="1">
        <v>44318</v>
      </c>
      <c r="E3876" s="1">
        <v>45089</v>
      </c>
      <c r="F3876">
        <v>203</v>
      </c>
      <c r="G3876">
        <v>9</v>
      </c>
      <c r="H3876">
        <v>340.31</v>
      </c>
      <c r="I3876">
        <v>99.01</v>
      </c>
      <c r="J3876" t="s">
        <v>115</v>
      </c>
      <c r="K3876" t="s">
        <v>16</v>
      </c>
      <c r="L3876" t="s">
        <v>2095</v>
      </c>
      <c r="M3876">
        <v>5</v>
      </c>
      <c r="N3876" t="s">
        <v>232</v>
      </c>
      <c r="O3876" t="s">
        <v>2121</v>
      </c>
    </row>
    <row r="3877" spans="1:15">
      <c r="A3877" t="s">
        <v>5133</v>
      </c>
      <c r="B3877" t="s">
        <v>2090</v>
      </c>
      <c r="C3877" t="s">
        <v>2111</v>
      </c>
      <c r="D3877" s="1">
        <v>44633</v>
      </c>
      <c r="E3877" s="1">
        <v>44940</v>
      </c>
      <c r="F3877">
        <v>352</v>
      </c>
      <c r="G3877">
        <v>7</v>
      </c>
      <c r="H3877">
        <v>145.28</v>
      </c>
      <c r="I3877">
        <v>71.83</v>
      </c>
      <c r="J3877" t="s">
        <v>90</v>
      </c>
      <c r="K3877" t="s">
        <v>20</v>
      </c>
      <c r="L3877" t="s">
        <v>2095</v>
      </c>
      <c r="M3877">
        <v>1</v>
      </c>
      <c r="N3877" t="s">
        <v>179</v>
      </c>
      <c r="O3877" t="s">
        <v>2096</v>
      </c>
    </row>
    <row r="3878" spans="1:15">
      <c r="A3878" t="s">
        <v>5134</v>
      </c>
      <c r="B3878" t="s">
        <v>2113</v>
      </c>
      <c r="C3878" t="s">
        <v>2094</v>
      </c>
      <c r="D3878" s="1">
        <v>44744</v>
      </c>
      <c r="E3878" s="1">
        <v>45124</v>
      </c>
      <c r="F3878">
        <v>168</v>
      </c>
      <c r="G3878">
        <v>11</v>
      </c>
      <c r="H3878">
        <v>595.01</v>
      </c>
      <c r="I3878">
        <v>50.82</v>
      </c>
      <c r="J3878" t="s">
        <v>41</v>
      </c>
      <c r="K3878" t="s">
        <v>20</v>
      </c>
      <c r="L3878" t="s">
        <v>2087</v>
      </c>
      <c r="M3878">
        <v>5</v>
      </c>
      <c r="N3878" t="s">
        <v>165</v>
      </c>
      <c r="O3878" t="s">
        <v>2107</v>
      </c>
    </row>
    <row r="3879" spans="1:15">
      <c r="A3879" t="s">
        <v>5135</v>
      </c>
      <c r="B3879" t="s">
        <v>2093</v>
      </c>
      <c r="C3879" t="s">
        <v>2111</v>
      </c>
      <c r="D3879" s="1">
        <v>43724</v>
      </c>
      <c r="E3879" s="1">
        <v>44957</v>
      </c>
      <c r="F3879">
        <v>335</v>
      </c>
      <c r="G3879">
        <v>3</v>
      </c>
      <c r="H3879">
        <v>182.13</v>
      </c>
      <c r="I3879">
        <v>49.57</v>
      </c>
      <c r="J3879" t="s">
        <v>115</v>
      </c>
      <c r="K3879" t="s">
        <v>16</v>
      </c>
      <c r="L3879" t="s">
        <v>2095</v>
      </c>
      <c r="M3879">
        <v>1</v>
      </c>
      <c r="N3879" t="s">
        <v>194</v>
      </c>
      <c r="O3879" t="s">
        <v>2107</v>
      </c>
    </row>
    <row r="3880" spans="1:15">
      <c r="A3880" t="s">
        <v>1183</v>
      </c>
      <c r="B3880" t="s">
        <v>2113</v>
      </c>
      <c r="C3880" t="s">
        <v>2094</v>
      </c>
      <c r="D3880" s="1">
        <v>45086</v>
      </c>
      <c r="E3880" s="1">
        <v>44941</v>
      </c>
      <c r="F3880">
        <v>351</v>
      </c>
      <c r="G3880">
        <v>11</v>
      </c>
      <c r="H3880">
        <v>502.05</v>
      </c>
      <c r="I3880">
        <v>79.22</v>
      </c>
      <c r="J3880" t="s">
        <v>41</v>
      </c>
      <c r="K3880" t="s">
        <v>16</v>
      </c>
      <c r="L3880" t="s">
        <v>2087</v>
      </c>
      <c r="M3880">
        <v>6</v>
      </c>
      <c r="N3880" t="s">
        <v>165</v>
      </c>
      <c r="O3880" t="s">
        <v>2107</v>
      </c>
    </row>
    <row r="3881" spans="1:15">
      <c r="A3881" t="s">
        <v>5136</v>
      </c>
      <c r="B3881" t="s">
        <v>2113</v>
      </c>
      <c r="C3881" t="s">
        <v>2111</v>
      </c>
      <c r="D3881" s="1">
        <v>44686</v>
      </c>
      <c r="E3881" s="1">
        <v>45180</v>
      </c>
      <c r="F3881">
        <v>112</v>
      </c>
      <c r="G3881">
        <v>5</v>
      </c>
      <c r="H3881">
        <v>532.08000000000004</v>
      </c>
      <c r="I3881">
        <v>45.02</v>
      </c>
      <c r="J3881" t="s">
        <v>66</v>
      </c>
      <c r="K3881" t="s">
        <v>16</v>
      </c>
      <c r="L3881" t="s">
        <v>2087</v>
      </c>
      <c r="M3881">
        <v>8</v>
      </c>
      <c r="N3881" t="s">
        <v>165</v>
      </c>
      <c r="O3881" t="s">
        <v>2121</v>
      </c>
    </row>
    <row r="3882" spans="1:15">
      <c r="A3882" t="s">
        <v>1404</v>
      </c>
      <c r="B3882" t="s">
        <v>2113</v>
      </c>
      <c r="C3882" t="s">
        <v>2108</v>
      </c>
      <c r="D3882" s="1">
        <v>44294</v>
      </c>
      <c r="E3882" s="1">
        <v>45218</v>
      </c>
      <c r="F3882">
        <v>74</v>
      </c>
      <c r="G3882">
        <v>16</v>
      </c>
      <c r="H3882">
        <v>590.79</v>
      </c>
      <c r="I3882">
        <v>34.86</v>
      </c>
      <c r="J3882" t="s">
        <v>41</v>
      </c>
      <c r="K3882" t="s">
        <v>16</v>
      </c>
      <c r="L3882" t="s">
        <v>2106</v>
      </c>
      <c r="M3882">
        <v>4</v>
      </c>
      <c r="N3882" t="s">
        <v>174</v>
      </c>
      <c r="O3882" t="s">
        <v>2121</v>
      </c>
    </row>
    <row r="3883" spans="1:15">
      <c r="A3883" t="s">
        <v>5137</v>
      </c>
      <c r="B3883" t="s">
        <v>2093</v>
      </c>
      <c r="C3883" t="s">
        <v>2111</v>
      </c>
      <c r="D3883" s="1">
        <v>45066</v>
      </c>
      <c r="E3883" s="1">
        <v>45075</v>
      </c>
      <c r="F3883">
        <v>217</v>
      </c>
      <c r="G3883">
        <v>4</v>
      </c>
      <c r="H3883">
        <v>158.63999999999999</v>
      </c>
      <c r="I3883">
        <v>60.33</v>
      </c>
      <c r="J3883" t="s">
        <v>14</v>
      </c>
      <c r="K3883" t="s">
        <v>20</v>
      </c>
      <c r="L3883" t="s">
        <v>2106</v>
      </c>
      <c r="M3883">
        <v>3</v>
      </c>
      <c r="N3883" t="s">
        <v>194</v>
      </c>
      <c r="O3883" t="s">
        <v>2107</v>
      </c>
    </row>
    <row r="3884" spans="1:15">
      <c r="A3884" t="s">
        <v>5138</v>
      </c>
      <c r="B3884" t="s">
        <v>2090</v>
      </c>
      <c r="C3884" t="s">
        <v>2111</v>
      </c>
      <c r="D3884" s="1">
        <v>44784</v>
      </c>
      <c r="E3884" s="1">
        <v>45223</v>
      </c>
      <c r="F3884">
        <v>69</v>
      </c>
      <c r="G3884">
        <v>2</v>
      </c>
      <c r="H3884">
        <v>280.57</v>
      </c>
      <c r="I3884">
        <v>58.76</v>
      </c>
      <c r="J3884" t="s">
        <v>90</v>
      </c>
      <c r="K3884" t="s">
        <v>16</v>
      </c>
      <c r="L3884" t="s">
        <v>2087</v>
      </c>
      <c r="M3884">
        <v>7</v>
      </c>
      <c r="N3884" t="s">
        <v>165</v>
      </c>
      <c r="O3884" t="s">
        <v>2096</v>
      </c>
    </row>
    <row r="3885" spans="1:15">
      <c r="A3885" t="s">
        <v>5139</v>
      </c>
      <c r="B3885" t="s">
        <v>2090</v>
      </c>
      <c r="C3885" t="s">
        <v>2094</v>
      </c>
      <c r="D3885" s="1">
        <v>43614</v>
      </c>
      <c r="E3885" s="1">
        <v>45186</v>
      </c>
      <c r="F3885">
        <v>106</v>
      </c>
      <c r="G3885">
        <v>8</v>
      </c>
      <c r="H3885">
        <v>296.99</v>
      </c>
      <c r="I3885">
        <v>68.819999999999993</v>
      </c>
      <c r="J3885" t="s">
        <v>115</v>
      </c>
      <c r="K3885" t="s">
        <v>16</v>
      </c>
      <c r="L3885" t="s">
        <v>2106</v>
      </c>
      <c r="M3885">
        <v>0</v>
      </c>
      <c r="N3885" t="s">
        <v>194</v>
      </c>
      <c r="O3885" t="s">
        <v>2107</v>
      </c>
    </row>
    <row r="3886" spans="1:15">
      <c r="A3886" t="s">
        <v>5140</v>
      </c>
      <c r="B3886" t="s">
        <v>2090</v>
      </c>
      <c r="C3886" t="s">
        <v>2108</v>
      </c>
      <c r="D3886" s="1">
        <v>45089</v>
      </c>
      <c r="E3886" s="1">
        <v>45190</v>
      </c>
      <c r="F3886">
        <v>102</v>
      </c>
      <c r="G3886">
        <v>4</v>
      </c>
      <c r="H3886">
        <v>126.21</v>
      </c>
      <c r="I3886">
        <v>41.12</v>
      </c>
      <c r="J3886" t="s">
        <v>115</v>
      </c>
      <c r="K3886" t="s">
        <v>20</v>
      </c>
      <c r="L3886" t="s">
        <v>2095</v>
      </c>
      <c r="M3886">
        <v>5</v>
      </c>
      <c r="N3886" t="s">
        <v>179</v>
      </c>
      <c r="O3886" t="s">
        <v>2088</v>
      </c>
    </row>
    <row r="3887" spans="1:15">
      <c r="A3887" t="s">
        <v>1212</v>
      </c>
      <c r="B3887" t="s">
        <v>2093</v>
      </c>
      <c r="C3887" t="s">
        <v>2111</v>
      </c>
      <c r="D3887" s="1">
        <v>44712</v>
      </c>
      <c r="E3887" s="1">
        <v>45205</v>
      </c>
      <c r="F3887">
        <v>87</v>
      </c>
      <c r="G3887">
        <v>3</v>
      </c>
      <c r="H3887">
        <v>112.29</v>
      </c>
      <c r="I3887">
        <v>67.45</v>
      </c>
      <c r="J3887" t="s">
        <v>41</v>
      </c>
      <c r="K3887" t="s">
        <v>16</v>
      </c>
      <c r="L3887" t="s">
        <v>2095</v>
      </c>
      <c r="M3887">
        <v>3</v>
      </c>
      <c r="N3887" t="s">
        <v>204</v>
      </c>
      <c r="O3887" t="s">
        <v>2109</v>
      </c>
    </row>
    <row r="3888" spans="1:15">
      <c r="A3888" t="s">
        <v>946</v>
      </c>
      <c r="B3888" t="s">
        <v>2097</v>
      </c>
      <c r="C3888" t="s">
        <v>2100</v>
      </c>
      <c r="D3888" s="1">
        <v>44596</v>
      </c>
      <c r="E3888" s="1">
        <v>45211</v>
      </c>
      <c r="F3888">
        <v>81</v>
      </c>
      <c r="G3888">
        <v>4</v>
      </c>
      <c r="H3888">
        <v>249.71</v>
      </c>
      <c r="I3888">
        <v>86.82</v>
      </c>
      <c r="J3888" t="s">
        <v>115</v>
      </c>
      <c r="K3888" t="s">
        <v>20</v>
      </c>
      <c r="L3888" t="s">
        <v>2106</v>
      </c>
      <c r="M3888">
        <v>4</v>
      </c>
      <c r="N3888" t="s">
        <v>232</v>
      </c>
      <c r="O3888" t="s">
        <v>2121</v>
      </c>
    </row>
    <row r="3889" spans="1:15">
      <c r="A3889" t="s">
        <v>5141</v>
      </c>
      <c r="B3889" t="s">
        <v>2097</v>
      </c>
      <c r="C3889" t="s">
        <v>2091</v>
      </c>
      <c r="D3889" s="1">
        <v>44594</v>
      </c>
      <c r="E3889" s="1">
        <v>44966</v>
      </c>
      <c r="F3889">
        <v>326</v>
      </c>
      <c r="G3889">
        <v>3</v>
      </c>
      <c r="H3889">
        <v>446.99</v>
      </c>
      <c r="I3889">
        <v>102.05</v>
      </c>
      <c r="J3889" t="s">
        <v>66</v>
      </c>
      <c r="K3889" t="s">
        <v>16</v>
      </c>
      <c r="L3889" t="s">
        <v>2106</v>
      </c>
      <c r="M3889">
        <v>9</v>
      </c>
      <c r="N3889" t="s">
        <v>194</v>
      </c>
      <c r="O3889" t="s">
        <v>2096</v>
      </c>
    </row>
    <row r="3890" spans="1:15">
      <c r="A3890" t="s">
        <v>5142</v>
      </c>
      <c r="B3890" t="s">
        <v>2113</v>
      </c>
      <c r="C3890" t="s">
        <v>2091</v>
      </c>
      <c r="D3890" s="1">
        <v>44599</v>
      </c>
      <c r="E3890" s="1">
        <v>44978</v>
      </c>
      <c r="F3890">
        <v>314</v>
      </c>
      <c r="G3890">
        <v>5</v>
      </c>
      <c r="H3890">
        <v>259.70999999999998</v>
      </c>
      <c r="I3890">
        <v>67.180000000000007</v>
      </c>
      <c r="J3890" t="s">
        <v>90</v>
      </c>
      <c r="K3890" t="s">
        <v>16</v>
      </c>
      <c r="L3890" t="s">
        <v>2087</v>
      </c>
      <c r="M3890">
        <v>0</v>
      </c>
      <c r="N3890" t="s">
        <v>174</v>
      </c>
      <c r="O3890" t="s">
        <v>2096</v>
      </c>
    </row>
    <row r="3891" spans="1:15">
      <c r="A3891" t="s">
        <v>514</v>
      </c>
      <c r="B3891" t="s">
        <v>2113</v>
      </c>
      <c r="C3891" t="s">
        <v>2108</v>
      </c>
      <c r="D3891" s="1">
        <v>44948</v>
      </c>
      <c r="E3891" s="1">
        <v>44996</v>
      </c>
      <c r="F3891">
        <v>296</v>
      </c>
      <c r="G3891">
        <v>16</v>
      </c>
      <c r="H3891">
        <v>252.21</v>
      </c>
      <c r="I3891">
        <v>62.86</v>
      </c>
      <c r="J3891" t="s">
        <v>41</v>
      </c>
      <c r="K3891" t="s">
        <v>20</v>
      </c>
      <c r="L3891" t="s">
        <v>2087</v>
      </c>
      <c r="M3891">
        <v>8</v>
      </c>
      <c r="N3891" t="s">
        <v>174</v>
      </c>
      <c r="O3891" t="s">
        <v>2096</v>
      </c>
    </row>
    <row r="3892" spans="1:15">
      <c r="A3892" t="s">
        <v>5143</v>
      </c>
      <c r="B3892" t="s">
        <v>2093</v>
      </c>
      <c r="C3892" t="s">
        <v>2091</v>
      </c>
      <c r="D3892" s="1">
        <v>44117</v>
      </c>
      <c r="E3892" s="1">
        <v>45094</v>
      </c>
      <c r="F3892">
        <v>198</v>
      </c>
      <c r="G3892">
        <v>5</v>
      </c>
      <c r="H3892">
        <v>78.349999999999994</v>
      </c>
      <c r="I3892">
        <v>39.520000000000003</v>
      </c>
      <c r="J3892" t="s">
        <v>115</v>
      </c>
      <c r="K3892" t="s">
        <v>16</v>
      </c>
      <c r="L3892" t="s">
        <v>2095</v>
      </c>
      <c r="M3892">
        <v>5</v>
      </c>
      <c r="N3892" t="s">
        <v>179</v>
      </c>
      <c r="O3892" t="s">
        <v>2121</v>
      </c>
    </row>
    <row r="3893" spans="1:15">
      <c r="A3893" t="s">
        <v>5144</v>
      </c>
      <c r="B3893" t="s">
        <v>2099</v>
      </c>
      <c r="C3893" t="s">
        <v>2108</v>
      </c>
      <c r="D3893" s="1">
        <v>43784</v>
      </c>
      <c r="E3893" s="1">
        <v>45266</v>
      </c>
      <c r="F3893">
        <v>26</v>
      </c>
      <c r="G3893">
        <v>1</v>
      </c>
      <c r="H3893">
        <v>55.3</v>
      </c>
      <c r="I3893">
        <v>28.09</v>
      </c>
      <c r="J3893" t="s">
        <v>115</v>
      </c>
      <c r="K3893" t="s">
        <v>20</v>
      </c>
      <c r="L3893" t="s">
        <v>2087</v>
      </c>
      <c r="M3893">
        <v>0</v>
      </c>
      <c r="N3893" t="s">
        <v>174</v>
      </c>
      <c r="O3893" t="s">
        <v>2096</v>
      </c>
    </row>
    <row r="3894" spans="1:15">
      <c r="A3894" t="s">
        <v>5145</v>
      </c>
      <c r="B3894" t="s">
        <v>2090</v>
      </c>
      <c r="C3894" t="s">
        <v>2094</v>
      </c>
      <c r="D3894" s="1">
        <v>43764</v>
      </c>
      <c r="E3894" s="1">
        <v>45228</v>
      </c>
      <c r="F3894">
        <v>64</v>
      </c>
      <c r="G3894">
        <v>3</v>
      </c>
      <c r="H3894">
        <v>291.63</v>
      </c>
      <c r="I3894">
        <v>49.69</v>
      </c>
      <c r="J3894" t="s">
        <v>14</v>
      </c>
      <c r="K3894" t="s">
        <v>16</v>
      </c>
      <c r="L3894" t="s">
        <v>2087</v>
      </c>
      <c r="M3894">
        <v>1</v>
      </c>
      <c r="N3894" t="s">
        <v>174</v>
      </c>
      <c r="O3894" t="s">
        <v>2096</v>
      </c>
    </row>
    <row r="3895" spans="1:15">
      <c r="A3895" t="s">
        <v>5146</v>
      </c>
      <c r="B3895" t="s">
        <v>2113</v>
      </c>
      <c r="C3895" t="s">
        <v>2100</v>
      </c>
      <c r="D3895" s="1">
        <v>43543</v>
      </c>
      <c r="E3895" s="1">
        <v>45233</v>
      </c>
      <c r="F3895">
        <v>59</v>
      </c>
      <c r="G3895">
        <v>12</v>
      </c>
      <c r="H3895">
        <v>178.78</v>
      </c>
      <c r="I3895">
        <v>67.510000000000005</v>
      </c>
      <c r="J3895" t="s">
        <v>66</v>
      </c>
      <c r="K3895" t="s">
        <v>16</v>
      </c>
      <c r="L3895" t="s">
        <v>2106</v>
      </c>
      <c r="M3895">
        <v>6</v>
      </c>
      <c r="N3895" t="s">
        <v>179</v>
      </c>
      <c r="O3895" t="s">
        <v>2096</v>
      </c>
    </row>
    <row r="3896" spans="1:15">
      <c r="A3896" t="s">
        <v>5147</v>
      </c>
      <c r="B3896" t="s">
        <v>2097</v>
      </c>
      <c r="C3896" t="s">
        <v>2094</v>
      </c>
      <c r="D3896" s="1">
        <v>44928</v>
      </c>
      <c r="E3896" s="1">
        <v>45215</v>
      </c>
      <c r="F3896">
        <v>77</v>
      </c>
      <c r="G3896">
        <v>4</v>
      </c>
      <c r="H3896">
        <v>402.21</v>
      </c>
      <c r="I3896">
        <v>128.79</v>
      </c>
      <c r="J3896" t="s">
        <v>115</v>
      </c>
      <c r="K3896" t="s">
        <v>16</v>
      </c>
      <c r="L3896" t="s">
        <v>2106</v>
      </c>
      <c r="M3896">
        <v>10</v>
      </c>
      <c r="N3896" t="s">
        <v>174</v>
      </c>
      <c r="O3896" t="s">
        <v>2096</v>
      </c>
    </row>
    <row r="3897" spans="1:15">
      <c r="A3897" t="s">
        <v>5148</v>
      </c>
      <c r="B3897" t="s">
        <v>2085</v>
      </c>
      <c r="C3897" t="s">
        <v>2111</v>
      </c>
      <c r="D3897" s="1">
        <v>44891</v>
      </c>
      <c r="E3897" s="1">
        <v>44938</v>
      </c>
      <c r="F3897">
        <v>354</v>
      </c>
      <c r="G3897">
        <v>14</v>
      </c>
      <c r="H3897">
        <v>1162.33</v>
      </c>
      <c r="I3897">
        <v>141.41</v>
      </c>
      <c r="J3897" t="s">
        <v>90</v>
      </c>
      <c r="K3897" t="s">
        <v>16</v>
      </c>
      <c r="L3897" t="s">
        <v>2106</v>
      </c>
      <c r="M3897">
        <v>6</v>
      </c>
      <c r="N3897" t="s">
        <v>194</v>
      </c>
      <c r="O3897" t="s">
        <v>2121</v>
      </c>
    </row>
    <row r="3898" spans="1:15">
      <c r="A3898" t="s">
        <v>5149</v>
      </c>
      <c r="B3898" t="s">
        <v>2093</v>
      </c>
      <c r="C3898" t="s">
        <v>2086</v>
      </c>
      <c r="D3898" s="1">
        <v>43848</v>
      </c>
      <c r="E3898" s="1">
        <v>45040</v>
      </c>
      <c r="F3898">
        <v>252</v>
      </c>
      <c r="G3898">
        <v>4</v>
      </c>
      <c r="H3898">
        <v>140.59</v>
      </c>
      <c r="I3898">
        <v>74.34</v>
      </c>
      <c r="J3898" t="s">
        <v>41</v>
      </c>
      <c r="K3898" t="s">
        <v>16</v>
      </c>
      <c r="L3898" t="s">
        <v>2106</v>
      </c>
      <c r="M3898">
        <v>4</v>
      </c>
      <c r="N3898" t="s">
        <v>174</v>
      </c>
      <c r="O3898" t="s">
        <v>2121</v>
      </c>
    </row>
    <row r="3899" spans="1:15">
      <c r="A3899" t="s">
        <v>5150</v>
      </c>
      <c r="B3899" t="s">
        <v>2097</v>
      </c>
      <c r="C3899" t="s">
        <v>2111</v>
      </c>
      <c r="D3899" s="1">
        <v>43824</v>
      </c>
      <c r="E3899" s="1">
        <v>45185</v>
      </c>
      <c r="F3899">
        <v>107</v>
      </c>
      <c r="G3899">
        <v>7</v>
      </c>
      <c r="H3899">
        <v>333.01</v>
      </c>
      <c r="I3899">
        <v>139.09</v>
      </c>
      <c r="J3899" t="s">
        <v>90</v>
      </c>
      <c r="K3899" t="s">
        <v>16</v>
      </c>
      <c r="L3899" t="s">
        <v>2106</v>
      </c>
      <c r="M3899">
        <v>9</v>
      </c>
      <c r="N3899" t="s">
        <v>165</v>
      </c>
      <c r="O3899" t="s">
        <v>2096</v>
      </c>
    </row>
    <row r="3900" spans="1:15">
      <c r="A3900" t="s">
        <v>5151</v>
      </c>
      <c r="B3900" t="s">
        <v>2113</v>
      </c>
      <c r="C3900" t="s">
        <v>2108</v>
      </c>
      <c r="D3900" s="1">
        <v>44961</v>
      </c>
      <c r="E3900" s="1">
        <v>45219</v>
      </c>
      <c r="F3900">
        <v>73</v>
      </c>
      <c r="G3900">
        <v>11</v>
      </c>
      <c r="H3900">
        <v>356.22</v>
      </c>
      <c r="I3900">
        <v>79.790000000000006</v>
      </c>
      <c r="J3900" t="s">
        <v>14</v>
      </c>
      <c r="K3900" t="s">
        <v>16</v>
      </c>
      <c r="L3900" t="s">
        <v>2106</v>
      </c>
      <c r="M3900">
        <v>9</v>
      </c>
      <c r="N3900" t="s">
        <v>194</v>
      </c>
      <c r="O3900" t="s">
        <v>2096</v>
      </c>
    </row>
    <row r="3901" spans="1:15">
      <c r="A3901" t="s">
        <v>5152</v>
      </c>
      <c r="B3901" t="s">
        <v>2090</v>
      </c>
      <c r="C3901" t="s">
        <v>2086</v>
      </c>
      <c r="D3901" s="1">
        <v>44019</v>
      </c>
      <c r="E3901" s="1">
        <v>45009</v>
      </c>
      <c r="F3901">
        <v>283</v>
      </c>
      <c r="G3901">
        <v>8</v>
      </c>
      <c r="H3901">
        <v>369.14</v>
      </c>
      <c r="I3901">
        <v>98.35</v>
      </c>
      <c r="J3901" t="s">
        <v>14</v>
      </c>
      <c r="K3901" t="s">
        <v>16</v>
      </c>
      <c r="L3901" t="s">
        <v>2106</v>
      </c>
      <c r="M3901">
        <v>3</v>
      </c>
      <c r="N3901" t="s">
        <v>204</v>
      </c>
      <c r="O3901" t="s">
        <v>2107</v>
      </c>
    </row>
    <row r="3902" spans="1:15">
      <c r="A3902" t="s">
        <v>1026</v>
      </c>
      <c r="B3902" t="s">
        <v>2113</v>
      </c>
      <c r="C3902" t="s">
        <v>2100</v>
      </c>
      <c r="D3902" s="1">
        <v>44899</v>
      </c>
      <c r="E3902" s="1">
        <v>45183</v>
      </c>
      <c r="F3902">
        <v>109</v>
      </c>
      <c r="G3902">
        <v>19</v>
      </c>
      <c r="H3902">
        <v>345.92</v>
      </c>
      <c r="I3902">
        <v>34.29</v>
      </c>
      <c r="J3902" t="s">
        <v>41</v>
      </c>
      <c r="K3902" t="s">
        <v>16</v>
      </c>
      <c r="L3902" t="s">
        <v>2087</v>
      </c>
      <c r="M3902">
        <v>1</v>
      </c>
      <c r="N3902" t="s">
        <v>174</v>
      </c>
      <c r="O3902" t="s">
        <v>2121</v>
      </c>
    </row>
    <row r="3903" spans="1:15">
      <c r="A3903" t="s">
        <v>5153</v>
      </c>
      <c r="B3903" t="s">
        <v>2090</v>
      </c>
      <c r="C3903" t="s">
        <v>2086</v>
      </c>
      <c r="D3903" s="1">
        <v>44983</v>
      </c>
      <c r="E3903" s="1">
        <v>45162</v>
      </c>
      <c r="F3903">
        <v>130</v>
      </c>
      <c r="G3903">
        <v>2</v>
      </c>
      <c r="H3903">
        <v>373.23</v>
      </c>
      <c r="I3903">
        <v>113.06</v>
      </c>
      <c r="J3903" t="s">
        <v>115</v>
      </c>
      <c r="K3903" t="s">
        <v>20</v>
      </c>
      <c r="L3903" t="s">
        <v>2106</v>
      </c>
      <c r="M3903">
        <v>1</v>
      </c>
      <c r="N3903" t="s">
        <v>194</v>
      </c>
      <c r="O3903" t="s">
        <v>2121</v>
      </c>
    </row>
    <row r="3904" spans="1:15">
      <c r="A3904" t="s">
        <v>5154</v>
      </c>
      <c r="B3904" t="s">
        <v>2113</v>
      </c>
      <c r="C3904" t="s">
        <v>2091</v>
      </c>
      <c r="D3904" s="1">
        <v>44936</v>
      </c>
      <c r="E3904" s="1">
        <v>45115</v>
      </c>
      <c r="F3904">
        <v>177</v>
      </c>
      <c r="G3904">
        <v>7</v>
      </c>
      <c r="H3904">
        <v>375.9</v>
      </c>
      <c r="I3904">
        <v>59.65</v>
      </c>
      <c r="J3904" t="s">
        <v>115</v>
      </c>
      <c r="K3904" t="s">
        <v>16</v>
      </c>
      <c r="L3904" t="s">
        <v>2087</v>
      </c>
      <c r="M3904">
        <v>3</v>
      </c>
      <c r="N3904" t="s">
        <v>165</v>
      </c>
      <c r="O3904" t="s">
        <v>2121</v>
      </c>
    </row>
    <row r="3905" spans="1:15">
      <c r="A3905" t="s">
        <v>5155</v>
      </c>
      <c r="B3905" t="s">
        <v>2097</v>
      </c>
      <c r="C3905" t="s">
        <v>2091</v>
      </c>
      <c r="D3905" s="1">
        <v>44595</v>
      </c>
      <c r="E3905" s="1">
        <v>45083</v>
      </c>
      <c r="F3905">
        <v>209</v>
      </c>
      <c r="G3905">
        <v>5</v>
      </c>
      <c r="H3905">
        <v>212.42</v>
      </c>
      <c r="I3905">
        <v>69.819999999999993</v>
      </c>
      <c r="J3905" t="s">
        <v>66</v>
      </c>
      <c r="K3905" t="s">
        <v>20</v>
      </c>
      <c r="L3905" t="s">
        <v>2087</v>
      </c>
      <c r="M3905">
        <v>10</v>
      </c>
      <c r="N3905" t="s">
        <v>165</v>
      </c>
      <c r="O3905" t="s">
        <v>2107</v>
      </c>
    </row>
    <row r="3906" spans="1:15">
      <c r="A3906" t="s">
        <v>5156</v>
      </c>
      <c r="B3906" t="s">
        <v>2090</v>
      </c>
      <c r="C3906" t="s">
        <v>2111</v>
      </c>
      <c r="D3906" s="1">
        <v>43783</v>
      </c>
      <c r="E3906" s="1">
        <v>45243</v>
      </c>
      <c r="F3906">
        <v>49</v>
      </c>
      <c r="G3906">
        <v>6</v>
      </c>
      <c r="H3906">
        <v>99.11</v>
      </c>
      <c r="I3906">
        <v>52.97</v>
      </c>
      <c r="J3906" t="s">
        <v>90</v>
      </c>
      <c r="K3906" t="s">
        <v>16</v>
      </c>
      <c r="L3906" t="s">
        <v>2087</v>
      </c>
      <c r="M3906">
        <v>5</v>
      </c>
      <c r="N3906" t="s">
        <v>179</v>
      </c>
      <c r="O3906" t="s">
        <v>2096</v>
      </c>
    </row>
    <row r="3907" spans="1:15">
      <c r="A3907" t="s">
        <v>5157</v>
      </c>
      <c r="B3907" t="s">
        <v>2093</v>
      </c>
      <c r="C3907" t="s">
        <v>2094</v>
      </c>
      <c r="D3907" s="1">
        <v>44105</v>
      </c>
      <c r="E3907" s="1">
        <v>45247</v>
      </c>
      <c r="F3907">
        <v>45</v>
      </c>
      <c r="G3907">
        <v>2</v>
      </c>
      <c r="H3907">
        <v>152.22999999999999</v>
      </c>
      <c r="I3907">
        <v>28.74</v>
      </c>
      <c r="J3907" t="s">
        <v>90</v>
      </c>
      <c r="K3907" t="s">
        <v>20</v>
      </c>
      <c r="L3907" t="s">
        <v>2095</v>
      </c>
      <c r="M3907">
        <v>3</v>
      </c>
      <c r="N3907" t="s">
        <v>174</v>
      </c>
      <c r="O3907" t="s">
        <v>2121</v>
      </c>
    </row>
    <row r="3908" spans="1:15">
      <c r="A3908" t="s">
        <v>5158</v>
      </c>
      <c r="B3908" t="s">
        <v>2113</v>
      </c>
      <c r="C3908" t="s">
        <v>2111</v>
      </c>
      <c r="D3908" s="1">
        <v>43590</v>
      </c>
      <c r="E3908" s="1">
        <v>45038</v>
      </c>
      <c r="F3908">
        <v>254</v>
      </c>
      <c r="G3908">
        <v>17</v>
      </c>
      <c r="H3908">
        <v>168.59</v>
      </c>
      <c r="I3908">
        <v>48.64</v>
      </c>
      <c r="J3908" t="s">
        <v>41</v>
      </c>
      <c r="K3908" t="s">
        <v>16</v>
      </c>
      <c r="L3908" t="s">
        <v>2095</v>
      </c>
      <c r="M3908">
        <v>3</v>
      </c>
      <c r="N3908" t="s">
        <v>174</v>
      </c>
      <c r="O3908" t="s">
        <v>2096</v>
      </c>
    </row>
    <row r="3909" spans="1:15">
      <c r="A3909" t="s">
        <v>621</v>
      </c>
      <c r="B3909" t="s">
        <v>2085</v>
      </c>
      <c r="C3909" t="s">
        <v>2091</v>
      </c>
      <c r="D3909" s="1">
        <v>44085</v>
      </c>
      <c r="E3909" s="1">
        <v>45084</v>
      </c>
      <c r="F3909">
        <v>208</v>
      </c>
      <c r="G3909">
        <v>15</v>
      </c>
      <c r="H3909">
        <v>1264.05</v>
      </c>
      <c r="I3909">
        <v>156.34</v>
      </c>
      <c r="J3909" t="s">
        <v>14</v>
      </c>
      <c r="K3909" t="s">
        <v>16</v>
      </c>
      <c r="L3909" t="s">
        <v>2095</v>
      </c>
      <c r="M3909">
        <v>7</v>
      </c>
      <c r="N3909" t="s">
        <v>165</v>
      </c>
      <c r="O3909" t="s">
        <v>2109</v>
      </c>
    </row>
    <row r="3910" spans="1:15">
      <c r="A3910" t="s">
        <v>440</v>
      </c>
      <c r="B3910" t="s">
        <v>2090</v>
      </c>
      <c r="C3910" t="s">
        <v>2094</v>
      </c>
      <c r="D3910" s="1">
        <v>45203</v>
      </c>
      <c r="E3910" s="1">
        <v>45117</v>
      </c>
      <c r="F3910">
        <v>175</v>
      </c>
      <c r="G3910">
        <v>7</v>
      </c>
      <c r="H3910">
        <v>359.98</v>
      </c>
      <c r="I3910">
        <v>42.22</v>
      </c>
      <c r="J3910" t="s">
        <v>115</v>
      </c>
      <c r="K3910" t="s">
        <v>16</v>
      </c>
      <c r="L3910" t="s">
        <v>2106</v>
      </c>
      <c r="M3910">
        <v>2</v>
      </c>
      <c r="N3910" t="s">
        <v>204</v>
      </c>
      <c r="O3910" t="s">
        <v>2109</v>
      </c>
    </row>
    <row r="3911" spans="1:15">
      <c r="A3911" t="s">
        <v>5159</v>
      </c>
      <c r="B3911" t="s">
        <v>2085</v>
      </c>
      <c r="C3911" t="s">
        <v>2100</v>
      </c>
      <c r="D3911" s="1">
        <v>44092</v>
      </c>
      <c r="E3911" s="1">
        <v>45215</v>
      </c>
      <c r="F3911">
        <v>77</v>
      </c>
      <c r="G3911">
        <v>33</v>
      </c>
      <c r="H3911">
        <v>1079.1500000000001</v>
      </c>
      <c r="I3911">
        <v>110.61</v>
      </c>
      <c r="J3911" t="s">
        <v>90</v>
      </c>
      <c r="K3911" t="s">
        <v>20</v>
      </c>
      <c r="L3911" t="s">
        <v>2106</v>
      </c>
      <c r="M3911">
        <v>7</v>
      </c>
      <c r="N3911" t="s">
        <v>232</v>
      </c>
      <c r="O3911" t="s">
        <v>2088</v>
      </c>
    </row>
    <row r="3912" spans="1:15">
      <c r="A3912" t="s">
        <v>5160</v>
      </c>
      <c r="B3912" t="s">
        <v>2093</v>
      </c>
      <c r="C3912" t="s">
        <v>2108</v>
      </c>
      <c r="D3912" s="1">
        <v>44185</v>
      </c>
      <c r="E3912" s="1">
        <v>45133</v>
      </c>
      <c r="F3912">
        <v>159</v>
      </c>
      <c r="G3912">
        <v>5</v>
      </c>
      <c r="H3912">
        <v>189.21</v>
      </c>
      <c r="I3912">
        <v>61.75</v>
      </c>
      <c r="J3912" t="s">
        <v>115</v>
      </c>
      <c r="K3912" t="s">
        <v>16</v>
      </c>
      <c r="L3912" t="s">
        <v>2106</v>
      </c>
      <c r="M3912">
        <v>4</v>
      </c>
      <c r="N3912" t="s">
        <v>174</v>
      </c>
      <c r="O3912" t="s">
        <v>2096</v>
      </c>
    </row>
    <row r="3913" spans="1:15">
      <c r="A3913" t="s">
        <v>5161</v>
      </c>
      <c r="B3913" t="s">
        <v>2097</v>
      </c>
      <c r="C3913" t="s">
        <v>2086</v>
      </c>
      <c r="D3913" s="1">
        <v>44355</v>
      </c>
      <c r="E3913" s="1">
        <v>45075</v>
      </c>
      <c r="F3913">
        <v>217</v>
      </c>
      <c r="G3913">
        <v>8</v>
      </c>
      <c r="H3913">
        <v>160.02000000000001</v>
      </c>
      <c r="I3913">
        <v>94.78</v>
      </c>
      <c r="J3913" t="s">
        <v>115</v>
      </c>
      <c r="K3913" t="s">
        <v>16</v>
      </c>
      <c r="L3913" t="s">
        <v>2087</v>
      </c>
      <c r="M3913">
        <v>2</v>
      </c>
      <c r="N3913" t="s">
        <v>165</v>
      </c>
      <c r="O3913" t="s">
        <v>2109</v>
      </c>
    </row>
    <row r="3914" spans="1:15">
      <c r="A3914" t="s">
        <v>5162</v>
      </c>
      <c r="B3914" t="s">
        <v>2093</v>
      </c>
      <c r="C3914" t="s">
        <v>2111</v>
      </c>
      <c r="D3914" s="1">
        <v>44502</v>
      </c>
      <c r="E3914" s="1">
        <v>44940</v>
      </c>
      <c r="F3914">
        <v>352</v>
      </c>
      <c r="G3914">
        <v>4</v>
      </c>
      <c r="H3914">
        <v>62.3</v>
      </c>
      <c r="I3914">
        <v>53.88</v>
      </c>
      <c r="J3914" t="s">
        <v>90</v>
      </c>
      <c r="K3914" t="s">
        <v>16</v>
      </c>
      <c r="L3914" t="s">
        <v>2095</v>
      </c>
      <c r="M3914">
        <v>9</v>
      </c>
      <c r="N3914" t="s">
        <v>179</v>
      </c>
      <c r="O3914" t="s">
        <v>2121</v>
      </c>
    </row>
    <row r="3915" spans="1:15">
      <c r="A3915" t="s">
        <v>5163</v>
      </c>
      <c r="B3915" t="s">
        <v>2099</v>
      </c>
      <c r="C3915" t="s">
        <v>2091</v>
      </c>
      <c r="D3915" s="1">
        <v>44195</v>
      </c>
      <c r="E3915" s="1">
        <v>45252</v>
      </c>
      <c r="F3915">
        <v>40</v>
      </c>
      <c r="G3915">
        <v>2</v>
      </c>
      <c r="H3915">
        <v>26.2</v>
      </c>
      <c r="I3915">
        <v>95.9</v>
      </c>
      <c r="J3915" t="s">
        <v>41</v>
      </c>
      <c r="K3915" t="s">
        <v>16</v>
      </c>
      <c r="L3915" t="s">
        <v>2095</v>
      </c>
      <c r="M3915">
        <v>1</v>
      </c>
      <c r="N3915" t="s">
        <v>157</v>
      </c>
      <c r="O3915" t="s">
        <v>2109</v>
      </c>
    </row>
    <row r="3916" spans="1:15">
      <c r="A3916" t="s">
        <v>5164</v>
      </c>
      <c r="B3916" t="s">
        <v>2085</v>
      </c>
      <c r="C3916" t="s">
        <v>2086</v>
      </c>
      <c r="D3916" s="1">
        <v>44898</v>
      </c>
      <c r="E3916" s="1">
        <v>45116</v>
      </c>
      <c r="F3916">
        <v>176</v>
      </c>
      <c r="G3916">
        <v>35</v>
      </c>
      <c r="H3916">
        <v>1420.3</v>
      </c>
      <c r="I3916">
        <v>125.72</v>
      </c>
      <c r="J3916" t="s">
        <v>41</v>
      </c>
      <c r="K3916" t="s">
        <v>16</v>
      </c>
      <c r="L3916" t="s">
        <v>2106</v>
      </c>
      <c r="M3916">
        <v>2</v>
      </c>
      <c r="N3916" t="s">
        <v>157</v>
      </c>
      <c r="O3916" t="s">
        <v>2088</v>
      </c>
    </row>
    <row r="3917" spans="1:15">
      <c r="A3917" t="s">
        <v>1638</v>
      </c>
      <c r="B3917" t="s">
        <v>2085</v>
      </c>
      <c r="C3917" t="s">
        <v>2100</v>
      </c>
      <c r="D3917" s="1">
        <v>44298</v>
      </c>
      <c r="E3917" s="1">
        <v>44965</v>
      </c>
      <c r="F3917">
        <v>327</v>
      </c>
      <c r="G3917">
        <v>37</v>
      </c>
      <c r="H3917">
        <v>1469.98</v>
      </c>
      <c r="I3917">
        <v>142.44</v>
      </c>
      <c r="J3917" t="s">
        <v>90</v>
      </c>
      <c r="K3917" t="s">
        <v>20</v>
      </c>
      <c r="L3917" t="s">
        <v>2106</v>
      </c>
      <c r="M3917">
        <v>10</v>
      </c>
      <c r="N3917" t="s">
        <v>204</v>
      </c>
      <c r="O3917" t="s">
        <v>2121</v>
      </c>
    </row>
    <row r="3918" spans="1:15">
      <c r="A3918" t="s">
        <v>1758</v>
      </c>
      <c r="B3918" t="s">
        <v>2093</v>
      </c>
      <c r="C3918" t="s">
        <v>2100</v>
      </c>
      <c r="D3918" s="1">
        <v>44462</v>
      </c>
      <c r="E3918" s="1">
        <v>44947</v>
      </c>
      <c r="F3918">
        <v>345</v>
      </c>
      <c r="G3918">
        <v>3</v>
      </c>
      <c r="H3918">
        <v>184.91</v>
      </c>
      <c r="I3918">
        <v>44.8</v>
      </c>
      <c r="J3918" t="s">
        <v>14</v>
      </c>
      <c r="K3918" t="s">
        <v>16</v>
      </c>
      <c r="L3918" t="s">
        <v>2106</v>
      </c>
      <c r="M3918">
        <v>8</v>
      </c>
      <c r="N3918" t="s">
        <v>179</v>
      </c>
      <c r="O3918" t="s">
        <v>2088</v>
      </c>
    </row>
    <row r="3919" spans="1:15">
      <c r="A3919" t="s">
        <v>540</v>
      </c>
      <c r="B3919" t="s">
        <v>2113</v>
      </c>
      <c r="C3919" t="s">
        <v>2100</v>
      </c>
      <c r="D3919" s="1">
        <v>44477</v>
      </c>
      <c r="E3919" s="1">
        <v>45206</v>
      </c>
      <c r="F3919">
        <v>86</v>
      </c>
      <c r="G3919">
        <v>7</v>
      </c>
      <c r="H3919">
        <v>495.9</v>
      </c>
      <c r="I3919">
        <v>35.89</v>
      </c>
      <c r="J3919" t="s">
        <v>41</v>
      </c>
      <c r="K3919" t="s">
        <v>16</v>
      </c>
      <c r="L3919" t="s">
        <v>2106</v>
      </c>
      <c r="M3919">
        <v>0</v>
      </c>
      <c r="N3919" t="s">
        <v>157</v>
      </c>
      <c r="O3919" t="s">
        <v>2109</v>
      </c>
    </row>
    <row r="3920" spans="1:15">
      <c r="A3920" t="s">
        <v>5165</v>
      </c>
      <c r="B3920" t="s">
        <v>2085</v>
      </c>
      <c r="C3920" t="s">
        <v>2111</v>
      </c>
      <c r="D3920" s="1">
        <v>44522</v>
      </c>
      <c r="E3920" s="1">
        <v>45132</v>
      </c>
      <c r="F3920">
        <v>160</v>
      </c>
      <c r="G3920">
        <v>22</v>
      </c>
      <c r="H3920">
        <v>2223.8000000000002</v>
      </c>
      <c r="I3920">
        <v>287.16000000000003</v>
      </c>
      <c r="J3920" t="s">
        <v>41</v>
      </c>
      <c r="K3920" t="s">
        <v>16</v>
      </c>
      <c r="L3920" t="s">
        <v>2087</v>
      </c>
      <c r="M3920">
        <v>2</v>
      </c>
      <c r="N3920" t="s">
        <v>157</v>
      </c>
      <c r="O3920" t="s">
        <v>2109</v>
      </c>
    </row>
    <row r="3921" spans="1:15">
      <c r="A3921" t="s">
        <v>5166</v>
      </c>
      <c r="B3921" t="s">
        <v>2097</v>
      </c>
      <c r="C3921" t="s">
        <v>2108</v>
      </c>
      <c r="D3921" s="1">
        <v>44943</v>
      </c>
      <c r="E3921" s="1">
        <v>45073</v>
      </c>
      <c r="F3921">
        <v>219</v>
      </c>
      <c r="G3921">
        <v>7</v>
      </c>
      <c r="H3921">
        <v>370.3</v>
      </c>
      <c r="I3921">
        <v>100.95</v>
      </c>
      <c r="J3921" t="s">
        <v>90</v>
      </c>
      <c r="K3921" t="s">
        <v>20</v>
      </c>
      <c r="L3921" t="s">
        <v>2106</v>
      </c>
      <c r="M3921">
        <v>3</v>
      </c>
      <c r="N3921" t="s">
        <v>204</v>
      </c>
      <c r="O3921" t="s">
        <v>2096</v>
      </c>
    </row>
    <row r="3922" spans="1:15">
      <c r="A3922" t="s">
        <v>5167</v>
      </c>
      <c r="B3922" t="s">
        <v>2113</v>
      </c>
      <c r="C3922" t="s">
        <v>2086</v>
      </c>
      <c r="D3922" s="1">
        <v>45236</v>
      </c>
      <c r="E3922" s="1">
        <v>44940</v>
      </c>
      <c r="F3922">
        <v>352</v>
      </c>
      <c r="G3922">
        <v>19</v>
      </c>
      <c r="H3922">
        <v>423.48</v>
      </c>
      <c r="I3922">
        <v>54.84</v>
      </c>
      <c r="J3922" t="s">
        <v>14</v>
      </c>
      <c r="K3922" t="s">
        <v>16</v>
      </c>
      <c r="L3922" t="s">
        <v>2106</v>
      </c>
      <c r="M3922">
        <v>7</v>
      </c>
      <c r="N3922" t="s">
        <v>165</v>
      </c>
      <c r="O3922" t="s">
        <v>2096</v>
      </c>
    </row>
    <row r="3923" spans="1:15">
      <c r="A3923" t="s">
        <v>5168</v>
      </c>
      <c r="B3923" t="s">
        <v>2085</v>
      </c>
      <c r="C3923" t="s">
        <v>2108</v>
      </c>
      <c r="D3923" s="1">
        <v>44548</v>
      </c>
      <c r="E3923" s="1">
        <v>45059</v>
      </c>
      <c r="F3923">
        <v>233</v>
      </c>
      <c r="G3923">
        <v>40</v>
      </c>
      <c r="H3923">
        <v>2944.79</v>
      </c>
      <c r="I3923">
        <v>269</v>
      </c>
      <c r="J3923" t="s">
        <v>66</v>
      </c>
      <c r="K3923" t="s">
        <v>16</v>
      </c>
      <c r="L3923" t="s">
        <v>2095</v>
      </c>
      <c r="M3923">
        <v>0</v>
      </c>
      <c r="N3923" t="s">
        <v>157</v>
      </c>
      <c r="O3923" t="s">
        <v>2109</v>
      </c>
    </row>
    <row r="3924" spans="1:15">
      <c r="A3924" t="s">
        <v>442</v>
      </c>
      <c r="B3924" t="s">
        <v>2113</v>
      </c>
      <c r="C3924" t="s">
        <v>2086</v>
      </c>
      <c r="D3924" s="1">
        <v>43939</v>
      </c>
      <c r="E3924" s="1">
        <v>45153</v>
      </c>
      <c r="F3924">
        <v>139</v>
      </c>
      <c r="G3924">
        <v>13</v>
      </c>
      <c r="H3924">
        <v>184.99</v>
      </c>
      <c r="I3924">
        <v>45.34</v>
      </c>
      <c r="J3924" t="s">
        <v>41</v>
      </c>
      <c r="K3924" t="s">
        <v>16</v>
      </c>
      <c r="L3924" t="s">
        <v>2087</v>
      </c>
      <c r="M3924">
        <v>6</v>
      </c>
      <c r="N3924" t="s">
        <v>174</v>
      </c>
      <c r="O3924" t="s">
        <v>2121</v>
      </c>
    </row>
    <row r="3925" spans="1:15">
      <c r="A3925" t="s">
        <v>5169</v>
      </c>
      <c r="B3925" t="s">
        <v>2113</v>
      </c>
      <c r="C3925" t="s">
        <v>2086</v>
      </c>
      <c r="D3925" s="1">
        <v>43705</v>
      </c>
      <c r="E3925" s="1">
        <v>44988</v>
      </c>
      <c r="F3925">
        <v>304</v>
      </c>
      <c r="G3925">
        <v>17</v>
      </c>
      <c r="H3925">
        <v>492.91</v>
      </c>
      <c r="I3925">
        <v>66.73</v>
      </c>
      <c r="J3925" t="s">
        <v>115</v>
      </c>
      <c r="K3925" t="s">
        <v>16</v>
      </c>
      <c r="L3925" t="s">
        <v>2087</v>
      </c>
      <c r="M3925">
        <v>1</v>
      </c>
      <c r="N3925" t="s">
        <v>232</v>
      </c>
      <c r="O3925" t="s">
        <v>2107</v>
      </c>
    </row>
    <row r="3926" spans="1:15">
      <c r="A3926" t="s">
        <v>1234</v>
      </c>
      <c r="B3926" t="s">
        <v>2093</v>
      </c>
      <c r="C3926" t="s">
        <v>2100</v>
      </c>
      <c r="D3926" s="1">
        <v>44071</v>
      </c>
      <c r="E3926" s="1">
        <v>45155</v>
      </c>
      <c r="F3926">
        <v>137</v>
      </c>
      <c r="G3926">
        <v>4</v>
      </c>
      <c r="H3926">
        <v>151.86000000000001</v>
      </c>
      <c r="I3926">
        <v>58.68</v>
      </c>
      <c r="J3926" t="s">
        <v>66</v>
      </c>
      <c r="K3926" t="s">
        <v>20</v>
      </c>
      <c r="L3926" t="s">
        <v>2087</v>
      </c>
      <c r="M3926">
        <v>7</v>
      </c>
      <c r="N3926" t="s">
        <v>232</v>
      </c>
      <c r="O3926" t="s">
        <v>2121</v>
      </c>
    </row>
    <row r="3927" spans="1:15">
      <c r="A3927" t="s">
        <v>1747</v>
      </c>
      <c r="B3927" t="s">
        <v>2113</v>
      </c>
      <c r="C3927" t="s">
        <v>2108</v>
      </c>
      <c r="D3927" s="1">
        <v>43962</v>
      </c>
      <c r="E3927" s="1">
        <v>45255</v>
      </c>
      <c r="F3927">
        <v>37</v>
      </c>
      <c r="G3927">
        <v>9</v>
      </c>
      <c r="H3927">
        <v>331.41</v>
      </c>
      <c r="I3927">
        <v>41.75</v>
      </c>
      <c r="J3927" t="s">
        <v>14</v>
      </c>
      <c r="K3927" t="s">
        <v>20</v>
      </c>
      <c r="L3927" t="s">
        <v>2106</v>
      </c>
      <c r="M3927">
        <v>8</v>
      </c>
      <c r="N3927" t="s">
        <v>174</v>
      </c>
      <c r="O3927" t="s">
        <v>2121</v>
      </c>
    </row>
    <row r="3928" spans="1:15">
      <c r="A3928" t="s">
        <v>1195</v>
      </c>
      <c r="B3928" t="s">
        <v>2099</v>
      </c>
      <c r="C3928" t="s">
        <v>2094</v>
      </c>
      <c r="D3928" s="1">
        <v>45144</v>
      </c>
      <c r="E3928" s="1">
        <v>45036</v>
      </c>
      <c r="F3928">
        <v>256</v>
      </c>
      <c r="G3928">
        <v>2</v>
      </c>
      <c r="H3928">
        <v>62.52</v>
      </c>
      <c r="I3928">
        <v>42.79</v>
      </c>
      <c r="J3928" t="s">
        <v>66</v>
      </c>
      <c r="K3928" t="s">
        <v>20</v>
      </c>
      <c r="L3928" t="s">
        <v>2106</v>
      </c>
      <c r="M3928">
        <v>5</v>
      </c>
      <c r="N3928" t="s">
        <v>194</v>
      </c>
      <c r="O3928" t="s">
        <v>2109</v>
      </c>
    </row>
    <row r="3929" spans="1:15">
      <c r="A3929" t="s">
        <v>5170</v>
      </c>
      <c r="B3929" t="s">
        <v>2090</v>
      </c>
      <c r="C3929" t="s">
        <v>2108</v>
      </c>
      <c r="D3929" s="1">
        <v>44408</v>
      </c>
      <c r="E3929" s="1">
        <v>45234</v>
      </c>
      <c r="F3929">
        <v>58</v>
      </c>
      <c r="G3929">
        <v>5</v>
      </c>
      <c r="H3929">
        <v>283.77</v>
      </c>
      <c r="I3929">
        <v>42.39</v>
      </c>
      <c r="J3929" t="s">
        <v>14</v>
      </c>
      <c r="K3929" t="s">
        <v>16</v>
      </c>
      <c r="L3929" t="s">
        <v>2087</v>
      </c>
      <c r="M3929">
        <v>10</v>
      </c>
      <c r="N3929" t="s">
        <v>174</v>
      </c>
      <c r="O3929" t="s">
        <v>2121</v>
      </c>
    </row>
    <row r="3930" spans="1:15">
      <c r="A3930" t="s">
        <v>5171</v>
      </c>
      <c r="B3930" t="s">
        <v>2093</v>
      </c>
      <c r="C3930" t="s">
        <v>2100</v>
      </c>
      <c r="D3930" s="1">
        <v>43506</v>
      </c>
      <c r="E3930" s="1">
        <v>44963</v>
      </c>
      <c r="F3930">
        <v>329</v>
      </c>
      <c r="G3930">
        <v>3</v>
      </c>
      <c r="H3930">
        <v>87.36</v>
      </c>
      <c r="I3930">
        <v>32.630000000000003</v>
      </c>
      <c r="J3930" t="s">
        <v>41</v>
      </c>
      <c r="K3930" t="s">
        <v>16</v>
      </c>
      <c r="L3930" t="s">
        <v>2087</v>
      </c>
      <c r="M3930">
        <v>1</v>
      </c>
      <c r="N3930" t="s">
        <v>157</v>
      </c>
      <c r="O3930" t="s">
        <v>2109</v>
      </c>
    </row>
    <row r="3931" spans="1:15">
      <c r="A3931" t="s">
        <v>5172</v>
      </c>
      <c r="B3931" t="s">
        <v>2097</v>
      </c>
      <c r="C3931" t="s">
        <v>2108</v>
      </c>
      <c r="D3931" s="1">
        <v>43841</v>
      </c>
      <c r="E3931" s="1">
        <v>45221</v>
      </c>
      <c r="F3931">
        <v>71</v>
      </c>
      <c r="G3931">
        <v>8</v>
      </c>
      <c r="H3931">
        <v>532.04</v>
      </c>
      <c r="I3931">
        <v>60.84</v>
      </c>
      <c r="J3931" t="s">
        <v>115</v>
      </c>
      <c r="K3931" t="s">
        <v>16</v>
      </c>
      <c r="L3931" t="s">
        <v>2087</v>
      </c>
      <c r="M3931">
        <v>7</v>
      </c>
      <c r="N3931" t="s">
        <v>165</v>
      </c>
      <c r="O3931" t="s">
        <v>2107</v>
      </c>
    </row>
    <row r="3932" spans="1:15">
      <c r="A3932" t="s">
        <v>5173</v>
      </c>
      <c r="B3932" t="s">
        <v>2113</v>
      </c>
      <c r="C3932" t="s">
        <v>2091</v>
      </c>
      <c r="D3932" s="1">
        <v>44788</v>
      </c>
      <c r="E3932" s="1">
        <v>45247</v>
      </c>
      <c r="F3932">
        <v>45</v>
      </c>
      <c r="G3932">
        <v>6</v>
      </c>
      <c r="H3932">
        <v>283.36</v>
      </c>
      <c r="I3932">
        <v>47.1</v>
      </c>
      <c r="J3932" t="s">
        <v>66</v>
      </c>
      <c r="K3932" t="s">
        <v>16</v>
      </c>
      <c r="L3932" t="s">
        <v>2087</v>
      </c>
      <c r="M3932">
        <v>7</v>
      </c>
      <c r="N3932" t="s">
        <v>194</v>
      </c>
      <c r="O3932" t="s">
        <v>2088</v>
      </c>
    </row>
    <row r="3933" spans="1:15">
      <c r="A3933" t="s">
        <v>5174</v>
      </c>
      <c r="B3933" t="s">
        <v>2113</v>
      </c>
      <c r="C3933" t="s">
        <v>2091</v>
      </c>
      <c r="D3933" s="1">
        <v>44292</v>
      </c>
      <c r="E3933" s="1">
        <v>45084</v>
      </c>
      <c r="F3933">
        <v>208</v>
      </c>
      <c r="G3933">
        <v>18</v>
      </c>
      <c r="H3933">
        <v>260.36</v>
      </c>
      <c r="I3933">
        <v>76.16</v>
      </c>
      <c r="J3933" t="s">
        <v>66</v>
      </c>
      <c r="K3933" t="s">
        <v>16</v>
      </c>
      <c r="L3933" t="s">
        <v>2087</v>
      </c>
      <c r="M3933">
        <v>4</v>
      </c>
      <c r="N3933" t="s">
        <v>157</v>
      </c>
      <c r="O3933" t="s">
        <v>2088</v>
      </c>
    </row>
    <row r="3934" spans="1:15">
      <c r="A3934" t="s">
        <v>5175</v>
      </c>
      <c r="B3934" t="s">
        <v>2093</v>
      </c>
      <c r="C3934" t="s">
        <v>2094</v>
      </c>
      <c r="D3934" s="1">
        <v>43726</v>
      </c>
      <c r="E3934" s="1">
        <v>44953</v>
      </c>
      <c r="F3934">
        <v>339</v>
      </c>
      <c r="G3934">
        <v>2</v>
      </c>
      <c r="H3934">
        <v>162.96</v>
      </c>
      <c r="I3934">
        <v>21.42</v>
      </c>
      <c r="J3934" t="s">
        <v>14</v>
      </c>
      <c r="K3934" t="s">
        <v>16</v>
      </c>
      <c r="L3934" t="s">
        <v>2087</v>
      </c>
      <c r="M3934">
        <v>4</v>
      </c>
      <c r="N3934" t="s">
        <v>232</v>
      </c>
      <c r="O3934" t="s">
        <v>2109</v>
      </c>
    </row>
    <row r="3935" spans="1:15">
      <c r="A3935" t="s">
        <v>5176</v>
      </c>
      <c r="B3935" t="s">
        <v>2085</v>
      </c>
      <c r="C3935" t="s">
        <v>2108</v>
      </c>
      <c r="D3935" s="1">
        <v>44928</v>
      </c>
      <c r="E3935" s="1">
        <v>44958</v>
      </c>
      <c r="F3935">
        <v>334</v>
      </c>
      <c r="G3935">
        <v>26</v>
      </c>
      <c r="H3935">
        <v>1156.25</v>
      </c>
      <c r="I3935">
        <v>168.09</v>
      </c>
      <c r="J3935" t="s">
        <v>14</v>
      </c>
      <c r="K3935" t="s">
        <v>20</v>
      </c>
      <c r="L3935" t="s">
        <v>2087</v>
      </c>
      <c r="M3935">
        <v>8</v>
      </c>
      <c r="N3935" t="s">
        <v>204</v>
      </c>
      <c r="O3935" t="s">
        <v>2109</v>
      </c>
    </row>
    <row r="3936" spans="1:15">
      <c r="A3936" t="s">
        <v>5177</v>
      </c>
      <c r="B3936" t="s">
        <v>2085</v>
      </c>
      <c r="C3936" t="s">
        <v>2094</v>
      </c>
      <c r="D3936" s="1">
        <v>44365</v>
      </c>
      <c r="E3936" s="1">
        <v>45014</v>
      </c>
      <c r="F3936">
        <v>278</v>
      </c>
      <c r="G3936">
        <v>31</v>
      </c>
      <c r="H3936">
        <v>1704.63</v>
      </c>
      <c r="I3936">
        <v>290.12</v>
      </c>
      <c r="J3936" t="s">
        <v>14</v>
      </c>
      <c r="K3936" t="s">
        <v>16</v>
      </c>
      <c r="L3936" t="s">
        <v>2106</v>
      </c>
      <c r="M3936">
        <v>3</v>
      </c>
      <c r="N3936" t="s">
        <v>157</v>
      </c>
      <c r="O3936" t="s">
        <v>2096</v>
      </c>
    </row>
    <row r="3937" spans="1:15">
      <c r="A3937" t="s">
        <v>5178</v>
      </c>
      <c r="B3937" t="s">
        <v>2093</v>
      </c>
      <c r="C3937" t="s">
        <v>2091</v>
      </c>
      <c r="D3937" s="1">
        <v>44740</v>
      </c>
      <c r="E3937" s="1">
        <v>45026</v>
      </c>
      <c r="F3937">
        <v>266</v>
      </c>
      <c r="G3937">
        <v>5</v>
      </c>
      <c r="H3937">
        <v>88.22</v>
      </c>
      <c r="I3937">
        <v>63.24</v>
      </c>
      <c r="J3937" t="s">
        <v>14</v>
      </c>
      <c r="K3937" t="s">
        <v>16</v>
      </c>
      <c r="L3937" t="s">
        <v>2106</v>
      </c>
      <c r="M3937">
        <v>0</v>
      </c>
      <c r="N3937" t="s">
        <v>204</v>
      </c>
      <c r="O3937" t="s">
        <v>2121</v>
      </c>
    </row>
    <row r="3938" spans="1:15">
      <c r="A3938" t="s">
        <v>5179</v>
      </c>
      <c r="B3938" t="s">
        <v>2085</v>
      </c>
      <c r="C3938" t="s">
        <v>2108</v>
      </c>
      <c r="D3938" s="1">
        <v>44752</v>
      </c>
      <c r="E3938" s="1">
        <v>44985</v>
      </c>
      <c r="F3938">
        <v>307</v>
      </c>
      <c r="G3938">
        <v>24</v>
      </c>
      <c r="H3938">
        <v>2765.89</v>
      </c>
      <c r="I3938">
        <v>177.65</v>
      </c>
      <c r="J3938" t="s">
        <v>66</v>
      </c>
      <c r="K3938" t="s">
        <v>20</v>
      </c>
      <c r="L3938" t="s">
        <v>2106</v>
      </c>
      <c r="M3938">
        <v>4</v>
      </c>
      <c r="N3938" t="s">
        <v>194</v>
      </c>
      <c r="O3938" t="s">
        <v>2121</v>
      </c>
    </row>
    <row r="3939" spans="1:15">
      <c r="A3939" t="s">
        <v>888</v>
      </c>
      <c r="B3939" t="s">
        <v>2097</v>
      </c>
      <c r="C3939" t="s">
        <v>2111</v>
      </c>
      <c r="D3939" s="1">
        <v>44007</v>
      </c>
      <c r="E3939" s="1">
        <v>44963</v>
      </c>
      <c r="F3939">
        <v>329</v>
      </c>
      <c r="G3939">
        <v>6</v>
      </c>
      <c r="H3939">
        <v>408</v>
      </c>
      <c r="I3939">
        <v>108.04</v>
      </c>
      <c r="J3939" t="s">
        <v>14</v>
      </c>
      <c r="K3939" t="s">
        <v>16</v>
      </c>
      <c r="L3939" t="s">
        <v>2106</v>
      </c>
      <c r="M3939">
        <v>2</v>
      </c>
      <c r="N3939" t="s">
        <v>174</v>
      </c>
      <c r="O3939" t="s">
        <v>2088</v>
      </c>
    </row>
    <row r="3940" spans="1:15">
      <c r="A3940" t="s">
        <v>5180</v>
      </c>
      <c r="B3940" t="s">
        <v>2090</v>
      </c>
      <c r="C3940" t="s">
        <v>2100</v>
      </c>
      <c r="D3940" s="1">
        <v>44075</v>
      </c>
      <c r="E3940" s="1">
        <v>44956</v>
      </c>
      <c r="F3940">
        <v>336</v>
      </c>
      <c r="G3940">
        <v>5</v>
      </c>
      <c r="H3940">
        <v>237.34</v>
      </c>
      <c r="I3940">
        <v>99.74</v>
      </c>
      <c r="J3940" t="s">
        <v>41</v>
      </c>
      <c r="K3940" t="s">
        <v>16</v>
      </c>
      <c r="L3940" t="s">
        <v>2095</v>
      </c>
      <c r="M3940">
        <v>1</v>
      </c>
      <c r="N3940" t="s">
        <v>179</v>
      </c>
      <c r="O3940" t="s">
        <v>2121</v>
      </c>
    </row>
    <row r="3941" spans="1:15">
      <c r="A3941" t="s">
        <v>282</v>
      </c>
      <c r="B3941" t="s">
        <v>2085</v>
      </c>
      <c r="C3941" t="s">
        <v>2100</v>
      </c>
      <c r="D3941" s="1">
        <v>43721</v>
      </c>
      <c r="E3941" s="1">
        <v>45235</v>
      </c>
      <c r="F3941">
        <v>57</v>
      </c>
      <c r="G3941">
        <v>34</v>
      </c>
      <c r="H3941">
        <v>2919.13</v>
      </c>
      <c r="I3941">
        <v>193.25</v>
      </c>
      <c r="J3941" t="s">
        <v>90</v>
      </c>
      <c r="K3941" t="s">
        <v>20</v>
      </c>
      <c r="L3941" t="s">
        <v>2095</v>
      </c>
      <c r="M3941">
        <v>9</v>
      </c>
      <c r="N3941" t="s">
        <v>204</v>
      </c>
      <c r="O3941" t="s">
        <v>2096</v>
      </c>
    </row>
    <row r="3942" spans="1:15">
      <c r="A3942" t="s">
        <v>674</v>
      </c>
      <c r="B3942" t="s">
        <v>2113</v>
      </c>
      <c r="C3942" t="s">
        <v>2091</v>
      </c>
      <c r="D3942" s="1">
        <v>44020</v>
      </c>
      <c r="E3942" s="1">
        <v>45274</v>
      </c>
      <c r="F3942">
        <v>18</v>
      </c>
      <c r="G3942">
        <v>18</v>
      </c>
      <c r="H3942">
        <v>276.82</v>
      </c>
      <c r="I3942">
        <v>34.03</v>
      </c>
      <c r="J3942" t="s">
        <v>66</v>
      </c>
      <c r="K3942" t="s">
        <v>16</v>
      </c>
      <c r="L3942" t="s">
        <v>2095</v>
      </c>
      <c r="M3942">
        <v>0</v>
      </c>
      <c r="N3942" t="s">
        <v>204</v>
      </c>
      <c r="O3942" t="s">
        <v>2096</v>
      </c>
    </row>
    <row r="3943" spans="1:15">
      <c r="A3943" t="s">
        <v>5181</v>
      </c>
      <c r="B3943" t="s">
        <v>2113</v>
      </c>
      <c r="C3943" t="s">
        <v>2091</v>
      </c>
      <c r="D3943" s="1">
        <v>44398</v>
      </c>
      <c r="E3943" s="1">
        <v>45161</v>
      </c>
      <c r="F3943">
        <v>131</v>
      </c>
      <c r="G3943">
        <v>11</v>
      </c>
      <c r="H3943">
        <v>139.33000000000001</v>
      </c>
      <c r="I3943">
        <v>64.239999999999995</v>
      </c>
      <c r="J3943" t="s">
        <v>41</v>
      </c>
      <c r="K3943" t="s">
        <v>16</v>
      </c>
      <c r="L3943" t="s">
        <v>2106</v>
      </c>
      <c r="M3943">
        <v>7</v>
      </c>
      <c r="N3943" t="s">
        <v>194</v>
      </c>
      <c r="O3943" t="s">
        <v>2088</v>
      </c>
    </row>
    <row r="3944" spans="1:15">
      <c r="A3944" t="s">
        <v>5182</v>
      </c>
      <c r="B3944" t="s">
        <v>2090</v>
      </c>
      <c r="C3944" t="s">
        <v>2100</v>
      </c>
      <c r="D3944" s="1">
        <v>43860</v>
      </c>
      <c r="E3944" s="1">
        <v>45131</v>
      </c>
      <c r="F3944">
        <v>161</v>
      </c>
      <c r="G3944">
        <v>8</v>
      </c>
      <c r="H3944">
        <v>186.39</v>
      </c>
      <c r="I3944">
        <v>80.53</v>
      </c>
      <c r="J3944" t="s">
        <v>66</v>
      </c>
      <c r="K3944" t="s">
        <v>16</v>
      </c>
      <c r="L3944" t="s">
        <v>2106</v>
      </c>
      <c r="M3944">
        <v>6</v>
      </c>
      <c r="N3944" t="s">
        <v>174</v>
      </c>
      <c r="O3944" t="s">
        <v>2096</v>
      </c>
    </row>
    <row r="3945" spans="1:15">
      <c r="A3945" t="s">
        <v>5183</v>
      </c>
      <c r="B3945" t="s">
        <v>2099</v>
      </c>
      <c r="C3945" t="s">
        <v>2086</v>
      </c>
      <c r="D3945" s="1">
        <v>44430</v>
      </c>
      <c r="E3945" s="1">
        <v>45268</v>
      </c>
      <c r="F3945">
        <v>24</v>
      </c>
      <c r="G3945">
        <v>2</v>
      </c>
      <c r="H3945">
        <v>147.97999999999999</v>
      </c>
      <c r="I3945">
        <v>75.28</v>
      </c>
      <c r="J3945" t="s">
        <v>90</v>
      </c>
      <c r="K3945" t="s">
        <v>16</v>
      </c>
      <c r="L3945" t="s">
        <v>2106</v>
      </c>
      <c r="M3945">
        <v>8</v>
      </c>
      <c r="N3945" t="s">
        <v>174</v>
      </c>
      <c r="O3945" t="s">
        <v>2096</v>
      </c>
    </row>
    <row r="3946" spans="1:15">
      <c r="A3946" t="s">
        <v>5184</v>
      </c>
      <c r="B3946" t="s">
        <v>2085</v>
      </c>
      <c r="C3946" t="s">
        <v>2108</v>
      </c>
      <c r="D3946" s="1">
        <v>44182</v>
      </c>
      <c r="E3946" s="1">
        <v>45015</v>
      </c>
      <c r="F3946">
        <v>277</v>
      </c>
      <c r="G3946">
        <v>14</v>
      </c>
      <c r="H3946">
        <v>2574.41</v>
      </c>
      <c r="I3946">
        <v>106.62</v>
      </c>
      <c r="J3946" t="s">
        <v>115</v>
      </c>
      <c r="K3946" t="s">
        <v>16</v>
      </c>
      <c r="L3946" t="s">
        <v>2095</v>
      </c>
      <c r="M3946">
        <v>8</v>
      </c>
      <c r="N3946" t="s">
        <v>157</v>
      </c>
      <c r="O3946" t="s">
        <v>2121</v>
      </c>
    </row>
    <row r="3947" spans="1:15">
      <c r="A3947" t="s">
        <v>5185</v>
      </c>
      <c r="B3947" t="s">
        <v>2097</v>
      </c>
      <c r="C3947" t="s">
        <v>2094</v>
      </c>
      <c r="D3947" s="1">
        <v>43556</v>
      </c>
      <c r="E3947" s="1">
        <v>45065</v>
      </c>
      <c r="F3947">
        <v>227</v>
      </c>
      <c r="G3947">
        <v>5</v>
      </c>
      <c r="H3947">
        <v>286.74</v>
      </c>
      <c r="I3947">
        <v>99.38</v>
      </c>
      <c r="J3947" t="s">
        <v>115</v>
      </c>
      <c r="K3947" t="s">
        <v>16</v>
      </c>
      <c r="L3947" t="s">
        <v>2087</v>
      </c>
      <c r="M3947">
        <v>10</v>
      </c>
      <c r="N3947" t="s">
        <v>157</v>
      </c>
      <c r="O3947" t="s">
        <v>2107</v>
      </c>
    </row>
    <row r="3948" spans="1:15">
      <c r="A3948" t="s">
        <v>5186</v>
      </c>
      <c r="B3948" t="s">
        <v>2113</v>
      </c>
      <c r="C3948" t="s">
        <v>2100</v>
      </c>
      <c r="D3948" s="1">
        <v>44590</v>
      </c>
      <c r="E3948" s="1">
        <v>45055</v>
      </c>
      <c r="F3948">
        <v>237</v>
      </c>
      <c r="G3948">
        <v>13</v>
      </c>
      <c r="H3948">
        <v>375.13</v>
      </c>
      <c r="I3948">
        <v>60.47</v>
      </c>
      <c r="J3948" t="s">
        <v>14</v>
      </c>
      <c r="K3948" t="s">
        <v>16</v>
      </c>
      <c r="L3948" t="s">
        <v>2095</v>
      </c>
      <c r="M3948">
        <v>2</v>
      </c>
      <c r="N3948" t="s">
        <v>204</v>
      </c>
      <c r="O3948" t="s">
        <v>2096</v>
      </c>
    </row>
    <row r="3949" spans="1:15">
      <c r="A3949" t="s">
        <v>5187</v>
      </c>
      <c r="B3949" t="s">
        <v>2099</v>
      </c>
      <c r="C3949" t="s">
        <v>2091</v>
      </c>
      <c r="D3949" s="1">
        <v>44422</v>
      </c>
      <c r="E3949" s="1">
        <v>45226</v>
      </c>
      <c r="F3949">
        <v>66</v>
      </c>
      <c r="G3949">
        <v>2</v>
      </c>
      <c r="H3949">
        <v>62.23</v>
      </c>
      <c r="I3949">
        <v>44.88</v>
      </c>
      <c r="J3949" t="s">
        <v>41</v>
      </c>
      <c r="K3949" t="s">
        <v>20</v>
      </c>
      <c r="L3949" t="s">
        <v>2106</v>
      </c>
      <c r="M3949">
        <v>9</v>
      </c>
      <c r="N3949" t="s">
        <v>204</v>
      </c>
      <c r="O3949" t="s">
        <v>2096</v>
      </c>
    </row>
    <row r="3950" spans="1:15">
      <c r="A3950" t="s">
        <v>5188</v>
      </c>
      <c r="B3950" t="s">
        <v>2097</v>
      </c>
      <c r="C3950" t="s">
        <v>2108</v>
      </c>
      <c r="D3950" s="1">
        <v>44246</v>
      </c>
      <c r="E3950" s="1">
        <v>44966</v>
      </c>
      <c r="F3950">
        <v>326</v>
      </c>
      <c r="G3950">
        <v>4</v>
      </c>
      <c r="H3950">
        <v>727.16</v>
      </c>
      <c r="I3950">
        <v>79.78</v>
      </c>
      <c r="J3950" t="s">
        <v>90</v>
      </c>
      <c r="K3950" t="s">
        <v>20</v>
      </c>
      <c r="L3950" t="s">
        <v>2106</v>
      </c>
      <c r="M3950">
        <v>0</v>
      </c>
      <c r="N3950" t="s">
        <v>194</v>
      </c>
      <c r="O3950" t="s">
        <v>2109</v>
      </c>
    </row>
    <row r="3951" spans="1:15">
      <c r="A3951" t="s">
        <v>5189</v>
      </c>
      <c r="B3951" t="s">
        <v>2093</v>
      </c>
      <c r="C3951" t="s">
        <v>2108</v>
      </c>
      <c r="D3951" s="1">
        <v>44716</v>
      </c>
      <c r="E3951" s="1">
        <v>45145</v>
      </c>
      <c r="F3951">
        <v>147</v>
      </c>
      <c r="G3951">
        <v>4</v>
      </c>
      <c r="H3951">
        <v>42.39</v>
      </c>
      <c r="I3951">
        <v>28.93</v>
      </c>
      <c r="J3951" t="s">
        <v>66</v>
      </c>
      <c r="K3951" t="s">
        <v>16</v>
      </c>
      <c r="L3951" t="s">
        <v>2087</v>
      </c>
      <c r="M3951">
        <v>1</v>
      </c>
      <c r="N3951" t="s">
        <v>232</v>
      </c>
      <c r="O3951" t="s">
        <v>2096</v>
      </c>
    </row>
    <row r="3952" spans="1:15">
      <c r="A3952" t="s">
        <v>1112</v>
      </c>
      <c r="B3952" t="s">
        <v>2113</v>
      </c>
      <c r="C3952" t="s">
        <v>2108</v>
      </c>
      <c r="D3952" s="1">
        <v>43807</v>
      </c>
      <c r="E3952" s="1">
        <v>45243</v>
      </c>
      <c r="F3952">
        <v>49</v>
      </c>
      <c r="G3952">
        <v>11</v>
      </c>
      <c r="H3952">
        <v>344.64</v>
      </c>
      <c r="I3952">
        <v>73.34</v>
      </c>
      <c r="J3952" t="s">
        <v>90</v>
      </c>
      <c r="K3952" t="s">
        <v>16</v>
      </c>
      <c r="L3952" t="s">
        <v>2095</v>
      </c>
      <c r="M3952">
        <v>5</v>
      </c>
      <c r="N3952" t="s">
        <v>174</v>
      </c>
      <c r="O3952" t="s">
        <v>2107</v>
      </c>
    </row>
    <row r="3953" spans="1:15">
      <c r="A3953" t="s">
        <v>222</v>
      </c>
      <c r="B3953" t="s">
        <v>2113</v>
      </c>
      <c r="C3953" t="s">
        <v>2091</v>
      </c>
      <c r="D3953" s="1">
        <v>43952</v>
      </c>
      <c r="E3953" s="1">
        <v>45157</v>
      </c>
      <c r="F3953">
        <v>135</v>
      </c>
      <c r="G3953">
        <v>18</v>
      </c>
      <c r="H3953">
        <v>489.26</v>
      </c>
      <c r="I3953">
        <v>71.599999999999994</v>
      </c>
      <c r="J3953" t="s">
        <v>66</v>
      </c>
      <c r="K3953" t="s">
        <v>16</v>
      </c>
      <c r="L3953" t="s">
        <v>2106</v>
      </c>
      <c r="M3953">
        <v>4</v>
      </c>
      <c r="N3953" t="s">
        <v>179</v>
      </c>
      <c r="O3953" t="s">
        <v>2121</v>
      </c>
    </row>
    <row r="3954" spans="1:15">
      <c r="A3954" t="s">
        <v>1674</v>
      </c>
      <c r="B3954" t="s">
        <v>2099</v>
      </c>
      <c r="C3954" t="s">
        <v>2111</v>
      </c>
      <c r="D3954" s="1">
        <v>44197</v>
      </c>
      <c r="E3954" s="1">
        <v>44971</v>
      </c>
      <c r="F3954">
        <v>321</v>
      </c>
      <c r="G3954">
        <v>1</v>
      </c>
      <c r="H3954">
        <v>58.23</v>
      </c>
      <c r="I3954">
        <v>80.8</v>
      </c>
      <c r="J3954" t="s">
        <v>115</v>
      </c>
      <c r="K3954" t="s">
        <v>20</v>
      </c>
      <c r="L3954" t="s">
        <v>2095</v>
      </c>
      <c r="M3954">
        <v>6</v>
      </c>
      <c r="N3954" t="s">
        <v>194</v>
      </c>
      <c r="O3954" t="s">
        <v>2109</v>
      </c>
    </row>
    <row r="3955" spans="1:15">
      <c r="A3955" t="s">
        <v>5190</v>
      </c>
      <c r="B3955" t="s">
        <v>2093</v>
      </c>
      <c r="C3955" t="s">
        <v>2086</v>
      </c>
      <c r="D3955" s="1">
        <v>44293</v>
      </c>
      <c r="E3955" s="1">
        <v>45175</v>
      </c>
      <c r="F3955">
        <v>117</v>
      </c>
      <c r="G3955">
        <v>2</v>
      </c>
      <c r="H3955">
        <v>59.91</v>
      </c>
      <c r="I3955">
        <v>31.17</v>
      </c>
      <c r="J3955" t="s">
        <v>14</v>
      </c>
      <c r="K3955" t="s">
        <v>16</v>
      </c>
      <c r="L3955" t="s">
        <v>2095</v>
      </c>
      <c r="M3955">
        <v>7</v>
      </c>
      <c r="N3955" t="s">
        <v>232</v>
      </c>
      <c r="O3955" t="s">
        <v>2121</v>
      </c>
    </row>
    <row r="3956" spans="1:15">
      <c r="A3956" t="s">
        <v>231</v>
      </c>
      <c r="B3956" t="s">
        <v>2085</v>
      </c>
      <c r="C3956" t="s">
        <v>2091</v>
      </c>
      <c r="D3956" s="1">
        <v>44861</v>
      </c>
      <c r="E3956" s="1">
        <v>45159</v>
      </c>
      <c r="F3956">
        <v>133</v>
      </c>
      <c r="G3956">
        <v>17</v>
      </c>
      <c r="H3956">
        <v>1564.81</v>
      </c>
      <c r="I3956">
        <v>242.28</v>
      </c>
      <c r="J3956" t="s">
        <v>115</v>
      </c>
      <c r="K3956" t="s">
        <v>16</v>
      </c>
      <c r="L3956" t="s">
        <v>2087</v>
      </c>
      <c r="M3956">
        <v>9</v>
      </c>
      <c r="N3956" t="s">
        <v>194</v>
      </c>
      <c r="O3956" t="s">
        <v>2107</v>
      </c>
    </row>
    <row r="3957" spans="1:15">
      <c r="A3957" t="s">
        <v>758</v>
      </c>
      <c r="B3957" t="s">
        <v>2097</v>
      </c>
      <c r="C3957" t="s">
        <v>2086</v>
      </c>
      <c r="D3957" s="1">
        <v>44179</v>
      </c>
      <c r="E3957" s="1">
        <v>45053</v>
      </c>
      <c r="F3957">
        <v>239</v>
      </c>
      <c r="G3957">
        <v>5</v>
      </c>
      <c r="H3957">
        <v>722.22</v>
      </c>
      <c r="I3957">
        <v>110.69</v>
      </c>
      <c r="J3957" t="s">
        <v>66</v>
      </c>
      <c r="K3957" t="s">
        <v>16</v>
      </c>
      <c r="L3957" t="s">
        <v>2106</v>
      </c>
      <c r="M3957">
        <v>7</v>
      </c>
      <c r="N3957" t="s">
        <v>194</v>
      </c>
      <c r="O3957" t="s">
        <v>2109</v>
      </c>
    </row>
    <row r="3958" spans="1:15">
      <c r="A3958" t="s">
        <v>1282</v>
      </c>
      <c r="B3958" t="s">
        <v>2099</v>
      </c>
      <c r="C3958" t="s">
        <v>2091</v>
      </c>
      <c r="D3958" s="1">
        <v>44458</v>
      </c>
      <c r="E3958" s="1">
        <v>45009</v>
      </c>
      <c r="F3958">
        <v>283</v>
      </c>
      <c r="G3958">
        <v>1</v>
      </c>
      <c r="H3958">
        <v>83.69</v>
      </c>
      <c r="I3958">
        <v>49.95</v>
      </c>
      <c r="J3958" t="s">
        <v>66</v>
      </c>
      <c r="K3958" t="s">
        <v>16</v>
      </c>
      <c r="L3958" t="s">
        <v>2106</v>
      </c>
      <c r="M3958">
        <v>8</v>
      </c>
      <c r="N3958" t="s">
        <v>179</v>
      </c>
      <c r="O3958" t="s">
        <v>2107</v>
      </c>
    </row>
    <row r="3959" spans="1:15">
      <c r="A3959" t="s">
        <v>5191</v>
      </c>
      <c r="B3959" t="s">
        <v>2099</v>
      </c>
      <c r="C3959" t="s">
        <v>2108</v>
      </c>
      <c r="D3959" s="1">
        <v>43908</v>
      </c>
      <c r="E3959" s="1">
        <v>45047</v>
      </c>
      <c r="F3959">
        <v>245</v>
      </c>
      <c r="G3959">
        <v>2</v>
      </c>
      <c r="H3959">
        <v>21.83</v>
      </c>
      <c r="I3959">
        <v>66.819999999999993</v>
      </c>
      <c r="J3959" t="s">
        <v>66</v>
      </c>
      <c r="K3959" t="s">
        <v>16</v>
      </c>
      <c r="L3959" t="s">
        <v>2106</v>
      </c>
      <c r="M3959">
        <v>3</v>
      </c>
      <c r="N3959" t="s">
        <v>165</v>
      </c>
      <c r="O3959" t="s">
        <v>2107</v>
      </c>
    </row>
    <row r="3960" spans="1:15">
      <c r="A3960" t="s">
        <v>5192</v>
      </c>
      <c r="B3960" t="s">
        <v>2099</v>
      </c>
      <c r="C3960" t="s">
        <v>2086</v>
      </c>
      <c r="D3960" s="1">
        <v>44186</v>
      </c>
      <c r="E3960" s="1">
        <v>45251</v>
      </c>
      <c r="F3960">
        <v>41</v>
      </c>
      <c r="G3960">
        <v>1</v>
      </c>
      <c r="H3960">
        <v>71.010000000000005</v>
      </c>
      <c r="I3960">
        <v>70.84</v>
      </c>
      <c r="J3960" t="s">
        <v>41</v>
      </c>
      <c r="K3960" t="s">
        <v>16</v>
      </c>
      <c r="L3960" t="s">
        <v>2087</v>
      </c>
      <c r="M3960">
        <v>8</v>
      </c>
      <c r="N3960" t="s">
        <v>204</v>
      </c>
      <c r="O3960" t="s">
        <v>2109</v>
      </c>
    </row>
    <row r="3961" spans="1:15">
      <c r="A3961" t="s">
        <v>5193</v>
      </c>
      <c r="B3961" t="s">
        <v>2093</v>
      </c>
      <c r="C3961" t="s">
        <v>2094</v>
      </c>
      <c r="D3961" s="1">
        <v>44451</v>
      </c>
      <c r="E3961" s="1">
        <v>45228</v>
      </c>
      <c r="F3961">
        <v>64</v>
      </c>
      <c r="G3961">
        <v>5</v>
      </c>
      <c r="H3961">
        <v>34.01</v>
      </c>
      <c r="I3961">
        <v>76.67</v>
      </c>
      <c r="J3961" t="s">
        <v>90</v>
      </c>
      <c r="K3961" t="s">
        <v>16</v>
      </c>
      <c r="L3961" t="s">
        <v>2095</v>
      </c>
      <c r="M3961">
        <v>0</v>
      </c>
      <c r="N3961" t="s">
        <v>174</v>
      </c>
      <c r="O3961" t="s">
        <v>2096</v>
      </c>
    </row>
    <row r="3962" spans="1:15">
      <c r="A3962" t="s">
        <v>5194</v>
      </c>
      <c r="B3962" t="s">
        <v>2097</v>
      </c>
      <c r="C3962" t="s">
        <v>2108</v>
      </c>
      <c r="D3962" s="1">
        <v>44727</v>
      </c>
      <c r="E3962" s="1">
        <v>45030</v>
      </c>
      <c r="F3962">
        <v>262</v>
      </c>
      <c r="G3962">
        <v>5</v>
      </c>
      <c r="H3962">
        <v>464.95</v>
      </c>
      <c r="I3962">
        <v>86.46</v>
      </c>
      <c r="J3962" t="s">
        <v>90</v>
      </c>
      <c r="K3962" t="s">
        <v>20</v>
      </c>
      <c r="L3962" t="s">
        <v>2095</v>
      </c>
      <c r="M3962">
        <v>4</v>
      </c>
      <c r="N3962" t="s">
        <v>204</v>
      </c>
      <c r="O3962" t="s">
        <v>2096</v>
      </c>
    </row>
    <row r="3963" spans="1:15">
      <c r="A3963" t="s">
        <v>5195</v>
      </c>
      <c r="B3963" t="s">
        <v>2090</v>
      </c>
      <c r="C3963" t="s">
        <v>2111</v>
      </c>
      <c r="D3963" s="1">
        <v>43920</v>
      </c>
      <c r="E3963" s="1">
        <v>45158</v>
      </c>
      <c r="F3963">
        <v>134</v>
      </c>
      <c r="G3963">
        <v>3</v>
      </c>
      <c r="H3963">
        <v>259.3</v>
      </c>
      <c r="I3963">
        <v>58.79</v>
      </c>
      <c r="J3963" t="s">
        <v>66</v>
      </c>
      <c r="K3963" t="s">
        <v>16</v>
      </c>
      <c r="L3963" t="s">
        <v>2106</v>
      </c>
      <c r="M3963">
        <v>1</v>
      </c>
      <c r="N3963" t="s">
        <v>157</v>
      </c>
      <c r="O3963" t="s">
        <v>2109</v>
      </c>
    </row>
    <row r="3964" spans="1:15">
      <c r="A3964" t="s">
        <v>347</v>
      </c>
      <c r="B3964" t="s">
        <v>2113</v>
      </c>
      <c r="C3964" t="s">
        <v>2086</v>
      </c>
      <c r="D3964" s="1">
        <v>44630</v>
      </c>
      <c r="E3964" s="1">
        <v>45043</v>
      </c>
      <c r="F3964">
        <v>249</v>
      </c>
      <c r="G3964">
        <v>19</v>
      </c>
      <c r="H3964">
        <v>512.01</v>
      </c>
      <c r="I3964">
        <v>54.94</v>
      </c>
      <c r="J3964" t="s">
        <v>41</v>
      </c>
      <c r="K3964" t="s">
        <v>20</v>
      </c>
      <c r="L3964" t="s">
        <v>2095</v>
      </c>
      <c r="M3964">
        <v>10</v>
      </c>
      <c r="N3964" t="s">
        <v>204</v>
      </c>
      <c r="O3964" t="s">
        <v>2088</v>
      </c>
    </row>
    <row r="3965" spans="1:15">
      <c r="A3965" t="s">
        <v>452</v>
      </c>
      <c r="B3965" t="s">
        <v>2090</v>
      </c>
      <c r="C3965" t="s">
        <v>2100</v>
      </c>
      <c r="D3965" s="1">
        <v>43789</v>
      </c>
      <c r="E3965" s="1">
        <v>45182</v>
      </c>
      <c r="F3965">
        <v>110</v>
      </c>
      <c r="G3965">
        <v>4</v>
      </c>
      <c r="H3965">
        <v>359.69</v>
      </c>
      <c r="I3965">
        <v>66.22</v>
      </c>
      <c r="J3965" t="s">
        <v>41</v>
      </c>
      <c r="K3965" t="s">
        <v>20</v>
      </c>
      <c r="L3965" t="s">
        <v>2095</v>
      </c>
      <c r="M3965">
        <v>3</v>
      </c>
      <c r="N3965" t="s">
        <v>204</v>
      </c>
      <c r="O3965" t="s">
        <v>2088</v>
      </c>
    </row>
    <row r="3966" spans="1:15">
      <c r="A3966" t="s">
        <v>5196</v>
      </c>
      <c r="B3966" t="s">
        <v>2090</v>
      </c>
      <c r="C3966" t="s">
        <v>2091</v>
      </c>
      <c r="D3966" s="1">
        <v>44856</v>
      </c>
      <c r="E3966" s="1">
        <v>45168</v>
      </c>
      <c r="F3966">
        <v>124</v>
      </c>
      <c r="G3966">
        <v>3</v>
      </c>
      <c r="H3966">
        <v>125.22</v>
      </c>
      <c r="I3966">
        <v>64.75</v>
      </c>
      <c r="J3966" t="s">
        <v>115</v>
      </c>
      <c r="K3966" t="s">
        <v>16</v>
      </c>
      <c r="L3966" t="s">
        <v>2106</v>
      </c>
      <c r="M3966">
        <v>5</v>
      </c>
      <c r="N3966" t="s">
        <v>232</v>
      </c>
      <c r="O3966" t="s">
        <v>2088</v>
      </c>
    </row>
    <row r="3967" spans="1:15">
      <c r="A3967" t="s">
        <v>5197</v>
      </c>
      <c r="B3967" t="s">
        <v>2085</v>
      </c>
      <c r="C3967" t="s">
        <v>2086</v>
      </c>
      <c r="D3967" s="1">
        <v>43620</v>
      </c>
      <c r="E3967" s="1">
        <v>45267</v>
      </c>
      <c r="F3967">
        <v>25</v>
      </c>
      <c r="G3967">
        <v>32</v>
      </c>
      <c r="H3967">
        <v>2801.95</v>
      </c>
      <c r="I3967">
        <v>183.29</v>
      </c>
      <c r="J3967" t="s">
        <v>14</v>
      </c>
      <c r="K3967" t="s">
        <v>20</v>
      </c>
      <c r="L3967" t="s">
        <v>2106</v>
      </c>
      <c r="M3967">
        <v>0</v>
      </c>
      <c r="N3967" t="s">
        <v>232</v>
      </c>
      <c r="O3967" t="s">
        <v>2088</v>
      </c>
    </row>
    <row r="3968" spans="1:15">
      <c r="A3968" t="s">
        <v>1218</v>
      </c>
      <c r="B3968" t="s">
        <v>2090</v>
      </c>
      <c r="C3968" t="s">
        <v>2100</v>
      </c>
      <c r="D3968" s="1">
        <v>43891</v>
      </c>
      <c r="E3968" s="1">
        <v>45045</v>
      </c>
      <c r="F3968">
        <v>247</v>
      </c>
      <c r="G3968">
        <v>7</v>
      </c>
      <c r="H3968">
        <v>99.97</v>
      </c>
      <c r="I3968">
        <v>41.55</v>
      </c>
      <c r="J3968" t="s">
        <v>41</v>
      </c>
      <c r="K3968" t="s">
        <v>16</v>
      </c>
      <c r="L3968" t="s">
        <v>2095</v>
      </c>
      <c r="M3968">
        <v>4</v>
      </c>
      <c r="N3968" t="s">
        <v>179</v>
      </c>
      <c r="O3968" t="s">
        <v>2121</v>
      </c>
    </row>
    <row r="3969" spans="1:15">
      <c r="A3969" t="s">
        <v>5198</v>
      </c>
      <c r="B3969" t="s">
        <v>2113</v>
      </c>
      <c r="C3969" t="s">
        <v>2100</v>
      </c>
      <c r="D3969" s="1">
        <v>43996</v>
      </c>
      <c r="E3969" s="1">
        <v>44996</v>
      </c>
      <c r="F3969">
        <v>296</v>
      </c>
      <c r="G3969">
        <v>9</v>
      </c>
      <c r="H3969">
        <v>192.84</v>
      </c>
      <c r="I3969">
        <v>47.97</v>
      </c>
      <c r="J3969" t="s">
        <v>90</v>
      </c>
      <c r="K3969" t="s">
        <v>16</v>
      </c>
      <c r="L3969" t="s">
        <v>2095</v>
      </c>
      <c r="M3969">
        <v>7</v>
      </c>
      <c r="N3969" t="s">
        <v>157</v>
      </c>
      <c r="O3969" t="s">
        <v>2107</v>
      </c>
    </row>
    <row r="3970" spans="1:15">
      <c r="A3970" t="s">
        <v>5199</v>
      </c>
      <c r="B3970" t="s">
        <v>2097</v>
      </c>
      <c r="C3970" t="s">
        <v>2094</v>
      </c>
      <c r="D3970" s="1">
        <v>43953</v>
      </c>
      <c r="E3970" s="1">
        <v>45001</v>
      </c>
      <c r="F3970">
        <v>291</v>
      </c>
      <c r="G3970">
        <v>4</v>
      </c>
      <c r="H3970">
        <v>670.3</v>
      </c>
      <c r="I3970">
        <v>149.66999999999999</v>
      </c>
      <c r="J3970" t="s">
        <v>14</v>
      </c>
      <c r="K3970" t="s">
        <v>16</v>
      </c>
      <c r="L3970" t="s">
        <v>2087</v>
      </c>
      <c r="M3970">
        <v>9</v>
      </c>
      <c r="N3970" t="s">
        <v>179</v>
      </c>
      <c r="O3970" t="s">
        <v>2088</v>
      </c>
    </row>
    <row r="3971" spans="1:15">
      <c r="A3971" t="s">
        <v>5200</v>
      </c>
      <c r="B3971" t="s">
        <v>2097</v>
      </c>
      <c r="C3971" t="s">
        <v>2111</v>
      </c>
      <c r="D3971" s="1">
        <v>43985</v>
      </c>
      <c r="E3971" s="1">
        <v>45112</v>
      </c>
      <c r="F3971">
        <v>180</v>
      </c>
      <c r="G3971">
        <v>5</v>
      </c>
      <c r="H3971">
        <v>518.35</v>
      </c>
      <c r="I3971">
        <v>140.76</v>
      </c>
      <c r="J3971" t="s">
        <v>14</v>
      </c>
      <c r="K3971" t="s">
        <v>20</v>
      </c>
      <c r="L3971" t="s">
        <v>2106</v>
      </c>
      <c r="M3971">
        <v>6</v>
      </c>
      <c r="N3971" t="s">
        <v>194</v>
      </c>
      <c r="O3971" t="s">
        <v>2096</v>
      </c>
    </row>
    <row r="3972" spans="1:15">
      <c r="A3972" t="s">
        <v>5201</v>
      </c>
      <c r="B3972" t="s">
        <v>2099</v>
      </c>
      <c r="C3972" t="s">
        <v>2094</v>
      </c>
      <c r="D3972" s="1">
        <v>44072</v>
      </c>
      <c r="E3972" s="1">
        <v>45230</v>
      </c>
      <c r="F3972">
        <v>62</v>
      </c>
      <c r="G3972">
        <v>1</v>
      </c>
      <c r="H3972">
        <v>91.06</v>
      </c>
      <c r="I3972">
        <v>33.880000000000003</v>
      </c>
      <c r="J3972" t="s">
        <v>14</v>
      </c>
      <c r="K3972" t="s">
        <v>16</v>
      </c>
      <c r="L3972" t="s">
        <v>2095</v>
      </c>
      <c r="M3972">
        <v>9</v>
      </c>
      <c r="N3972" t="s">
        <v>204</v>
      </c>
      <c r="O3972" t="s">
        <v>2109</v>
      </c>
    </row>
    <row r="3973" spans="1:15">
      <c r="A3973" t="s">
        <v>463</v>
      </c>
      <c r="B3973" t="s">
        <v>2093</v>
      </c>
      <c r="C3973" t="s">
        <v>2094</v>
      </c>
      <c r="D3973" s="1">
        <v>45161</v>
      </c>
      <c r="E3973" s="1">
        <v>45164</v>
      </c>
      <c r="F3973">
        <v>128</v>
      </c>
      <c r="G3973">
        <v>1</v>
      </c>
      <c r="H3973">
        <v>191.39</v>
      </c>
      <c r="I3973">
        <v>77.02</v>
      </c>
      <c r="J3973" t="s">
        <v>41</v>
      </c>
      <c r="K3973" t="s">
        <v>20</v>
      </c>
      <c r="L3973" t="s">
        <v>2106</v>
      </c>
      <c r="M3973">
        <v>6</v>
      </c>
      <c r="N3973" t="s">
        <v>204</v>
      </c>
      <c r="O3973" t="s">
        <v>2121</v>
      </c>
    </row>
    <row r="3974" spans="1:15">
      <c r="A3974" t="s">
        <v>315</v>
      </c>
      <c r="B3974" t="s">
        <v>2099</v>
      </c>
      <c r="C3974" t="s">
        <v>2091</v>
      </c>
      <c r="D3974" s="1">
        <v>43641</v>
      </c>
      <c r="E3974" s="1">
        <v>45035</v>
      </c>
      <c r="F3974">
        <v>257</v>
      </c>
      <c r="G3974">
        <v>1</v>
      </c>
      <c r="H3974">
        <v>146.9</v>
      </c>
      <c r="I3974">
        <v>27.48</v>
      </c>
      <c r="J3974" t="s">
        <v>14</v>
      </c>
      <c r="K3974" t="s">
        <v>16</v>
      </c>
      <c r="L3974" t="s">
        <v>2095</v>
      </c>
      <c r="M3974">
        <v>3</v>
      </c>
      <c r="N3974" t="s">
        <v>165</v>
      </c>
      <c r="O3974" t="s">
        <v>2088</v>
      </c>
    </row>
    <row r="3975" spans="1:15">
      <c r="A3975" t="s">
        <v>5202</v>
      </c>
      <c r="B3975" t="s">
        <v>2085</v>
      </c>
      <c r="C3975" t="s">
        <v>2094</v>
      </c>
      <c r="D3975" s="1">
        <v>44284</v>
      </c>
      <c r="E3975" s="1">
        <v>45095</v>
      </c>
      <c r="F3975">
        <v>197</v>
      </c>
      <c r="G3975">
        <v>30</v>
      </c>
      <c r="H3975">
        <v>2361.61</v>
      </c>
      <c r="I3975">
        <v>207.47</v>
      </c>
      <c r="J3975" t="s">
        <v>14</v>
      </c>
      <c r="K3975" t="s">
        <v>16</v>
      </c>
      <c r="L3975" t="s">
        <v>2095</v>
      </c>
      <c r="M3975">
        <v>6</v>
      </c>
      <c r="N3975" t="s">
        <v>232</v>
      </c>
      <c r="O3975" t="s">
        <v>2088</v>
      </c>
    </row>
    <row r="3976" spans="1:15">
      <c r="A3976" t="s">
        <v>5203</v>
      </c>
      <c r="B3976" t="s">
        <v>2113</v>
      </c>
      <c r="C3976" t="s">
        <v>2108</v>
      </c>
      <c r="D3976" s="1">
        <v>44976</v>
      </c>
      <c r="E3976" s="1">
        <v>45142</v>
      </c>
      <c r="F3976">
        <v>150</v>
      </c>
      <c r="G3976">
        <v>7</v>
      </c>
      <c r="H3976">
        <v>584.97</v>
      </c>
      <c r="I3976">
        <v>52.91</v>
      </c>
      <c r="J3976" t="s">
        <v>66</v>
      </c>
      <c r="K3976" t="s">
        <v>16</v>
      </c>
      <c r="L3976" t="s">
        <v>2106</v>
      </c>
      <c r="M3976">
        <v>9</v>
      </c>
      <c r="N3976" t="s">
        <v>179</v>
      </c>
      <c r="O3976" t="s">
        <v>2088</v>
      </c>
    </row>
    <row r="3977" spans="1:15">
      <c r="A3977" t="s">
        <v>5204</v>
      </c>
      <c r="B3977" t="s">
        <v>2085</v>
      </c>
      <c r="C3977" t="s">
        <v>2100</v>
      </c>
      <c r="D3977" s="1">
        <v>44664</v>
      </c>
      <c r="E3977" s="1">
        <v>45153</v>
      </c>
      <c r="F3977">
        <v>139</v>
      </c>
      <c r="G3977">
        <v>31</v>
      </c>
      <c r="H3977">
        <v>1634</v>
      </c>
      <c r="I3977">
        <v>264.95</v>
      </c>
      <c r="J3977" t="s">
        <v>14</v>
      </c>
      <c r="K3977" t="s">
        <v>20</v>
      </c>
      <c r="L3977" t="s">
        <v>2095</v>
      </c>
      <c r="M3977">
        <v>2</v>
      </c>
      <c r="N3977" t="s">
        <v>157</v>
      </c>
      <c r="O3977" t="s">
        <v>2109</v>
      </c>
    </row>
    <row r="3978" spans="1:15">
      <c r="A3978" t="s">
        <v>5205</v>
      </c>
      <c r="B3978" t="s">
        <v>2113</v>
      </c>
      <c r="C3978" t="s">
        <v>2108</v>
      </c>
      <c r="D3978" s="1">
        <v>45101</v>
      </c>
      <c r="E3978" s="1">
        <v>45104</v>
      </c>
      <c r="F3978">
        <v>188</v>
      </c>
      <c r="G3978">
        <v>14</v>
      </c>
      <c r="H3978">
        <v>386.05</v>
      </c>
      <c r="I3978">
        <v>58.67</v>
      </c>
      <c r="J3978" t="s">
        <v>14</v>
      </c>
      <c r="K3978" t="s">
        <v>16</v>
      </c>
      <c r="L3978" t="s">
        <v>2095</v>
      </c>
      <c r="M3978">
        <v>7</v>
      </c>
      <c r="N3978" t="s">
        <v>165</v>
      </c>
      <c r="O3978" t="s">
        <v>2096</v>
      </c>
    </row>
    <row r="3979" spans="1:15">
      <c r="A3979" t="s">
        <v>5206</v>
      </c>
      <c r="B3979" t="s">
        <v>2093</v>
      </c>
      <c r="C3979" t="s">
        <v>2086</v>
      </c>
      <c r="D3979" s="1">
        <v>43783</v>
      </c>
      <c r="E3979" s="1">
        <v>45078</v>
      </c>
      <c r="F3979">
        <v>214</v>
      </c>
      <c r="G3979">
        <v>3</v>
      </c>
      <c r="H3979">
        <v>63.51</v>
      </c>
      <c r="I3979">
        <v>60.79</v>
      </c>
      <c r="J3979" t="s">
        <v>14</v>
      </c>
      <c r="K3979" t="s">
        <v>16</v>
      </c>
      <c r="L3979" t="s">
        <v>2095</v>
      </c>
      <c r="M3979">
        <v>6</v>
      </c>
      <c r="N3979" t="s">
        <v>157</v>
      </c>
      <c r="O3979" t="s">
        <v>2096</v>
      </c>
    </row>
    <row r="3980" spans="1:15">
      <c r="A3980" t="s">
        <v>5207</v>
      </c>
      <c r="B3980" t="s">
        <v>2099</v>
      </c>
      <c r="C3980" t="s">
        <v>2091</v>
      </c>
      <c r="D3980" s="1">
        <v>44025</v>
      </c>
      <c r="E3980" s="1">
        <v>45002</v>
      </c>
      <c r="F3980">
        <v>290</v>
      </c>
      <c r="G3980">
        <v>2</v>
      </c>
      <c r="H3980">
        <v>81.02</v>
      </c>
      <c r="I3980">
        <v>41.73</v>
      </c>
      <c r="J3980" t="s">
        <v>41</v>
      </c>
      <c r="K3980" t="s">
        <v>16</v>
      </c>
      <c r="L3980" t="s">
        <v>2095</v>
      </c>
      <c r="M3980">
        <v>10</v>
      </c>
      <c r="N3980" t="s">
        <v>194</v>
      </c>
      <c r="O3980" t="s">
        <v>2107</v>
      </c>
    </row>
    <row r="3981" spans="1:15">
      <c r="A3981" t="s">
        <v>5208</v>
      </c>
      <c r="B3981" t="s">
        <v>2093</v>
      </c>
      <c r="C3981" t="s">
        <v>2091</v>
      </c>
      <c r="D3981" s="1">
        <v>45189</v>
      </c>
      <c r="E3981" s="1">
        <v>45172</v>
      </c>
      <c r="F3981">
        <v>120</v>
      </c>
      <c r="G3981">
        <v>1</v>
      </c>
      <c r="H3981">
        <v>167.71</v>
      </c>
      <c r="I3981">
        <v>67.64</v>
      </c>
      <c r="J3981" t="s">
        <v>115</v>
      </c>
      <c r="K3981" t="s">
        <v>16</v>
      </c>
      <c r="L3981" t="s">
        <v>2106</v>
      </c>
      <c r="M3981">
        <v>10</v>
      </c>
      <c r="N3981" t="s">
        <v>232</v>
      </c>
      <c r="O3981" t="s">
        <v>2096</v>
      </c>
    </row>
    <row r="3982" spans="1:15">
      <c r="A3982" t="s">
        <v>882</v>
      </c>
      <c r="B3982" t="s">
        <v>2097</v>
      </c>
      <c r="C3982" t="s">
        <v>2111</v>
      </c>
      <c r="D3982" s="1">
        <v>44135</v>
      </c>
      <c r="E3982" s="1">
        <v>44978</v>
      </c>
      <c r="F3982">
        <v>314</v>
      </c>
      <c r="G3982">
        <v>7</v>
      </c>
      <c r="H3982">
        <v>438.44</v>
      </c>
      <c r="I3982">
        <v>60.4</v>
      </c>
      <c r="J3982" t="s">
        <v>41</v>
      </c>
      <c r="K3982" t="s">
        <v>20</v>
      </c>
      <c r="L3982" t="s">
        <v>2087</v>
      </c>
      <c r="M3982">
        <v>8</v>
      </c>
      <c r="N3982" t="s">
        <v>157</v>
      </c>
      <c r="O3982" t="s">
        <v>2088</v>
      </c>
    </row>
    <row r="3983" spans="1:15">
      <c r="A3983" t="s">
        <v>5209</v>
      </c>
      <c r="B3983" t="s">
        <v>2113</v>
      </c>
      <c r="C3983" t="s">
        <v>2111</v>
      </c>
      <c r="D3983" s="1">
        <v>43810</v>
      </c>
      <c r="E3983" s="1">
        <v>45169</v>
      </c>
      <c r="F3983">
        <v>123</v>
      </c>
      <c r="G3983">
        <v>5</v>
      </c>
      <c r="H3983">
        <v>353.06</v>
      </c>
      <c r="I3983">
        <v>40.29</v>
      </c>
      <c r="J3983" t="s">
        <v>14</v>
      </c>
      <c r="K3983" t="s">
        <v>16</v>
      </c>
      <c r="L3983" t="s">
        <v>2087</v>
      </c>
      <c r="M3983">
        <v>3</v>
      </c>
      <c r="N3983" t="s">
        <v>165</v>
      </c>
      <c r="O3983" t="s">
        <v>2121</v>
      </c>
    </row>
    <row r="3984" spans="1:15">
      <c r="A3984" t="s">
        <v>5210</v>
      </c>
      <c r="B3984" t="s">
        <v>2085</v>
      </c>
      <c r="C3984" t="s">
        <v>2108</v>
      </c>
      <c r="D3984" s="1">
        <v>43879</v>
      </c>
      <c r="E3984" s="1">
        <v>45271</v>
      </c>
      <c r="F3984">
        <v>21</v>
      </c>
      <c r="G3984">
        <v>18</v>
      </c>
      <c r="H3984">
        <v>1499.22</v>
      </c>
      <c r="I3984">
        <v>185.3</v>
      </c>
      <c r="J3984" t="s">
        <v>66</v>
      </c>
      <c r="K3984" t="s">
        <v>16</v>
      </c>
      <c r="L3984" t="s">
        <v>2095</v>
      </c>
      <c r="M3984">
        <v>7</v>
      </c>
      <c r="N3984" t="s">
        <v>174</v>
      </c>
      <c r="O3984" t="s">
        <v>2088</v>
      </c>
    </row>
    <row r="3985" spans="1:15">
      <c r="A3985" t="s">
        <v>5211</v>
      </c>
      <c r="B3985" t="s">
        <v>2093</v>
      </c>
      <c r="C3985" t="s">
        <v>2094</v>
      </c>
      <c r="D3985" s="1">
        <v>45117</v>
      </c>
      <c r="E3985" s="1">
        <v>45027</v>
      </c>
      <c r="F3985">
        <v>265</v>
      </c>
      <c r="G3985">
        <v>1</v>
      </c>
      <c r="H3985">
        <v>181.95</v>
      </c>
      <c r="I3985">
        <v>42.84</v>
      </c>
      <c r="J3985" t="s">
        <v>66</v>
      </c>
      <c r="K3985" t="s">
        <v>16</v>
      </c>
      <c r="L3985" t="s">
        <v>2106</v>
      </c>
      <c r="M3985">
        <v>1</v>
      </c>
      <c r="N3985" t="s">
        <v>165</v>
      </c>
      <c r="O3985" t="s">
        <v>2121</v>
      </c>
    </row>
    <row r="3986" spans="1:15">
      <c r="A3986" t="s">
        <v>5212</v>
      </c>
      <c r="B3986" t="s">
        <v>2113</v>
      </c>
      <c r="C3986" t="s">
        <v>2094</v>
      </c>
      <c r="D3986" s="1">
        <v>44502</v>
      </c>
      <c r="E3986" s="1">
        <v>45012</v>
      </c>
      <c r="F3986">
        <v>280</v>
      </c>
      <c r="G3986">
        <v>11</v>
      </c>
      <c r="H3986">
        <v>221.55</v>
      </c>
      <c r="I3986">
        <v>61.95</v>
      </c>
      <c r="J3986" t="s">
        <v>66</v>
      </c>
      <c r="K3986" t="s">
        <v>16</v>
      </c>
      <c r="L3986" t="s">
        <v>2087</v>
      </c>
      <c r="M3986">
        <v>6</v>
      </c>
      <c r="N3986" t="s">
        <v>232</v>
      </c>
      <c r="O3986" t="s">
        <v>2088</v>
      </c>
    </row>
    <row r="3987" spans="1:15">
      <c r="A3987" t="s">
        <v>1072</v>
      </c>
      <c r="B3987" t="s">
        <v>2097</v>
      </c>
      <c r="C3987" t="s">
        <v>2108</v>
      </c>
      <c r="D3987" s="1">
        <v>43738</v>
      </c>
      <c r="E3987" s="1">
        <v>45218</v>
      </c>
      <c r="F3987">
        <v>74</v>
      </c>
      <c r="G3987">
        <v>5</v>
      </c>
      <c r="H3987">
        <v>171.19</v>
      </c>
      <c r="I3987">
        <v>142.30000000000001</v>
      </c>
      <c r="J3987" t="s">
        <v>115</v>
      </c>
      <c r="K3987" t="s">
        <v>20</v>
      </c>
      <c r="L3987" t="s">
        <v>2087</v>
      </c>
      <c r="M3987">
        <v>5</v>
      </c>
      <c r="N3987" t="s">
        <v>179</v>
      </c>
      <c r="O3987" t="s">
        <v>2088</v>
      </c>
    </row>
    <row r="3988" spans="1:15">
      <c r="A3988" t="s">
        <v>5213</v>
      </c>
      <c r="B3988" t="s">
        <v>2093</v>
      </c>
      <c r="C3988" t="s">
        <v>2100</v>
      </c>
      <c r="D3988" s="1">
        <v>44087</v>
      </c>
      <c r="E3988" s="1">
        <v>45104</v>
      </c>
      <c r="F3988">
        <v>188</v>
      </c>
      <c r="G3988">
        <v>1</v>
      </c>
      <c r="H3988">
        <v>59.53</v>
      </c>
      <c r="I3988">
        <v>50.73</v>
      </c>
      <c r="J3988" t="s">
        <v>14</v>
      </c>
      <c r="K3988" t="s">
        <v>20</v>
      </c>
      <c r="L3988" t="s">
        <v>2106</v>
      </c>
      <c r="M3988">
        <v>6</v>
      </c>
      <c r="N3988" t="s">
        <v>232</v>
      </c>
      <c r="O3988" t="s">
        <v>2096</v>
      </c>
    </row>
    <row r="3989" spans="1:15">
      <c r="A3989" t="s">
        <v>5214</v>
      </c>
      <c r="B3989" t="s">
        <v>2090</v>
      </c>
      <c r="C3989" t="s">
        <v>2094</v>
      </c>
      <c r="D3989" s="1">
        <v>44340</v>
      </c>
      <c r="E3989" s="1">
        <v>45017</v>
      </c>
      <c r="F3989">
        <v>275</v>
      </c>
      <c r="G3989">
        <v>7</v>
      </c>
      <c r="H3989">
        <v>286.20999999999998</v>
      </c>
      <c r="I3989">
        <v>117.75</v>
      </c>
      <c r="J3989" t="s">
        <v>66</v>
      </c>
      <c r="K3989" t="s">
        <v>20</v>
      </c>
      <c r="L3989" t="s">
        <v>2106</v>
      </c>
      <c r="M3989">
        <v>3</v>
      </c>
      <c r="N3989" t="s">
        <v>174</v>
      </c>
      <c r="O3989" t="s">
        <v>2121</v>
      </c>
    </row>
    <row r="3990" spans="1:15">
      <c r="A3990" t="s">
        <v>5215</v>
      </c>
      <c r="B3990" t="s">
        <v>2113</v>
      </c>
      <c r="C3990" t="s">
        <v>2086</v>
      </c>
      <c r="D3990" s="1">
        <v>43876</v>
      </c>
      <c r="E3990" s="1">
        <v>45038</v>
      </c>
      <c r="F3990">
        <v>254</v>
      </c>
      <c r="G3990">
        <v>12</v>
      </c>
      <c r="H3990">
        <v>464.83</v>
      </c>
      <c r="I3990">
        <v>46.94</v>
      </c>
      <c r="J3990" t="s">
        <v>90</v>
      </c>
      <c r="K3990" t="s">
        <v>16</v>
      </c>
      <c r="L3990" t="s">
        <v>2095</v>
      </c>
      <c r="M3990">
        <v>6</v>
      </c>
      <c r="N3990" t="s">
        <v>204</v>
      </c>
      <c r="O3990" t="s">
        <v>2121</v>
      </c>
    </row>
    <row r="3991" spans="1:15">
      <c r="A3991" t="s">
        <v>1586</v>
      </c>
      <c r="B3991" t="s">
        <v>2099</v>
      </c>
      <c r="C3991" t="s">
        <v>2094</v>
      </c>
      <c r="D3991" s="1">
        <v>43488</v>
      </c>
      <c r="E3991" s="1">
        <v>45090</v>
      </c>
      <c r="F3991">
        <v>202</v>
      </c>
      <c r="G3991">
        <v>1</v>
      </c>
      <c r="H3991">
        <v>76.040000000000006</v>
      </c>
      <c r="I3991">
        <v>54.35</v>
      </c>
      <c r="J3991" t="s">
        <v>41</v>
      </c>
      <c r="K3991" t="s">
        <v>16</v>
      </c>
      <c r="L3991" t="s">
        <v>2087</v>
      </c>
      <c r="M3991">
        <v>10</v>
      </c>
      <c r="N3991" t="s">
        <v>174</v>
      </c>
      <c r="O3991" t="s">
        <v>2109</v>
      </c>
    </row>
    <row r="3992" spans="1:15">
      <c r="A3992" t="s">
        <v>256</v>
      </c>
      <c r="B3992" t="s">
        <v>2093</v>
      </c>
      <c r="C3992" t="s">
        <v>2094</v>
      </c>
      <c r="D3992" s="1">
        <v>44486</v>
      </c>
      <c r="E3992" s="1">
        <v>45285</v>
      </c>
      <c r="F3992">
        <v>7</v>
      </c>
      <c r="G3992">
        <v>2</v>
      </c>
      <c r="H3992">
        <v>95.03</v>
      </c>
      <c r="I3992">
        <v>24.69</v>
      </c>
      <c r="J3992" t="s">
        <v>90</v>
      </c>
      <c r="K3992" t="s">
        <v>16</v>
      </c>
      <c r="L3992" t="s">
        <v>2087</v>
      </c>
      <c r="M3992">
        <v>9</v>
      </c>
      <c r="N3992" t="s">
        <v>179</v>
      </c>
      <c r="O3992" t="s">
        <v>2121</v>
      </c>
    </row>
    <row r="3993" spans="1:15">
      <c r="A3993" t="s">
        <v>401</v>
      </c>
      <c r="B3993" t="s">
        <v>2097</v>
      </c>
      <c r="C3993" t="s">
        <v>2094</v>
      </c>
      <c r="D3993" s="1">
        <v>44548</v>
      </c>
      <c r="E3993" s="1">
        <v>45231</v>
      </c>
      <c r="F3993">
        <v>61</v>
      </c>
      <c r="G3993">
        <v>4</v>
      </c>
      <c r="H3993">
        <v>263.14999999999998</v>
      </c>
      <c r="I3993">
        <v>95.34</v>
      </c>
      <c r="J3993" t="s">
        <v>14</v>
      </c>
      <c r="K3993" t="s">
        <v>20</v>
      </c>
      <c r="L3993" t="s">
        <v>2106</v>
      </c>
      <c r="M3993">
        <v>6</v>
      </c>
      <c r="N3993" t="s">
        <v>232</v>
      </c>
      <c r="O3993" t="s">
        <v>2109</v>
      </c>
    </row>
    <row r="3994" spans="1:15">
      <c r="A3994" t="s">
        <v>5216</v>
      </c>
      <c r="B3994" t="s">
        <v>2097</v>
      </c>
      <c r="C3994" t="s">
        <v>2111</v>
      </c>
      <c r="D3994" s="1">
        <v>43573</v>
      </c>
      <c r="E3994" s="1">
        <v>45066</v>
      </c>
      <c r="F3994">
        <v>226</v>
      </c>
      <c r="G3994">
        <v>9</v>
      </c>
      <c r="H3994">
        <v>440.1</v>
      </c>
      <c r="I3994">
        <v>64.08</v>
      </c>
      <c r="J3994" t="s">
        <v>115</v>
      </c>
      <c r="K3994" t="s">
        <v>16</v>
      </c>
      <c r="L3994" t="s">
        <v>2095</v>
      </c>
      <c r="M3994">
        <v>9</v>
      </c>
      <c r="N3994" t="s">
        <v>157</v>
      </c>
      <c r="O3994" t="s">
        <v>2096</v>
      </c>
    </row>
    <row r="3995" spans="1:15">
      <c r="A3995" t="s">
        <v>866</v>
      </c>
      <c r="B3995" t="s">
        <v>2090</v>
      </c>
      <c r="C3995" t="s">
        <v>2108</v>
      </c>
      <c r="D3995" s="1">
        <v>44374</v>
      </c>
      <c r="E3995" s="1">
        <v>45209</v>
      </c>
      <c r="F3995">
        <v>83</v>
      </c>
      <c r="G3995">
        <v>8</v>
      </c>
      <c r="H3995">
        <v>392.88</v>
      </c>
      <c r="I3995">
        <v>91.59</v>
      </c>
      <c r="J3995" t="s">
        <v>90</v>
      </c>
      <c r="K3995" t="s">
        <v>16</v>
      </c>
      <c r="L3995" t="s">
        <v>2106</v>
      </c>
      <c r="M3995">
        <v>8</v>
      </c>
      <c r="N3995" t="s">
        <v>204</v>
      </c>
      <c r="O3995" t="s">
        <v>2121</v>
      </c>
    </row>
    <row r="3996" spans="1:15">
      <c r="A3996" t="s">
        <v>1842</v>
      </c>
      <c r="B3996" t="s">
        <v>2099</v>
      </c>
      <c r="C3996" t="s">
        <v>2091</v>
      </c>
      <c r="D3996" s="1">
        <v>43705</v>
      </c>
      <c r="E3996" s="1">
        <v>45238</v>
      </c>
      <c r="F3996">
        <v>54</v>
      </c>
      <c r="G3996">
        <v>2</v>
      </c>
      <c r="H3996">
        <v>21.86</v>
      </c>
      <c r="I3996">
        <v>82.33</v>
      </c>
      <c r="J3996" t="s">
        <v>66</v>
      </c>
      <c r="K3996" t="s">
        <v>16</v>
      </c>
      <c r="L3996" t="s">
        <v>2095</v>
      </c>
      <c r="M3996">
        <v>1</v>
      </c>
      <c r="N3996" t="s">
        <v>204</v>
      </c>
      <c r="O3996" t="s">
        <v>2121</v>
      </c>
    </row>
    <row r="3997" spans="1:15">
      <c r="A3997" t="s">
        <v>5217</v>
      </c>
      <c r="B3997" t="s">
        <v>2113</v>
      </c>
      <c r="C3997" t="s">
        <v>2094</v>
      </c>
      <c r="D3997" s="1">
        <v>44355</v>
      </c>
      <c r="E3997" s="1">
        <v>44984</v>
      </c>
      <c r="F3997">
        <v>308</v>
      </c>
      <c r="G3997">
        <v>5</v>
      </c>
      <c r="H3997">
        <v>230.25</v>
      </c>
      <c r="I3997">
        <v>71.900000000000006</v>
      </c>
      <c r="J3997" t="s">
        <v>41</v>
      </c>
      <c r="K3997" t="s">
        <v>20</v>
      </c>
      <c r="L3997" t="s">
        <v>2106</v>
      </c>
      <c r="M3997">
        <v>4</v>
      </c>
      <c r="N3997" t="s">
        <v>174</v>
      </c>
      <c r="O3997" t="s">
        <v>2107</v>
      </c>
    </row>
    <row r="3998" spans="1:15">
      <c r="A3998" t="s">
        <v>1273</v>
      </c>
      <c r="B3998" t="s">
        <v>2090</v>
      </c>
      <c r="C3998" t="s">
        <v>2094</v>
      </c>
      <c r="D3998" s="1">
        <v>44442</v>
      </c>
      <c r="E3998" s="1">
        <v>45099</v>
      </c>
      <c r="F3998">
        <v>193</v>
      </c>
      <c r="G3998">
        <v>8</v>
      </c>
      <c r="H3998">
        <v>229.14</v>
      </c>
      <c r="I3998">
        <v>107.63</v>
      </c>
      <c r="J3998" t="s">
        <v>66</v>
      </c>
      <c r="K3998" t="s">
        <v>16</v>
      </c>
      <c r="L3998" t="s">
        <v>2087</v>
      </c>
      <c r="M3998">
        <v>9</v>
      </c>
      <c r="N3998" t="s">
        <v>165</v>
      </c>
      <c r="O3998" t="s">
        <v>2096</v>
      </c>
    </row>
    <row r="3999" spans="1:15">
      <c r="A3999" t="s">
        <v>1685</v>
      </c>
      <c r="B3999" t="s">
        <v>2090</v>
      </c>
      <c r="C3999" t="s">
        <v>2086</v>
      </c>
      <c r="D3999" s="1">
        <v>44817</v>
      </c>
      <c r="E3999" s="1">
        <v>44958</v>
      </c>
      <c r="F3999">
        <v>334</v>
      </c>
      <c r="G3999">
        <v>4</v>
      </c>
      <c r="H3999">
        <v>108.48</v>
      </c>
      <c r="I3999">
        <v>50.36</v>
      </c>
      <c r="J3999" t="s">
        <v>66</v>
      </c>
      <c r="K3999" t="s">
        <v>16</v>
      </c>
      <c r="L3999" t="s">
        <v>2095</v>
      </c>
      <c r="M3999">
        <v>6</v>
      </c>
      <c r="N3999" t="s">
        <v>165</v>
      </c>
      <c r="O3999" t="s">
        <v>2096</v>
      </c>
    </row>
    <row r="4000" spans="1:15">
      <c r="A4000" t="s">
        <v>5218</v>
      </c>
      <c r="B4000" t="s">
        <v>2097</v>
      </c>
      <c r="C4000" t="s">
        <v>2091</v>
      </c>
      <c r="D4000" s="1">
        <v>44504</v>
      </c>
      <c r="E4000" s="1">
        <v>45194</v>
      </c>
      <c r="F4000">
        <v>98</v>
      </c>
      <c r="G4000">
        <v>11</v>
      </c>
      <c r="H4000">
        <v>364.56</v>
      </c>
      <c r="I4000">
        <v>82.21</v>
      </c>
      <c r="J4000" t="s">
        <v>41</v>
      </c>
      <c r="K4000" t="s">
        <v>16</v>
      </c>
      <c r="L4000" t="s">
        <v>2095</v>
      </c>
      <c r="M4000">
        <v>2</v>
      </c>
      <c r="N4000" t="s">
        <v>232</v>
      </c>
      <c r="O4000" t="s">
        <v>2088</v>
      </c>
    </row>
    <row r="4001" spans="1:15">
      <c r="A4001" t="s">
        <v>5219</v>
      </c>
      <c r="B4001" t="s">
        <v>2099</v>
      </c>
      <c r="C4001" t="s">
        <v>2091</v>
      </c>
      <c r="D4001" s="1">
        <v>45226</v>
      </c>
      <c r="E4001" s="1">
        <v>45085</v>
      </c>
      <c r="F4001">
        <v>207</v>
      </c>
      <c r="G4001">
        <v>2</v>
      </c>
      <c r="H4001">
        <v>86.53</v>
      </c>
      <c r="I4001">
        <v>91.52</v>
      </c>
      <c r="J4001" t="s">
        <v>66</v>
      </c>
      <c r="K4001" t="s">
        <v>20</v>
      </c>
      <c r="L4001" t="s">
        <v>2106</v>
      </c>
      <c r="M4001">
        <v>10</v>
      </c>
      <c r="N4001" t="s">
        <v>165</v>
      </c>
      <c r="O4001" t="s">
        <v>2121</v>
      </c>
    </row>
    <row r="4002" spans="1:15">
      <c r="A4002" t="s">
        <v>5220</v>
      </c>
      <c r="B4002" t="s">
        <v>2090</v>
      </c>
      <c r="C4002" t="s">
        <v>2100</v>
      </c>
      <c r="D4002" s="1">
        <v>45053</v>
      </c>
      <c r="E4002" s="1">
        <v>45165</v>
      </c>
      <c r="F4002">
        <v>127</v>
      </c>
      <c r="G4002">
        <v>6</v>
      </c>
      <c r="H4002">
        <v>114.58</v>
      </c>
      <c r="I4002">
        <v>88.52</v>
      </c>
      <c r="J4002" t="s">
        <v>41</v>
      </c>
      <c r="K4002" t="s">
        <v>20</v>
      </c>
      <c r="L4002" t="s">
        <v>2087</v>
      </c>
      <c r="M4002">
        <v>8</v>
      </c>
      <c r="N4002" t="s">
        <v>204</v>
      </c>
      <c r="O4002" t="s">
        <v>2088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5D044-A0A4-4D9C-836D-6B2315A7F1CA}">
  <sheetPr codeName="Sheet13">
    <tabColor rgb="FFC00000"/>
  </sheetPr>
  <dimension ref="A1:G201"/>
  <sheetViews>
    <sheetView workbookViewId="0"/>
  </sheetViews>
  <sheetFormatPr defaultRowHeight="15"/>
  <cols>
    <col min="2" max="2" width="20.28515625" bestFit="1" customWidth="1"/>
    <col min="3" max="3" width="13.7109375" bestFit="1" customWidth="1"/>
    <col min="4" max="4" width="18.85546875" bestFit="1" customWidth="1"/>
    <col min="5" max="5" width="14.85546875" bestFit="1" customWidth="1"/>
    <col min="6" max="6" width="22" bestFit="1" customWidth="1"/>
    <col min="7" max="7" width="19.140625" bestFit="1" customWidth="1"/>
  </cols>
  <sheetData>
    <row r="1" spans="1:7">
      <c r="A1" t="s">
        <v>0</v>
      </c>
      <c r="B1" t="s">
        <v>1</v>
      </c>
      <c r="C1" t="s">
        <v>5221</v>
      </c>
      <c r="D1" t="s">
        <v>5246</v>
      </c>
      <c r="E1" t="s">
        <v>5222</v>
      </c>
      <c r="F1" t="s">
        <v>5223</v>
      </c>
      <c r="G1" t="s">
        <v>5224</v>
      </c>
    </row>
    <row r="2" spans="1:7">
      <c r="A2" t="s">
        <v>12</v>
      </c>
      <c r="B2" t="s">
        <v>13</v>
      </c>
      <c r="C2" t="s">
        <v>5225</v>
      </c>
      <c r="D2">
        <v>63.06</v>
      </c>
      <c r="E2">
        <v>4.3</v>
      </c>
      <c r="F2">
        <v>1109</v>
      </c>
      <c r="G2" s="1">
        <v>45321</v>
      </c>
    </row>
    <row r="3" spans="1:7">
      <c r="A3" t="s">
        <v>12</v>
      </c>
      <c r="B3" t="s">
        <v>13</v>
      </c>
      <c r="C3" t="s">
        <v>5226</v>
      </c>
      <c r="D3">
        <v>76.06</v>
      </c>
      <c r="E3">
        <v>3.2</v>
      </c>
      <c r="F3">
        <v>1664</v>
      </c>
      <c r="G3" s="1">
        <v>45314</v>
      </c>
    </row>
    <row r="4" spans="1:7">
      <c r="A4" t="s">
        <v>12</v>
      </c>
      <c r="B4" t="s">
        <v>13</v>
      </c>
      <c r="C4" t="s">
        <v>5227</v>
      </c>
      <c r="D4">
        <v>76.63</v>
      </c>
      <c r="E4">
        <v>3</v>
      </c>
      <c r="F4">
        <v>479</v>
      </c>
      <c r="G4" s="1">
        <v>45347</v>
      </c>
    </row>
    <row r="5" spans="1:7">
      <c r="A5" t="s">
        <v>12</v>
      </c>
      <c r="B5" t="s">
        <v>13</v>
      </c>
      <c r="C5" t="s">
        <v>5228</v>
      </c>
      <c r="D5">
        <v>71.59</v>
      </c>
      <c r="E5">
        <v>4.8</v>
      </c>
      <c r="F5">
        <v>1407</v>
      </c>
      <c r="G5" s="1">
        <v>45368</v>
      </c>
    </row>
    <row r="6" spans="1:7">
      <c r="A6" t="s">
        <v>17</v>
      </c>
      <c r="B6" t="s">
        <v>18</v>
      </c>
      <c r="C6" t="s">
        <v>5225</v>
      </c>
      <c r="D6">
        <v>60.11</v>
      </c>
      <c r="E6">
        <v>4.9000000000000004</v>
      </c>
      <c r="F6">
        <v>2485</v>
      </c>
      <c r="G6" s="1">
        <v>45326</v>
      </c>
    </row>
    <row r="7" spans="1:7">
      <c r="A7" t="s">
        <v>17</v>
      </c>
      <c r="B7" t="s">
        <v>18</v>
      </c>
      <c r="C7" t="s">
        <v>5226</v>
      </c>
      <c r="D7">
        <v>64.58</v>
      </c>
      <c r="E7">
        <v>3.7</v>
      </c>
      <c r="F7">
        <v>2332</v>
      </c>
      <c r="G7" s="1">
        <v>45358</v>
      </c>
    </row>
    <row r="8" spans="1:7">
      <c r="A8" t="s">
        <v>17</v>
      </c>
      <c r="B8" t="s">
        <v>18</v>
      </c>
      <c r="C8" t="s">
        <v>5227</v>
      </c>
      <c r="D8">
        <v>56.33</v>
      </c>
      <c r="E8">
        <v>4.0999999999999996</v>
      </c>
      <c r="F8">
        <v>2209</v>
      </c>
      <c r="G8" s="1">
        <v>45344</v>
      </c>
    </row>
    <row r="9" spans="1:7">
      <c r="A9" t="s">
        <v>17</v>
      </c>
      <c r="B9" t="s">
        <v>18</v>
      </c>
      <c r="C9" t="s">
        <v>5228</v>
      </c>
      <c r="D9">
        <v>46.22</v>
      </c>
      <c r="E9">
        <v>4.0999999999999996</v>
      </c>
      <c r="F9">
        <v>1896</v>
      </c>
      <c r="G9" s="1">
        <v>45382</v>
      </c>
    </row>
    <row r="10" spans="1:7">
      <c r="A10" t="s">
        <v>21</v>
      </c>
      <c r="B10" t="s">
        <v>22</v>
      </c>
      <c r="C10" t="s">
        <v>5225</v>
      </c>
      <c r="D10">
        <v>60.69</v>
      </c>
      <c r="E10">
        <v>3.5</v>
      </c>
      <c r="F10">
        <v>1138</v>
      </c>
      <c r="G10" s="1">
        <v>45307</v>
      </c>
    </row>
    <row r="11" spans="1:7">
      <c r="A11" t="s">
        <v>21</v>
      </c>
      <c r="B11" t="s">
        <v>22</v>
      </c>
      <c r="C11" t="s">
        <v>5226</v>
      </c>
      <c r="D11">
        <v>71.58</v>
      </c>
      <c r="E11">
        <v>4.3</v>
      </c>
      <c r="F11">
        <v>1230</v>
      </c>
      <c r="G11" s="1">
        <v>45320</v>
      </c>
    </row>
    <row r="12" spans="1:7">
      <c r="A12" t="s">
        <v>21</v>
      </c>
      <c r="B12" t="s">
        <v>22</v>
      </c>
      <c r="C12" t="s">
        <v>5227</v>
      </c>
      <c r="D12">
        <v>58.29</v>
      </c>
      <c r="E12">
        <v>3.4</v>
      </c>
      <c r="F12">
        <v>296</v>
      </c>
      <c r="G12" s="1">
        <v>45337</v>
      </c>
    </row>
    <row r="13" spans="1:7">
      <c r="A13" t="s">
        <v>21</v>
      </c>
      <c r="B13" t="s">
        <v>22</v>
      </c>
      <c r="C13" t="s">
        <v>5228</v>
      </c>
      <c r="D13">
        <v>64.44</v>
      </c>
      <c r="E13">
        <v>4</v>
      </c>
      <c r="F13">
        <v>1899</v>
      </c>
      <c r="G13" s="1">
        <v>45341</v>
      </c>
    </row>
    <row r="14" spans="1:7">
      <c r="A14" t="s">
        <v>23</v>
      </c>
      <c r="B14" t="s">
        <v>24</v>
      </c>
      <c r="C14" t="s">
        <v>5225</v>
      </c>
      <c r="D14">
        <v>126.85</v>
      </c>
      <c r="E14">
        <v>4</v>
      </c>
      <c r="F14">
        <v>1482</v>
      </c>
      <c r="G14" s="1">
        <v>45355</v>
      </c>
    </row>
    <row r="15" spans="1:7">
      <c r="A15" t="s">
        <v>23</v>
      </c>
      <c r="B15" t="s">
        <v>24</v>
      </c>
      <c r="C15" t="s">
        <v>5226</v>
      </c>
      <c r="D15">
        <v>135.68</v>
      </c>
      <c r="E15">
        <v>2.8</v>
      </c>
      <c r="F15">
        <v>1520</v>
      </c>
      <c r="G15" s="1">
        <v>45312</v>
      </c>
    </row>
    <row r="16" spans="1:7">
      <c r="A16" t="s">
        <v>23</v>
      </c>
      <c r="B16" t="s">
        <v>24</v>
      </c>
      <c r="C16" t="s">
        <v>5227</v>
      </c>
      <c r="D16">
        <v>172.87</v>
      </c>
      <c r="E16">
        <v>4.0999999999999996</v>
      </c>
      <c r="F16">
        <v>1910</v>
      </c>
      <c r="G16" s="1">
        <v>45294</v>
      </c>
    </row>
    <row r="17" spans="1:7">
      <c r="A17" t="s">
        <v>23</v>
      </c>
      <c r="B17" t="s">
        <v>24</v>
      </c>
      <c r="C17" t="s">
        <v>5228</v>
      </c>
      <c r="D17">
        <v>131.01</v>
      </c>
      <c r="E17">
        <v>4.7</v>
      </c>
      <c r="F17">
        <v>1770</v>
      </c>
      <c r="G17" s="1">
        <v>45340</v>
      </c>
    </row>
    <row r="18" spans="1:7">
      <c r="A18" t="s">
        <v>25</v>
      </c>
      <c r="B18" t="s">
        <v>26</v>
      </c>
      <c r="C18" t="s">
        <v>5225</v>
      </c>
      <c r="D18">
        <v>22.38</v>
      </c>
      <c r="E18">
        <v>2.9</v>
      </c>
      <c r="F18">
        <v>1859</v>
      </c>
      <c r="G18" s="1">
        <v>45376</v>
      </c>
    </row>
    <row r="19" spans="1:7">
      <c r="A19" t="s">
        <v>25</v>
      </c>
      <c r="B19" t="s">
        <v>26</v>
      </c>
      <c r="C19" t="s">
        <v>5226</v>
      </c>
      <c r="D19">
        <v>21.9</v>
      </c>
      <c r="E19">
        <v>3.5</v>
      </c>
      <c r="F19">
        <v>6</v>
      </c>
      <c r="G19" s="1">
        <v>45366</v>
      </c>
    </row>
    <row r="20" spans="1:7">
      <c r="A20" t="s">
        <v>25</v>
      </c>
      <c r="B20" t="s">
        <v>26</v>
      </c>
      <c r="C20" t="s">
        <v>5227</v>
      </c>
      <c r="D20">
        <v>14.05</v>
      </c>
      <c r="E20">
        <v>4.4000000000000004</v>
      </c>
      <c r="F20">
        <v>408</v>
      </c>
      <c r="G20" s="1">
        <v>45371</v>
      </c>
    </row>
    <row r="21" spans="1:7">
      <c r="A21" t="s">
        <v>25</v>
      </c>
      <c r="B21" t="s">
        <v>26</v>
      </c>
      <c r="C21" t="s">
        <v>5228</v>
      </c>
      <c r="D21">
        <v>21.62</v>
      </c>
      <c r="E21">
        <v>3.8</v>
      </c>
      <c r="F21">
        <v>940</v>
      </c>
      <c r="G21" s="1">
        <v>45327</v>
      </c>
    </row>
    <row r="22" spans="1:7">
      <c r="A22" t="s">
        <v>28</v>
      </c>
      <c r="B22" t="s">
        <v>29</v>
      </c>
      <c r="C22" t="s">
        <v>5225</v>
      </c>
      <c r="D22">
        <v>36.29</v>
      </c>
      <c r="E22">
        <v>3</v>
      </c>
      <c r="F22">
        <v>176</v>
      </c>
      <c r="G22" s="1">
        <v>45326</v>
      </c>
    </row>
    <row r="23" spans="1:7">
      <c r="A23" t="s">
        <v>28</v>
      </c>
      <c r="B23" t="s">
        <v>29</v>
      </c>
      <c r="C23" t="s">
        <v>5226</v>
      </c>
      <c r="D23">
        <v>23.97</v>
      </c>
      <c r="E23">
        <v>3.8</v>
      </c>
      <c r="F23">
        <v>2107</v>
      </c>
      <c r="G23" s="1">
        <v>45311</v>
      </c>
    </row>
    <row r="24" spans="1:7">
      <c r="A24" t="s">
        <v>28</v>
      </c>
      <c r="B24" t="s">
        <v>29</v>
      </c>
      <c r="C24" t="s">
        <v>5227</v>
      </c>
      <c r="D24">
        <v>30.56</v>
      </c>
      <c r="E24">
        <v>2.9</v>
      </c>
      <c r="F24">
        <v>592</v>
      </c>
      <c r="G24" s="1">
        <v>45332</v>
      </c>
    </row>
    <row r="25" spans="1:7">
      <c r="A25" t="s">
        <v>28</v>
      </c>
      <c r="B25" t="s">
        <v>29</v>
      </c>
      <c r="C25" t="s">
        <v>5228</v>
      </c>
      <c r="D25">
        <v>23.52</v>
      </c>
      <c r="E25">
        <v>4.0999999999999996</v>
      </c>
      <c r="F25">
        <v>22</v>
      </c>
      <c r="G25" s="1">
        <v>45314</v>
      </c>
    </row>
    <row r="26" spans="1:7">
      <c r="A26" t="s">
        <v>30</v>
      </c>
      <c r="B26" t="s">
        <v>31</v>
      </c>
      <c r="C26" t="s">
        <v>5225</v>
      </c>
      <c r="D26">
        <v>118</v>
      </c>
      <c r="E26">
        <v>2.9</v>
      </c>
      <c r="F26">
        <v>388</v>
      </c>
      <c r="G26" s="1">
        <v>45330</v>
      </c>
    </row>
    <row r="27" spans="1:7">
      <c r="A27" t="s">
        <v>30</v>
      </c>
      <c r="B27" t="s">
        <v>31</v>
      </c>
      <c r="C27" t="s">
        <v>5226</v>
      </c>
      <c r="D27">
        <v>109.85</v>
      </c>
      <c r="E27">
        <v>3.2</v>
      </c>
      <c r="F27">
        <v>2348</v>
      </c>
      <c r="G27" s="1">
        <v>45299</v>
      </c>
    </row>
    <row r="28" spans="1:7">
      <c r="A28" t="s">
        <v>30</v>
      </c>
      <c r="B28" t="s">
        <v>31</v>
      </c>
      <c r="C28" t="s">
        <v>5227</v>
      </c>
      <c r="D28">
        <v>124.97</v>
      </c>
      <c r="E28">
        <v>3.5</v>
      </c>
      <c r="F28">
        <v>990</v>
      </c>
      <c r="G28" s="1">
        <v>45353</v>
      </c>
    </row>
    <row r="29" spans="1:7">
      <c r="A29" t="s">
        <v>30</v>
      </c>
      <c r="B29" t="s">
        <v>31</v>
      </c>
      <c r="C29" t="s">
        <v>5228</v>
      </c>
      <c r="D29">
        <v>113.41</v>
      </c>
      <c r="E29">
        <v>3.3</v>
      </c>
      <c r="F29">
        <v>2030</v>
      </c>
      <c r="G29" s="1">
        <v>45336</v>
      </c>
    </row>
    <row r="30" spans="1:7">
      <c r="A30" t="s">
        <v>33</v>
      </c>
      <c r="B30" t="s">
        <v>34</v>
      </c>
      <c r="C30" t="s">
        <v>5225</v>
      </c>
      <c r="D30">
        <v>123.02</v>
      </c>
      <c r="E30">
        <v>3.5</v>
      </c>
      <c r="F30">
        <v>2233</v>
      </c>
      <c r="G30" s="1">
        <v>45328</v>
      </c>
    </row>
    <row r="31" spans="1:7">
      <c r="A31" t="s">
        <v>33</v>
      </c>
      <c r="B31" t="s">
        <v>34</v>
      </c>
      <c r="C31" t="s">
        <v>5226</v>
      </c>
      <c r="D31">
        <v>110.81</v>
      </c>
      <c r="E31">
        <v>3.3</v>
      </c>
      <c r="F31">
        <v>868</v>
      </c>
      <c r="G31" s="1">
        <v>45323</v>
      </c>
    </row>
    <row r="32" spans="1:7">
      <c r="A32" t="s">
        <v>33</v>
      </c>
      <c r="B32" t="s">
        <v>34</v>
      </c>
      <c r="C32" t="s">
        <v>5227</v>
      </c>
      <c r="D32">
        <v>141.46</v>
      </c>
      <c r="E32">
        <v>4.7</v>
      </c>
      <c r="F32">
        <v>1702</v>
      </c>
      <c r="G32" s="1">
        <v>45335</v>
      </c>
    </row>
    <row r="33" spans="1:7">
      <c r="A33" t="s">
        <v>33</v>
      </c>
      <c r="B33" t="s">
        <v>34</v>
      </c>
      <c r="C33" t="s">
        <v>5228</v>
      </c>
      <c r="D33">
        <v>97.31</v>
      </c>
      <c r="E33">
        <v>3.2</v>
      </c>
      <c r="F33">
        <v>1196</v>
      </c>
      <c r="G33" s="1">
        <v>45363</v>
      </c>
    </row>
    <row r="34" spans="1:7">
      <c r="A34" t="s">
        <v>35</v>
      </c>
      <c r="B34" t="s">
        <v>36</v>
      </c>
      <c r="C34" t="s">
        <v>5225</v>
      </c>
      <c r="D34">
        <v>69.349999999999994</v>
      </c>
      <c r="E34">
        <v>4</v>
      </c>
      <c r="F34">
        <v>1211</v>
      </c>
      <c r="G34" s="1">
        <v>45303</v>
      </c>
    </row>
    <row r="35" spans="1:7">
      <c r="A35" t="s">
        <v>35</v>
      </c>
      <c r="B35" t="s">
        <v>36</v>
      </c>
      <c r="C35" t="s">
        <v>5226</v>
      </c>
      <c r="D35">
        <v>69.7</v>
      </c>
      <c r="E35">
        <v>3.7</v>
      </c>
      <c r="F35">
        <v>205</v>
      </c>
      <c r="G35" s="1">
        <v>45343</v>
      </c>
    </row>
    <row r="36" spans="1:7">
      <c r="A36" t="s">
        <v>35</v>
      </c>
      <c r="B36" t="s">
        <v>36</v>
      </c>
      <c r="C36" t="s">
        <v>5227</v>
      </c>
      <c r="D36">
        <v>88.2</v>
      </c>
      <c r="E36">
        <v>4.2</v>
      </c>
      <c r="F36">
        <v>1082</v>
      </c>
      <c r="G36" s="1">
        <v>45366</v>
      </c>
    </row>
    <row r="37" spans="1:7">
      <c r="A37" t="s">
        <v>35</v>
      </c>
      <c r="B37" t="s">
        <v>36</v>
      </c>
      <c r="C37" t="s">
        <v>5228</v>
      </c>
      <c r="D37">
        <v>62.87</v>
      </c>
      <c r="E37">
        <v>4.0999999999999996</v>
      </c>
      <c r="F37">
        <v>2323</v>
      </c>
      <c r="G37" s="1">
        <v>45323</v>
      </c>
    </row>
    <row r="38" spans="1:7">
      <c r="A38" t="s">
        <v>37</v>
      </c>
      <c r="B38" t="s">
        <v>38</v>
      </c>
      <c r="C38" t="s">
        <v>5225</v>
      </c>
      <c r="D38">
        <v>211.22</v>
      </c>
      <c r="E38">
        <v>4.7</v>
      </c>
      <c r="F38">
        <v>491</v>
      </c>
      <c r="G38" s="1">
        <v>45354</v>
      </c>
    </row>
    <row r="39" spans="1:7">
      <c r="A39" t="s">
        <v>37</v>
      </c>
      <c r="B39" t="s">
        <v>38</v>
      </c>
      <c r="C39" t="s">
        <v>5226</v>
      </c>
      <c r="D39">
        <v>194.18</v>
      </c>
      <c r="E39">
        <v>3.2</v>
      </c>
      <c r="F39">
        <v>962</v>
      </c>
      <c r="G39" s="1">
        <v>45382</v>
      </c>
    </row>
    <row r="40" spans="1:7">
      <c r="A40" t="s">
        <v>37</v>
      </c>
      <c r="B40" t="s">
        <v>38</v>
      </c>
      <c r="C40" t="s">
        <v>5227</v>
      </c>
      <c r="D40">
        <v>189.52</v>
      </c>
      <c r="E40">
        <v>3</v>
      </c>
      <c r="F40">
        <v>627</v>
      </c>
      <c r="G40" s="1">
        <v>45304</v>
      </c>
    </row>
    <row r="41" spans="1:7">
      <c r="A41" t="s">
        <v>37</v>
      </c>
      <c r="B41" t="s">
        <v>38</v>
      </c>
      <c r="C41" t="s">
        <v>5228</v>
      </c>
      <c r="D41">
        <v>189.08</v>
      </c>
      <c r="E41">
        <v>3</v>
      </c>
      <c r="F41">
        <v>1573</v>
      </c>
      <c r="G41" s="1">
        <v>45377</v>
      </c>
    </row>
    <row r="42" spans="1:7">
      <c r="A42" t="s">
        <v>39</v>
      </c>
      <c r="B42" t="s">
        <v>40</v>
      </c>
      <c r="C42" t="s">
        <v>5225</v>
      </c>
      <c r="D42">
        <v>34.78</v>
      </c>
      <c r="E42">
        <v>4.2</v>
      </c>
      <c r="F42">
        <v>2335</v>
      </c>
      <c r="G42" s="1">
        <v>45313</v>
      </c>
    </row>
    <row r="43" spans="1:7">
      <c r="A43" t="s">
        <v>39</v>
      </c>
      <c r="B43" t="s">
        <v>40</v>
      </c>
      <c r="C43" t="s">
        <v>5226</v>
      </c>
      <c r="D43">
        <v>56.44</v>
      </c>
      <c r="E43">
        <v>3.9</v>
      </c>
      <c r="F43">
        <v>1545</v>
      </c>
      <c r="G43" s="1">
        <v>45351</v>
      </c>
    </row>
    <row r="44" spans="1:7">
      <c r="A44" t="s">
        <v>39</v>
      </c>
      <c r="B44" t="s">
        <v>40</v>
      </c>
      <c r="C44" t="s">
        <v>5227</v>
      </c>
      <c r="D44">
        <v>57.13</v>
      </c>
      <c r="E44">
        <v>4.2</v>
      </c>
      <c r="F44">
        <v>116</v>
      </c>
      <c r="G44" s="1">
        <v>45361</v>
      </c>
    </row>
    <row r="45" spans="1:7">
      <c r="A45" t="s">
        <v>39</v>
      </c>
      <c r="B45" t="s">
        <v>40</v>
      </c>
      <c r="C45" t="s">
        <v>5228</v>
      </c>
      <c r="D45">
        <v>52.79</v>
      </c>
      <c r="E45">
        <v>3.1</v>
      </c>
      <c r="F45">
        <v>969</v>
      </c>
      <c r="G45" s="1">
        <v>45361</v>
      </c>
    </row>
    <row r="46" spans="1:7">
      <c r="A46" t="s">
        <v>43</v>
      </c>
      <c r="B46" t="s">
        <v>44</v>
      </c>
      <c r="C46" t="s">
        <v>5225</v>
      </c>
      <c r="D46">
        <v>69.489999999999995</v>
      </c>
      <c r="E46">
        <v>4.9000000000000004</v>
      </c>
      <c r="F46">
        <v>1969</v>
      </c>
      <c r="G46" s="1">
        <v>45292</v>
      </c>
    </row>
    <row r="47" spans="1:7">
      <c r="A47" t="s">
        <v>43</v>
      </c>
      <c r="B47" t="s">
        <v>44</v>
      </c>
      <c r="C47" t="s">
        <v>5226</v>
      </c>
      <c r="D47">
        <v>76.69</v>
      </c>
      <c r="E47">
        <v>4.5</v>
      </c>
      <c r="F47">
        <v>1462</v>
      </c>
      <c r="G47" s="1">
        <v>45349</v>
      </c>
    </row>
    <row r="48" spans="1:7">
      <c r="A48" t="s">
        <v>43</v>
      </c>
      <c r="B48" t="s">
        <v>44</v>
      </c>
      <c r="C48" t="s">
        <v>5227</v>
      </c>
      <c r="D48">
        <v>71.209999999999994</v>
      </c>
      <c r="E48">
        <v>3.3</v>
      </c>
      <c r="F48">
        <v>1470</v>
      </c>
      <c r="G48" s="1">
        <v>45346</v>
      </c>
    </row>
    <row r="49" spans="1:7">
      <c r="A49" t="s">
        <v>43</v>
      </c>
      <c r="B49" t="s">
        <v>44</v>
      </c>
      <c r="C49" t="s">
        <v>5228</v>
      </c>
      <c r="D49">
        <v>61.13</v>
      </c>
      <c r="E49">
        <v>4.7</v>
      </c>
      <c r="F49">
        <v>2486</v>
      </c>
      <c r="G49" s="1">
        <v>45375</v>
      </c>
    </row>
    <row r="50" spans="1:7">
      <c r="A50" t="s">
        <v>46</v>
      </c>
      <c r="B50" t="s">
        <v>47</v>
      </c>
      <c r="C50" t="s">
        <v>5225</v>
      </c>
      <c r="D50">
        <v>22.22</v>
      </c>
      <c r="E50">
        <v>3.4</v>
      </c>
      <c r="F50">
        <v>1853</v>
      </c>
      <c r="G50" s="1">
        <v>45380</v>
      </c>
    </row>
    <row r="51" spans="1:7">
      <c r="A51" t="s">
        <v>46</v>
      </c>
      <c r="B51" t="s">
        <v>47</v>
      </c>
      <c r="C51" t="s">
        <v>5226</v>
      </c>
      <c r="D51">
        <v>17.16</v>
      </c>
      <c r="E51">
        <v>3.3</v>
      </c>
      <c r="F51">
        <v>2321</v>
      </c>
      <c r="G51" s="1">
        <v>45381</v>
      </c>
    </row>
    <row r="52" spans="1:7">
      <c r="A52" t="s">
        <v>46</v>
      </c>
      <c r="B52" t="s">
        <v>47</v>
      </c>
      <c r="C52" t="s">
        <v>5227</v>
      </c>
      <c r="D52">
        <v>19.27</v>
      </c>
      <c r="E52">
        <v>4.5</v>
      </c>
      <c r="F52">
        <v>647</v>
      </c>
      <c r="G52" s="1">
        <v>45321</v>
      </c>
    </row>
    <row r="53" spans="1:7">
      <c r="A53" t="s">
        <v>46</v>
      </c>
      <c r="B53" t="s">
        <v>47</v>
      </c>
      <c r="C53" t="s">
        <v>5228</v>
      </c>
      <c r="D53">
        <v>20.39</v>
      </c>
      <c r="E53">
        <v>4.8</v>
      </c>
      <c r="F53">
        <v>594</v>
      </c>
      <c r="G53" s="1">
        <v>45299</v>
      </c>
    </row>
    <row r="54" spans="1:7">
      <c r="A54" t="s">
        <v>48</v>
      </c>
      <c r="B54" t="s">
        <v>49</v>
      </c>
      <c r="C54" t="s">
        <v>5225</v>
      </c>
      <c r="D54">
        <v>73.290000000000006</v>
      </c>
      <c r="E54">
        <v>4.0999999999999996</v>
      </c>
      <c r="F54">
        <v>313</v>
      </c>
      <c r="G54" s="1">
        <v>45325</v>
      </c>
    </row>
    <row r="55" spans="1:7">
      <c r="A55" t="s">
        <v>48</v>
      </c>
      <c r="B55" t="s">
        <v>49</v>
      </c>
      <c r="C55" t="s">
        <v>5226</v>
      </c>
      <c r="D55">
        <v>77.34</v>
      </c>
      <c r="E55">
        <v>4.0999999999999996</v>
      </c>
      <c r="F55">
        <v>101</v>
      </c>
      <c r="G55" s="1">
        <v>45375</v>
      </c>
    </row>
    <row r="56" spans="1:7">
      <c r="A56" t="s">
        <v>48</v>
      </c>
      <c r="B56" t="s">
        <v>49</v>
      </c>
      <c r="C56" t="s">
        <v>5227</v>
      </c>
      <c r="D56">
        <v>71.84</v>
      </c>
      <c r="E56">
        <v>4.4000000000000004</v>
      </c>
      <c r="F56">
        <v>572</v>
      </c>
      <c r="G56" s="1">
        <v>45358</v>
      </c>
    </row>
    <row r="57" spans="1:7">
      <c r="A57" t="s">
        <v>48</v>
      </c>
      <c r="B57" t="s">
        <v>49</v>
      </c>
      <c r="C57" t="s">
        <v>5228</v>
      </c>
      <c r="D57">
        <v>101.73</v>
      </c>
      <c r="E57">
        <v>4.0999999999999996</v>
      </c>
      <c r="F57">
        <v>969</v>
      </c>
      <c r="G57" s="1">
        <v>45365</v>
      </c>
    </row>
    <row r="58" spans="1:7">
      <c r="A58" t="s">
        <v>50</v>
      </c>
      <c r="B58" t="s">
        <v>51</v>
      </c>
      <c r="C58" t="s">
        <v>5225</v>
      </c>
      <c r="D58">
        <v>176.21</v>
      </c>
      <c r="E58">
        <v>2.9</v>
      </c>
      <c r="F58">
        <v>1974</v>
      </c>
      <c r="G58" s="1">
        <v>45320</v>
      </c>
    </row>
    <row r="59" spans="1:7">
      <c r="A59" t="s">
        <v>50</v>
      </c>
      <c r="B59" t="s">
        <v>51</v>
      </c>
      <c r="C59" t="s">
        <v>5226</v>
      </c>
      <c r="D59">
        <v>123.68</v>
      </c>
      <c r="E59">
        <v>3.7</v>
      </c>
      <c r="F59">
        <v>1315</v>
      </c>
      <c r="G59" s="1">
        <v>45319</v>
      </c>
    </row>
    <row r="60" spans="1:7">
      <c r="A60" t="s">
        <v>50</v>
      </c>
      <c r="B60" t="s">
        <v>51</v>
      </c>
      <c r="C60" t="s">
        <v>5227</v>
      </c>
      <c r="D60">
        <v>176.01</v>
      </c>
      <c r="E60">
        <v>3.9</v>
      </c>
      <c r="F60">
        <v>219</v>
      </c>
      <c r="G60" s="1">
        <v>45314</v>
      </c>
    </row>
    <row r="61" spans="1:7">
      <c r="A61" t="s">
        <v>50</v>
      </c>
      <c r="B61" t="s">
        <v>51</v>
      </c>
      <c r="C61" t="s">
        <v>5228</v>
      </c>
      <c r="D61">
        <v>157.62</v>
      </c>
      <c r="E61">
        <v>3.6</v>
      </c>
      <c r="F61">
        <v>2359</v>
      </c>
      <c r="G61" s="1">
        <v>45382</v>
      </c>
    </row>
    <row r="62" spans="1:7">
      <c r="A62" t="s">
        <v>53</v>
      </c>
      <c r="B62" t="s">
        <v>54</v>
      </c>
      <c r="C62" t="s">
        <v>5225</v>
      </c>
      <c r="D62">
        <v>46.68</v>
      </c>
      <c r="E62">
        <v>4</v>
      </c>
      <c r="F62">
        <v>1361</v>
      </c>
      <c r="G62" s="1">
        <v>45315</v>
      </c>
    </row>
    <row r="63" spans="1:7">
      <c r="A63" t="s">
        <v>53</v>
      </c>
      <c r="B63" t="s">
        <v>54</v>
      </c>
      <c r="C63" t="s">
        <v>5226</v>
      </c>
      <c r="D63">
        <v>42.66</v>
      </c>
      <c r="E63">
        <v>4.2</v>
      </c>
      <c r="F63">
        <v>463</v>
      </c>
      <c r="G63" s="1">
        <v>45373</v>
      </c>
    </row>
    <row r="64" spans="1:7">
      <c r="A64" t="s">
        <v>53</v>
      </c>
      <c r="B64" t="s">
        <v>54</v>
      </c>
      <c r="C64" t="s">
        <v>5227</v>
      </c>
      <c r="D64">
        <v>61.43</v>
      </c>
      <c r="E64">
        <v>4.2</v>
      </c>
      <c r="F64">
        <v>1245</v>
      </c>
      <c r="G64" s="1">
        <v>45331</v>
      </c>
    </row>
    <row r="65" spans="1:7">
      <c r="A65" t="s">
        <v>53</v>
      </c>
      <c r="B65" t="s">
        <v>54</v>
      </c>
      <c r="C65" t="s">
        <v>5228</v>
      </c>
      <c r="D65">
        <v>57.27</v>
      </c>
      <c r="E65">
        <v>3.8</v>
      </c>
      <c r="F65">
        <v>583</v>
      </c>
      <c r="G65" s="1">
        <v>45292</v>
      </c>
    </row>
    <row r="66" spans="1:7">
      <c r="A66" t="s">
        <v>55</v>
      </c>
      <c r="B66" t="s">
        <v>56</v>
      </c>
      <c r="C66" t="s">
        <v>5225</v>
      </c>
      <c r="D66">
        <v>199.91</v>
      </c>
      <c r="E66">
        <v>3.6</v>
      </c>
      <c r="F66">
        <v>2255</v>
      </c>
      <c r="G66" s="1">
        <v>45351</v>
      </c>
    </row>
    <row r="67" spans="1:7">
      <c r="A67" t="s">
        <v>55</v>
      </c>
      <c r="B67" t="s">
        <v>56</v>
      </c>
      <c r="C67" t="s">
        <v>5226</v>
      </c>
      <c r="D67">
        <v>155.47999999999999</v>
      </c>
      <c r="E67">
        <v>4.2</v>
      </c>
      <c r="F67">
        <v>701</v>
      </c>
      <c r="G67" s="1">
        <v>45305</v>
      </c>
    </row>
    <row r="68" spans="1:7">
      <c r="A68" t="s">
        <v>55</v>
      </c>
      <c r="B68" t="s">
        <v>56</v>
      </c>
      <c r="C68" t="s">
        <v>5227</v>
      </c>
      <c r="D68">
        <v>228.26</v>
      </c>
      <c r="E68">
        <v>3.8</v>
      </c>
      <c r="F68">
        <v>228</v>
      </c>
      <c r="G68" s="1">
        <v>45309</v>
      </c>
    </row>
    <row r="69" spans="1:7">
      <c r="A69" t="s">
        <v>55</v>
      </c>
      <c r="B69" t="s">
        <v>56</v>
      </c>
      <c r="C69" t="s">
        <v>5228</v>
      </c>
      <c r="D69">
        <v>189.42</v>
      </c>
      <c r="E69">
        <v>4.4000000000000004</v>
      </c>
      <c r="F69">
        <v>2450</v>
      </c>
      <c r="G69" s="1">
        <v>45359</v>
      </c>
    </row>
    <row r="70" spans="1:7">
      <c r="A70" t="s">
        <v>57</v>
      </c>
      <c r="B70" t="s">
        <v>58</v>
      </c>
      <c r="C70" t="s">
        <v>5225</v>
      </c>
      <c r="D70">
        <v>55.01</v>
      </c>
      <c r="E70">
        <v>2.9</v>
      </c>
      <c r="F70">
        <v>860</v>
      </c>
      <c r="G70" s="1">
        <v>45314</v>
      </c>
    </row>
    <row r="71" spans="1:7">
      <c r="A71" t="s">
        <v>57</v>
      </c>
      <c r="B71" t="s">
        <v>58</v>
      </c>
      <c r="C71" t="s">
        <v>5226</v>
      </c>
      <c r="D71">
        <v>47.59</v>
      </c>
      <c r="E71">
        <v>3</v>
      </c>
      <c r="F71">
        <v>218</v>
      </c>
      <c r="G71" s="1">
        <v>45321</v>
      </c>
    </row>
    <row r="72" spans="1:7">
      <c r="A72" t="s">
        <v>57</v>
      </c>
      <c r="B72" t="s">
        <v>58</v>
      </c>
      <c r="C72" t="s">
        <v>5227</v>
      </c>
      <c r="D72">
        <v>67.61</v>
      </c>
      <c r="E72">
        <v>3.9</v>
      </c>
      <c r="F72">
        <v>281</v>
      </c>
      <c r="G72" s="1">
        <v>45299</v>
      </c>
    </row>
    <row r="73" spans="1:7">
      <c r="A73" t="s">
        <v>57</v>
      </c>
      <c r="B73" t="s">
        <v>58</v>
      </c>
      <c r="C73" t="s">
        <v>5228</v>
      </c>
      <c r="D73">
        <v>78.59</v>
      </c>
      <c r="E73">
        <v>3.2</v>
      </c>
      <c r="F73">
        <v>1404</v>
      </c>
      <c r="G73" s="1">
        <v>45349</v>
      </c>
    </row>
    <row r="74" spans="1:7">
      <c r="A74" t="s">
        <v>60</v>
      </c>
      <c r="B74" t="s">
        <v>61</v>
      </c>
      <c r="C74" t="s">
        <v>5225</v>
      </c>
      <c r="D74">
        <v>101.47</v>
      </c>
      <c r="E74">
        <v>4.7</v>
      </c>
      <c r="F74">
        <v>473</v>
      </c>
      <c r="G74" s="1">
        <v>45311</v>
      </c>
    </row>
    <row r="75" spans="1:7">
      <c r="A75" t="s">
        <v>60</v>
      </c>
      <c r="B75" t="s">
        <v>61</v>
      </c>
      <c r="C75" t="s">
        <v>5226</v>
      </c>
      <c r="D75">
        <v>107.28</v>
      </c>
      <c r="E75">
        <v>2.9</v>
      </c>
      <c r="F75">
        <v>233</v>
      </c>
      <c r="G75" s="1">
        <v>45355</v>
      </c>
    </row>
    <row r="76" spans="1:7">
      <c r="A76" t="s">
        <v>60</v>
      </c>
      <c r="B76" t="s">
        <v>61</v>
      </c>
      <c r="C76" t="s">
        <v>5227</v>
      </c>
      <c r="D76">
        <v>125.68</v>
      </c>
      <c r="E76">
        <v>4.4000000000000004</v>
      </c>
      <c r="F76">
        <v>871</v>
      </c>
      <c r="G76" s="1">
        <v>45318</v>
      </c>
    </row>
    <row r="77" spans="1:7">
      <c r="A77" t="s">
        <v>60</v>
      </c>
      <c r="B77" t="s">
        <v>61</v>
      </c>
      <c r="C77" t="s">
        <v>5228</v>
      </c>
      <c r="D77">
        <v>122.31</v>
      </c>
      <c r="E77">
        <v>3.1</v>
      </c>
      <c r="F77">
        <v>428</v>
      </c>
      <c r="G77" s="1">
        <v>45351</v>
      </c>
    </row>
    <row r="78" spans="1:7">
      <c r="A78" t="s">
        <v>62</v>
      </c>
      <c r="B78" t="s">
        <v>63</v>
      </c>
      <c r="C78" t="s">
        <v>5225</v>
      </c>
      <c r="D78">
        <v>151.30000000000001</v>
      </c>
      <c r="E78">
        <v>4.5999999999999996</v>
      </c>
      <c r="F78">
        <v>718</v>
      </c>
      <c r="G78" s="1">
        <v>45307</v>
      </c>
    </row>
    <row r="79" spans="1:7">
      <c r="A79" t="s">
        <v>62</v>
      </c>
      <c r="B79" t="s">
        <v>63</v>
      </c>
      <c r="C79" t="s">
        <v>5226</v>
      </c>
      <c r="D79">
        <v>192.91</v>
      </c>
      <c r="E79">
        <v>3.4</v>
      </c>
      <c r="F79">
        <v>661</v>
      </c>
      <c r="G79" s="1">
        <v>45304</v>
      </c>
    </row>
    <row r="80" spans="1:7">
      <c r="A80" t="s">
        <v>62</v>
      </c>
      <c r="B80" t="s">
        <v>63</v>
      </c>
      <c r="C80" t="s">
        <v>5227</v>
      </c>
      <c r="D80">
        <v>188.67</v>
      </c>
      <c r="E80">
        <v>3.4</v>
      </c>
      <c r="F80">
        <v>2368</v>
      </c>
      <c r="G80" s="1">
        <v>45336</v>
      </c>
    </row>
    <row r="81" spans="1:7">
      <c r="A81" t="s">
        <v>62</v>
      </c>
      <c r="B81" t="s">
        <v>63</v>
      </c>
      <c r="C81" t="s">
        <v>5228</v>
      </c>
      <c r="D81">
        <v>165.3</v>
      </c>
      <c r="E81">
        <v>4.8</v>
      </c>
      <c r="F81">
        <v>1440</v>
      </c>
      <c r="G81" s="1">
        <v>45342</v>
      </c>
    </row>
    <row r="82" spans="1:7">
      <c r="A82" t="s">
        <v>64</v>
      </c>
      <c r="B82" t="s">
        <v>65</v>
      </c>
      <c r="C82" t="s">
        <v>5225</v>
      </c>
      <c r="D82">
        <v>27.28</v>
      </c>
      <c r="E82">
        <v>4.0999999999999996</v>
      </c>
      <c r="F82">
        <v>1340</v>
      </c>
      <c r="G82" s="1">
        <v>45368</v>
      </c>
    </row>
    <row r="83" spans="1:7">
      <c r="A83" t="s">
        <v>64</v>
      </c>
      <c r="B83" t="s">
        <v>65</v>
      </c>
      <c r="C83" t="s">
        <v>5226</v>
      </c>
      <c r="D83">
        <v>25.2</v>
      </c>
      <c r="E83">
        <v>4.5999999999999996</v>
      </c>
      <c r="F83">
        <v>312</v>
      </c>
      <c r="G83" s="1">
        <v>45330</v>
      </c>
    </row>
    <row r="84" spans="1:7">
      <c r="A84" t="s">
        <v>64</v>
      </c>
      <c r="B84" t="s">
        <v>65</v>
      </c>
      <c r="C84" t="s">
        <v>5227</v>
      </c>
      <c r="D84">
        <v>32.85</v>
      </c>
      <c r="E84">
        <v>4.4000000000000004</v>
      </c>
      <c r="F84">
        <v>1756</v>
      </c>
      <c r="G84" s="1">
        <v>45317</v>
      </c>
    </row>
    <row r="85" spans="1:7">
      <c r="A85" t="s">
        <v>64</v>
      </c>
      <c r="B85" t="s">
        <v>65</v>
      </c>
      <c r="C85" t="s">
        <v>5228</v>
      </c>
      <c r="D85">
        <v>37.08</v>
      </c>
      <c r="E85">
        <v>3.5</v>
      </c>
      <c r="F85">
        <v>1714</v>
      </c>
      <c r="G85" s="1">
        <v>45329</v>
      </c>
    </row>
    <row r="86" spans="1:7">
      <c r="A86" t="s">
        <v>68</v>
      </c>
      <c r="B86" t="s">
        <v>69</v>
      </c>
      <c r="C86" t="s">
        <v>5225</v>
      </c>
      <c r="D86">
        <v>111.79</v>
      </c>
      <c r="E86">
        <v>3.9</v>
      </c>
      <c r="F86">
        <v>1281</v>
      </c>
      <c r="G86" s="1">
        <v>45355</v>
      </c>
    </row>
    <row r="87" spans="1:7">
      <c r="A87" t="s">
        <v>68</v>
      </c>
      <c r="B87" t="s">
        <v>69</v>
      </c>
      <c r="C87" t="s">
        <v>5226</v>
      </c>
      <c r="D87">
        <v>95.41</v>
      </c>
      <c r="E87">
        <v>4.7</v>
      </c>
      <c r="F87">
        <v>1329</v>
      </c>
      <c r="G87" s="1">
        <v>45378</v>
      </c>
    </row>
    <row r="88" spans="1:7">
      <c r="A88" t="s">
        <v>68</v>
      </c>
      <c r="B88" t="s">
        <v>69</v>
      </c>
      <c r="C88" t="s">
        <v>5227</v>
      </c>
      <c r="D88">
        <v>98.35</v>
      </c>
      <c r="E88">
        <v>3.5</v>
      </c>
      <c r="F88">
        <v>2301</v>
      </c>
      <c r="G88" s="1">
        <v>45344</v>
      </c>
    </row>
    <row r="89" spans="1:7">
      <c r="A89" t="s">
        <v>68</v>
      </c>
      <c r="B89" t="s">
        <v>69</v>
      </c>
      <c r="C89" t="s">
        <v>5228</v>
      </c>
      <c r="D89">
        <v>116.32</v>
      </c>
      <c r="E89">
        <v>3.6</v>
      </c>
      <c r="F89">
        <v>2458</v>
      </c>
      <c r="G89" s="1">
        <v>45366</v>
      </c>
    </row>
    <row r="90" spans="1:7">
      <c r="A90" t="s">
        <v>71</v>
      </c>
      <c r="B90" t="s">
        <v>72</v>
      </c>
      <c r="C90" t="s">
        <v>5225</v>
      </c>
      <c r="D90">
        <v>25.55</v>
      </c>
      <c r="E90">
        <v>4.5999999999999996</v>
      </c>
      <c r="F90">
        <v>277</v>
      </c>
      <c r="G90" s="1">
        <v>45304</v>
      </c>
    </row>
    <row r="91" spans="1:7">
      <c r="A91" t="s">
        <v>71</v>
      </c>
      <c r="B91" t="s">
        <v>72</v>
      </c>
      <c r="C91" t="s">
        <v>5226</v>
      </c>
      <c r="D91">
        <v>25.02</v>
      </c>
      <c r="E91">
        <v>3.5</v>
      </c>
      <c r="F91">
        <v>567</v>
      </c>
      <c r="G91" s="1">
        <v>45334</v>
      </c>
    </row>
    <row r="92" spans="1:7">
      <c r="A92" t="s">
        <v>71</v>
      </c>
      <c r="B92" t="s">
        <v>72</v>
      </c>
      <c r="C92" t="s">
        <v>5227</v>
      </c>
      <c r="D92">
        <v>25.54</v>
      </c>
      <c r="E92">
        <v>2.8</v>
      </c>
      <c r="F92">
        <v>683</v>
      </c>
      <c r="G92" s="1">
        <v>45346</v>
      </c>
    </row>
    <row r="93" spans="1:7">
      <c r="A93" t="s">
        <v>71</v>
      </c>
      <c r="B93" t="s">
        <v>72</v>
      </c>
      <c r="C93" t="s">
        <v>5228</v>
      </c>
      <c r="D93">
        <v>23.53</v>
      </c>
      <c r="E93">
        <v>4.0999999999999996</v>
      </c>
      <c r="F93">
        <v>194</v>
      </c>
      <c r="G93" s="1">
        <v>45361</v>
      </c>
    </row>
    <row r="94" spans="1:7">
      <c r="A94" t="s">
        <v>73</v>
      </c>
      <c r="B94" t="s">
        <v>74</v>
      </c>
      <c r="C94" t="s">
        <v>5225</v>
      </c>
      <c r="D94">
        <v>54.75</v>
      </c>
      <c r="E94">
        <v>4.2</v>
      </c>
      <c r="F94">
        <v>1673</v>
      </c>
      <c r="G94" s="1">
        <v>45292</v>
      </c>
    </row>
    <row r="95" spans="1:7">
      <c r="A95" t="s">
        <v>73</v>
      </c>
      <c r="B95" t="s">
        <v>74</v>
      </c>
      <c r="C95" t="s">
        <v>5226</v>
      </c>
      <c r="D95">
        <v>77.599999999999994</v>
      </c>
      <c r="E95">
        <v>3.3</v>
      </c>
      <c r="F95">
        <v>756</v>
      </c>
      <c r="G95" s="1">
        <v>45356</v>
      </c>
    </row>
    <row r="96" spans="1:7">
      <c r="A96" t="s">
        <v>73</v>
      </c>
      <c r="B96" t="s">
        <v>74</v>
      </c>
      <c r="C96" t="s">
        <v>5227</v>
      </c>
      <c r="D96">
        <v>66.22</v>
      </c>
      <c r="E96">
        <v>3</v>
      </c>
      <c r="F96">
        <v>587</v>
      </c>
      <c r="G96" s="1">
        <v>45351</v>
      </c>
    </row>
    <row r="97" spans="1:7">
      <c r="A97" t="s">
        <v>73</v>
      </c>
      <c r="B97" t="s">
        <v>74</v>
      </c>
      <c r="C97" t="s">
        <v>5228</v>
      </c>
      <c r="D97">
        <v>64.77</v>
      </c>
      <c r="E97">
        <v>2.9</v>
      </c>
      <c r="F97">
        <v>651</v>
      </c>
      <c r="G97" s="1">
        <v>45315</v>
      </c>
    </row>
    <row r="98" spans="1:7">
      <c r="A98" t="s">
        <v>76</v>
      </c>
      <c r="B98" t="s">
        <v>77</v>
      </c>
      <c r="C98" t="s">
        <v>5225</v>
      </c>
      <c r="D98">
        <v>108.31</v>
      </c>
      <c r="E98">
        <v>3.2</v>
      </c>
      <c r="F98">
        <v>923</v>
      </c>
      <c r="G98" s="1">
        <v>45363</v>
      </c>
    </row>
    <row r="99" spans="1:7">
      <c r="A99" t="s">
        <v>76</v>
      </c>
      <c r="B99" t="s">
        <v>77</v>
      </c>
      <c r="C99" t="s">
        <v>5226</v>
      </c>
      <c r="D99">
        <v>89.29</v>
      </c>
      <c r="E99">
        <v>3.4</v>
      </c>
      <c r="F99">
        <v>1570</v>
      </c>
      <c r="G99" s="1">
        <v>45309</v>
      </c>
    </row>
    <row r="100" spans="1:7">
      <c r="A100" t="s">
        <v>76</v>
      </c>
      <c r="B100" t="s">
        <v>77</v>
      </c>
      <c r="C100" t="s">
        <v>5227</v>
      </c>
      <c r="D100">
        <v>141.57</v>
      </c>
      <c r="E100">
        <v>3.3</v>
      </c>
      <c r="F100">
        <v>397</v>
      </c>
      <c r="G100" s="1">
        <v>45329</v>
      </c>
    </row>
    <row r="101" spans="1:7">
      <c r="A101" t="s">
        <v>76</v>
      </c>
      <c r="B101" t="s">
        <v>77</v>
      </c>
      <c r="C101" t="s">
        <v>5228</v>
      </c>
      <c r="D101">
        <v>118.75</v>
      </c>
      <c r="E101">
        <v>4</v>
      </c>
      <c r="F101">
        <v>1935</v>
      </c>
      <c r="G101" s="1">
        <v>45372</v>
      </c>
    </row>
    <row r="102" spans="1:7">
      <c r="A102" t="s">
        <v>78</v>
      </c>
      <c r="B102" t="s">
        <v>79</v>
      </c>
      <c r="C102" t="s">
        <v>5225</v>
      </c>
      <c r="D102">
        <v>173.53</v>
      </c>
      <c r="E102">
        <v>3.1</v>
      </c>
      <c r="F102">
        <v>2451</v>
      </c>
      <c r="G102" s="1">
        <v>45334</v>
      </c>
    </row>
    <row r="103" spans="1:7">
      <c r="A103" t="s">
        <v>78</v>
      </c>
      <c r="B103" t="s">
        <v>79</v>
      </c>
      <c r="C103" t="s">
        <v>5226</v>
      </c>
      <c r="D103">
        <v>193.61</v>
      </c>
      <c r="E103">
        <v>4.3</v>
      </c>
      <c r="F103">
        <v>2242</v>
      </c>
      <c r="G103" s="1">
        <v>45332</v>
      </c>
    </row>
    <row r="104" spans="1:7">
      <c r="A104" t="s">
        <v>78</v>
      </c>
      <c r="B104" t="s">
        <v>79</v>
      </c>
      <c r="C104" t="s">
        <v>5227</v>
      </c>
      <c r="D104">
        <v>187.92</v>
      </c>
      <c r="E104">
        <v>3.5</v>
      </c>
      <c r="F104">
        <v>1206</v>
      </c>
      <c r="G104" s="1">
        <v>45365</v>
      </c>
    </row>
    <row r="105" spans="1:7">
      <c r="A105" t="s">
        <v>78</v>
      </c>
      <c r="B105" t="s">
        <v>79</v>
      </c>
      <c r="C105" t="s">
        <v>5228</v>
      </c>
      <c r="D105">
        <v>229.95</v>
      </c>
      <c r="E105">
        <v>3.7</v>
      </c>
      <c r="F105">
        <v>1428</v>
      </c>
      <c r="G105" s="1">
        <v>45320</v>
      </c>
    </row>
    <row r="106" spans="1:7">
      <c r="A106" t="s">
        <v>80</v>
      </c>
      <c r="B106" t="s">
        <v>81</v>
      </c>
      <c r="C106" t="s">
        <v>5225</v>
      </c>
      <c r="D106">
        <v>129.6</v>
      </c>
      <c r="E106">
        <v>3.1</v>
      </c>
      <c r="F106">
        <v>2258</v>
      </c>
      <c r="G106" s="1">
        <v>45352</v>
      </c>
    </row>
    <row r="107" spans="1:7">
      <c r="A107" t="s">
        <v>80</v>
      </c>
      <c r="B107" t="s">
        <v>81</v>
      </c>
      <c r="C107" t="s">
        <v>5226</v>
      </c>
      <c r="D107">
        <v>114.14</v>
      </c>
      <c r="E107">
        <v>3</v>
      </c>
      <c r="F107">
        <v>33</v>
      </c>
      <c r="G107" s="1">
        <v>45365</v>
      </c>
    </row>
    <row r="108" spans="1:7">
      <c r="A108" t="s">
        <v>80</v>
      </c>
      <c r="B108" t="s">
        <v>81</v>
      </c>
      <c r="C108" t="s">
        <v>5227</v>
      </c>
      <c r="D108">
        <v>116.29</v>
      </c>
      <c r="E108">
        <v>4</v>
      </c>
      <c r="F108">
        <v>2038</v>
      </c>
      <c r="G108" s="1">
        <v>45377</v>
      </c>
    </row>
    <row r="109" spans="1:7">
      <c r="A109" t="s">
        <v>80</v>
      </c>
      <c r="B109" t="s">
        <v>81</v>
      </c>
      <c r="C109" t="s">
        <v>5228</v>
      </c>
      <c r="D109">
        <v>95.56</v>
      </c>
      <c r="E109">
        <v>3.3</v>
      </c>
      <c r="F109">
        <v>264</v>
      </c>
      <c r="G109" s="1">
        <v>45307</v>
      </c>
    </row>
    <row r="110" spans="1:7">
      <c r="A110" t="s">
        <v>82</v>
      </c>
      <c r="B110" t="s">
        <v>83</v>
      </c>
      <c r="C110" t="s">
        <v>5225</v>
      </c>
      <c r="D110">
        <v>27.23</v>
      </c>
      <c r="E110">
        <v>3.3</v>
      </c>
      <c r="F110">
        <v>1740</v>
      </c>
      <c r="G110" s="1">
        <v>45295</v>
      </c>
    </row>
    <row r="111" spans="1:7">
      <c r="A111" t="s">
        <v>82</v>
      </c>
      <c r="B111" t="s">
        <v>83</v>
      </c>
      <c r="C111" t="s">
        <v>5226</v>
      </c>
      <c r="D111">
        <v>35.590000000000003</v>
      </c>
      <c r="E111">
        <v>4.8</v>
      </c>
      <c r="F111">
        <v>225</v>
      </c>
      <c r="G111" s="1">
        <v>45332</v>
      </c>
    </row>
    <row r="112" spans="1:7">
      <c r="A112" t="s">
        <v>82</v>
      </c>
      <c r="B112" t="s">
        <v>83</v>
      </c>
      <c r="C112" t="s">
        <v>5227</v>
      </c>
      <c r="D112">
        <v>37.4</v>
      </c>
      <c r="E112">
        <v>4.2</v>
      </c>
      <c r="F112">
        <v>1324</v>
      </c>
      <c r="G112" s="1">
        <v>45369</v>
      </c>
    </row>
    <row r="113" spans="1:7">
      <c r="A113" t="s">
        <v>82</v>
      </c>
      <c r="B113" t="s">
        <v>83</v>
      </c>
      <c r="C113" t="s">
        <v>5228</v>
      </c>
      <c r="D113">
        <v>38.82</v>
      </c>
      <c r="E113">
        <v>4.0999999999999996</v>
      </c>
      <c r="F113">
        <v>1857</v>
      </c>
      <c r="G113" s="1">
        <v>45375</v>
      </c>
    </row>
    <row r="114" spans="1:7">
      <c r="A114" t="s">
        <v>84</v>
      </c>
      <c r="B114" t="s">
        <v>85</v>
      </c>
      <c r="C114" t="s">
        <v>5225</v>
      </c>
      <c r="D114">
        <v>214.49</v>
      </c>
      <c r="E114">
        <v>2.9</v>
      </c>
      <c r="F114">
        <v>1488</v>
      </c>
      <c r="G114" s="1">
        <v>45370</v>
      </c>
    </row>
    <row r="115" spans="1:7">
      <c r="A115" t="s">
        <v>84</v>
      </c>
      <c r="B115" t="s">
        <v>85</v>
      </c>
      <c r="C115" t="s">
        <v>5226</v>
      </c>
      <c r="D115">
        <v>173.42</v>
      </c>
      <c r="E115">
        <v>3.3</v>
      </c>
      <c r="F115">
        <v>1196</v>
      </c>
      <c r="G115" s="1">
        <v>45337</v>
      </c>
    </row>
    <row r="116" spans="1:7">
      <c r="A116" t="s">
        <v>84</v>
      </c>
      <c r="B116" t="s">
        <v>85</v>
      </c>
      <c r="C116" t="s">
        <v>5227</v>
      </c>
      <c r="D116">
        <v>182.98</v>
      </c>
      <c r="E116">
        <v>3.2</v>
      </c>
      <c r="F116">
        <v>72</v>
      </c>
      <c r="G116" s="1">
        <v>45330</v>
      </c>
    </row>
    <row r="117" spans="1:7">
      <c r="A117" t="s">
        <v>84</v>
      </c>
      <c r="B117" t="s">
        <v>85</v>
      </c>
      <c r="C117" t="s">
        <v>5228</v>
      </c>
      <c r="D117">
        <v>144.86000000000001</v>
      </c>
      <c r="E117">
        <v>4.5</v>
      </c>
      <c r="F117">
        <v>2109</v>
      </c>
      <c r="G117" s="1">
        <v>45315</v>
      </c>
    </row>
    <row r="118" spans="1:7">
      <c r="A118" t="s">
        <v>86</v>
      </c>
      <c r="B118" t="s">
        <v>87</v>
      </c>
      <c r="C118" t="s">
        <v>5225</v>
      </c>
      <c r="D118">
        <v>151.47</v>
      </c>
      <c r="E118">
        <v>3.5</v>
      </c>
      <c r="F118">
        <v>2340</v>
      </c>
      <c r="G118" s="1">
        <v>45296</v>
      </c>
    </row>
    <row r="119" spans="1:7">
      <c r="A119" t="s">
        <v>86</v>
      </c>
      <c r="B119" t="s">
        <v>87</v>
      </c>
      <c r="C119" t="s">
        <v>5226</v>
      </c>
      <c r="D119">
        <v>172.78</v>
      </c>
      <c r="E119">
        <v>3.2</v>
      </c>
      <c r="F119">
        <v>1352</v>
      </c>
      <c r="G119" s="1">
        <v>45296</v>
      </c>
    </row>
    <row r="120" spans="1:7">
      <c r="A120" t="s">
        <v>86</v>
      </c>
      <c r="B120" t="s">
        <v>87</v>
      </c>
      <c r="C120" t="s">
        <v>5227</v>
      </c>
      <c r="D120">
        <v>163.37</v>
      </c>
      <c r="E120">
        <v>3.1</v>
      </c>
      <c r="F120">
        <v>499</v>
      </c>
      <c r="G120" s="1">
        <v>45369</v>
      </c>
    </row>
    <row r="121" spans="1:7">
      <c r="A121" t="s">
        <v>86</v>
      </c>
      <c r="B121" t="s">
        <v>87</v>
      </c>
      <c r="C121" t="s">
        <v>5228</v>
      </c>
      <c r="D121">
        <v>114.65</v>
      </c>
      <c r="E121">
        <v>3.8</v>
      </c>
      <c r="F121">
        <v>1838</v>
      </c>
      <c r="G121" s="1">
        <v>45351</v>
      </c>
    </row>
    <row r="122" spans="1:7">
      <c r="A122" t="s">
        <v>88</v>
      </c>
      <c r="B122" t="s">
        <v>89</v>
      </c>
      <c r="C122" t="s">
        <v>5225</v>
      </c>
      <c r="D122">
        <v>67.790000000000006</v>
      </c>
      <c r="E122">
        <v>4.5</v>
      </c>
      <c r="F122">
        <v>2377</v>
      </c>
      <c r="G122" s="1">
        <v>45340</v>
      </c>
    </row>
    <row r="123" spans="1:7">
      <c r="A123" t="s">
        <v>88</v>
      </c>
      <c r="B123" t="s">
        <v>89</v>
      </c>
      <c r="C123" t="s">
        <v>5226</v>
      </c>
      <c r="D123">
        <v>58.94</v>
      </c>
      <c r="E123">
        <v>4.9000000000000004</v>
      </c>
      <c r="F123">
        <v>1651</v>
      </c>
      <c r="G123" s="1">
        <v>45303</v>
      </c>
    </row>
    <row r="124" spans="1:7">
      <c r="A124" t="s">
        <v>88</v>
      </c>
      <c r="B124" t="s">
        <v>89</v>
      </c>
      <c r="C124" t="s">
        <v>5227</v>
      </c>
      <c r="D124">
        <v>65.790000000000006</v>
      </c>
      <c r="E124">
        <v>4</v>
      </c>
      <c r="F124">
        <v>466</v>
      </c>
      <c r="G124" s="1">
        <v>45319</v>
      </c>
    </row>
    <row r="125" spans="1:7">
      <c r="A125" t="s">
        <v>88</v>
      </c>
      <c r="B125" t="s">
        <v>89</v>
      </c>
      <c r="C125" t="s">
        <v>5228</v>
      </c>
      <c r="D125">
        <v>61.76</v>
      </c>
      <c r="E125">
        <v>3.2</v>
      </c>
      <c r="F125">
        <v>2224</v>
      </c>
      <c r="G125" s="1">
        <v>45325</v>
      </c>
    </row>
    <row r="126" spans="1:7">
      <c r="A126" t="s">
        <v>92</v>
      </c>
      <c r="B126" t="s">
        <v>93</v>
      </c>
      <c r="C126" t="s">
        <v>5225</v>
      </c>
      <c r="D126">
        <v>263.52999999999997</v>
      </c>
      <c r="E126">
        <v>3.6</v>
      </c>
      <c r="F126">
        <v>2466</v>
      </c>
      <c r="G126" s="1">
        <v>45332</v>
      </c>
    </row>
    <row r="127" spans="1:7">
      <c r="A127" t="s">
        <v>92</v>
      </c>
      <c r="B127" t="s">
        <v>93</v>
      </c>
      <c r="C127" t="s">
        <v>5226</v>
      </c>
      <c r="D127">
        <v>285.42</v>
      </c>
      <c r="E127">
        <v>4</v>
      </c>
      <c r="F127">
        <v>1497</v>
      </c>
      <c r="G127" s="1">
        <v>45360</v>
      </c>
    </row>
    <row r="128" spans="1:7">
      <c r="A128" t="s">
        <v>92</v>
      </c>
      <c r="B128" t="s">
        <v>93</v>
      </c>
      <c r="C128" t="s">
        <v>5227</v>
      </c>
      <c r="D128">
        <v>284.39999999999998</v>
      </c>
      <c r="E128">
        <v>3.8</v>
      </c>
      <c r="F128">
        <v>257</v>
      </c>
      <c r="G128" s="1">
        <v>45380</v>
      </c>
    </row>
    <row r="129" spans="1:7">
      <c r="A129" t="s">
        <v>92</v>
      </c>
      <c r="B129" t="s">
        <v>93</v>
      </c>
      <c r="C129" t="s">
        <v>5228</v>
      </c>
      <c r="D129">
        <v>219.89</v>
      </c>
      <c r="E129">
        <v>4.7</v>
      </c>
      <c r="F129">
        <v>1708</v>
      </c>
      <c r="G129" s="1">
        <v>45368</v>
      </c>
    </row>
    <row r="130" spans="1:7">
      <c r="A130" t="s">
        <v>95</v>
      </c>
      <c r="B130" t="s">
        <v>96</v>
      </c>
      <c r="C130" t="s">
        <v>5225</v>
      </c>
      <c r="D130">
        <v>261.82</v>
      </c>
      <c r="E130">
        <v>4.5</v>
      </c>
      <c r="F130">
        <v>1596</v>
      </c>
      <c r="G130" s="1">
        <v>45364</v>
      </c>
    </row>
    <row r="131" spans="1:7">
      <c r="A131" t="s">
        <v>95</v>
      </c>
      <c r="B131" t="s">
        <v>96</v>
      </c>
      <c r="C131" t="s">
        <v>5226</v>
      </c>
      <c r="D131">
        <v>243.24</v>
      </c>
      <c r="E131">
        <v>4.0999999999999996</v>
      </c>
      <c r="F131">
        <v>1786</v>
      </c>
      <c r="G131" s="1">
        <v>45294</v>
      </c>
    </row>
    <row r="132" spans="1:7">
      <c r="A132" t="s">
        <v>95</v>
      </c>
      <c r="B132" t="s">
        <v>96</v>
      </c>
      <c r="C132" t="s">
        <v>5227</v>
      </c>
      <c r="D132">
        <v>263.17</v>
      </c>
      <c r="E132">
        <v>3.8</v>
      </c>
      <c r="F132">
        <v>514</v>
      </c>
      <c r="G132" s="1">
        <v>45294</v>
      </c>
    </row>
    <row r="133" spans="1:7">
      <c r="A133" t="s">
        <v>95</v>
      </c>
      <c r="B133" t="s">
        <v>96</v>
      </c>
      <c r="C133" t="s">
        <v>5228</v>
      </c>
      <c r="D133">
        <v>169.12</v>
      </c>
      <c r="E133">
        <v>3.5</v>
      </c>
      <c r="F133">
        <v>320</v>
      </c>
      <c r="G133" s="1">
        <v>45376</v>
      </c>
    </row>
    <row r="134" spans="1:7">
      <c r="A134" t="s">
        <v>98</v>
      </c>
      <c r="B134" t="s">
        <v>99</v>
      </c>
      <c r="C134" t="s">
        <v>5225</v>
      </c>
      <c r="D134">
        <v>184.03</v>
      </c>
      <c r="E134">
        <v>3.6</v>
      </c>
      <c r="F134">
        <v>2406</v>
      </c>
      <c r="G134" s="1">
        <v>45382</v>
      </c>
    </row>
    <row r="135" spans="1:7">
      <c r="A135" t="s">
        <v>98</v>
      </c>
      <c r="B135" t="s">
        <v>99</v>
      </c>
      <c r="C135" t="s">
        <v>5226</v>
      </c>
      <c r="D135">
        <v>255.97</v>
      </c>
      <c r="E135">
        <v>3.5</v>
      </c>
      <c r="F135">
        <v>1927</v>
      </c>
      <c r="G135" s="1">
        <v>45318</v>
      </c>
    </row>
    <row r="136" spans="1:7">
      <c r="A136" t="s">
        <v>98</v>
      </c>
      <c r="B136" t="s">
        <v>99</v>
      </c>
      <c r="C136" t="s">
        <v>5227</v>
      </c>
      <c r="D136">
        <v>247.69</v>
      </c>
      <c r="E136">
        <v>4.5999999999999996</v>
      </c>
      <c r="F136">
        <v>2308</v>
      </c>
      <c r="G136" s="1">
        <v>45336</v>
      </c>
    </row>
    <row r="137" spans="1:7">
      <c r="A137" t="s">
        <v>98</v>
      </c>
      <c r="B137" t="s">
        <v>99</v>
      </c>
      <c r="C137" t="s">
        <v>5228</v>
      </c>
      <c r="D137">
        <v>272.79000000000002</v>
      </c>
      <c r="E137">
        <v>3.2</v>
      </c>
      <c r="F137">
        <v>1957</v>
      </c>
      <c r="G137" s="1">
        <v>45337</v>
      </c>
    </row>
    <row r="138" spans="1:7">
      <c r="A138" t="s">
        <v>101</v>
      </c>
      <c r="B138" t="s">
        <v>102</v>
      </c>
      <c r="C138" t="s">
        <v>5225</v>
      </c>
      <c r="D138">
        <v>202.86</v>
      </c>
      <c r="E138">
        <v>4</v>
      </c>
      <c r="F138">
        <v>353</v>
      </c>
      <c r="G138" s="1">
        <v>45323</v>
      </c>
    </row>
    <row r="139" spans="1:7">
      <c r="A139" t="s">
        <v>101</v>
      </c>
      <c r="B139" t="s">
        <v>102</v>
      </c>
      <c r="C139" t="s">
        <v>5226</v>
      </c>
      <c r="D139">
        <v>219.09</v>
      </c>
      <c r="E139">
        <v>4.7</v>
      </c>
      <c r="F139">
        <v>2170</v>
      </c>
      <c r="G139" s="1">
        <v>45355</v>
      </c>
    </row>
    <row r="140" spans="1:7">
      <c r="A140" t="s">
        <v>101</v>
      </c>
      <c r="B140" t="s">
        <v>102</v>
      </c>
      <c r="C140" t="s">
        <v>5227</v>
      </c>
      <c r="D140">
        <v>232.66</v>
      </c>
      <c r="E140">
        <v>4</v>
      </c>
      <c r="F140">
        <v>367</v>
      </c>
      <c r="G140" s="1">
        <v>45372</v>
      </c>
    </row>
    <row r="141" spans="1:7">
      <c r="A141" t="s">
        <v>101</v>
      </c>
      <c r="B141" t="s">
        <v>102</v>
      </c>
      <c r="C141" t="s">
        <v>5228</v>
      </c>
      <c r="D141">
        <v>224.1</v>
      </c>
      <c r="E141">
        <v>3.1</v>
      </c>
      <c r="F141">
        <v>949</v>
      </c>
      <c r="G141" s="1">
        <v>45321</v>
      </c>
    </row>
    <row r="142" spans="1:7">
      <c r="A142" t="s">
        <v>103</v>
      </c>
      <c r="B142" t="s">
        <v>104</v>
      </c>
      <c r="C142" t="s">
        <v>5225</v>
      </c>
      <c r="D142">
        <v>113.19</v>
      </c>
      <c r="E142">
        <v>4.5999999999999996</v>
      </c>
      <c r="F142">
        <v>659</v>
      </c>
      <c r="G142" s="1">
        <v>45318</v>
      </c>
    </row>
    <row r="143" spans="1:7">
      <c r="A143" t="s">
        <v>103</v>
      </c>
      <c r="B143" t="s">
        <v>104</v>
      </c>
      <c r="C143" t="s">
        <v>5226</v>
      </c>
      <c r="D143">
        <v>83.89</v>
      </c>
      <c r="E143">
        <v>3.3</v>
      </c>
      <c r="F143">
        <v>1133</v>
      </c>
      <c r="G143" s="1">
        <v>45302</v>
      </c>
    </row>
    <row r="144" spans="1:7">
      <c r="A144" t="s">
        <v>103</v>
      </c>
      <c r="B144" t="s">
        <v>104</v>
      </c>
      <c r="C144" t="s">
        <v>5227</v>
      </c>
      <c r="D144">
        <v>104.96</v>
      </c>
      <c r="E144">
        <v>2.8</v>
      </c>
      <c r="F144">
        <v>1910</v>
      </c>
      <c r="G144" s="1">
        <v>45304</v>
      </c>
    </row>
    <row r="145" spans="1:7">
      <c r="A145" t="s">
        <v>103</v>
      </c>
      <c r="B145" t="s">
        <v>104</v>
      </c>
      <c r="C145" t="s">
        <v>5228</v>
      </c>
      <c r="D145">
        <v>81.06</v>
      </c>
      <c r="E145">
        <v>4.4000000000000004</v>
      </c>
      <c r="F145">
        <v>1709</v>
      </c>
      <c r="G145" s="1">
        <v>45322</v>
      </c>
    </row>
    <row r="146" spans="1:7">
      <c r="A146" t="s">
        <v>105</v>
      </c>
      <c r="B146" t="s">
        <v>106</v>
      </c>
      <c r="C146" t="s">
        <v>5225</v>
      </c>
      <c r="D146">
        <v>42.86</v>
      </c>
      <c r="E146">
        <v>4.4000000000000004</v>
      </c>
      <c r="F146">
        <v>172</v>
      </c>
      <c r="G146" s="1">
        <v>45357</v>
      </c>
    </row>
    <row r="147" spans="1:7">
      <c r="A147" t="s">
        <v>105</v>
      </c>
      <c r="B147" t="s">
        <v>106</v>
      </c>
      <c r="C147" t="s">
        <v>5226</v>
      </c>
      <c r="D147">
        <v>54.62</v>
      </c>
      <c r="E147">
        <v>4.2</v>
      </c>
      <c r="F147">
        <v>710</v>
      </c>
      <c r="G147" s="1">
        <v>45314</v>
      </c>
    </row>
    <row r="148" spans="1:7">
      <c r="A148" t="s">
        <v>105</v>
      </c>
      <c r="B148" t="s">
        <v>106</v>
      </c>
      <c r="C148" t="s">
        <v>5227</v>
      </c>
      <c r="D148">
        <v>54.9</v>
      </c>
      <c r="E148">
        <v>3.2</v>
      </c>
      <c r="F148">
        <v>226</v>
      </c>
      <c r="G148" s="1">
        <v>45331</v>
      </c>
    </row>
    <row r="149" spans="1:7">
      <c r="A149" t="s">
        <v>105</v>
      </c>
      <c r="B149" t="s">
        <v>106</v>
      </c>
      <c r="C149" t="s">
        <v>5228</v>
      </c>
      <c r="D149">
        <v>43.75</v>
      </c>
      <c r="E149">
        <v>4.2</v>
      </c>
      <c r="F149">
        <v>984</v>
      </c>
      <c r="G149" s="1">
        <v>45332</v>
      </c>
    </row>
    <row r="150" spans="1:7">
      <c r="A150" t="s">
        <v>107</v>
      </c>
      <c r="B150" t="s">
        <v>108</v>
      </c>
      <c r="C150" t="s">
        <v>5225</v>
      </c>
      <c r="D150">
        <v>25.64</v>
      </c>
      <c r="E150">
        <v>3.9</v>
      </c>
      <c r="F150">
        <v>2306</v>
      </c>
      <c r="G150" s="1">
        <v>45304</v>
      </c>
    </row>
    <row r="151" spans="1:7">
      <c r="A151" t="s">
        <v>107</v>
      </c>
      <c r="B151" t="s">
        <v>108</v>
      </c>
      <c r="C151" t="s">
        <v>5226</v>
      </c>
      <c r="D151">
        <v>30.46</v>
      </c>
      <c r="E151">
        <v>4</v>
      </c>
      <c r="F151">
        <v>1953</v>
      </c>
      <c r="G151" s="1">
        <v>45306</v>
      </c>
    </row>
    <row r="152" spans="1:7">
      <c r="A152" t="s">
        <v>107</v>
      </c>
      <c r="B152" t="s">
        <v>108</v>
      </c>
      <c r="C152" t="s">
        <v>5227</v>
      </c>
      <c r="D152">
        <v>36.630000000000003</v>
      </c>
      <c r="E152">
        <v>4.5</v>
      </c>
      <c r="F152">
        <v>583</v>
      </c>
      <c r="G152" s="1">
        <v>45377</v>
      </c>
    </row>
    <row r="153" spans="1:7">
      <c r="A153" t="s">
        <v>107</v>
      </c>
      <c r="B153" t="s">
        <v>108</v>
      </c>
      <c r="C153" t="s">
        <v>5228</v>
      </c>
      <c r="D153">
        <v>37.700000000000003</v>
      </c>
      <c r="E153">
        <v>2.8</v>
      </c>
      <c r="F153">
        <v>768</v>
      </c>
      <c r="G153" s="1">
        <v>45357</v>
      </c>
    </row>
    <row r="154" spans="1:7">
      <c r="A154" t="s">
        <v>109</v>
      </c>
      <c r="B154" t="s">
        <v>110</v>
      </c>
      <c r="C154" t="s">
        <v>5225</v>
      </c>
      <c r="D154">
        <v>76.16</v>
      </c>
      <c r="E154">
        <v>3.4</v>
      </c>
      <c r="F154">
        <v>404</v>
      </c>
      <c r="G154" s="1">
        <v>45355</v>
      </c>
    </row>
    <row r="155" spans="1:7">
      <c r="A155" t="s">
        <v>109</v>
      </c>
      <c r="B155" t="s">
        <v>110</v>
      </c>
      <c r="C155" t="s">
        <v>5226</v>
      </c>
      <c r="D155">
        <v>65.510000000000005</v>
      </c>
      <c r="E155">
        <v>3.9</v>
      </c>
      <c r="F155">
        <v>919</v>
      </c>
      <c r="G155" s="1">
        <v>45372</v>
      </c>
    </row>
    <row r="156" spans="1:7">
      <c r="A156" t="s">
        <v>109</v>
      </c>
      <c r="B156" t="s">
        <v>110</v>
      </c>
      <c r="C156" t="s">
        <v>5227</v>
      </c>
      <c r="D156">
        <v>96.98</v>
      </c>
      <c r="E156">
        <v>3.8</v>
      </c>
      <c r="F156">
        <v>1134</v>
      </c>
      <c r="G156" s="1">
        <v>45318</v>
      </c>
    </row>
    <row r="157" spans="1:7">
      <c r="A157" t="s">
        <v>109</v>
      </c>
      <c r="B157" t="s">
        <v>110</v>
      </c>
      <c r="C157" t="s">
        <v>5228</v>
      </c>
      <c r="D157">
        <v>74.58</v>
      </c>
      <c r="E157">
        <v>4.9000000000000004</v>
      </c>
      <c r="F157">
        <v>247</v>
      </c>
      <c r="G157" s="1">
        <v>45335</v>
      </c>
    </row>
    <row r="158" spans="1:7">
      <c r="A158" t="s">
        <v>111</v>
      </c>
      <c r="B158" t="s">
        <v>112</v>
      </c>
      <c r="C158" t="s">
        <v>5225</v>
      </c>
      <c r="D158">
        <v>212.68</v>
      </c>
      <c r="E158">
        <v>4</v>
      </c>
      <c r="F158">
        <v>1365</v>
      </c>
      <c r="G158" s="1">
        <v>45382</v>
      </c>
    </row>
    <row r="159" spans="1:7">
      <c r="A159" t="s">
        <v>111</v>
      </c>
      <c r="B159" t="s">
        <v>112</v>
      </c>
      <c r="C159" t="s">
        <v>5226</v>
      </c>
      <c r="D159">
        <v>219.14</v>
      </c>
      <c r="E159">
        <v>3.8</v>
      </c>
      <c r="F159">
        <v>918</v>
      </c>
      <c r="G159" s="1">
        <v>45323</v>
      </c>
    </row>
    <row r="160" spans="1:7">
      <c r="A160" t="s">
        <v>111</v>
      </c>
      <c r="B160" t="s">
        <v>112</v>
      </c>
      <c r="C160" t="s">
        <v>5227</v>
      </c>
      <c r="D160">
        <v>230.05</v>
      </c>
      <c r="E160">
        <v>3.3</v>
      </c>
      <c r="F160">
        <v>2056</v>
      </c>
      <c r="G160" s="1">
        <v>45312</v>
      </c>
    </row>
    <row r="161" spans="1:7">
      <c r="A161" t="s">
        <v>111</v>
      </c>
      <c r="B161" t="s">
        <v>112</v>
      </c>
      <c r="C161" t="s">
        <v>5228</v>
      </c>
      <c r="D161">
        <v>214.69</v>
      </c>
      <c r="E161">
        <v>3</v>
      </c>
      <c r="F161">
        <v>1375</v>
      </c>
      <c r="G161" s="1">
        <v>45311</v>
      </c>
    </row>
    <row r="162" spans="1:7">
      <c r="A162" t="s">
        <v>113</v>
      </c>
      <c r="B162" t="s">
        <v>114</v>
      </c>
      <c r="C162" t="s">
        <v>5225</v>
      </c>
      <c r="D162">
        <v>19.760000000000002</v>
      </c>
      <c r="E162">
        <v>4.0999999999999996</v>
      </c>
      <c r="F162">
        <v>2270</v>
      </c>
      <c r="G162" s="1">
        <v>45339</v>
      </c>
    </row>
    <row r="163" spans="1:7">
      <c r="A163" t="s">
        <v>113</v>
      </c>
      <c r="B163" t="s">
        <v>114</v>
      </c>
      <c r="C163" t="s">
        <v>5226</v>
      </c>
      <c r="D163">
        <v>23.37</v>
      </c>
      <c r="E163">
        <v>3.2</v>
      </c>
      <c r="F163">
        <v>383</v>
      </c>
      <c r="G163" s="1">
        <v>45341</v>
      </c>
    </row>
    <row r="164" spans="1:7">
      <c r="A164" t="s">
        <v>113</v>
      </c>
      <c r="B164" t="s">
        <v>114</v>
      </c>
      <c r="C164" t="s">
        <v>5227</v>
      </c>
      <c r="D164">
        <v>22.94</v>
      </c>
      <c r="E164">
        <v>4.0999999999999996</v>
      </c>
      <c r="F164">
        <v>1713</v>
      </c>
      <c r="G164" s="1">
        <v>45313</v>
      </c>
    </row>
    <row r="165" spans="1:7">
      <c r="A165" t="s">
        <v>113</v>
      </c>
      <c r="B165" t="s">
        <v>114</v>
      </c>
      <c r="C165" t="s">
        <v>5228</v>
      </c>
      <c r="D165">
        <v>14.43</v>
      </c>
      <c r="E165">
        <v>4.8</v>
      </c>
      <c r="F165">
        <v>548</v>
      </c>
      <c r="G165" s="1">
        <v>45326</v>
      </c>
    </row>
    <row r="166" spans="1:7">
      <c r="A166" t="s">
        <v>117</v>
      </c>
      <c r="B166" t="s">
        <v>118</v>
      </c>
      <c r="C166" t="s">
        <v>5225</v>
      </c>
      <c r="D166">
        <v>77.099999999999994</v>
      </c>
      <c r="E166">
        <v>3.7</v>
      </c>
      <c r="F166">
        <v>1388</v>
      </c>
      <c r="G166" s="1">
        <v>45377</v>
      </c>
    </row>
    <row r="167" spans="1:7">
      <c r="A167" t="s">
        <v>117</v>
      </c>
      <c r="B167" t="s">
        <v>118</v>
      </c>
      <c r="C167" t="s">
        <v>5226</v>
      </c>
      <c r="D167">
        <v>118.33</v>
      </c>
      <c r="E167">
        <v>3.1</v>
      </c>
      <c r="F167">
        <v>2360</v>
      </c>
      <c r="G167" s="1">
        <v>45308</v>
      </c>
    </row>
    <row r="168" spans="1:7">
      <c r="A168" t="s">
        <v>117</v>
      </c>
      <c r="B168" t="s">
        <v>118</v>
      </c>
      <c r="C168" t="s">
        <v>5227</v>
      </c>
      <c r="D168">
        <v>82.53</v>
      </c>
      <c r="E168">
        <v>4.7</v>
      </c>
      <c r="F168">
        <v>1367</v>
      </c>
      <c r="G168" s="1">
        <v>45297</v>
      </c>
    </row>
    <row r="169" spans="1:7">
      <c r="A169" t="s">
        <v>117</v>
      </c>
      <c r="B169" t="s">
        <v>118</v>
      </c>
      <c r="C169" t="s">
        <v>5228</v>
      </c>
      <c r="D169">
        <v>108.92</v>
      </c>
      <c r="E169">
        <v>3</v>
      </c>
      <c r="F169">
        <v>1114</v>
      </c>
      <c r="G169" s="1">
        <v>45324</v>
      </c>
    </row>
    <row r="170" spans="1:7">
      <c r="A170" t="s">
        <v>120</v>
      </c>
      <c r="B170" t="s">
        <v>121</v>
      </c>
      <c r="C170" t="s">
        <v>5225</v>
      </c>
      <c r="D170">
        <v>239.4</v>
      </c>
      <c r="E170">
        <v>3.9</v>
      </c>
      <c r="F170">
        <v>2380</v>
      </c>
      <c r="G170" s="1">
        <v>45333</v>
      </c>
    </row>
    <row r="171" spans="1:7">
      <c r="A171" t="s">
        <v>120</v>
      </c>
      <c r="B171" t="s">
        <v>121</v>
      </c>
      <c r="C171" t="s">
        <v>5226</v>
      </c>
      <c r="D171">
        <v>150.81</v>
      </c>
      <c r="E171">
        <v>4.5</v>
      </c>
      <c r="F171">
        <v>343</v>
      </c>
      <c r="G171" s="1">
        <v>45359</v>
      </c>
    </row>
    <row r="172" spans="1:7">
      <c r="A172" t="s">
        <v>120</v>
      </c>
      <c r="B172" t="s">
        <v>121</v>
      </c>
      <c r="C172" t="s">
        <v>5227</v>
      </c>
      <c r="D172">
        <v>176.32</v>
      </c>
      <c r="E172">
        <v>3.5</v>
      </c>
      <c r="F172">
        <v>2396</v>
      </c>
      <c r="G172" s="1">
        <v>45327</v>
      </c>
    </row>
    <row r="173" spans="1:7">
      <c r="A173" t="s">
        <v>120</v>
      </c>
      <c r="B173" t="s">
        <v>121</v>
      </c>
      <c r="C173" t="s">
        <v>5228</v>
      </c>
      <c r="D173">
        <v>220.76</v>
      </c>
      <c r="E173">
        <v>3.1</v>
      </c>
      <c r="F173">
        <v>1212</v>
      </c>
      <c r="G173" s="1">
        <v>45351</v>
      </c>
    </row>
    <row r="174" spans="1:7">
      <c r="A174" t="s">
        <v>122</v>
      </c>
      <c r="B174" t="s">
        <v>123</v>
      </c>
      <c r="C174" t="s">
        <v>5225</v>
      </c>
      <c r="D174">
        <v>131.84</v>
      </c>
      <c r="E174">
        <v>3.4</v>
      </c>
      <c r="F174">
        <v>1031</v>
      </c>
      <c r="G174" s="1">
        <v>45331</v>
      </c>
    </row>
    <row r="175" spans="1:7">
      <c r="A175" t="s">
        <v>122</v>
      </c>
      <c r="B175" t="s">
        <v>123</v>
      </c>
      <c r="C175" t="s">
        <v>5226</v>
      </c>
      <c r="D175">
        <v>140.22999999999999</v>
      </c>
      <c r="E175">
        <v>3.7</v>
      </c>
      <c r="F175">
        <v>1482</v>
      </c>
      <c r="G175" s="1">
        <v>45344</v>
      </c>
    </row>
    <row r="176" spans="1:7">
      <c r="A176" t="s">
        <v>122</v>
      </c>
      <c r="B176" t="s">
        <v>123</v>
      </c>
      <c r="C176" t="s">
        <v>5227</v>
      </c>
      <c r="D176">
        <v>97.42</v>
      </c>
      <c r="E176">
        <v>4</v>
      </c>
      <c r="F176">
        <v>1081</v>
      </c>
      <c r="G176" s="1">
        <v>45341</v>
      </c>
    </row>
    <row r="177" spans="1:7">
      <c r="A177" t="s">
        <v>122</v>
      </c>
      <c r="B177" t="s">
        <v>123</v>
      </c>
      <c r="C177" t="s">
        <v>5228</v>
      </c>
      <c r="D177">
        <v>102.74</v>
      </c>
      <c r="E177">
        <v>3.4</v>
      </c>
      <c r="F177">
        <v>1254</v>
      </c>
      <c r="G177" s="1">
        <v>45345</v>
      </c>
    </row>
    <row r="178" spans="1:7">
      <c r="A178" t="s">
        <v>125</v>
      </c>
      <c r="B178" t="s">
        <v>126</v>
      </c>
      <c r="C178" t="s">
        <v>5225</v>
      </c>
      <c r="D178">
        <v>158.99</v>
      </c>
      <c r="E178">
        <v>3.8</v>
      </c>
      <c r="F178">
        <v>2121</v>
      </c>
      <c r="G178" s="1">
        <v>45300</v>
      </c>
    </row>
    <row r="179" spans="1:7">
      <c r="A179" t="s">
        <v>125</v>
      </c>
      <c r="B179" t="s">
        <v>126</v>
      </c>
      <c r="C179" t="s">
        <v>5226</v>
      </c>
      <c r="D179">
        <v>166.56</v>
      </c>
      <c r="E179">
        <v>3.1</v>
      </c>
      <c r="F179">
        <v>556</v>
      </c>
      <c r="G179" s="1">
        <v>45382</v>
      </c>
    </row>
    <row r="180" spans="1:7">
      <c r="A180" t="s">
        <v>125</v>
      </c>
      <c r="B180" t="s">
        <v>126</v>
      </c>
      <c r="C180" t="s">
        <v>5227</v>
      </c>
      <c r="D180">
        <v>173.03</v>
      </c>
      <c r="E180">
        <v>3.4</v>
      </c>
      <c r="F180">
        <v>1307</v>
      </c>
      <c r="G180" s="1">
        <v>45294</v>
      </c>
    </row>
    <row r="181" spans="1:7">
      <c r="A181" t="s">
        <v>125</v>
      </c>
      <c r="B181" t="s">
        <v>126</v>
      </c>
      <c r="C181" t="s">
        <v>5228</v>
      </c>
      <c r="D181">
        <v>172.84</v>
      </c>
      <c r="E181">
        <v>4.7</v>
      </c>
      <c r="F181">
        <v>1029</v>
      </c>
      <c r="G181" s="1">
        <v>45322</v>
      </c>
    </row>
    <row r="182" spans="1:7">
      <c r="A182" t="s">
        <v>127</v>
      </c>
      <c r="B182" t="s">
        <v>128</v>
      </c>
      <c r="C182" t="s">
        <v>5225</v>
      </c>
      <c r="D182">
        <v>157.26</v>
      </c>
      <c r="E182">
        <v>4.7</v>
      </c>
      <c r="F182">
        <v>1208</v>
      </c>
      <c r="G182" s="1">
        <v>45311</v>
      </c>
    </row>
    <row r="183" spans="1:7">
      <c r="A183" t="s">
        <v>127</v>
      </c>
      <c r="B183" t="s">
        <v>128</v>
      </c>
      <c r="C183" t="s">
        <v>5226</v>
      </c>
      <c r="D183">
        <v>99.91</v>
      </c>
      <c r="E183">
        <v>3.3</v>
      </c>
      <c r="F183">
        <v>1794</v>
      </c>
      <c r="G183" s="1">
        <v>45381</v>
      </c>
    </row>
    <row r="184" spans="1:7">
      <c r="A184" t="s">
        <v>127</v>
      </c>
      <c r="B184" t="s">
        <v>128</v>
      </c>
      <c r="C184" t="s">
        <v>5227</v>
      </c>
      <c r="D184">
        <v>133.69</v>
      </c>
      <c r="E184">
        <v>3.5</v>
      </c>
      <c r="F184">
        <v>2163</v>
      </c>
      <c r="G184" s="1">
        <v>45320</v>
      </c>
    </row>
    <row r="185" spans="1:7">
      <c r="A185" t="s">
        <v>127</v>
      </c>
      <c r="B185" t="s">
        <v>128</v>
      </c>
      <c r="C185" t="s">
        <v>5228</v>
      </c>
      <c r="D185">
        <v>134.06</v>
      </c>
      <c r="E185">
        <v>3.8</v>
      </c>
      <c r="F185">
        <v>547</v>
      </c>
      <c r="G185" s="1">
        <v>45348</v>
      </c>
    </row>
    <row r="186" spans="1:7">
      <c r="A186" t="s">
        <v>129</v>
      </c>
      <c r="B186" t="s">
        <v>130</v>
      </c>
      <c r="C186" t="s">
        <v>5225</v>
      </c>
      <c r="D186">
        <v>129.88</v>
      </c>
      <c r="E186">
        <v>3.3</v>
      </c>
      <c r="F186">
        <v>625</v>
      </c>
      <c r="G186" s="1">
        <v>45312</v>
      </c>
    </row>
    <row r="187" spans="1:7">
      <c r="A187" t="s">
        <v>129</v>
      </c>
      <c r="B187" t="s">
        <v>130</v>
      </c>
      <c r="C187" t="s">
        <v>5226</v>
      </c>
      <c r="D187">
        <v>102</v>
      </c>
      <c r="E187">
        <v>4.9000000000000004</v>
      </c>
      <c r="F187">
        <v>11</v>
      </c>
      <c r="G187" s="1">
        <v>45318</v>
      </c>
    </row>
    <row r="188" spans="1:7">
      <c r="A188" t="s">
        <v>129</v>
      </c>
      <c r="B188" t="s">
        <v>130</v>
      </c>
      <c r="C188" t="s">
        <v>5227</v>
      </c>
      <c r="D188">
        <v>136.5</v>
      </c>
      <c r="E188">
        <v>3.4</v>
      </c>
      <c r="F188">
        <v>406</v>
      </c>
      <c r="G188" s="1">
        <v>45315</v>
      </c>
    </row>
    <row r="189" spans="1:7">
      <c r="A189" t="s">
        <v>129</v>
      </c>
      <c r="B189" t="s">
        <v>130</v>
      </c>
      <c r="C189" t="s">
        <v>5228</v>
      </c>
      <c r="D189">
        <v>103.77</v>
      </c>
      <c r="E189">
        <v>3.2</v>
      </c>
      <c r="F189">
        <v>1869</v>
      </c>
      <c r="G189" s="1">
        <v>45310</v>
      </c>
    </row>
    <row r="190" spans="1:7">
      <c r="A190" t="s">
        <v>131</v>
      </c>
      <c r="B190" t="s">
        <v>132</v>
      </c>
      <c r="C190" t="s">
        <v>5225</v>
      </c>
      <c r="D190">
        <v>58.42</v>
      </c>
      <c r="E190">
        <v>4.7</v>
      </c>
      <c r="F190">
        <v>2459</v>
      </c>
      <c r="G190" s="1">
        <v>45353</v>
      </c>
    </row>
    <row r="191" spans="1:7">
      <c r="A191" t="s">
        <v>131</v>
      </c>
      <c r="B191" t="s">
        <v>132</v>
      </c>
      <c r="C191" t="s">
        <v>5226</v>
      </c>
      <c r="D191">
        <v>69.84</v>
      </c>
      <c r="E191">
        <v>2.9</v>
      </c>
      <c r="F191">
        <v>217</v>
      </c>
      <c r="G191" s="1">
        <v>45346</v>
      </c>
    </row>
    <row r="192" spans="1:7">
      <c r="A192" t="s">
        <v>131</v>
      </c>
      <c r="B192" t="s">
        <v>132</v>
      </c>
      <c r="C192" t="s">
        <v>5227</v>
      </c>
      <c r="D192">
        <v>65.709999999999994</v>
      </c>
      <c r="E192">
        <v>4.0999999999999996</v>
      </c>
      <c r="F192">
        <v>2479</v>
      </c>
      <c r="G192" s="1">
        <v>45363</v>
      </c>
    </row>
    <row r="193" spans="1:7">
      <c r="A193" t="s">
        <v>131</v>
      </c>
      <c r="B193" t="s">
        <v>132</v>
      </c>
      <c r="C193" t="s">
        <v>5228</v>
      </c>
      <c r="D193">
        <v>81.900000000000006</v>
      </c>
      <c r="E193">
        <v>4.8</v>
      </c>
      <c r="F193">
        <v>864</v>
      </c>
      <c r="G193" s="1">
        <v>45320</v>
      </c>
    </row>
    <row r="194" spans="1:7">
      <c r="A194" t="s">
        <v>133</v>
      </c>
      <c r="B194" t="s">
        <v>134</v>
      </c>
      <c r="C194" t="s">
        <v>5225</v>
      </c>
      <c r="D194">
        <v>124.77</v>
      </c>
      <c r="E194">
        <v>3</v>
      </c>
      <c r="F194">
        <v>7</v>
      </c>
      <c r="G194" s="1">
        <v>45359</v>
      </c>
    </row>
    <row r="195" spans="1:7">
      <c r="A195" t="s">
        <v>133</v>
      </c>
      <c r="B195" t="s">
        <v>134</v>
      </c>
      <c r="C195" t="s">
        <v>5226</v>
      </c>
      <c r="D195">
        <v>93.55</v>
      </c>
      <c r="E195">
        <v>4.8</v>
      </c>
      <c r="F195">
        <v>1889</v>
      </c>
      <c r="G195" s="1">
        <v>45338</v>
      </c>
    </row>
    <row r="196" spans="1:7">
      <c r="A196" t="s">
        <v>133</v>
      </c>
      <c r="B196" t="s">
        <v>134</v>
      </c>
      <c r="C196" t="s">
        <v>5227</v>
      </c>
      <c r="D196">
        <v>94.3</v>
      </c>
      <c r="E196">
        <v>4.8</v>
      </c>
      <c r="F196">
        <v>932</v>
      </c>
      <c r="G196" s="1">
        <v>45312</v>
      </c>
    </row>
    <row r="197" spans="1:7">
      <c r="A197" t="s">
        <v>133</v>
      </c>
      <c r="B197" t="s">
        <v>134</v>
      </c>
      <c r="C197" t="s">
        <v>5228</v>
      </c>
      <c r="D197">
        <v>124.33</v>
      </c>
      <c r="E197">
        <v>4.5</v>
      </c>
      <c r="F197">
        <v>1518</v>
      </c>
      <c r="G197" s="1">
        <v>45304</v>
      </c>
    </row>
    <row r="198" spans="1:7">
      <c r="A198" t="s">
        <v>135</v>
      </c>
      <c r="B198" t="s">
        <v>136</v>
      </c>
      <c r="C198" t="s">
        <v>5225</v>
      </c>
      <c r="D198">
        <v>111.08</v>
      </c>
      <c r="E198">
        <v>4.4000000000000004</v>
      </c>
      <c r="F198">
        <v>2314</v>
      </c>
      <c r="G198" s="1">
        <v>45382</v>
      </c>
    </row>
    <row r="199" spans="1:7">
      <c r="A199" t="s">
        <v>135</v>
      </c>
      <c r="B199" t="s">
        <v>136</v>
      </c>
      <c r="C199" t="s">
        <v>5226</v>
      </c>
      <c r="D199">
        <v>109.18</v>
      </c>
      <c r="E199">
        <v>3.9</v>
      </c>
      <c r="F199">
        <v>413</v>
      </c>
      <c r="G199" s="1">
        <v>45369</v>
      </c>
    </row>
    <row r="200" spans="1:7">
      <c r="A200" t="s">
        <v>135</v>
      </c>
      <c r="B200" t="s">
        <v>136</v>
      </c>
      <c r="C200" t="s">
        <v>5227</v>
      </c>
      <c r="D200">
        <v>105.75</v>
      </c>
      <c r="E200">
        <v>4</v>
      </c>
      <c r="F200">
        <v>2040</v>
      </c>
      <c r="G200" s="1">
        <v>45382</v>
      </c>
    </row>
    <row r="201" spans="1:7">
      <c r="A201" t="s">
        <v>135</v>
      </c>
      <c r="B201" t="s">
        <v>136</v>
      </c>
      <c r="C201" t="s">
        <v>5228</v>
      </c>
      <c r="D201">
        <v>102.76</v>
      </c>
      <c r="E201">
        <v>3.1</v>
      </c>
      <c r="F201">
        <v>13</v>
      </c>
      <c r="G201" s="1">
        <v>45344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73C89-621A-4696-B180-CDE65512F14E}">
  <sheetPr codeName="Sheet14">
    <tabColor rgb="FFC00000"/>
  </sheetPr>
  <dimension ref="A1:AE1001"/>
  <sheetViews>
    <sheetView workbookViewId="0"/>
  </sheetViews>
  <sheetFormatPr defaultRowHeight="15"/>
  <cols>
    <col min="1" max="1" width="16.28515625" bestFit="1" customWidth="1"/>
    <col min="2" max="2" width="10.42578125" bestFit="1" customWidth="1"/>
    <col min="3" max="3" width="10.28515625" bestFit="1" customWidth="1"/>
    <col min="4" max="4" width="7.28515625" bestFit="1" customWidth="1"/>
    <col min="5" max="5" width="10.140625" bestFit="1" customWidth="1"/>
    <col min="6" max="6" width="14.7109375" bestFit="1" customWidth="1"/>
    <col min="8" max="8" width="20.28515625" bestFit="1" customWidth="1"/>
    <col min="9" max="9" width="21.7109375" bestFit="1" customWidth="1"/>
    <col min="10" max="10" width="12.5703125" bestFit="1" customWidth="1"/>
    <col min="11" max="11" width="16.42578125" bestFit="1" customWidth="1"/>
    <col min="12" max="12" width="10" bestFit="1" customWidth="1"/>
    <col min="13" max="13" width="11" bestFit="1" customWidth="1"/>
    <col min="14" max="14" width="14.85546875" bestFit="1" customWidth="1"/>
    <col min="15" max="15" width="17.140625" bestFit="1" customWidth="1"/>
    <col min="16" max="16" width="14.85546875" bestFit="1" customWidth="1"/>
    <col min="17" max="17" width="22" bestFit="1" customWidth="1"/>
    <col min="18" max="18" width="27.85546875" bestFit="1" customWidth="1"/>
    <col min="19" max="19" width="11.5703125" bestFit="1" customWidth="1"/>
    <col min="20" max="20" width="17" bestFit="1" customWidth="1"/>
    <col min="21" max="21" width="18.5703125" bestFit="1" customWidth="1"/>
    <col min="22" max="22" width="14.5703125" bestFit="1" customWidth="1"/>
    <col min="23" max="23" width="32.7109375" bestFit="1" customWidth="1"/>
    <col min="24" max="24" width="43.140625" bestFit="1" customWidth="1"/>
    <col min="25" max="25" width="44.7109375" bestFit="1" customWidth="1"/>
    <col min="26" max="26" width="40.85546875" bestFit="1" customWidth="1"/>
    <col min="27" max="27" width="42" bestFit="1" customWidth="1"/>
    <col min="28" max="28" width="42.140625" bestFit="1" customWidth="1"/>
    <col min="29" max="29" width="40" bestFit="1" customWidth="1"/>
    <col min="30" max="30" width="43.140625" bestFit="1" customWidth="1"/>
    <col min="31" max="31" width="34" bestFit="1" customWidth="1"/>
  </cols>
  <sheetData>
    <row r="1" spans="1:31">
      <c r="A1" t="s">
        <v>137</v>
      </c>
      <c r="B1" t="s">
        <v>138</v>
      </c>
      <c r="C1" t="s">
        <v>139</v>
      </c>
      <c r="D1" t="s">
        <v>5236</v>
      </c>
      <c r="E1" t="s">
        <v>140</v>
      </c>
      <c r="F1" t="s">
        <v>141</v>
      </c>
      <c r="G1" t="s">
        <v>0</v>
      </c>
      <c r="H1" t="s">
        <v>1</v>
      </c>
      <c r="I1" t="s">
        <v>2</v>
      </c>
      <c r="J1" t="s">
        <v>3</v>
      </c>
      <c r="K1" t="s">
        <v>142</v>
      </c>
      <c r="L1" t="s">
        <v>143</v>
      </c>
      <c r="M1" t="s">
        <v>144</v>
      </c>
      <c r="N1" t="s">
        <v>145</v>
      </c>
      <c r="O1" t="s">
        <v>5237</v>
      </c>
      <c r="P1" t="s">
        <v>146</v>
      </c>
      <c r="Q1" t="s">
        <v>147</v>
      </c>
      <c r="R1" t="s">
        <v>5238</v>
      </c>
      <c r="S1" t="s">
        <v>148</v>
      </c>
      <c r="T1" t="s">
        <v>149</v>
      </c>
      <c r="U1" t="s">
        <v>150</v>
      </c>
      <c r="V1" t="s">
        <v>151</v>
      </c>
      <c r="W1" t="s">
        <v>5271</v>
      </c>
      <c r="X1" t="s">
        <v>5272</v>
      </c>
      <c r="Y1" t="s">
        <v>5273</v>
      </c>
      <c r="Z1" t="s">
        <v>5274</v>
      </c>
      <c r="AA1" t="s">
        <v>5275</v>
      </c>
      <c r="AB1" t="s">
        <v>5276</v>
      </c>
      <c r="AC1" t="s">
        <v>5277</v>
      </c>
      <c r="AD1" t="s">
        <v>5278</v>
      </c>
      <c r="AE1" t="s">
        <v>5279</v>
      </c>
    </row>
    <row r="2" spans="1:31">
      <c r="A2" t="s">
        <v>1025</v>
      </c>
      <c r="B2" s="1">
        <v>45291</v>
      </c>
      <c r="C2" t="s">
        <v>245</v>
      </c>
      <c r="D2">
        <v>2023</v>
      </c>
      <c r="E2" t="s">
        <v>184</v>
      </c>
      <c r="F2" t="s">
        <v>1026</v>
      </c>
      <c r="G2" t="s">
        <v>57</v>
      </c>
      <c r="H2" t="s">
        <v>58</v>
      </c>
      <c r="I2" t="s">
        <v>41</v>
      </c>
      <c r="J2" t="s">
        <v>59</v>
      </c>
      <c r="K2" t="s">
        <v>178</v>
      </c>
      <c r="L2" t="s">
        <v>157</v>
      </c>
      <c r="M2">
        <v>3</v>
      </c>
      <c r="N2">
        <v>56.33</v>
      </c>
      <c r="O2">
        <v>168.99</v>
      </c>
      <c r="P2">
        <v>15</v>
      </c>
      <c r="Q2">
        <v>25.35</v>
      </c>
      <c r="R2">
        <v>143.63999999999999</v>
      </c>
      <c r="S2">
        <v>124.35</v>
      </c>
      <c r="T2">
        <v>19.29</v>
      </c>
      <c r="U2" t="s">
        <v>190</v>
      </c>
      <c r="V2" t="s">
        <v>181</v>
      </c>
      <c r="W2" t="s">
        <v>2113</v>
      </c>
      <c r="X2" t="s">
        <v>2100</v>
      </c>
      <c r="Y2">
        <v>109</v>
      </c>
      <c r="Z2">
        <v>345.92</v>
      </c>
      <c r="AA2">
        <v>34.29</v>
      </c>
      <c r="AB2" t="s">
        <v>41</v>
      </c>
      <c r="AC2" t="s">
        <v>16</v>
      </c>
      <c r="AD2" t="s">
        <v>2087</v>
      </c>
      <c r="AE2" t="s">
        <v>2121</v>
      </c>
    </row>
    <row r="3" spans="1:31">
      <c r="A3" t="s">
        <v>711</v>
      </c>
      <c r="B3" s="1">
        <v>45291</v>
      </c>
      <c r="C3" t="s">
        <v>245</v>
      </c>
      <c r="D3">
        <v>2023</v>
      </c>
      <c r="E3" t="s">
        <v>184</v>
      </c>
      <c r="F3" t="s">
        <v>712</v>
      </c>
      <c r="G3" t="s">
        <v>48</v>
      </c>
      <c r="H3" t="s">
        <v>49</v>
      </c>
      <c r="I3" t="s">
        <v>41</v>
      </c>
      <c r="J3" t="s">
        <v>42</v>
      </c>
      <c r="K3" t="s">
        <v>164</v>
      </c>
      <c r="L3" t="s">
        <v>174</v>
      </c>
      <c r="M3">
        <v>2</v>
      </c>
      <c r="N3">
        <v>84.95</v>
      </c>
      <c r="O3">
        <v>169.9</v>
      </c>
      <c r="P3">
        <v>20</v>
      </c>
      <c r="Q3">
        <v>33.979999999999997</v>
      </c>
      <c r="R3">
        <v>135.91999999999999</v>
      </c>
      <c r="S3">
        <v>106.14</v>
      </c>
      <c r="T3">
        <v>29.78</v>
      </c>
      <c r="U3" t="s">
        <v>195</v>
      </c>
      <c r="V3" t="s">
        <v>159</v>
      </c>
      <c r="W3" t="s">
        <v>2097</v>
      </c>
      <c r="X3" t="s">
        <v>2086</v>
      </c>
      <c r="Y3">
        <v>230</v>
      </c>
      <c r="Z3">
        <v>176.84</v>
      </c>
      <c r="AA3">
        <v>56.23</v>
      </c>
      <c r="AB3" t="s">
        <v>14</v>
      </c>
      <c r="AC3" t="s">
        <v>20</v>
      </c>
      <c r="AD3" t="s">
        <v>2106</v>
      </c>
      <c r="AE3" t="s">
        <v>2121</v>
      </c>
    </row>
    <row r="4" spans="1:31">
      <c r="A4" t="s">
        <v>1589</v>
      </c>
      <c r="B4" s="1">
        <v>45291</v>
      </c>
      <c r="C4" t="s">
        <v>245</v>
      </c>
      <c r="D4">
        <v>2023</v>
      </c>
      <c r="E4" t="s">
        <v>184</v>
      </c>
      <c r="F4" t="s">
        <v>258</v>
      </c>
      <c r="G4" t="s">
        <v>120</v>
      </c>
      <c r="H4" t="s">
        <v>121</v>
      </c>
      <c r="I4" t="s">
        <v>115</v>
      </c>
      <c r="J4" t="s">
        <v>119</v>
      </c>
      <c r="K4" t="s">
        <v>164</v>
      </c>
      <c r="L4" t="s">
        <v>174</v>
      </c>
      <c r="M4">
        <v>1</v>
      </c>
      <c r="N4">
        <v>197.52</v>
      </c>
      <c r="O4">
        <v>197.52</v>
      </c>
      <c r="P4">
        <v>15</v>
      </c>
      <c r="Q4">
        <v>29.63</v>
      </c>
      <c r="R4">
        <v>167.89</v>
      </c>
      <c r="S4">
        <v>66.540000000000006</v>
      </c>
      <c r="T4">
        <v>101.35</v>
      </c>
      <c r="U4" t="s">
        <v>166</v>
      </c>
      <c r="V4" t="s">
        <v>181</v>
      </c>
      <c r="W4" t="s">
        <v>2099</v>
      </c>
      <c r="X4" t="s">
        <v>2108</v>
      </c>
      <c r="Y4">
        <v>147</v>
      </c>
      <c r="Z4">
        <v>93.36</v>
      </c>
      <c r="AA4">
        <v>67.87</v>
      </c>
      <c r="AB4" t="s">
        <v>90</v>
      </c>
      <c r="AC4" t="s">
        <v>16</v>
      </c>
      <c r="AD4" t="s">
        <v>2095</v>
      </c>
      <c r="AE4" t="s">
        <v>2096</v>
      </c>
    </row>
    <row r="5" spans="1:31">
      <c r="A5" t="s">
        <v>865</v>
      </c>
      <c r="B5" s="1">
        <v>45291</v>
      </c>
      <c r="C5" t="s">
        <v>245</v>
      </c>
      <c r="D5">
        <v>2023</v>
      </c>
      <c r="E5" t="s">
        <v>184</v>
      </c>
      <c r="F5" t="s">
        <v>866</v>
      </c>
      <c r="G5" t="s">
        <v>98</v>
      </c>
      <c r="H5" t="s">
        <v>99</v>
      </c>
      <c r="I5" t="s">
        <v>90</v>
      </c>
      <c r="J5" t="s">
        <v>100</v>
      </c>
      <c r="K5" t="s">
        <v>209</v>
      </c>
      <c r="L5" t="s">
        <v>204</v>
      </c>
      <c r="M5">
        <v>1</v>
      </c>
      <c r="N5">
        <v>194.87</v>
      </c>
      <c r="O5">
        <v>194.87</v>
      </c>
      <c r="P5">
        <v>0</v>
      </c>
      <c r="Q5">
        <v>0</v>
      </c>
      <c r="R5">
        <v>194.87</v>
      </c>
      <c r="S5">
        <v>78.790000000000006</v>
      </c>
      <c r="T5">
        <v>116.08</v>
      </c>
      <c r="U5" t="s">
        <v>180</v>
      </c>
      <c r="V5" t="s">
        <v>181</v>
      </c>
      <c r="W5" t="s">
        <v>2090</v>
      </c>
      <c r="X5" t="s">
        <v>2108</v>
      </c>
      <c r="Y5">
        <v>83</v>
      </c>
      <c r="Z5">
        <v>392.88</v>
      </c>
      <c r="AA5">
        <v>91.59</v>
      </c>
      <c r="AB5" t="s">
        <v>90</v>
      </c>
      <c r="AC5" t="s">
        <v>16</v>
      </c>
      <c r="AD5" t="s">
        <v>2106</v>
      </c>
      <c r="AE5" t="s">
        <v>2121</v>
      </c>
    </row>
    <row r="6" spans="1:31">
      <c r="A6" t="s">
        <v>1813</v>
      </c>
      <c r="B6" s="1">
        <v>45290</v>
      </c>
      <c r="C6" t="s">
        <v>245</v>
      </c>
      <c r="D6">
        <v>2023</v>
      </c>
      <c r="E6" t="s">
        <v>184</v>
      </c>
      <c r="F6" t="s">
        <v>1814</v>
      </c>
      <c r="G6" t="s">
        <v>84</v>
      </c>
      <c r="H6" t="s">
        <v>85</v>
      </c>
      <c r="I6" t="s">
        <v>66</v>
      </c>
      <c r="J6" t="s">
        <v>67</v>
      </c>
      <c r="K6" t="s">
        <v>209</v>
      </c>
      <c r="L6" t="s">
        <v>165</v>
      </c>
      <c r="M6">
        <v>3</v>
      </c>
      <c r="N6">
        <v>174.23</v>
      </c>
      <c r="O6">
        <v>522.68999999999994</v>
      </c>
      <c r="P6">
        <v>0</v>
      </c>
      <c r="Q6">
        <v>0</v>
      </c>
      <c r="R6">
        <v>522.69000000000005</v>
      </c>
      <c r="S6">
        <v>221.85</v>
      </c>
      <c r="T6">
        <v>300.83999999999997</v>
      </c>
      <c r="U6" t="s">
        <v>158</v>
      </c>
      <c r="V6" t="s">
        <v>159</v>
      </c>
      <c r="W6" t="s">
        <v>2099</v>
      </c>
      <c r="X6" t="s">
        <v>2100</v>
      </c>
      <c r="Y6">
        <v>33</v>
      </c>
      <c r="Z6">
        <v>131.18</v>
      </c>
      <c r="AA6">
        <v>63.58</v>
      </c>
      <c r="AB6" t="s">
        <v>90</v>
      </c>
      <c r="AC6" t="s">
        <v>16</v>
      </c>
      <c r="AD6" t="s">
        <v>2087</v>
      </c>
      <c r="AE6" t="s">
        <v>2107</v>
      </c>
    </row>
    <row r="7" spans="1:31">
      <c r="A7" t="s">
        <v>525</v>
      </c>
      <c r="B7" s="1">
        <v>45290</v>
      </c>
      <c r="C7" t="s">
        <v>245</v>
      </c>
      <c r="D7">
        <v>2023</v>
      </c>
      <c r="E7" t="s">
        <v>184</v>
      </c>
      <c r="F7" t="s">
        <v>526</v>
      </c>
      <c r="G7" t="s">
        <v>62</v>
      </c>
      <c r="H7" t="s">
        <v>63</v>
      </c>
      <c r="I7" t="s">
        <v>41</v>
      </c>
      <c r="J7" t="s">
        <v>45</v>
      </c>
      <c r="K7" t="s">
        <v>156</v>
      </c>
      <c r="L7" t="s">
        <v>179</v>
      </c>
      <c r="M7">
        <v>2</v>
      </c>
      <c r="N7">
        <v>160.35</v>
      </c>
      <c r="O7">
        <v>320.7</v>
      </c>
      <c r="P7">
        <v>15</v>
      </c>
      <c r="Q7">
        <v>48.1</v>
      </c>
      <c r="R7">
        <v>272.60000000000002</v>
      </c>
      <c r="S7">
        <v>144.94</v>
      </c>
      <c r="T7">
        <v>127.66</v>
      </c>
      <c r="U7" t="s">
        <v>195</v>
      </c>
      <c r="V7" t="s">
        <v>181</v>
      </c>
      <c r="W7" t="s">
        <v>2090</v>
      </c>
      <c r="X7" t="s">
        <v>2094</v>
      </c>
      <c r="Y7">
        <v>145</v>
      </c>
      <c r="Z7">
        <v>91.41</v>
      </c>
      <c r="AA7">
        <v>118.68</v>
      </c>
      <c r="AB7" t="s">
        <v>66</v>
      </c>
      <c r="AC7" t="s">
        <v>16</v>
      </c>
      <c r="AD7" t="s">
        <v>2106</v>
      </c>
      <c r="AE7" t="s">
        <v>2121</v>
      </c>
    </row>
    <row r="8" spans="1:31">
      <c r="A8" t="s">
        <v>801</v>
      </c>
      <c r="B8" s="1">
        <v>45290</v>
      </c>
      <c r="C8" t="s">
        <v>245</v>
      </c>
      <c r="D8">
        <v>2023</v>
      </c>
      <c r="E8" t="s">
        <v>184</v>
      </c>
      <c r="F8" t="s">
        <v>802</v>
      </c>
      <c r="G8" t="s">
        <v>131</v>
      </c>
      <c r="H8" t="s">
        <v>132</v>
      </c>
      <c r="I8" t="s">
        <v>115</v>
      </c>
      <c r="J8" t="s">
        <v>119</v>
      </c>
      <c r="K8" t="s">
        <v>164</v>
      </c>
      <c r="L8" t="s">
        <v>157</v>
      </c>
      <c r="M8">
        <v>3</v>
      </c>
      <c r="N8">
        <v>75.69</v>
      </c>
      <c r="O8">
        <v>227.07</v>
      </c>
      <c r="P8">
        <v>20</v>
      </c>
      <c r="Q8">
        <v>45.41</v>
      </c>
      <c r="R8">
        <v>181.66</v>
      </c>
      <c r="S8">
        <v>106.89</v>
      </c>
      <c r="T8">
        <v>74.77</v>
      </c>
      <c r="U8" t="s">
        <v>166</v>
      </c>
      <c r="V8" t="s">
        <v>159</v>
      </c>
      <c r="W8" t="s">
        <v>2085</v>
      </c>
      <c r="X8" t="s">
        <v>2100</v>
      </c>
      <c r="Y8">
        <v>40</v>
      </c>
      <c r="Z8">
        <v>2272.04</v>
      </c>
      <c r="AA8">
        <v>147.24</v>
      </c>
      <c r="AB8" t="s">
        <v>115</v>
      </c>
      <c r="AC8" t="s">
        <v>16</v>
      </c>
      <c r="AD8" t="s">
        <v>2106</v>
      </c>
      <c r="AE8" t="s">
        <v>2088</v>
      </c>
    </row>
    <row r="9" spans="1:31">
      <c r="A9" t="s">
        <v>1151</v>
      </c>
      <c r="B9" s="1">
        <v>45289</v>
      </c>
      <c r="C9" t="s">
        <v>245</v>
      </c>
      <c r="D9">
        <v>2023</v>
      </c>
      <c r="E9" t="s">
        <v>184</v>
      </c>
      <c r="F9" t="s">
        <v>1152</v>
      </c>
      <c r="G9" t="s">
        <v>71</v>
      </c>
      <c r="H9" t="s">
        <v>72</v>
      </c>
      <c r="I9" t="s">
        <v>66</v>
      </c>
      <c r="J9" t="s">
        <v>70</v>
      </c>
      <c r="K9" t="s">
        <v>156</v>
      </c>
      <c r="L9" t="s">
        <v>157</v>
      </c>
      <c r="M9">
        <v>1</v>
      </c>
      <c r="N9">
        <v>26.7</v>
      </c>
      <c r="O9">
        <v>26.7</v>
      </c>
      <c r="P9">
        <v>20</v>
      </c>
      <c r="Q9">
        <v>5.34</v>
      </c>
      <c r="R9">
        <v>21.36</v>
      </c>
      <c r="S9">
        <v>12.27</v>
      </c>
      <c r="T9">
        <v>9.09</v>
      </c>
      <c r="U9" t="s">
        <v>166</v>
      </c>
      <c r="V9" t="s">
        <v>159</v>
      </c>
      <c r="W9" t="s">
        <v>2085</v>
      </c>
      <c r="X9" t="s">
        <v>2108</v>
      </c>
      <c r="Y9">
        <v>93</v>
      </c>
      <c r="Z9">
        <v>997.06</v>
      </c>
      <c r="AA9">
        <v>105.87</v>
      </c>
      <c r="AB9" t="s">
        <v>66</v>
      </c>
      <c r="AC9" t="s">
        <v>16</v>
      </c>
      <c r="AD9" t="s">
        <v>2087</v>
      </c>
      <c r="AE9" t="s">
        <v>2121</v>
      </c>
    </row>
    <row r="10" spans="1:31">
      <c r="A10" t="s">
        <v>1759</v>
      </c>
      <c r="B10" s="1">
        <v>45289</v>
      </c>
      <c r="C10" t="s">
        <v>245</v>
      </c>
      <c r="D10">
        <v>2023</v>
      </c>
      <c r="E10" t="s">
        <v>184</v>
      </c>
      <c r="F10" t="s">
        <v>623</v>
      </c>
      <c r="G10" t="s">
        <v>60</v>
      </c>
      <c r="H10" t="s">
        <v>61</v>
      </c>
      <c r="I10" t="s">
        <v>41</v>
      </c>
      <c r="J10" t="s">
        <v>59</v>
      </c>
      <c r="K10" t="s">
        <v>156</v>
      </c>
      <c r="L10" t="s">
        <v>157</v>
      </c>
      <c r="M10">
        <v>2</v>
      </c>
      <c r="N10">
        <v>103.56</v>
      </c>
      <c r="O10">
        <v>207.12</v>
      </c>
      <c r="P10">
        <v>0</v>
      </c>
      <c r="Q10">
        <v>0</v>
      </c>
      <c r="R10">
        <v>207.12</v>
      </c>
      <c r="S10">
        <v>89.16</v>
      </c>
      <c r="T10">
        <v>117.96</v>
      </c>
      <c r="U10" t="s">
        <v>190</v>
      </c>
      <c r="V10" t="s">
        <v>159</v>
      </c>
      <c r="W10" t="s">
        <v>2093</v>
      </c>
      <c r="X10" t="s">
        <v>2100</v>
      </c>
      <c r="Y10">
        <v>285</v>
      </c>
      <c r="Z10">
        <v>166.92</v>
      </c>
      <c r="AA10">
        <v>66.37</v>
      </c>
      <c r="AB10" t="s">
        <v>115</v>
      </c>
      <c r="AC10" t="s">
        <v>20</v>
      </c>
      <c r="AD10" t="s">
        <v>2095</v>
      </c>
      <c r="AE10" t="s">
        <v>2088</v>
      </c>
    </row>
    <row r="11" spans="1:31">
      <c r="A11" t="s">
        <v>665</v>
      </c>
      <c r="B11" s="1">
        <v>45289</v>
      </c>
      <c r="C11" t="s">
        <v>245</v>
      </c>
      <c r="D11">
        <v>2023</v>
      </c>
      <c r="E11" t="s">
        <v>184</v>
      </c>
      <c r="F11" t="s">
        <v>666</v>
      </c>
      <c r="G11" t="s">
        <v>53</v>
      </c>
      <c r="H11" t="s">
        <v>54</v>
      </c>
      <c r="I11" t="s">
        <v>41</v>
      </c>
      <c r="J11" t="s">
        <v>45</v>
      </c>
      <c r="K11" t="s">
        <v>164</v>
      </c>
      <c r="L11" t="s">
        <v>174</v>
      </c>
      <c r="M11">
        <v>2</v>
      </c>
      <c r="N11">
        <v>51.98</v>
      </c>
      <c r="O11">
        <v>103.96</v>
      </c>
      <c r="P11">
        <v>0</v>
      </c>
      <c r="Q11">
        <v>0</v>
      </c>
      <c r="R11">
        <v>103.96</v>
      </c>
      <c r="S11">
        <v>66.08</v>
      </c>
      <c r="T11">
        <v>37.880000000000003</v>
      </c>
      <c r="U11" t="s">
        <v>166</v>
      </c>
      <c r="V11" t="s">
        <v>186</v>
      </c>
      <c r="W11" t="s">
        <v>2097</v>
      </c>
      <c r="X11" t="s">
        <v>2094</v>
      </c>
      <c r="Y11">
        <v>221</v>
      </c>
      <c r="Z11">
        <v>617.42999999999995</v>
      </c>
      <c r="AA11">
        <v>105.24</v>
      </c>
      <c r="AB11" t="s">
        <v>14</v>
      </c>
      <c r="AC11" t="s">
        <v>16</v>
      </c>
      <c r="AD11" t="s">
        <v>2106</v>
      </c>
      <c r="AE11" t="s">
        <v>2121</v>
      </c>
    </row>
    <row r="12" spans="1:31">
      <c r="A12" t="s">
        <v>937</v>
      </c>
      <c r="B12" s="1">
        <v>45287</v>
      </c>
      <c r="C12" t="s">
        <v>245</v>
      </c>
      <c r="D12">
        <v>2023</v>
      </c>
      <c r="E12" t="s">
        <v>184</v>
      </c>
      <c r="F12" t="s">
        <v>938</v>
      </c>
      <c r="G12" t="s">
        <v>17</v>
      </c>
      <c r="H12" t="s">
        <v>18</v>
      </c>
      <c r="I12" t="s">
        <v>14</v>
      </c>
      <c r="J12" t="s">
        <v>19</v>
      </c>
      <c r="K12" t="s">
        <v>156</v>
      </c>
      <c r="L12" t="s">
        <v>179</v>
      </c>
      <c r="M12">
        <v>2</v>
      </c>
      <c r="N12">
        <v>53.26</v>
      </c>
      <c r="O12">
        <v>106.52</v>
      </c>
      <c r="P12">
        <v>10</v>
      </c>
      <c r="Q12">
        <v>10.65</v>
      </c>
      <c r="R12">
        <v>95.87</v>
      </c>
      <c r="S12">
        <v>73.28</v>
      </c>
      <c r="T12">
        <v>22.59</v>
      </c>
      <c r="U12" t="s">
        <v>158</v>
      </c>
      <c r="V12" t="s">
        <v>181</v>
      </c>
      <c r="W12" t="s">
        <v>2093</v>
      </c>
      <c r="X12" t="s">
        <v>2111</v>
      </c>
      <c r="Y12">
        <v>53</v>
      </c>
      <c r="Z12">
        <v>92.09</v>
      </c>
      <c r="AA12">
        <v>57.45</v>
      </c>
      <c r="AB12" t="s">
        <v>66</v>
      </c>
      <c r="AC12" t="s">
        <v>16</v>
      </c>
      <c r="AD12" t="s">
        <v>2095</v>
      </c>
      <c r="AE12" t="s">
        <v>2121</v>
      </c>
    </row>
    <row r="13" spans="1:31">
      <c r="A13" t="s">
        <v>630</v>
      </c>
      <c r="B13" s="1">
        <v>45287</v>
      </c>
      <c r="C13" t="s">
        <v>245</v>
      </c>
      <c r="D13">
        <v>2023</v>
      </c>
      <c r="E13" t="s">
        <v>184</v>
      </c>
      <c r="F13" t="s">
        <v>631</v>
      </c>
      <c r="G13" t="s">
        <v>28</v>
      </c>
      <c r="H13" t="s">
        <v>29</v>
      </c>
      <c r="I13" t="s">
        <v>14</v>
      </c>
      <c r="J13" t="s">
        <v>19</v>
      </c>
      <c r="K13" t="s">
        <v>209</v>
      </c>
      <c r="L13" t="s">
        <v>232</v>
      </c>
      <c r="M13">
        <v>4</v>
      </c>
      <c r="N13">
        <v>26.46</v>
      </c>
      <c r="O13">
        <v>105.84</v>
      </c>
      <c r="P13">
        <v>10</v>
      </c>
      <c r="Q13">
        <v>10.58</v>
      </c>
      <c r="R13">
        <v>95.26</v>
      </c>
      <c r="S13">
        <v>77.680000000000007</v>
      </c>
      <c r="T13">
        <v>17.579999999999998</v>
      </c>
      <c r="U13" t="s">
        <v>158</v>
      </c>
      <c r="V13" t="s">
        <v>159</v>
      </c>
      <c r="W13" t="s">
        <v>2113</v>
      </c>
      <c r="X13" t="s">
        <v>2086</v>
      </c>
      <c r="Y13">
        <v>255</v>
      </c>
      <c r="Z13">
        <v>411.92</v>
      </c>
      <c r="AA13">
        <v>59.39</v>
      </c>
      <c r="AB13" t="s">
        <v>14</v>
      </c>
      <c r="AC13" t="s">
        <v>20</v>
      </c>
      <c r="AD13" t="s">
        <v>2095</v>
      </c>
      <c r="AE13" t="s">
        <v>2107</v>
      </c>
    </row>
    <row r="14" spans="1:31">
      <c r="A14" t="s">
        <v>900</v>
      </c>
      <c r="B14" s="1">
        <v>45287</v>
      </c>
      <c r="C14" t="s">
        <v>245</v>
      </c>
      <c r="D14">
        <v>2023</v>
      </c>
      <c r="E14" t="s">
        <v>184</v>
      </c>
      <c r="F14" t="s">
        <v>901</v>
      </c>
      <c r="G14" t="s">
        <v>39</v>
      </c>
      <c r="H14" t="s">
        <v>40</v>
      </c>
      <c r="I14" t="s">
        <v>41</v>
      </c>
      <c r="J14" t="s">
        <v>42</v>
      </c>
      <c r="K14" t="s">
        <v>209</v>
      </c>
      <c r="L14" t="s">
        <v>157</v>
      </c>
      <c r="M14">
        <v>3</v>
      </c>
      <c r="N14">
        <v>35.11</v>
      </c>
      <c r="O14">
        <v>105.33</v>
      </c>
      <c r="P14">
        <v>20</v>
      </c>
      <c r="Q14">
        <v>21.07</v>
      </c>
      <c r="R14">
        <v>84.26</v>
      </c>
      <c r="S14">
        <v>74.61</v>
      </c>
      <c r="T14">
        <v>9.65</v>
      </c>
      <c r="U14" t="s">
        <v>195</v>
      </c>
      <c r="V14" t="s">
        <v>159</v>
      </c>
      <c r="W14" t="s">
        <v>2093</v>
      </c>
      <c r="X14" t="s">
        <v>2111</v>
      </c>
      <c r="Y14">
        <v>285</v>
      </c>
      <c r="Z14">
        <v>81.97</v>
      </c>
      <c r="AA14">
        <v>50.42</v>
      </c>
      <c r="AB14" t="s">
        <v>90</v>
      </c>
      <c r="AC14" t="s">
        <v>16</v>
      </c>
      <c r="AD14" t="s">
        <v>2106</v>
      </c>
      <c r="AE14" t="s">
        <v>2121</v>
      </c>
    </row>
    <row r="15" spans="1:31">
      <c r="A15" t="s">
        <v>1217</v>
      </c>
      <c r="B15" s="1">
        <v>45287</v>
      </c>
      <c r="C15" t="s">
        <v>245</v>
      </c>
      <c r="D15">
        <v>2023</v>
      </c>
      <c r="E15" t="s">
        <v>184</v>
      </c>
      <c r="F15" t="s">
        <v>1218</v>
      </c>
      <c r="G15" t="s">
        <v>117</v>
      </c>
      <c r="H15" t="s">
        <v>118</v>
      </c>
      <c r="I15" t="s">
        <v>115</v>
      </c>
      <c r="J15" t="s">
        <v>119</v>
      </c>
      <c r="K15" t="s">
        <v>178</v>
      </c>
      <c r="L15" t="s">
        <v>179</v>
      </c>
      <c r="M15">
        <v>3</v>
      </c>
      <c r="N15">
        <v>93.41</v>
      </c>
      <c r="O15">
        <v>280.23</v>
      </c>
      <c r="P15">
        <v>0</v>
      </c>
      <c r="Q15">
        <v>0</v>
      </c>
      <c r="R15">
        <v>280.23</v>
      </c>
      <c r="S15">
        <v>192.15</v>
      </c>
      <c r="T15">
        <v>88.08</v>
      </c>
      <c r="U15" t="s">
        <v>195</v>
      </c>
      <c r="V15" t="s">
        <v>181</v>
      </c>
      <c r="W15" t="s">
        <v>2090</v>
      </c>
      <c r="X15" t="s">
        <v>2100</v>
      </c>
      <c r="Y15">
        <v>247</v>
      </c>
      <c r="Z15">
        <v>99.97</v>
      </c>
      <c r="AA15">
        <v>41.55</v>
      </c>
      <c r="AB15" t="s">
        <v>41</v>
      </c>
      <c r="AC15" t="s">
        <v>16</v>
      </c>
      <c r="AD15" t="s">
        <v>2095</v>
      </c>
      <c r="AE15" t="s">
        <v>2121</v>
      </c>
    </row>
    <row r="16" spans="1:31">
      <c r="A16" t="s">
        <v>417</v>
      </c>
      <c r="B16" s="1">
        <v>45287</v>
      </c>
      <c r="C16" t="s">
        <v>245</v>
      </c>
      <c r="D16">
        <v>2023</v>
      </c>
      <c r="E16" t="s">
        <v>184</v>
      </c>
      <c r="F16" t="s">
        <v>418</v>
      </c>
      <c r="G16" t="s">
        <v>35</v>
      </c>
      <c r="H16" t="s">
        <v>36</v>
      </c>
      <c r="I16" t="s">
        <v>14</v>
      </c>
      <c r="J16" t="s">
        <v>19</v>
      </c>
      <c r="K16" t="s">
        <v>178</v>
      </c>
      <c r="L16" t="s">
        <v>174</v>
      </c>
      <c r="M16">
        <v>4</v>
      </c>
      <c r="N16">
        <v>81.599999999999994</v>
      </c>
      <c r="O16">
        <v>326.39999999999998</v>
      </c>
      <c r="P16">
        <v>10</v>
      </c>
      <c r="Q16">
        <v>32.64</v>
      </c>
      <c r="R16">
        <v>293.76</v>
      </c>
      <c r="S16">
        <v>117.28</v>
      </c>
      <c r="T16">
        <v>176.48</v>
      </c>
      <c r="U16" t="s">
        <v>180</v>
      </c>
      <c r="V16" t="s">
        <v>159</v>
      </c>
      <c r="W16" t="s">
        <v>2085</v>
      </c>
      <c r="X16" t="s">
        <v>2091</v>
      </c>
      <c r="Y16">
        <v>89</v>
      </c>
      <c r="Z16">
        <v>1827.99</v>
      </c>
      <c r="AA16">
        <v>203.11</v>
      </c>
      <c r="AB16" t="s">
        <v>14</v>
      </c>
      <c r="AC16" t="s">
        <v>16</v>
      </c>
      <c r="AD16" t="s">
        <v>2087</v>
      </c>
      <c r="AE16" t="s">
        <v>2107</v>
      </c>
    </row>
    <row r="17" spans="1:31">
      <c r="A17" t="s">
        <v>939</v>
      </c>
      <c r="B17" s="1">
        <v>45287</v>
      </c>
      <c r="C17" t="s">
        <v>245</v>
      </c>
      <c r="D17">
        <v>2023</v>
      </c>
      <c r="E17" t="s">
        <v>184</v>
      </c>
      <c r="F17" t="s">
        <v>940</v>
      </c>
      <c r="G17" t="s">
        <v>73</v>
      </c>
      <c r="H17" t="s">
        <v>74</v>
      </c>
      <c r="I17" t="s">
        <v>66</v>
      </c>
      <c r="J17" t="s">
        <v>75</v>
      </c>
      <c r="K17" t="s">
        <v>164</v>
      </c>
      <c r="L17" t="s">
        <v>232</v>
      </c>
      <c r="M17">
        <v>1</v>
      </c>
      <c r="N17">
        <v>53.95</v>
      </c>
      <c r="O17">
        <v>53.95</v>
      </c>
      <c r="P17">
        <v>0</v>
      </c>
      <c r="Q17">
        <v>0</v>
      </c>
      <c r="R17">
        <v>53.95</v>
      </c>
      <c r="S17">
        <v>35.200000000000003</v>
      </c>
      <c r="T17">
        <v>18.75</v>
      </c>
      <c r="U17" t="s">
        <v>158</v>
      </c>
      <c r="V17" t="s">
        <v>159</v>
      </c>
      <c r="W17" t="s">
        <v>2099</v>
      </c>
      <c r="X17" t="s">
        <v>2091</v>
      </c>
      <c r="Y17">
        <v>306</v>
      </c>
      <c r="Z17">
        <v>146.77000000000001</v>
      </c>
      <c r="AA17">
        <v>68.459999999999994</v>
      </c>
      <c r="AB17" t="s">
        <v>14</v>
      </c>
      <c r="AC17" t="s">
        <v>16</v>
      </c>
      <c r="AD17" t="s">
        <v>2087</v>
      </c>
      <c r="AE17" t="s">
        <v>2088</v>
      </c>
    </row>
    <row r="18" spans="1:31">
      <c r="A18" t="s">
        <v>805</v>
      </c>
      <c r="B18" s="1">
        <v>45287</v>
      </c>
      <c r="C18" t="s">
        <v>245</v>
      </c>
      <c r="D18">
        <v>2023</v>
      </c>
      <c r="E18" t="s">
        <v>184</v>
      </c>
      <c r="F18" t="s">
        <v>806</v>
      </c>
      <c r="G18" t="s">
        <v>101</v>
      </c>
      <c r="H18" t="s">
        <v>102</v>
      </c>
      <c r="I18" t="s">
        <v>90</v>
      </c>
      <c r="J18" t="s">
        <v>100</v>
      </c>
      <c r="K18" t="s">
        <v>178</v>
      </c>
      <c r="L18" t="s">
        <v>232</v>
      </c>
      <c r="M18">
        <v>2</v>
      </c>
      <c r="N18">
        <v>196.28</v>
      </c>
      <c r="O18">
        <v>392.56</v>
      </c>
      <c r="P18">
        <v>0</v>
      </c>
      <c r="Q18">
        <v>0</v>
      </c>
      <c r="R18">
        <v>392.56</v>
      </c>
      <c r="S18">
        <v>143.46</v>
      </c>
      <c r="T18">
        <v>249.1</v>
      </c>
      <c r="U18" t="s">
        <v>195</v>
      </c>
      <c r="V18" t="s">
        <v>181</v>
      </c>
      <c r="W18" t="s">
        <v>2099</v>
      </c>
      <c r="X18" t="s">
        <v>2111</v>
      </c>
      <c r="Y18">
        <v>92</v>
      </c>
      <c r="Z18">
        <v>46.81</v>
      </c>
      <c r="AA18">
        <v>78.650000000000006</v>
      </c>
      <c r="AB18" t="s">
        <v>90</v>
      </c>
      <c r="AC18" t="s">
        <v>16</v>
      </c>
      <c r="AD18" t="s">
        <v>2106</v>
      </c>
      <c r="AE18" t="s">
        <v>2121</v>
      </c>
    </row>
    <row r="19" spans="1:31">
      <c r="A19" t="s">
        <v>593</v>
      </c>
      <c r="B19" s="1">
        <v>45287</v>
      </c>
      <c r="C19" t="s">
        <v>245</v>
      </c>
      <c r="D19">
        <v>2023</v>
      </c>
      <c r="E19" t="s">
        <v>184</v>
      </c>
      <c r="F19" t="s">
        <v>594</v>
      </c>
      <c r="G19" t="s">
        <v>127</v>
      </c>
      <c r="H19" t="s">
        <v>128</v>
      </c>
      <c r="I19" t="s">
        <v>115</v>
      </c>
      <c r="J19" t="s">
        <v>124</v>
      </c>
      <c r="K19" t="s">
        <v>178</v>
      </c>
      <c r="L19" t="s">
        <v>204</v>
      </c>
      <c r="M19">
        <v>2</v>
      </c>
      <c r="N19">
        <v>94.76</v>
      </c>
      <c r="O19">
        <v>189.52</v>
      </c>
      <c r="P19">
        <v>15</v>
      </c>
      <c r="Q19">
        <v>28.43</v>
      </c>
      <c r="R19">
        <v>161.09</v>
      </c>
      <c r="S19">
        <v>157.63999999999999</v>
      </c>
      <c r="T19">
        <v>3.45</v>
      </c>
      <c r="U19" t="s">
        <v>195</v>
      </c>
      <c r="V19" t="s">
        <v>181</v>
      </c>
      <c r="W19" t="s">
        <v>2097</v>
      </c>
      <c r="X19" t="s">
        <v>2100</v>
      </c>
      <c r="Y19">
        <v>349</v>
      </c>
      <c r="Z19">
        <v>538.1</v>
      </c>
      <c r="AA19">
        <v>67.239999999999995</v>
      </c>
      <c r="AB19" t="s">
        <v>115</v>
      </c>
      <c r="AC19" t="s">
        <v>20</v>
      </c>
      <c r="AD19" t="s">
        <v>2095</v>
      </c>
      <c r="AE19" t="s">
        <v>2107</v>
      </c>
    </row>
    <row r="20" spans="1:31">
      <c r="A20" t="s">
        <v>386</v>
      </c>
      <c r="B20" s="1">
        <v>45286</v>
      </c>
      <c r="C20" t="s">
        <v>245</v>
      </c>
      <c r="D20">
        <v>2023</v>
      </c>
      <c r="E20" t="s">
        <v>184</v>
      </c>
      <c r="F20" t="s">
        <v>387</v>
      </c>
      <c r="G20" t="s">
        <v>82</v>
      </c>
      <c r="H20" t="s">
        <v>83</v>
      </c>
      <c r="I20" t="s">
        <v>66</v>
      </c>
      <c r="J20" t="s">
        <v>67</v>
      </c>
      <c r="K20" t="s">
        <v>156</v>
      </c>
      <c r="L20" t="s">
        <v>204</v>
      </c>
      <c r="M20">
        <v>1</v>
      </c>
      <c r="N20">
        <v>34.479999999999997</v>
      </c>
      <c r="O20">
        <v>34.479999999999997</v>
      </c>
      <c r="P20">
        <v>20</v>
      </c>
      <c r="Q20">
        <v>6.9</v>
      </c>
      <c r="R20">
        <v>27.58</v>
      </c>
      <c r="S20">
        <v>19.239999999999998</v>
      </c>
      <c r="T20">
        <v>8.34</v>
      </c>
      <c r="U20" t="s">
        <v>180</v>
      </c>
      <c r="V20" t="s">
        <v>159</v>
      </c>
      <c r="W20" t="s">
        <v>2097</v>
      </c>
      <c r="X20" t="s">
        <v>2094</v>
      </c>
      <c r="Y20">
        <v>139</v>
      </c>
      <c r="Z20">
        <v>644.28</v>
      </c>
      <c r="AA20">
        <v>117.3</v>
      </c>
      <c r="AB20" t="s">
        <v>115</v>
      </c>
      <c r="AC20" t="s">
        <v>16</v>
      </c>
      <c r="AD20" t="s">
        <v>2095</v>
      </c>
      <c r="AE20" t="s">
        <v>2107</v>
      </c>
    </row>
    <row r="21" spans="1:31">
      <c r="A21" t="s">
        <v>1065</v>
      </c>
      <c r="B21" s="1">
        <v>45286</v>
      </c>
      <c r="C21" t="s">
        <v>245</v>
      </c>
      <c r="D21">
        <v>2023</v>
      </c>
      <c r="E21" t="s">
        <v>184</v>
      </c>
      <c r="F21" t="s">
        <v>1066</v>
      </c>
      <c r="G21" t="s">
        <v>103</v>
      </c>
      <c r="H21" t="s">
        <v>104</v>
      </c>
      <c r="I21" t="s">
        <v>90</v>
      </c>
      <c r="J21" t="s">
        <v>94</v>
      </c>
      <c r="K21" t="s">
        <v>156</v>
      </c>
      <c r="L21" t="s">
        <v>165</v>
      </c>
      <c r="M21">
        <v>3</v>
      </c>
      <c r="N21">
        <v>98.58</v>
      </c>
      <c r="O21">
        <v>295.74</v>
      </c>
      <c r="P21">
        <v>5</v>
      </c>
      <c r="Q21">
        <v>14.79</v>
      </c>
      <c r="R21">
        <v>280.95</v>
      </c>
      <c r="S21">
        <v>157.71</v>
      </c>
      <c r="T21">
        <v>123.24</v>
      </c>
      <c r="U21" t="s">
        <v>158</v>
      </c>
      <c r="V21" t="s">
        <v>159</v>
      </c>
      <c r="W21" t="s">
        <v>2097</v>
      </c>
      <c r="X21" t="s">
        <v>2094</v>
      </c>
      <c r="Y21">
        <v>47</v>
      </c>
      <c r="Z21">
        <v>288.31</v>
      </c>
      <c r="AA21">
        <v>103.62</v>
      </c>
      <c r="AB21" t="s">
        <v>66</v>
      </c>
      <c r="AC21" t="s">
        <v>20</v>
      </c>
      <c r="AD21" t="s">
        <v>2087</v>
      </c>
      <c r="AE21" t="s">
        <v>2107</v>
      </c>
    </row>
    <row r="22" spans="1:31">
      <c r="A22" t="s">
        <v>2057</v>
      </c>
      <c r="B22" s="1">
        <v>45285</v>
      </c>
      <c r="C22" t="s">
        <v>245</v>
      </c>
      <c r="D22">
        <v>2023</v>
      </c>
      <c r="E22" t="s">
        <v>184</v>
      </c>
      <c r="F22" t="s">
        <v>2058</v>
      </c>
      <c r="G22" t="s">
        <v>80</v>
      </c>
      <c r="H22" t="s">
        <v>81</v>
      </c>
      <c r="I22" t="s">
        <v>66</v>
      </c>
      <c r="J22" t="s">
        <v>70</v>
      </c>
      <c r="K22" t="s">
        <v>178</v>
      </c>
      <c r="L22" t="s">
        <v>165</v>
      </c>
      <c r="M22">
        <v>4</v>
      </c>
      <c r="N22">
        <v>106.06</v>
      </c>
      <c r="O22">
        <v>424.24</v>
      </c>
      <c r="P22">
        <v>15</v>
      </c>
      <c r="Q22">
        <v>63.64</v>
      </c>
      <c r="R22">
        <v>360.6</v>
      </c>
      <c r="S22">
        <v>133.68</v>
      </c>
      <c r="T22">
        <v>226.92</v>
      </c>
      <c r="U22" t="s">
        <v>195</v>
      </c>
      <c r="V22" t="s">
        <v>159</v>
      </c>
      <c r="W22" t="s">
        <v>2090</v>
      </c>
      <c r="X22" t="s">
        <v>2100</v>
      </c>
      <c r="Y22">
        <v>221</v>
      </c>
      <c r="Z22">
        <v>266.56</v>
      </c>
      <c r="AA22">
        <v>44.89</v>
      </c>
      <c r="AB22" t="s">
        <v>115</v>
      </c>
      <c r="AC22" t="s">
        <v>16</v>
      </c>
      <c r="AD22" t="s">
        <v>2095</v>
      </c>
      <c r="AE22" t="s">
        <v>2107</v>
      </c>
    </row>
    <row r="23" spans="1:31">
      <c r="A23" t="s">
        <v>1577</v>
      </c>
      <c r="B23" s="1">
        <v>45285</v>
      </c>
      <c r="C23" t="s">
        <v>245</v>
      </c>
      <c r="D23">
        <v>2023</v>
      </c>
      <c r="E23" t="s">
        <v>184</v>
      </c>
      <c r="F23" t="s">
        <v>1578</v>
      </c>
      <c r="G23" t="s">
        <v>73</v>
      </c>
      <c r="H23" t="s">
        <v>74</v>
      </c>
      <c r="I23" t="s">
        <v>66</v>
      </c>
      <c r="J23" t="s">
        <v>75</v>
      </c>
      <c r="K23" t="s">
        <v>178</v>
      </c>
      <c r="L23" t="s">
        <v>179</v>
      </c>
      <c r="M23">
        <v>4</v>
      </c>
      <c r="N23">
        <v>53.95</v>
      </c>
      <c r="O23">
        <v>215.8</v>
      </c>
      <c r="P23">
        <v>0</v>
      </c>
      <c r="Q23">
        <v>0</v>
      </c>
      <c r="R23">
        <v>215.8</v>
      </c>
      <c r="S23">
        <v>140.80000000000001</v>
      </c>
      <c r="T23">
        <v>75</v>
      </c>
      <c r="U23" t="s">
        <v>195</v>
      </c>
      <c r="V23" t="s">
        <v>186</v>
      </c>
      <c r="W23" t="s">
        <v>2113</v>
      </c>
      <c r="X23" t="s">
        <v>2091</v>
      </c>
      <c r="Y23">
        <v>7</v>
      </c>
      <c r="Z23">
        <v>280.7</v>
      </c>
      <c r="AA23">
        <v>47.28</v>
      </c>
      <c r="AB23" t="s">
        <v>66</v>
      </c>
      <c r="AC23" t="s">
        <v>16</v>
      </c>
      <c r="AD23" t="s">
        <v>2095</v>
      </c>
      <c r="AE23" t="s">
        <v>2107</v>
      </c>
    </row>
    <row r="24" spans="1:31">
      <c r="A24" t="s">
        <v>2022</v>
      </c>
      <c r="B24" s="1">
        <v>45284</v>
      </c>
      <c r="C24" t="s">
        <v>245</v>
      </c>
      <c r="D24">
        <v>2023</v>
      </c>
      <c r="E24" t="s">
        <v>184</v>
      </c>
      <c r="F24" t="s">
        <v>1197</v>
      </c>
      <c r="G24" t="s">
        <v>117</v>
      </c>
      <c r="H24" t="s">
        <v>118</v>
      </c>
      <c r="I24" t="s">
        <v>115</v>
      </c>
      <c r="J24" t="s">
        <v>119</v>
      </c>
      <c r="K24" t="s">
        <v>209</v>
      </c>
      <c r="L24" t="s">
        <v>157</v>
      </c>
      <c r="M24">
        <v>3</v>
      </c>
      <c r="N24">
        <v>93.41</v>
      </c>
      <c r="O24">
        <v>280.23</v>
      </c>
      <c r="P24">
        <v>5</v>
      </c>
      <c r="Q24">
        <v>14.01</v>
      </c>
      <c r="R24">
        <v>266.22000000000003</v>
      </c>
      <c r="S24">
        <v>192.15</v>
      </c>
      <c r="T24">
        <v>74.069999999999993</v>
      </c>
      <c r="U24" t="s">
        <v>195</v>
      </c>
      <c r="V24" t="s">
        <v>159</v>
      </c>
      <c r="W24" t="s">
        <v>2093</v>
      </c>
      <c r="X24" t="s">
        <v>2111</v>
      </c>
      <c r="Y24">
        <v>66</v>
      </c>
      <c r="Z24">
        <v>84.52</v>
      </c>
      <c r="AA24">
        <v>44.48</v>
      </c>
      <c r="AB24" t="s">
        <v>90</v>
      </c>
      <c r="AC24" t="s">
        <v>20</v>
      </c>
      <c r="AD24" t="s">
        <v>2095</v>
      </c>
      <c r="AE24" t="s">
        <v>2121</v>
      </c>
    </row>
    <row r="25" spans="1:31">
      <c r="A25" t="s">
        <v>1436</v>
      </c>
      <c r="B25" s="1">
        <v>45284</v>
      </c>
      <c r="C25" t="s">
        <v>245</v>
      </c>
      <c r="D25">
        <v>2023</v>
      </c>
      <c r="E25" t="s">
        <v>184</v>
      </c>
      <c r="F25" t="s">
        <v>1437</v>
      </c>
      <c r="G25" t="s">
        <v>95</v>
      </c>
      <c r="H25" t="s">
        <v>96</v>
      </c>
      <c r="I25" t="s">
        <v>90</v>
      </c>
      <c r="J25" t="s">
        <v>97</v>
      </c>
      <c r="K25" t="s">
        <v>156</v>
      </c>
      <c r="L25" t="s">
        <v>204</v>
      </c>
      <c r="M25">
        <v>4</v>
      </c>
      <c r="N25">
        <v>177.41</v>
      </c>
      <c r="O25">
        <v>709.64</v>
      </c>
      <c r="P25">
        <v>20</v>
      </c>
      <c r="Q25">
        <v>141.93</v>
      </c>
      <c r="R25">
        <v>567.71</v>
      </c>
      <c r="S25">
        <v>299.95999999999998</v>
      </c>
      <c r="T25">
        <v>267.75</v>
      </c>
      <c r="U25" t="s">
        <v>166</v>
      </c>
      <c r="V25" t="s">
        <v>159</v>
      </c>
      <c r="W25" t="s">
        <v>2099</v>
      </c>
      <c r="X25" t="s">
        <v>2100</v>
      </c>
      <c r="Y25">
        <v>71</v>
      </c>
      <c r="Z25">
        <v>130.22999999999999</v>
      </c>
      <c r="AA25">
        <v>66.47</v>
      </c>
      <c r="AB25" t="s">
        <v>66</v>
      </c>
      <c r="AC25" t="s">
        <v>20</v>
      </c>
      <c r="AD25" t="s">
        <v>2087</v>
      </c>
      <c r="AE25" t="s">
        <v>2121</v>
      </c>
    </row>
    <row r="26" spans="1:31">
      <c r="A26" t="s">
        <v>975</v>
      </c>
      <c r="B26" s="1">
        <v>45283</v>
      </c>
      <c r="C26" t="s">
        <v>245</v>
      </c>
      <c r="D26">
        <v>2023</v>
      </c>
      <c r="E26" t="s">
        <v>184</v>
      </c>
      <c r="F26" t="s">
        <v>976</v>
      </c>
      <c r="G26" t="s">
        <v>23</v>
      </c>
      <c r="H26" t="s">
        <v>24</v>
      </c>
      <c r="I26" t="s">
        <v>14</v>
      </c>
      <c r="J26" t="s">
        <v>19</v>
      </c>
      <c r="K26" t="s">
        <v>209</v>
      </c>
      <c r="L26" t="s">
        <v>174</v>
      </c>
      <c r="M26">
        <v>2</v>
      </c>
      <c r="N26">
        <v>154.03</v>
      </c>
      <c r="O26">
        <v>308.06</v>
      </c>
      <c r="P26">
        <v>20</v>
      </c>
      <c r="Q26">
        <v>61.61</v>
      </c>
      <c r="R26">
        <v>246.45</v>
      </c>
      <c r="S26">
        <v>153.58000000000001</v>
      </c>
      <c r="T26">
        <v>92.87</v>
      </c>
      <c r="U26" t="s">
        <v>195</v>
      </c>
      <c r="V26" t="s">
        <v>181</v>
      </c>
      <c r="W26" t="s">
        <v>2097</v>
      </c>
      <c r="X26" t="s">
        <v>2094</v>
      </c>
      <c r="Y26">
        <v>142</v>
      </c>
      <c r="Z26">
        <v>458.56</v>
      </c>
      <c r="AA26">
        <v>114.31</v>
      </c>
      <c r="AB26" t="s">
        <v>66</v>
      </c>
      <c r="AC26" t="s">
        <v>16</v>
      </c>
      <c r="AD26" t="s">
        <v>2087</v>
      </c>
      <c r="AE26" t="s">
        <v>2109</v>
      </c>
    </row>
    <row r="27" spans="1:31">
      <c r="A27" t="s">
        <v>741</v>
      </c>
      <c r="B27" s="1">
        <v>45282</v>
      </c>
      <c r="C27" t="s">
        <v>245</v>
      </c>
      <c r="D27">
        <v>2023</v>
      </c>
      <c r="E27" t="s">
        <v>184</v>
      </c>
      <c r="F27" t="s">
        <v>742</v>
      </c>
      <c r="G27" t="s">
        <v>62</v>
      </c>
      <c r="H27" t="s">
        <v>63</v>
      </c>
      <c r="I27" t="s">
        <v>41</v>
      </c>
      <c r="J27" t="s">
        <v>45</v>
      </c>
      <c r="K27" t="s">
        <v>164</v>
      </c>
      <c r="L27" t="s">
        <v>194</v>
      </c>
      <c r="M27">
        <v>3</v>
      </c>
      <c r="N27">
        <v>160.35</v>
      </c>
      <c r="O27">
        <v>481.04999999999995</v>
      </c>
      <c r="P27">
        <v>10</v>
      </c>
      <c r="Q27">
        <v>48.1</v>
      </c>
      <c r="R27">
        <v>432.95</v>
      </c>
      <c r="S27">
        <v>217.41</v>
      </c>
      <c r="T27">
        <v>215.54</v>
      </c>
      <c r="U27" t="s">
        <v>190</v>
      </c>
      <c r="V27" t="s">
        <v>186</v>
      </c>
      <c r="W27" t="s">
        <v>2090</v>
      </c>
      <c r="X27" t="s">
        <v>2108</v>
      </c>
      <c r="Y27">
        <v>287</v>
      </c>
      <c r="Z27">
        <v>341.82</v>
      </c>
      <c r="AA27">
        <v>101.02</v>
      </c>
      <c r="AB27" t="s">
        <v>90</v>
      </c>
      <c r="AC27" t="s">
        <v>16</v>
      </c>
      <c r="AD27" t="s">
        <v>2087</v>
      </c>
      <c r="AE27" t="s">
        <v>2107</v>
      </c>
    </row>
    <row r="28" spans="1:31">
      <c r="A28" t="s">
        <v>1447</v>
      </c>
      <c r="B28" s="1">
        <v>45282</v>
      </c>
      <c r="C28" t="s">
        <v>245</v>
      </c>
      <c r="D28">
        <v>2023</v>
      </c>
      <c r="E28" t="s">
        <v>184</v>
      </c>
      <c r="F28" t="s">
        <v>1448</v>
      </c>
      <c r="G28" t="s">
        <v>60</v>
      </c>
      <c r="H28" t="s">
        <v>61</v>
      </c>
      <c r="I28" t="s">
        <v>41</v>
      </c>
      <c r="J28" t="s">
        <v>59</v>
      </c>
      <c r="K28" t="s">
        <v>209</v>
      </c>
      <c r="L28" t="s">
        <v>194</v>
      </c>
      <c r="M28">
        <v>1</v>
      </c>
      <c r="N28">
        <v>103.56</v>
      </c>
      <c r="O28">
        <v>103.56</v>
      </c>
      <c r="P28">
        <v>0</v>
      </c>
      <c r="Q28">
        <v>0</v>
      </c>
      <c r="R28">
        <v>103.56</v>
      </c>
      <c r="S28">
        <v>44.58</v>
      </c>
      <c r="T28">
        <v>58.98</v>
      </c>
      <c r="U28" t="s">
        <v>180</v>
      </c>
      <c r="V28" t="s">
        <v>186</v>
      </c>
      <c r="W28" t="s">
        <v>2113</v>
      </c>
      <c r="X28" t="s">
        <v>2111</v>
      </c>
      <c r="Y28">
        <v>323</v>
      </c>
      <c r="Z28">
        <v>494.23</v>
      </c>
      <c r="AA28">
        <v>49.18</v>
      </c>
      <c r="AB28" t="s">
        <v>66</v>
      </c>
      <c r="AC28" t="s">
        <v>16</v>
      </c>
      <c r="AD28" t="s">
        <v>2087</v>
      </c>
      <c r="AE28" t="s">
        <v>2107</v>
      </c>
    </row>
    <row r="29" spans="1:31">
      <c r="A29" t="s">
        <v>743</v>
      </c>
      <c r="B29" s="1">
        <v>45282</v>
      </c>
      <c r="C29" t="s">
        <v>245</v>
      </c>
      <c r="D29">
        <v>2023</v>
      </c>
      <c r="E29" t="s">
        <v>184</v>
      </c>
      <c r="F29" t="s">
        <v>744</v>
      </c>
      <c r="G29" t="s">
        <v>64</v>
      </c>
      <c r="H29" t="s">
        <v>65</v>
      </c>
      <c r="I29" t="s">
        <v>66</v>
      </c>
      <c r="J29" t="s">
        <v>67</v>
      </c>
      <c r="K29" t="s">
        <v>164</v>
      </c>
      <c r="L29" t="s">
        <v>232</v>
      </c>
      <c r="M29">
        <v>3</v>
      </c>
      <c r="N29">
        <v>24.9</v>
      </c>
      <c r="O29">
        <v>74.699999999999989</v>
      </c>
      <c r="P29">
        <v>15</v>
      </c>
      <c r="Q29">
        <v>11.2</v>
      </c>
      <c r="R29">
        <v>63.5</v>
      </c>
      <c r="S29">
        <v>64.56</v>
      </c>
      <c r="T29">
        <v>-1.06</v>
      </c>
      <c r="U29" t="s">
        <v>190</v>
      </c>
      <c r="V29" t="s">
        <v>159</v>
      </c>
      <c r="W29" t="s">
        <v>2090</v>
      </c>
      <c r="X29" t="s">
        <v>2100</v>
      </c>
      <c r="Y29">
        <v>3</v>
      </c>
      <c r="Z29">
        <v>284.73</v>
      </c>
      <c r="AA29">
        <v>112.79</v>
      </c>
      <c r="AB29" t="s">
        <v>90</v>
      </c>
      <c r="AC29" t="s">
        <v>16</v>
      </c>
      <c r="AD29" t="s">
        <v>2095</v>
      </c>
      <c r="AE29" t="s">
        <v>2109</v>
      </c>
    </row>
    <row r="30" spans="1:31">
      <c r="A30" t="s">
        <v>287</v>
      </c>
      <c r="B30" s="1">
        <v>45282</v>
      </c>
      <c r="C30" t="s">
        <v>245</v>
      </c>
      <c r="D30">
        <v>2023</v>
      </c>
      <c r="E30" t="s">
        <v>184</v>
      </c>
      <c r="F30" t="s">
        <v>288</v>
      </c>
      <c r="G30" t="s">
        <v>39</v>
      </c>
      <c r="H30" t="s">
        <v>40</v>
      </c>
      <c r="I30" t="s">
        <v>41</v>
      </c>
      <c r="J30" t="s">
        <v>42</v>
      </c>
      <c r="K30" t="s">
        <v>178</v>
      </c>
      <c r="L30" t="s">
        <v>165</v>
      </c>
      <c r="M30">
        <v>3</v>
      </c>
      <c r="N30">
        <v>35.11</v>
      </c>
      <c r="O30">
        <v>105.33</v>
      </c>
      <c r="P30">
        <v>5</v>
      </c>
      <c r="Q30">
        <v>5.27</v>
      </c>
      <c r="R30">
        <v>100.06</v>
      </c>
      <c r="S30">
        <v>74.61</v>
      </c>
      <c r="T30">
        <v>25.45</v>
      </c>
      <c r="U30" t="s">
        <v>180</v>
      </c>
      <c r="V30" t="s">
        <v>181</v>
      </c>
      <c r="W30" t="s">
        <v>2090</v>
      </c>
      <c r="X30" t="s">
        <v>2094</v>
      </c>
      <c r="Y30">
        <v>173</v>
      </c>
      <c r="Z30">
        <v>246.05</v>
      </c>
      <c r="AA30">
        <v>53.18</v>
      </c>
      <c r="AB30" t="s">
        <v>90</v>
      </c>
      <c r="AC30" t="s">
        <v>16</v>
      </c>
      <c r="AD30" t="s">
        <v>2087</v>
      </c>
      <c r="AE30" t="s">
        <v>2121</v>
      </c>
    </row>
    <row r="31" spans="1:31">
      <c r="A31" t="s">
        <v>707</v>
      </c>
      <c r="B31" s="1">
        <v>45281</v>
      </c>
      <c r="C31" t="s">
        <v>245</v>
      </c>
      <c r="D31">
        <v>2023</v>
      </c>
      <c r="E31" t="s">
        <v>184</v>
      </c>
      <c r="F31" t="s">
        <v>708</v>
      </c>
      <c r="G31" t="s">
        <v>21</v>
      </c>
      <c r="H31" t="s">
        <v>22</v>
      </c>
      <c r="I31" t="s">
        <v>14</v>
      </c>
      <c r="J31" t="s">
        <v>15</v>
      </c>
      <c r="K31" t="s">
        <v>164</v>
      </c>
      <c r="L31" t="s">
        <v>194</v>
      </c>
      <c r="M31">
        <v>2</v>
      </c>
      <c r="N31">
        <v>65.430000000000007</v>
      </c>
      <c r="O31">
        <v>130.86000000000001</v>
      </c>
      <c r="P31">
        <v>0</v>
      </c>
      <c r="Q31">
        <v>0</v>
      </c>
      <c r="R31">
        <v>130.86000000000001</v>
      </c>
      <c r="S31">
        <v>77.38</v>
      </c>
      <c r="T31">
        <v>53.48</v>
      </c>
      <c r="U31" t="s">
        <v>158</v>
      </c>
      <c r="V31" t="s">
        <v>159</v>
      </c>
      <c r="W31" t="s">
        <v>2085</v>
      </c>
      <c r="X31" t="s">
        <v>2094</v>
      </c>
      <c r="Y31">
        <v>27</v>
      </c>
      <c r="Z31">
        <v>1154.07</v>
      </c>
      <c r="AA31">
        <v>221.62</v>
      </c>
      <c r="AB31" t="s">
        <v>90</v>
      </c>
      <c r="AC31" t="s">
        <v>20</v>
      </c>
      <c r="AD31" t="s">
        <v>2106</v>
      </c>
      <c r="AE31" t="s">
        <v>2096</v>
      </c>
    </row>
    <row r="32" spans="1:31">
      <c r="A32" t="s">
        <v>460</v>
      </c>
      <c r="B32" s="1">
        <v>45281</v>
      </c>
      <c r="C32" t="s">
        <v>245</v>
      </c>
      <c r="D32">
        <v>2023</v>
      </c>
      <c r="E32" t="s">
        <v>184</v>
      </c>
      <c r="F32" t="s">
        <v>461</v>
      </c>
      <c r="G32" t="s">
        <v>39</v>
      </c>
      <c r="H32" t="s">
        <v>40</v>
      </c>
      <c r="I32" t="s">
        <v>41</v>
      </c>
      <c r="J32" t="s">
        <v>42</v>
      </c>
      <c r="K32" t="s">
        <v>156</v>
      </c>
      <c r="L32" t="s">
        <v>165</v>
      </c>
      <c r="M32">
        <v>2</v>
      </c>
      <c r="N32">
        <v>35.11</v>
      </c>
      <c r="O32">
        <v>70.22</v>
      </c>
      <c r="P32">
        <v>20</v>
      </c>
      <c r="Q32">
        <v>14.04</v>
      </c>
      <c r="R32">
        <v>56.18</v>
      </c>
      <c r="S32">
        <v>49.74</v>
      </c>
      <c r="T32">
        <v>6.44</v>
      </c>
      <c r="U32" t="s">
        <v>180</v>
      </c>
      <c r="V32" t="s">
        <v>159</v>
      </c>
      <c r="W32" t="s">
        <v>2099</v>
      </c>
      <c r="X32" t="s">
        <v>2091</v>
      </c>
      <c r="Y32">
        <v>344</v>
      </c>
      <c r="Z32">
        <v>97.59</v>
      </c>
      <c r="AA32">
        <v>47.32</v>
      </c>
      <c r="AB32" t="s">
        <v>115</v>
      </c>
      <c r="AC32" t="s">
        <v>20</v>
      </c>
      <c r="AD32" t="s">
        <v>2106</v>
      </c>
      <c r="AE32" t="s">
        <v>2107</v>
      </c>
    </row>
    <row r="33" spans="1:31">
      <c r="A33" t="s">
        <v>2004</v>
      </c>
      <c r="B33" s="1">
        <v>45281</v>
      </c>
      <c r="C33" t="s">
        <v>245</v>
      </c>
      <c r="D33">
        <v>2023</v>
      </c>
      <c r="E33" t="s">
        <v>184</v>
      </c>
      <c r="F33" t="s">
        <v>422</v>
      </c>
      <c r="G33" t="s">
        <v>39</v>
      </c>
      <c r="H33" t="s">
        <v>40</v>
      </c>
      <c r="I33" t="s">
        <v>41</v>
      </c>
      <c r="J33" t="s">
        <v>42</v>
      </c>
      <c r="K33" t="s">
        <v>164</v>
      </c>
      <c r="L33" t="s">
        <v>194</v>
      </c>
      <c r="M33">
        <v>4</v>
      </c>
      <c r="N33">
        <v>35.11</v>
      </c>
      <c r="O33">
        <v>140.44</v>
      </c>
      <c r="P33">
        <v>5</v>
      </c>
      <c r="Q33">
        <v>7.02</v>
      </c>
      <c r="R33">
        <v>133.41999999999999</v>
      </c>
      <c r="S33">
        <v>99.48</v>
      </c>
      <c r="T33">
        <v>33.94</v>
      </c>
      <c r="U33" t="s">
        <v>166</v>
      </c>
      <c r="V33" t="s">
        <v>181</v>
      </c>
      <c r="W33" t="s">
        <v>2090</v>
      </c>
      <c r="X33" t="s">
        <v>2091</v>
      </c>
      <c r="Y33">
        <v>237</v>
      </c>
      <c r="Z33">
        <v>296.10000000000002</v>
      </c>
      <c r="AA33">
        <v>59.23</v>
      </c>
      <c r="AB33" t="s">
        <v>41</v>
      </c>
      <c r="AC33" t="s">
        <v>16</v>
      </c>
      <c r="AD33" t="s">
        <v>2106</v>
      </c>
      <c r="AE33" t="s">
        <v>2096</v>
      </c>
    </row>
    <row r="34" spans="1:31">
      <c r="A34" t="s">
        <v>501</v>
      </c>
      <c r="B34" s="1">
        <v>45281</v>
      </c>
      <c r="C34" t="s">
        <v>245</v>
      </c>
      <c r="D34">
        <v>2023</v>
      </c>
      <c r="E34" t="s">
        <v>184</v>
      </c>
      <c r="F34" t="s">
        <v>502</v>
      </c>
      <c r="G34" t="s">
        <v>68</v>
      </c>
      <c r="H34" t="s">
        <v>69</v>
      </c>
      <c r="I34" t="s">
        <v>66</v>
      </c>
      <c r="J34" t="s">
        <v>70</v>
      </c>
      <c r="K34" t="s">
        <v>178</v>
      </c>
      <c r="L34" t="s">
        <v>179</v>
      </c>
      <c r="M34">
        <v>2</v>
      </c>
      <c r="N34">
        <v>98.51</v>
      </c>
      <c r="O34">
        <v>197.02</v>
      </c>
      <c r="P34">
        <v>5</v>
      </c>
      <c r="Q34">
        <v>9.85</v>
      </c>
      <c r="R34">
        <v>187.17</v>
      </c>
      <c r="S34">
        <v>110.34</v>
      </c>
      <c r="T34">
        <v>76.83</v>
      </c>
      <c r="U34" t="s">
        <v>166</v>
      </c>
      <c r="V34" t="s">
        <v>159</v>
      </c>
      <c r="W34" t="s">
        <v>2097</v>
      </c>
      <c r="X34" t="s">
        <v>2094</v>
      </c>
      <c r="Y34">
        <v>34</v>
      </c>
      <c r="Z34">
        <v>523.89</v>
      </c>
      <c r="AA34">
        <v>113.74</v>
      </c>
      <c r="AB34" t="s">
        <v>115</v>
      </c>
      <c r="AC34" t="s">
        <v>16</v>
      </c>
      <c r="AD34" t="s">
        <v>2106</v>
      </c>
      <c r="AE34" t="s">
        <v>2109</v>
      </c>
    </row>
    <row r="35" spans="1:31">
      <c r="A35" t="s">
        <v>244</v>
      </c>
      <c r="B35" s="1">
        <v>45281</v>
      </c>
      <c r="C35" t="s">
        <v>245</v>
      </c>
      <c r="D35">
        <v>2023</v>
      </c>
      <c r="E35" t="s">
        <v>184</v>
      </c>
      <c r="F35" t="s">
        <v>246</v>
      </c>
      <c r="G35" t="s">
        <v>60</v>
      </c>
      <c r="H35" t="s">
        <v>61</v>
      </c>
      <c r="I35" t="s">
        <v>41</v>
      </c>
      <c r="J35" t="s">
        <v>59</v>
      </c>
      <c r="K35" t="s">
        <v>178</v>
      </c>
      <c r="L35" t="s">
        <v>165</v>
      </c>
      <c r="M35">
        <v>2</v>
      </c>
      <c r="N35">
        <v>103.56</v>
      </c>
      <c r="O35">
        <v>207.12</v>
      </c>
      <c r="P35">
        <v>5</v>
      </c>
      <c r="Q35">
        <v>10.36</v>
      </c>
      <c r="R35">
        <v>196.76</v>
      </c>
      <c r="S35">
        <v>89.16</v>
      </c>
      <c r="T35">
        <v>107.6</v>
      </c>
      <c r="U35" t="s">
        <v>166</v>
      </c>
      <c r="V35" t="s">
        <v>159</v>
      </c>
      <c r="W35" t="s">
        <v>2090</v>
      </c>
      <c r="X35" t="s">
        <v>2086</v>
      </c>
      <c r="Y35">
        <v>28</v>
      </c>
      <c r="Z35">
        <v>113.03</v>
      </c>
      <c r="AA35">
        <v>118.06</v>
      </c>
      <c r="AB35" t="s">
        <v>90</v>
      </c>
      <c r="AC35" t="s">
        <v>16</v>
      </c>
      <c r="AD35" t="s">
        <v>2087</v>
      </c>
      <c r="AE35" t="s">
        <v>2107</v>
      </c>
    </row>
    <row r="36" spans="1:31">
      <c r="A36" t="s">
        <v>842</v>
      </c>
      <c r="B36" s="1">
        <v>45280</v>
      </c>
      <c r="C36" t="s">
        <v>245</v>
      </c>
      <c r="D36">
        <v>2023</v>
      </c>
      <c r="E36" t="s">
        <v>184</v>
      </c>
      <c r="F36" t="s">
        <v>843</v>
      </c>
      <c r="G36" t="s">
        <v>129</v>
      </c>
      <c r="H36" t="s">
        <v>130</v>
      </c>
      <c r="I36" t="s">
        <v>115</v>
      </c>
      <c r="J36" t="s">
        <v>124</v>
      </c>
      <c r="K36" t="s">
        <v>178</v>
      </c>
      <c r="L36" t="s">
        <v>157</v>
      </c>
      <c r="M36">
        <v>3</v>
      </c>
      <c r="N36">
        <v>99.34</v>
      </c>
      <c r="O36">
        <v>298.02</v>
      </c>
      <c r="P36">
        <v>20</v>
      </c>
      <c r="Q36">
        <v>59.6</v>
      </c>
      <c r="R36">
        <v>238.42</v>
      </c>
      <c r="S36">
        <v>112.05</v>
      </c>
      <c r="T36">
        <v>126.37</v>
      </c>
      <c r="U36" t="s">
        <v>166</v>
      </c>
      <c r="V36" t="s">
        <v>181</v>
      </c>
      <c r="W36" t="s">
        <v>2085</v>
      </c>
      <c r="X36" t="s">
        <v>2111</v>
      </c>
      <c r="Y36">
        <v>67</v>
      </c>
      <c r="Z36">
        <v>1385.38</v>
      </c>
      <c r="AA36">
        <v>291.04000000000002</v>
      </c>
      <c r="AB36" t="s">
        <v>14</v>
      </c>
      <c r="AC36" t="s">
        <v>16</v>
      </c>
      <c r="AD36" t="s">
        <v>2106</v>
      </c>
      <c r="AE36" t="s">
        <v>2088</v>
      </c>
    </row>
    <row r="37" spans="1:31">
      <c r="A37" t="s">
        <v>2027</v>
      </c>
      <c r="B37" s="1">
        <v>45280</v>
      </c>
      <c r="C37" t="s">
        <v>245</v>
      </c>
      <c r="D37">
        <v>2023</v>
      </c>
      <c r="E37" t="s">
        <v>184</v>
      </c>
      <c r="F37" t="s">
        <v>2028</v>
      </c>
      <c r="G37" t="s">
        <v>39</v>
      </c>
      <c r="H37" t="s">
        <v>40</v>
      </c>
      <c r="I37" t="s">
        <v>41</v>
      </c>
      <c r="J37" t="s">
        <v>42</v>
      </c>
      <c r="K37" t="s">
        <v>209</v>
      </c>
      <c r="L37" t="s">
        <v>165</v>
      </c>
      <c r="M37">
        <v>2</v>
      </c>
      <c r="N37">
        <v>35.11</v>
      </c>
      <c r="O37">
        <v>70.22</v>
      </c>
      <c r="P37">
        <v>0</v>
      </c>
      <c r="Q37">
        <v>0</v>
      </c>
      <c r="R37">
        <v>70.22</v>
      </c>
      <c r="S37">
        <v>49.74</v>
      </c>
      <c r="T37">
        <v>20.48</v>
      </c>
      <c r="U37" t="s">
        <v>180</v>
      </c>
      <c r="V37" t="s">
        <v>159</v>
      </c>
      <c r="W37" t="s">
        <v>2099</v>
      </c>
      <c r="X37" t="s">
        <v>2108</v>
      </c>
      <c r="Y37">
        <v>318</v>
      </c>
      <c r="Z37">
        <v>61.62</v>
      </c>
      <c r="AA37">
        <v>20.84</v>
      </c>
      <c r="AB37" t="s">
        <v>14</v>
      </c>
      <c r="AC37" t="s">
        <v>20</v>
      </c>
      <c r="AD37" t="s">
        <v>2087</v>
      </c>
      <c r="AE37" t="s">
        <v>2107</v>
      </c>
    </row>
    <row r="38" spans="1:31">
      <c r="A38" t="s">
        <v>1063</v>
      </c>
      <c r="B38" s="1">
        <v>45280</v>
      </c>
      <c r="C38" t="s">
        <v>245</v>
      </c>
      <c r="D38">
        <v>2023</v>
      </c>
      <c r="E38" t="s">
        <v>184</v>
      </c>
      <c r="F38" t="s">
        <v>1064</v>
      </c>
      <c r="G38" t="s">
        <v>117</v>
      </c>
      <c r="H38" t="s">
        <v>118</v>
      </c>
      <c r="I38" t="s">
        <v>115</v>
      </c>
      <c r="J38" t="s">
        <v>119</v>
      </c>
      <c r="K38" t="s">
        <v>164</v>
      </c>
      <c r="L38" t="s">
        <v>204</v>
      </c>
      <c r="M38">
        <v>1</v>
      </c>
      <c r="N38">
        <v>93.41</v>
      </c>
      <c r="O38">
        <v>93.41</v>
      </c>
      <c r="P38">
        <v>0</v>
      </c>
      <c r="Q38">
        <v>0</v>
      </c>
      <c r="R38">
        <v>93.41</v>
      </c>
      <c r="S38">
        <v>64.05</v>
      </c>
      <c r="T38">
        <v>29.36</v>
      </c>
      <c r="U38" t="s">
        <v>180</v>
      </c>
      <c r="V38" t="s">
        <v>159</v>
      </c>
      <c r="W38" t="s">
        <v>2099</v>
      </c>
      <c r="X38" t="s">
        <v>2086</v>
      </c>
      <c r="Y38">
        <v>255</v>
      </c>
      <c r="Z38">
        <v>92.55</v>
      </c>
      <c r="AA38">
        <v>79.12</v>
      </c>
      <c r="AB38" t="s">
        <v>115</v>
      </c>
      <c r="AC38" t="s">
        <v>16</v>
      </c>
      <c r="AD38" t="s">
        <v>2087</v>
      </c>
      <c r="AE38" t="s">
        <v>2107</v>
      </c>
    </row>
    <row r="39" spans="1:31">
      <c r="A39" t="s">
        <v>1417</v>
      </c>
      <c r="B39" s="1">
        <v>45280</v>
      </c>
      <c r="C39" t="s">
        <v>245</v>
      </c>
      <c r="D39">
        <v>2023</v>
      </c>
      <c r="E39" t="s">
        <v>184</v>
      </c>
      <c r="F39" t="s">
        <v>1418</v>
      </c>
      <c r="G39" t="s">
        <v>48</v>
      </c>
      <c r="H39" t="s">
        <v>49</v>
      </c>
      <c r="I39" t="s">
        <v>41</v>
      </c>
      <c r="J39" t="s">
        <v>42</v>
      </c>
      <c r="K39" t="s">
        <v>178</v>
      </c>
      <c r="L39" t="s">
        <v>232</v>
      </c>
      <c r="M39">
        <v>3</v>
      </c>
      <c r="N39">
        <v>84.95</v>
      </c>
      <c r="O39">
        <v>254.85000000000002</v>
      </c>
      <c r="P39">
        <v>0</v>
      </c>
      <c r="Q39">
        <v>0</v>
      </c>
      <c r="R39">
        <v>254.85</v>
      </c>
      <c r="S39">
        <v>159.21</v>
      </c>
      <c r="T39">
        <v>95.64</v>
      </c>
      <c r="U39" t="s">
        <v>166</v>
      </c>
      <c r="V39" t="s">
        <v>181</v>
      </c>
      <c r="W39" t="s">
        <v>2099</v>
      </c>
      <c r="X39" t="s">
        <v>2094</v>
      </c>
      <c r="Y39">
        <v>326</v>
      </c>
      <c r="Z39">
        <v>50.54</v>
      </c>
      <c r="AA39">
        <v>78.72</v>
      </c>
      <c r="AB39" t="s">
        <v>41</v>
      </c>
      <c r="AC39" t="s">
        <v>16</v>
      </c>
      <c r="AD39" t="s">
        <v>2087</v>
      </c>
      <c r="AE39" t="s">
        <v>2109</v>
      </c>
    </row>
    <row r="40" spans="1:31">
      <c r="A40" t="s">
        <v>1301</v>
      </c>
      <c r="B40" s="1">
        <v>45279</v>
      </c>
      <c r="C40" t="s">
        <v>245</v>
      </c>
      <c r="D40">
        <v>2023</v>
      </c>
      <c r="E40" t="s">
        <v>184</v>
      </c>
      <c r="F40" t="s">
        <v>1302</v>
      </c>
      <c r="G40" t="s">
        <v>33</v>
      </c>
      <c r="H40" t="s">
        <v>34</v>
      </c>
      <c r="I40" t="s">
        <v>14</v>
      </c>
      <c r="J40" t="s">
        <v>27</v>
      </c>
      <c r="K40" t="s">
        <v>209</v>
      </c>
      <c r="L40" t="s">
        <v>165</v>
      </c>
      <c r="M40">
        <v>4</v>
      </c>
      <c r="N40">
        <v>124.26</v>
      </c>
      <c r="O40">
        <v>497.04</v>
      </c>
      <c r="P40">
        <v>0</v>
      </c>
      <c r="Q40">
        <v>0</v>
      </c>
      <c r="R40">
        <v>497.04</v>
      </c>
      <c r="S40">
        <v>210.48</v>
      </c>
      <c r="T40">
        <v>286.56</v>
      </c>
      <c r="U40" t="s">
        <v>190</v>
      </c>
      <c r="V40" t="s">
        <v>186</v>
      </c>
      <c r="W40" t="s">
        <v>2113</v>
      </c>
      <c r="X40" t="s">
        <v>2108</v>
      </c>
      <c r="Y40">
        <v>353</v>
      </c>
      <c r="Z40">
        <v>295.93</v>
      </c>
      <c r="AA40">
        <v>46.74</v>
      </c>
      <c r="AB40" t="s">
        <v>41</v>
      </c>
      <c r="AC40" t="s">
        <v>20</v>
      </c>
      <c r="AD40" t="s">
        <v>2087</v>
      </c>
      <c r="AE40" t="s">
        <v>2107</v>
      </c>
    </row>
    <row r="41" spans="1:31">
      <c r="A41" t="s">
        <v>1526</v>
      </c>
      <c r="B41" s="1">
        <v>45279</v>
      </c>
      <c r="C41" t="s">
        <v>245</v>
      </c>
      <c r="D41">
        <v>2023</v>
      </c>
      <c r="E41" t="s">
        <v>184</v>
      </c>
      <c r="F41" t="s">
        <v>1527</v>
      </c>
      <c r="G41" t="s">
        <v>28</v>
      </c>
      <c r="H41" t="s">
        <v>29</v>
      </c>
      <c r="I41" t="s">
        <v>14</v>
      </c>
      <c r="J41" t="s">
        <v>19</v>
      </c>
      <c r="K41" t="s">
        <v>178</v>
      </c>
      <c r="L41" t="s">
        <v>204</v>
      </c>
      <c r="M41">
        <v>4</v>
      </c>
      <c r="N41">
        <v>26.46</v>
      </c>
      <c r="O41">
        <v>105.84</v>
      </c>
      <c r="P41">
        <v>15</v>
      </c>
      <c r="Q41">
        <v>15.88</v>
      </c>
      <c r="R41">
        <v>89.96</v>
      </c>
      <c r="S41">
        <v>77.680000000000007</v>
      </c>
      <c r="T41">
        <v>12.28</v>
      </c>
      <c r="U41" t="s">
        <v>166</v>
      </c>
      <c r="V41" t="s">
        <v>159</v>
      </c>
      <c r="W41" t="s">
        <v>2097</v>
      </c>
      <c r="X41" t="s">
        <v>2111</v>
      </c>
      <c r="Y41">
        <v>184</v>
      </c>
      <c r="Z41">
        <v>755.67</v>
      </c>
      <c r="AA41">
        <v>135.19999999999999</v>
      </c>
      <c r="AB41" t="s">
        <v>115</v>
      </c>
      <c r="AC41" t="s">
        <v>16</v>
      </c>
      <c r="AD41" t="s">
        <v>2095</v>
      </c>
      <c r="AE41" t="s">
        <v>2109</v>
      </c>
    </row>
    <row r="42" spans="1:31">
      <c r="A42" t="s">
        <v>624</v>
      </c>
      <c r="B42" s="1">
        <v>45278</v>
      </c>
      <c r="C42" t="s">
        <v>245</v>
      </c>
      <c r="D42">
        <v>2023</v>
      </c>
      <c r="E42" t="s">
        <v>184</v>
      </c>
      <c r="F42" t="s">
        <v>625</v>
      </c>
      <c r="G42" t="s">
        <v>62</v>
      </c>
      <c r="H42" t="s">
        <v>63</v>
      </c>
      <c r="I42" t="s">
        <v>41</v>
      </c>
      <c r="J42" t="s">
        <v>45</v>
      </c>
      <c r="K42" t="s">
        <v>178</v>
      </c>
      <c r="L42" t="s">
        <v>165</v>
      </c>
      <c r="M42">
        <v>2</v>
      </c>
      <c r="N42">
        <v>160.35</v>
      </c>
      <c r="O42">
        <v>320.7</v>
      </c>
      <c r="P42">
        <v>5</v>
      </c>
      <c r="Q42">
        <v>16.04</v>
      </c>
      <c r="R42">
        <v>304.66000000000003</v>
      </c>
      <c r="S42">
        <v>144.94</v>
      </c>
      <c r="T42">
        <v>159.72</v>
      </c>
      <c r="U42" t="s">
        <v>158</v>
      </c>
      <c r="V42" t="s">
        <v>159</v>
      </c>
      <c r="W42" t="s">
        <v>2099</v>
      </c>
      <c r="X42" t="s">
        <v>2108</v>
      </c>
      <c r="Y42">
        <v>165</v>
      </c>
      <c r="Z42">
        <v>89.93</v>
      </c>
      <c r="AA42">
        <v>36.57</v>
      </c>
      <c r="AB42" t="s">
        <v>14</v>
      </c>
      <c r="AC42" t="s">
        <v>16</v>
      </c>
      <c r="AD42" t="s">
        <v>2095</v>
      </c>
      <c r="AE42" t="s">
        <v>2096</v>
      </c>
    </row>
    <row r="43" spans="1:31">
      <c r="A43" t="s">
        <v>1477</v>
      </c>
      <c r="B43" s="1">
        <v>45278</v>
      </c>
      <c r="C43" t="s">
        <v>245</v>
      </c>
      <c r="D43">
        <v>2023</v>
      </c>
      <c r="E43" t="s">
        <v>184</v>
      </c>
      <c r="F43" t="s">
        <v>518</v>
      </c>
      <c r="G43" t="s">
        <v>50</v>
      </c>
      <c r="H43" t="s">
        <v>51</v>
      </c>
      <c r="I43" t="s">
        <v>41</v>
      </c>
      <c r="J43" t="s">
        <v>52</v>
      </c>
      <c r="K43" t="s">
        <v>178</v>
      </c>
      <c r="L43" t="s">
        <v>174</v>
      </c>
      <c r="M43">
        <v>2</v>
      </c>
      <c r="N43">
        <v>143.80000000000001</v>
      </c>
      <c r="O43">
        <v>287.60000000000002</v>
      </c>
      <c r="P43">
        <v>0</v>
      </c>
      <c r="Q43">
        <v>0</v>
      </c>
      <c r="R43">
        <v>287.60000000000002</v>
      </c>
      <c r="S43">
        <v>124.3</v>
      </c>
      <c r="T43">
        <v>163.30000000000001</v>
      </c>
      <c r="U43" t="s">
        <v>180</v>
      </c>
      <c r="V43" t="s">
        <v>159</v>
      </c>
      <c r="W43" t="s">
        <v>2093</v>
      </c>
      <c r="X43" t="s">
        <v>2108</v>
      </c>
      <c r="Y43">
        <v>270</v>
      </c>
      <c r="Z43">
        <v>154.62</v>
      </c>
      <c r="AA43">
        <v>30.24</v>
      </c>
      <c r="AB43" t="s">
        <v>41</v>
      </c>
      <c r="AC43" t="s">
        <v>16</v>
      </c>
      <c r="AD43" t="s">
        <v>2087</v>
      </c>
      <c r="AE43" t="s">
        <v>2096</v>
      </c>
    </row>
    <row r="44" spans="1:31">
      <c r="A44" t="s">
        <v>380</v>
      </c>
      <c r="B44" s="1">
        <v>45278</v>
      </c>
      <c r="C44" t="s">
        <v>245</v>
      </c>
      <c r="D44">
        <v>2023</v>
      </c>
      <c r="E44" t="s">
        <v>184</v>
      </c>
      <c r="F44" t="s">
        <v>381</v>
      </c>
      <c r="G44" t="s">
        <v>88</v>
      </c>
      <c r="H44" t="s">
        <v>89</v>
      </c>
      <c r="I44" t="s">
        <v>90</v>
      </c>
      <c r="J44" t="s">
        <v>91</v>
      </c>
      <c r="K44" t="s">
        <v>164</v>
      </c>
      <c r="L44" t="s">
        <v>165</v>
      </c>
      <c r="M44">
        <v>4</v>
      </c>
      <c r="N44">
        <v>54.64</v>
      </c>
      <c r="O44">
        <v>218.56</v>
      </c>
      <c r="P44">
        <v>5</v>
      </c>
      <c r="Q44">
        <v>10.93</v>
      </c>
      <c r="R44">
        <v>207.63</v>
      </c>
      <c r="S44">
        <v>81.28</v>
      </c>
      <c r="T44">
        <v>126.35</v>
      </c>
      <c r="U44" t="s">
        <v>180</v>
      </c>
      <c r="V44" t="s">
        <v>159</v>
      </c>
      <c r="W44" t="s">
        <v>2099</v>
      </c>
      <c r="X44" t="s">
        <v>2091</v>
      </c>
      <c r="Y44">
        <v>285</v>
      </c>
      <c r="Z44">
        <v>118.39</v>
      </c>
      <c r="AA44">
        <v>42.9</v>
      </c>
      <c r="AB44" t="s">
        <v>90</v>
      </c>
      <c r="AC44" t="s">
        <v>16</v>
      </c>
      <c r="AD44" t="s">
        <v>2095</v>
      </c>
      <c r="AE44" t="s">
        <v>2121</v>
      </c>
    </row>
    <row r="45" spans="1:31">
      <c r="A45" t="s">
        <v>1307</v>
      </c>
      <c r="B45" s="1">
        <v>45278</v>
      </c>
      <c r="C45" t="s">
        <v>245</v>
      </c>
      <c r="D45">
        <v>2023</v>
      </c>
      <c r="E45" t="s">
        <v>184</v>
      </c>
      <c r="F45" t="s">
        <v>1308</v>
      </c>
      <c r="G45" t="s">
        <v>105</v>
      </c>
      <c r="H45" t="s">
        <v>106</v>
      </c>
      <c r="I45" t="s">
        <v>90</v>
      </c>
      <c r="J45" t="s">
        <v>91</v>
      </c>
      <c r="K45" t="s">
        <v>209</v>
      </c>
      <c r="L45" t="s">
        <v>165</v>
      </c>
      <c r="M45">
        <v>2</v>
      </c>
      <c r="N45">
        <v>36.35</v>
      </c>
      <c r="O45">
        <v>72.7</v>
      </c>
      <c r="P45">
        <v>10</v>
      </c>
      <c r="Q45">
        <v>7.27</v>
      </c>
      <c r="R45">
        <v>65.430000000000007</v>
      </c>
      <c r="S45">
        <v>60.04</v>
      </c>
      <c r="T45">
        <v>5.39</v>
      </c>
      <c r="U45" t="s">
        <v>195</v>
      </c>
      <c r="V45" t="s">
        <v>159</v>
      </c>
      <c r="W45" t="s">
        <v>2090</v>
      </c>
      <c r="X45" t="s">
        <v>2108</v>
      </c>
      <c r="Y45">
        <v>77</v>
      </c>
      <c r="Z45">
        <v>254.04</v>
      </c>
      <c r="AA45">
        <v>115.32</v>
      </c>
      <c r="AB45" t="s">
        <v>66</v>
      </c>
      <c r="AC45" t="s">
        <v>20</v>
      </c>
      <c r="AD45" t="s">
        <v>2095</v>
      </c>
      <c r="AE45" t="s">
        <v>2096</v>
      </c>
    </row>
    <row r="46" spans="1:31">
      <c r="A46" t="s">
        <v>1989</v>
      </c>
      <c r="B46" s="1">
        <v>45278</v>
      </c>
      <c r="C46" t="s">
        <v>245</v>
      </c>
      <c r="D46">
        <v>2023</v>
      </c>
      <c r="E46" t="s">
        <v>184</v>
      </c>
      <c r="F46" t="s">
        <v>1558</v>
      </c>
      <c r="G46" t="s">
        <v>86</v>
      </c>
      <c r="H46" t="s">
        <v>87</v>
      </c>
      <c r="I46" t="s">
        <v>66</v>
      </c>
      <c r="J46" t="s">
        <v>67</v>
      </c>
      <c r="K46" t="s">
        <v>156</v>
      </c>
      <c r="L46" t="s">
        <v>204</v>
      </c>
      <c r="M46">
        <v>2</v>
      </c>
      <c r="N46">
        <v>124.77</v>
      </c>
      <c r="O46">
        <v>249.54</v>
      </c>
      <c r="P46">
        <v>15</v>
      </c>
      <c r="Q46">
        <v>37.43</v>
      </c>
      <c r="R46">
        <v>212.11</v>
      </c>
      <c r="S46">
        <v>139.28</v>
      </c>
      <c r="T46">
        <v>72.83</v>
      </c>
      <c r="U46" t="s">
        <v>166</v>
      </c>
      <c r="V46" t="s">
        <v>181</v>
      </c>
      <c r="W46" t="s">
        <v>2090</v>
      </c>
      <c r="X46" t="s">
        <v>2100</v>
      </c>
      <c r="Y46">
        <v>191</v>
      </c>
      <c r="Z46">
        <v>291.95999999999998</v>
      </c>
      <c r="AA46">
        <v>54</v>
      </c>
      <c r="AB46" t="s">
        <v>14</v>
      </c>
      <c r="AC46" t="s">
        <v>16</v>
      </c>
      <c r="AD46" t="s">
        <v>2087</v>
      </c>
      <c r="AE46" t="s">
        <v>2109</v>
      </c>
    </row>
    <row r="47" spans="1:31">
      <c r="A47" t="s">
        <v>701</v>
      </c>
      <c r="B47" s="1">
        <v>45277</v>
      </c>
      <c r="C47" t="s">
        <v>245</v>
      </c>
      <c r="D47">
        <v>2023</v>
      </c>
      <c r="E47" t="s">
        <v>184</v>
      </c>
      <c r="F47" t="s">
        <v>702</v>
      </c>
      <c r="G47" t="s">
        <v>53</v>
      </c>
      <c r="H47" t="s">
        <v>54</v>
      </c>
      <c r="I47" t="s">
        <v>41</v>
      </c>
      <c r="J47" t="s">
        <v>45</v>
      </c>
      <c r="K47" t="s">
        <v>209</v>
      </c>
      <c r="L47" t="s">
        <v>165</v>
      </c>
      <c r="M47">
        <v>2</v>
      </c>
      <c r="N47">
        <v>51.98</v>
      </c>
      <c r="O47">
        <v>103.96</v>
      </c>
      <c r="P47">
        <v>0</v>
      </c>
      <c r="Q47">
        <v>0</v>
      </c>
      <c r="R47">
        <v>103.96</v>
      </c>
      <c r="S47">
        <v>66.08</v>
      </c>
      <c r="T47">
        <v>37.880000000000003</v>
      </c>
      <c r="U47" t="s">
        <v>158</v>
      </c>
      <c r="V47" t="s">
        <v>159</v>
      </c>
      <c r="W47" t="s">
        <v>2093</v>
      </c>
      <c r="X47" t="s">
        <v>2100</v>
      </c>
      <c r="Y47">
        <v>315</v>
      </c>
      <c r="Z47">
        <v>159.66</v>
      </c>
      <c r="AA47">
        <v>22.98</v>
      </c>
      <c r="AB47" t="s">
        <v>66</v>
      </c>
      <c r="AC47" t="s">
        <v>20</v>
      </c>
      <c r="AD47" t="s">
        <v>2095</v>
      </c>
      <c r="AE47" t="s">
        <v>2107</v>
      </c>
    </row>
    <row r="48" spans="1:31">
      <c r="A48" t="s">
        <v>1733</v>
      </c>
      <c r="B48" s="1">
        <v>45277</v>
      </c>
      <c r="C48" t="s">
        <v>245</v>
      </c>
      <c r="D48">
        <v>2023</v>
      </c>
      <c r="E48" t="s">
        <v>184</v>
      </c>
      <c r="F48" t="s">
        <v>1734</v>
      </c>
      <c r="G48" t="s">
        <v>101</v>
      </c>
      <c r="H48" t="s">
        <v>102</v>
      </c>
      <c r="I48" t="s">
        <v>90</v>
      </c>
      <c r="J48" t="s">
        <v>100</v>
      </c>
      <c r="K48" t="s">
        <v>178</v>
      </c>
      <c r="L48" t="s">
        <v>165</v>
      </c>
      <c r="M48">
        <v>2</v>
      </c>
      <c r="N48">
        <v>196.28</v>
      </c>
      <c r="O48">
        <v>392.56</v>
      </c>
      <c r="P48">
        <v>20</v>
      </c>
      <c r="Q48">
        <v>78.510000000000005</v>
      </c>
      <c r="R48">
        <v>314.05</v>
      </c>
      <c r="S48">
        <v>143.46</v>
      </c>
      <c r="T48">
        <v>170.59</v>
      </c>
      <c r="U48" t="s">
        <v>158</v>
      </c>
      <c r="V48" t="s">
        <v>181</v>
      </c>
      <c r="W48" t="s">
        <v>2113</v>
      </c>
      <c r="X48" t="s">
        <v>2111</v>
      </c>
      <c r="Y48">
        <v>359</v>
      </c>
      <c r="Z48">
        <v>491.21</v>
      </c>
      <c r="AA48">
        <v>70.510000000000005</v>
      </c>
      <c r="AB48" t="s">
        <v>66</v>
      </c>
      <c r="AC48" t="s">
        <v>20</v>
      </c>
      <c r="AD48" t="s">
        <v>2106</v>
      </c>
      <c r="AE48" t="s">
        <v>2121</v>
      </c>
    </row>
    <row r="49" spans="1:31">
      <c r="A49" t="s">
        <v>1892</v>
      </c>
      <c r="B49" s="1">
        <v>45277</v>
      </c>
      <c r="C49" t="s">
        <v>245</v>
      </c>
      <c r="D49">
        <v>2023</v>
      </c>
      <c r="E49" t="s">
        <v>184</v>
      </c>
      <c r="F49" t="s">
        <v>1507</v>
      </c>
      <c r="G49" t="s">
        <v>53</v>
      </c>
      <c r="H49" t="s">
        <v>54</v>
      </c>
      <c r="I49" t="s">
        <v>41</v>
      </c>
      <c r="J49" t="s">
        <v>45</v>
      </c>
      <c r="K49" t="s">
        <v>178</v>
      </c>
      <c r="L49" t="s">
        <v>179</v>
      </c>
      <c r="M49">
        <v>2</v>
      </c>
      <c r="N49">
        <v>51.98</v>
      </c>
      <c r="O49">
        <v>103.96</v>
      </c>
      <c r="P49">
        <v>15</v>
      </c>
      <c r="Q49">
        <v>15.59</v>
      </c>
      <c r="R49">
        <v>88.37</v>
      </c>
      <c r="S49">
        <v>66.08</v>
      </c>
      <c r="T49">
        <v>22.29</v>
      </c>
      <c r="U49" t="s">
        <v>180</v>
      </c>
      <c r="V49" t="s">
        <v>186</v>
      </c>
      <c r="W49" t="s">
        <v>2085</v>
      </c>
      <c r="X49" t="s">
        <v>2111</v>
      </c>
      <c r="Y49">
        <v>141</v>
      </c>
      <c r="Z49">
        <v>822.54</v>
      </c>
      <c r="AA49">
        <v>215.07</v>
      </c>
      <c r="AB49" t="s">
        <v>115</v>
      </c>
      <c r="AC49" t="s">
        <v>20</v>
      </c>
      <c r="AD49" t="s">
        <v>2106</v>
      </c>
      <c r="AE49" t="s">
        <v>2096</v>
      </c>
    </row>
    <row r="50" spans="1:31">
      <c r="A50" t="s">
        <v>1439</v>
      </c>
      <c r="B50" s="1">
        <v>45277</v>
      </c>
      <c r="C50" t="s">
        <v>245</v>
      </c>
      <c r="D50">
        <v>2023</v>
      </c>
      <c r="E50" t="s">
        <v>184</v>
      </c>
      <c r="F50" t="s">
        <v>1440</v>
      </c>
      <c r="G50" t="s">
        <v>135</v>
      </c>
      <c r="H50" t="s">
        <v>136</v>
      </c>
      <c r="I50" t="s">
        <v>115</v>
      </c>
      <c r="J50" t="s">
        <v>119</v>
      </c>
      <c r="K50" t="s">
        <v>209</v>
      </c>
      <c r="L50" t="s">
        <v>174</v>
      </c>
      <c r="M50">
        <v>4</v>
      </c>
      <c r="N50">
        <v>89.62</v>
      </c>
      <c r="O50">
        <v>358.48</v>
      </c>
      <c r="P50">
        <v>0</v>
      </c>
      <c r="Q50">
        <v>0</v>
      </c>
      <c r="R50">
        <v>358.48</v>
      </c>
      <c r="S50">
        <v>152.52000000000001</v>
      </c>
      <c r="T50">
        <v>205.96</v>
      </c>
      <c r="U50" t="s">
        <v>180</v>
      </c>
      <c r="V50" t="s">
        <v>186</v>
      </c>
      <c r="W50" t="s">
        <v>2090</v>
      </c>
      <c r="X50" t="s">
        <v>2094</v>
      </c>
      <c r="Y50">
        <v>326</v>
      </c>
      <c r="Z50">
        <v>223.19</v>
      </c>
      <c r="AA50">
        <v>111.89</v>
      </c>
      <c r="AB50" t="s">
        <v>115</v>
      </c>
      <c r="AC50" t="s">
        <v>16</v>
      </c>
      <c r="AD50" t="s">
        <v>2106</v>
      </c>
      <c r="AE50" t="s">
        <v>2121</v>
      </c>
    </row>
    <row r="51" spans="1:31">
      <c r="A51" t="s">
        <v>1917</v>
      </c>
      <c r="B51" s="1">
        <v>45277</v>
      </c>
      <c r="C51" t="s">
        <v>245</v>
      </c>
      <c r="D51">
        <v>2023</v>
      </c>
      <c r="E51" t="s">
        <v>184</v>
      </c>
      <c r="F51" t="s">
        <v>1918</v>
      </c>
      <c r="G51" t="s">
        <v>113</v>
      </c>
      <c r="H51" t="s">
        <v>114</v>
      </c>
      <c r="I51" t="s">
        <v>115</v>
      </c>
      <c r="J51" t="s">
        <v>116</v>
      </c>
      <c r="K51" t="s">
        <v>156</v>
      </c>
      <c r="L51" t="s">
        <v>179</v>
      </c>
      <c r="M51">
        <v>3</v>
      </c>
      <c r="N51">
        <v>18.7</v>
      </c>
      <c r="O51">
        <v>56.099999999999994</v>
      </c>
      <c r="P51">
        <v>20</v>
      </c>
      <c r="Q51">
        <v>11.22</v>
      </c>
      <c r="R51">
        <v>44.88</v>
      </c>
      <c r="S51">
        <v>20.58</v>
      </c>
      <c r="T51">
        <v>24.3</v>
      </c>
      <c r="U51" t="s">
        <v>180</v>
      </c>
      <c r="V51" t="s">
        <v>186</v>
      </c>
      <c r="W51" t="s">
        <v>2099</v>
      </c>
      <c r="X51" t="s">
        <v>2100</v>
      </c>
      <c r="Y51">
        <v>206</v>
      </c>
      <c r="Z51">
        <v>131.4</v>
      </c>
      <c r="AA51">
        <v>84.75</v>
      </c>
      <c r="AB51" t="s">
        <v>90</v>
      </c>
      <c r="AC51" t="s">
        <v>16</v>
      </c>
      <c r="AD51" t="s">
        <v>2095</v>
      </c>
      <c r="AE51" t="s">
        <v>2088</v>
      </c>
    </row>
    <row r="52" spans="1:31">
      <c r="A52" t="s">
        <v>789</v>
      </c>
      <c r="B52" s="1">
        <v>45277</v>
      </c>
      <c r="C52" t="s">
        <v>245</v>
      </c>
      <c r="D52">
        <v>2023</v>
      </c>
      <c r="E52" t="s">
        <v>184</v>
      </c>
      <c r="F52" t="s">
        <v>790</v>
      </c>
      <c r="G52" t="s">
        <v>95</v>
      </c>
      <c r="H52" t="s">
        <v>96</v>
      </c>
      <c r="I52" t="s">
        <v>90</v>
      </c>
      <c r="J52" t="s">
        <v>97</v>
      </c>
      <c r="K52" t="s">
        <v>164</v>
      </c>
      <c r="L52" t="s">
        <v>165</v>
      </c>
      <c r="M52">
        <v>4</v>
      </c>
      <c r="N52">
        <v>177.41</v>
      </c>
      <c r="O52">
        <v>709.64</v>
      </c>
      <c r="P52">
        <v>5</v>
      </c>
      <c r="Q52">
        <v>35.479999999999997</v>
      </c>
      <c r="R52">
        <v>674.16</v>
      </c>
      <c r="S52">
        <v>299.95999999999998</v>
      </c>
      <c r="T52">
        <v>374.2</v>
      </c>
      <c r="U52" t="s">
        <v>180</v>
      </c>
      <c r="V52" t="s">
        <v>186</v>
      </c>
      <c r="W52" t="s">
        <v>2097</v>
      </c>
      <c r="X52" t="s">
        <v>2111</v>
      </c>
      <c r="Y52">
        <v>289</v>
      </c>
      <c r="Z52">
        <v>466.98</v>
      </c>
      <c r="AA52">
        <v>83.85</v>
      </c>
      <c r="AB52" t="s">
        <v>41</v>
      </c>
      <c r="AC52" t="s">
        <v>20</v>
      </c>
      <c r="AD52" t="s">
        <v>2095</v>
      </c>
      <c r="AE52" t="s">
        <v>2096</v>
      </c>
    </row>
    <row r="53" spans="1:31">
      <c r="A53" t="s">
        <v>983</v>
      </c>
      <c r="B53" s="1">
        <v>45276</v>
      </c>
      <c r="C53" t="s">
        <v>245</v>
      </c>
      <c r="D53">
        <v>2023</v>
      </c>
      <c r="E53" t="s">
        <v>184</v>
      </c>
      <c r="F53" t="s">
        <v>984</v>
      </c>
      <c r="G53" t="s">
        <v>21</v>
      </c>
      <c r="H53" t="s">
        <v>22</v>
      </c>
      <c r="I53" t="s">
        <v>14</v>
      </c>
      <c r="J53" t="s">
        <v>15</v>
      </c>
      <c r="K53" t="s">
        <v>156</v>
      </c>
      <c r="L53" t="s">
        <v>179</v>
      </c>
      <c r="M53">
        <v>4</v>
      </c>
      <c r="N53">
        <v>65.430000000000007</v>
      </c>
      <c r="O53">
        <v>261.72000000000003</v>
      </c>
      <c r="P53">
        <v>0</v>
      </c>
      <c r="Q53">
        <v>0</v>
      </c>
      <c r="R53">
        <v>261.72000000000003</v>
      </c>
      <c r="S53">
        <v>154.76</v>
      </c>
      <c r="T53">
        <v>106.96</v>
      </c>
      <c r="U53" t="s">
        <v>190</v>
      </c>
      <c r="V53" t="s">
        <v>181</v>
      </c>
      <c r="W53" t="s">
        <v>2113</v>
      </c>
      <c r="X53" t="s">
        <v>2111</v>
      </c>
      <c r="Y53">
        <v>53</v>
      </c>
      <c r="Z53">
        <v>320.77999999999997</v>
      </c>
      <c r="AA53">
        <v>53.33</v>
      </c>
      <c r="AB53" t="s">
        <v>14</v>
      </c>
      <c r="AC53" t="s">
        <v>20</v>
      </c>
      <c r="AD53" t="s">
        <v>2087</v>
      </c>
      <c r="AE53" t="s">
        <v>2096</v>
      </c>
    </row>
    <row r="54" spans="1:31">
      <c r="A54" t="s">
        <v>1637</v>
      </c>
      <c r="B54" s="1">
        <v>45276</v>
      </c>
      <c r="C54" t="s">
        <v>245</v>
      </c>
      <c r="D54">
        <v>2023</v>
      </c>
      <c r="E54" t="s">
        <v>184</v>
      </c>
      <c r="F54" t="s">
        <v>1638</v>
      </c>
      <c r="G54" t="s">
        <v>122</v>
      </c>
      <c r="H54" t="s">
        <v>123</v>
      </c>
      <c r="I54" t="s">
        <v>115</v>
      </c>
      <c r="J54" t="s">
        <v>124</v>
      </c>
      <c r="K54" t="s">
        <v>209</v>
      </c>
      <c r="L54" t="s">
        <v>174</v>
      </c>
      <c r="M54">
        <v>3</v>
      </c>
      <c r="N54">
        <v>93.88</v>
      </c>
      <c r="O54">
        <v>281.64</v>
      </c>
      <c r="P54">
        <v>10</v>
      </c>
      <c r="Q54">
        <v>28.16</v>
      </c>
      <c r="R54">
        <v>253.48</v>
      </c>
      <c r="S54">
        <v>159.33000000000001</v>
      </c>
      <c r="T54">
        <v>94.15</v>
      </c>
      <c r="U54" t="s">
        <v>166</v>
      </c>
      <c r="V54" t="s">
        <v>159</v>
      </c>
      <c r="W54" t="s">
        <v>2085</v>
      </c>
      <c r="X54" t="s">
        <v>2100</v>
      </c>
      <c r="Y54">
        <v>327</v>
      </c>
      <c r="Z54">
        <v>1469.98</v>
      </c>
      <c r="AA54">
        <v>142.44</v>
      </c>
      <c r="AB54" t="s">
        <v>90</v>
      </c>
      <c r="AC54" t="s">
        <v>20</v>
      </c>
      <c r="AD54" t="s">
        <v>2106</v>
      </c>
      <c r="AE54" t="s">
        <v>2121</v>
      </c>
    </row>
    <row r="55" spans="1:31">
      <c r="A55" t="s">
        <v>326</v>
      </c>
      <c r="B55" s="1">
        <v>45276</v>
      </c>
      <c r="C55" t="s">
        <v>245</v>
      </c>
      <c r="D55">
        <v>2023</v>
      </c>
      <c r="E55" t="s">
        <v>184</v>
      </c>
      <c r="F55" t="s">
        <v>327</v>
      </c>
      <c r="G55" t="s">
        <v>111</v>
      </c>
      <c r="H55" t="s">
        <v>112</v>
      </c>
      <c r="I55" t="s">
        <v>90</v>
      </c>
      <c r="J55" t="s">
        <v>97</v>
      </c>
      <c r="K55" t="s">
        <v>164</v>
      </c>
      <c r="L55" t="s">
        <v>232</v>
      </c>
      <c r="M55">
        <v>4</v>
      </c>
      <c r="N55">
        <v>189.99</v>
      </c>
      <c r="O55">
        <v>759.96</v>
      </c>
      <c r="P55">
        <v>10</v>
      </c>
      <c r="Q55">
        <v>76</v>
      </c>
      <c r="R55">
        <v>683.96</v>
      </c>
      <c r="S55">
        <v>254.04</v>
      </c>
      <c r="T55">
        <v>429.92</v>
      </c>
      <c r="U55" t="s">
        <v>190</v>
      </c>
      <c r="V55" t="s">
        <v>159</v>
      </c>
      <c r="W55" t="s">
        <v>2093</v>
      </c>
      <c r="X55" t="s">
        <v>2108</v>
      </c>
      <c r="Y55">
        <v>359</v>
      </c>
      <c r="Z55">
        <v>169.34</v>
      </c>
      <c r="AA55">
        <v>73.86</v>
      </c>
      <c r="AB55" t="s">
        <v>115</v>
      </c>
      <c r="AC55" t="s">
        <v>16</v>
      </c>
      <c r="AD55" t="s">
        <v>2095</v>
      </c>
      <c r="AE55" t="s">
        <v>2109</v>
      </c>
    </row>
    <row r="56" spans="1:31">
      <c r="A56" t="s">
        <v>1389</v>
      </c>
      <c r="B56" s="1">
        <v>45276</v>
      </c>
      <c r="C56" t="s">
        <v>245</v>
      </c>
      <c r="D56">
        <v>2023</v>
      </c>
      <c r="E56" t="s">
        <v>184</v>
      </c>
      <c r="F56" t="s">
        <v>502</v>
      </c>
      <c r="G56" t="s">
        <v>76</v>
      </c>
      <c r="H56" t="s">
        <v>77</v>
      </c>
      <c r="I56" t="s">
        <v>66</v>
      </c>
      <c r="J56" t="s">
        <v>67</v>
      </c>
      <c r="K56" t="s">
        <v>156</v>
      </c>
      <c r="L56" t="s">
        <v>232</v>
      </c>
      <c r="M56">
        <v>2</v>
      </c>
      <c r="N56">
        <v>118.07</v>
      </c>
      <c r="O56">
        <v>236.14</v>
      </c>
      <c r="P56">
        <v>10</v>
      </c>
      <c r="Q56">
        <v>23.61</v>
      </c>
      <c r="R56">
        <v>212.53</v>
      </c>
      <c r="S56">
        <v>79.400000000000006</v>
      </c>
      <c r="T56">
        <v>133.13</v>
      </c>
      <c r="U56" t="s">
        <v>195</v>
      </c>
      <c r="V56" t="s">
        <v>159</v>
      </c>
      <c r="W56" t="s">
        <v>2097</v>
      </c>
      <c r="X56" t="s">
        <v>2094</v>
      </c>
      <c r="Y56">
        <v>34</v>
      </c>
      <c r="Z56">
        <v>523.89</v>
      </c>
      <c r="AA56">
        <v>113.74</v>
      </c>
      <c r="AB56" t="s">
        <v>115</v>
      </c>
      <c r="AC56" t="s">
        <v>16</v>
      </c>
      <c r="AD56" t="s">
        <v>2106</v>
      </c>
      <c r="AE56" t="s">
        <v>2109</v>
      </c>
    </row>
    <row r="57" spans="1:31">
      <c r="A57" t="s">
        <v>324</v>
      </c>
      <c r="B57" s="1">
        <v>45276</v>
      </c>
      <c r="C57" t="s">
        <v>245</v>
      </c>
      <c r="D57">
        <v>2023</v>
      </c>
      <c r="E57" t="s">
        <v>184</v>
      </c>
      <c r="F57" t="s">
        <v>325</v>
      </c>
      <c r="G57" t="s">
        <v>53</v>
      </c>
      <c r="H57" t="s">
        <v>54</v>
      </c>
      <c r="I57" t="s">
        <v>41</v>
      </c>
      <c r="J57" t="s">
        <v>45</v>
      </c>
      <c r="K57" t="s">
        <v>156</v>
      </c>
      <c r="L57" t="s">
        <v>157</v>
      </c>
      <c r="M57">
        <v>4</v>
      </c>
      <c r="N57">
        <v>51.98</v>
      </c>
      <c r="O57">
        <v>207.92</v>
      </c>
      <c r="P57">
        <v>10</v>
      </c>
      <c r="Q57">
        <v>20.79</v>
      </c>
      <c r="R57">
        <v>187.13</v>
      </c>
      <c r="S57">
        <v>132.16</v>
      </c>
      <c r="T57">
        <v>54.97</v>
      </c>
      <c r="U57" t="s">
        <v>190</v>
      </c>
      <c r="V57" t="s">
        <v>159</v>
      </c>
      <c r="W57" t="s">
        <v>2093</v>
      </c>
      <c r="X57" t="s">
        <v>2094</v>
      </c>
      <c r="Y57">
        <v>231</v>
      </c>
      <c r="Z57">
        <v>162.56</v>
      </c>
      <c r="AA57">
        <v>69.459999999999994</v>
      </c>
      <c r="AB57" t="s">
        <v>41</v>
      </c>
      <c r="AC57" t="s">
        <v>16</v>
      </c>
      <c r="AD57" t="s">
        <v>2087</v>
      </c>
      <c r="AE57" t="s">
        <v>2121</v>
      </c>
    </row>
    <row r="58" spans="1:31">
      <c r="A58" t="s">
        <v>1291</v>
      </c>
      <c r="B58" s="1">
        <v>45276</v>
      </c>
      <c r="C58" t="s">
        <v>245</v>
      </c>
      <c r="D58">
        <v>2023</v>
      </c>
      <c r="E58" t="s">
        <v>184</v>
      </c>
      <c r="F58" t="s">
        <v>1116</v>
      </c>
      <c r="G58" t="s">
        <v>48</v>
      </c>
      <c r="H58" t="s">
        <v>49</v>
      </c>
      <c r="I58" t="s">
        <v>41</v>
      </c>
      <c r="J58" t="s">
        <v>42</v>
      </c>
      <c r="K58" t="s">
        <v>156</v>
      </c>
      <c r="L58" t="s">
        <v>204</v>
      </c>
      <c r="M58">
        <v>3</v>
      </c>
      <c r="N58">
        <v>84.95</v>
      </c>
      <c r="O58">
        <v>254.85000000000002</v>
      </c>
      <c r="P58">
        <v>0</v>
      </c>
      <c r="Q58">
        <v>0</v>
      </c>
      <c r="R58">
        <v>254.85</v>
      </c>
      <c r="S58">
        <v>159.21</v>
      </c>
      <c r="T58">
        <v>95.64</v>
      </c>
      <c r="U58" t="s">
        <v>190</v>
      </c>
      <c r="V58" t="s">
        <v>159</v>
      </c>
      <c r="W58" t="s">
        <v>2113</v>
      </c>
      <c r="X58" t="s">
        <v>2108</v>
      </c>
      <c r="Y58">
        <v>22</v>
      </c>
      <c r="Z58">
        <v>240.35</v>
      </c>
      <c r="AA58">
        <v>69.2</v>
      </c>
      <c r="AB58" t="s">
        <v>90</v>
      </c>
      <c r="AC58" t="s">
        <v>20</v>
      </c>
      <c r="AD58" t="s">
        <v>2095</v>
      </c>
      <c r="AE58" t="s">
        <v>2107</v>
      </c>
    </row>
    <row r="59" spans="1:31">
      <c r="A59" t="s">
        <v>1665</v>
      </c>
      <c r="B59" s="1">
        <v>45276</v>
      </c>
      <c r="C59" t="s">
        <v>245</v>
      </c>
      <c r="D59">
        <v>2023</v>
      </c>
      <c r="E59" t="s">
        <v>184</v>
      </c>
      <c r="F59" t="s">
        <v>1666</v>
      </c>
      <c r="G59" t="s">
        <v>105</v>
      </c>
      <c r="H59" t="s">
        <v>106</v>
      </c>
      <c r="I59" t="s">
        <v>90</v>
      </c>
      <c r="J59" t="s">
        <v>91</v>
      </c>
      <c r="K59" t="s">
        <v>164</v>
      </c>
      <c r="L59" t="s">
        <v>174</v>
      </c>
      <c r="M59">
        <v>3</v>
      </c>
      <c r="N59">
        <v>36.35</v>
      </c>
      <c r="O59">
        <v>109.05000000000001</v>
      </c>
      <c r="P59">
        <v>0</v>
      </c>
      <c r="Q59">
        <v>0</v>
      </c>
      <c r="R59">
        <v>109.05</v>
      </c>
      <c r="S59">
        <v>90.06</v>
      </c>
      <c r="T59">
        <v>18.989999999999998</v>
      </c>
      <c r="U59" t="s">
        <v>158</v>
      </c>
      <c r="V59" t="s">
        <v>159</v>
      </c>
      <c r="W59" t="s">
        <v>2097</v>
      </c>
      <c r="X59" t="s">
        <v>2111</v>
      </c>
      <c r="Y59">
        <v>187</v>
      </c>
      <c r="Z59">
        <v>349.79</v>
      </c>
      <c r="AA59">
        <v>114.63</v>
      </c>
      <c r="AB59" t="s">
        <v>41</v>
      </c>
      <c r="AC59" t="s">
        <v>20</v>
      </c>
      <c r="AD59" t="s">
        <v>2087</v>
      </c>
      <c r="AE59" t="s">
        <v>2096</v>
      </c>
    </row>
    <row r="60" spans="1:31">
      <c r="A60" t="s">
        <v>1975</v>
      </c>
      <c r="B60" s="1">
        <v>45275</v>
      </c>
      <c r="C60" t="s">
        <v>245</v>
      </c>
      <c r="D60">
        <v>2023</v>
      </c>
      <c r="E60" t="s">
        <v>184</v>
      </c>
      <c r="F60" t="s">
        <v>1918</v>
      </c>
      <c r="G60" t="s">
        <v>17</v>
      </c>
      <c r="H60" t="s">
        <v>18</v>
      </c>
      <c r="I60" t="s">
        <v>14</v>
      </c>
      <c r="J60" t="s">
        <v>19</v>
      </c>
      <c r="K60" t="s">
        <v>164</v>
      </c>
      <c r="L60" t="s">
        <v>194</v>
      </c>
      <c r="M60">
        <v>3</v>
      </c>
      <c r="N60">
        <v>53.26</v>
      </c>
      <c r="O60">
        <v>159.78</v>
      </c>
      <c r="P60">
        <v>15</v>
      </c>
      <c r="Q60">
        <v>23.97</v>
      </c>
      <c r="R60">
        <v>135.81</v>
      </c>
      <c r="S60">
        <v>109.92</v>
      </c>
      <c r="T60">
        <v>25.89</v>
      </c>
      <c r="U60" t="s">
        <v>166</v>
      </c>
      <c r="V60" t="s">
        <v>159</v>
      </c>
      <c r="W60" t="s">
        <v>2099</v>
      </c>
      <c r="X60" t="s">
        <v>2100</v>
      </c>
      <c r="Y60">
        <v>206</v>
      </c>
      <c r="Z60">
        <v>131.4</v>
      </c>
      <c r="AA60">
        <v>84.75</v>
      </c>
      <c r="AB60" t="s">
        <v>90</v>
      </c>
      <c r="AC60" t="s">
        <v>16</v>
      </c>
      <c r="AD60" t="s">
        <v>2095</v>
      </c>
      <c r="AE60" t="s">
        <v>2088</v>
      </c>
    </row>
    <row r="61" spans="1:31">
      <c r="A61" t="s">
        <v>1467</v>
      </c>
      <c r="B61" s="1">
        <v>45274</v>
      </c>
      <c r="C61" t="s">
        <v>245</v>
      </c>
      <c r="D61">
        <v>2023</v>
      </c>
      <c r="E61" t="s">
        <v>184</v>
      </c>
      <c r="F61" t="s">
        <v>1323</v>
      </c>
      <c r="G61" t="s">
        <v>129</v>
      </c>
      <c r="H61" t="s">
        <v>130</v>
      </c>
      <c r="I61" t="s">
        <v>115</v>
      </c>
      <c r="J61" t="s">
        <v>124</v>
      </c>
      <c r="K61" t="s">
        <v>156</v>
      </c>
      <c r="L61" t="s">
        <v>204</v>
      </c>
      <c r="M61">
        <v>4</v>
      </c>
      <c r="N61">
        <v>99.34</v>
      </c>
      <c r="O61">
        <v>397.36</v>
      </c>
      <c r="P61">
        <v>10</v>
      </c>
      <c r="Q61">
        <v>39.74</v>
      </c>
      <c r="R61">
        <v>357.62</v>
      </c>
      <c r="S61">
        <v>149.4</v>
      </c>
      <c r="T61">
        <v>208.22</v>
      </c>
      <c r="U61" t="s">
        <v>190</v>
      </c>
      <c r="V61" t="s">
        <v>181</v>
      </c>
      <c r="W61" t="s">
        <v>2113</v>
      </c>
      <c r="X61" t="s">
        <v>2100</v>
      </c>
      <c r="Y61">
        <v>250</v>
      </c>
      <c r="Z61">
        <v>380.09</v>
      </c>
      <c r="AA61">
        <v>36.869999999999997</v>
      </c>
      <c r="AB61" t="s">
        <v>41</v>
      </c>
      <c r="AC61" t="s">
        <v>16</v>
      </c>
      <c r="AD61" t="s">
        <v>2087</v>
      </c>
      <c r="AE61" t="s">
        <v>2121</v>
      </c>
    </row>
    <row r="62" spans="1:31">
      <c r="A62" t="s">
        <v>1944</v>
      </c>
      <c r="B62" s="1">
        <v>45273</v>
      </c>
      <c r="C62" t="s">
        <v>245</v>
      </c>
      <c r="D62">
        <v>2023</v>
      </c>
      <c r="E62" t="s">
        <v>184</v>
      </c>
      <c r="F62" t="s">
        <v>1945</v>
      </c>
      <c r="G62" t="s">
        <v>48</v>
      </c>
      <c r="H62" t="s">
        <v>49</v>
      </c>
      <c r="I62" t="s">
        <v>41</v>
      </c>
      <c r="J62" t="s">
        <v>42</v>
      </c>
      <c r="K62" t="s">
        <v>164</v>
      </c>
      <c r="L62" t="s">
        <v>157</v>
      </c>
      <c r="M62">
        <v>3</v>
      </c>
      <c r="N62">
        <v>84.95</v>
      </c>
      <c r="O62">
        <v>254.85000000000002</v>
      </c>
      <c r="P62">
        <v>15</v>
      </c>
      <c r="Q62">
        <v>38.229999999999997</v>
      </c>
      <c r="R62">
        <v>216.62</v>
      </c>
      <c r="S62">
        <v>159.21</v>
      </c>
      <c r="T62">
        <v>57.41</v>
      </c>
      <c r="U62" t="s">
        <v>180</v>
      </c>
      <c r="V62" t="s">
        <v>159</v>
      </c>
      <c r="W62" t="s">
        <v>2090</v>
      </c>
      <c r="X62" t="s">
        <v>2108</v>
      </c>
      <c r="Y62">
        <v>357</v>
      </c>
      <c r="Z62">
        <v>237.81</v>
      </c>
      <c r="AA62">
        <v>74.47</v>
      </c>
      <c r="AB62" t="s">
        <v>14</v>
      </c>
      <c r="AC62" t="s">
        <v>16</v>
      </c>
      <c r="AD62" t="s">
        <v>2106</v>
      </c>
      <c r="AE62" t="s">
        <v>2109</v>
      </c>
    </row>
    <row r="63" spans="1:31">
      <c r="A63" t="s">
        <v>1052</v>
      </c>
      <c r="B63" s="1">
        <v>45273</v>
      </c>
      <c r="C63" t="s">
        <v>245</v>
      </c>
      <c r="D63">
        <v>2023</v>
      </c>
      <c r="E63" t="s">
        <v>184</v>
      </c>
      <c r="F63" t="s">
        <v>1053</v>
      </c>
      <c r="G63" t="s">
        <v>64</v>
      </c>
      <c r="H63" t="s">
        <v>65</v>
      </c>
      <c r="I63" t="s">
        <v>66</v>
      </c>
      <c r="J63" t="s">
        <v>67</v>
      </c>
      <c r="K63" t="s">
        <v>156</v>
      </c>
      <c r="L63" t="s">
        <v>157</v>
      </c>
      <c r="M63">
        <v>2</v>
      </c>
      <c r="N63">
        <v>24.9</v>
      </c>
      <c r="O63">
        <v>49.8</v>
      </c>
      <c r="P63">
        <v>0</v>
      </c>
      <c r="Q63">
        <v>0</v>
      </c>
      <c r="R63">
        <v>49.8</v>
      </c>
      <c r="S63">
        <v>43.04</v>
      </c>
      <c r="T63">
        <v>6.76</v>
      </c>
      <c r="U63" t="s">
        <v>195</v>
      </c>
      <c r="V63" t="s">
        <v>159</v>
      </c>
      <c r="W63" t="s">
        <v>2113</v>
      </c>
      <c r="X63" t="s">
        <v>2111</v>
      </c>
      <c r="Y63">
        <v>279</v>
      </c>
      <c r="Z63">
        <v>177.11</v>
      </c>
      <c r="AA63">
        <v>77.61</v>
      </c>
      <c r="AB63" t="s">
        <v>115</v>
      </c>
      <c r="AC63" t="s">
        <v>16</v>
      </c>
      <c r="AD63" t="s">
        <v>2095</v>
      </c>
      <c r="AE63" t="s">
        <v>2096</v>
      </c>
    </row>
    <row r="64" spans="1:31">
      <c r="A64" t="s">
        <v>1940</v>
      </c>
      <c r="B64" s="1">
        <v>45271</v>
      </c>
      <c r="C64" t="s">
        <v>245</v>
      </c>
      <c r="D64">
        <v>2023</v>
      </c>
      <c r="E64" t="s">
        <v>184</v>
      </c>
      <c r="F64" t="s">
        <v>1941</v>
      </c>
      <c r="G64" t="s">
        <v>135</v>
      </c>
      <c r="H64" t="s">
        <v>136</v>
      </c>
      <c r="I64" t="s">
        <v>115</v>
      </c>
      <c r="J64" t="s">
        <v>119</v>
      </c>
      <c r="K64" t="s">
        <v>209</v>
      </c>
      <c r="L64" t="s">
        <v>157</v>
      </c>
      <c r="M64">
        <v>4</v>
      </c>
      <c r="N64">
        <v>89.62</v>
      </c>
      <c r="O64">
        <v>358.48</v>
      </c>
      <c r="P64">
        <v>20</v>
      </c>
      <c r="Q64">
        <v>71.7</v>
      </c>
      <c r="R64">
        <v>286.77999999999997</v>
      </c>
      <c r="S64">
        <v>152.52000000000001</v>
      </c>
      <c r="T64">
        <v>134.26</v>
      </c>
      <c r="U64" t="s">
        <v>190</v>
      </c>
      <c r="V64" t="s">
        <v>159</v>
      </c>
      <c r="W64" t="s">
        <v>2090</v>
      </c>
      <c r="X64" t="s">
        <v>2094</v>
      </c>
      <c r="Y64">
        <v>175</v>
      </c>
      <c r="Z64">
        <v>189.97</v>
      </c>
      <c r="AA64">
        <v>117.17</v>
      </c>
      <c r="AB64" t="s">
        <v>14</v>
      </c>
      <c r="AC64" t="s">
        <v>16</v>
      </c>
      <c r="AD64" t="s">
        <v>2087</v>
      </c>
      <c r="AE64" t="s">
        <v>2088</v>
      </c>
    </row>
    <row r="65" spans="1:31">
      <c r="A65" t="s">
        <v>653</v>
      </c>
      <c r="B65" s="1">
        <v>45271</v>
      </c>
      <c r="C65" t="s">
        <v>245</v>
      </c>
      <c r="D65">
        <v>2023</v>
      </c>
      <c r="E65" t="s">
        <v>184</v>
      </c>
      <c r="F65" t="s">
        <v>654</v>
      </c>
      <c r="G65" t="s">
        <v>21</v>
      </c>
      <c r="H65" t="s">
        <v>22</v>
      </c>
      <c r="I65" t="s">
        <v>14</v>
      </c>
      <c r="J65" t="s">
        <v>15</v>
      </c>
      <c r="K65" t="s">
        <v>209</v>
      </c>
      <c r="L65" t="s">
        <v>157</v>
      </c>
      <c r="M65">
        <v>4</v>
      </c>
      <c r="N65">
        <v>65.430000000000007</v>
      </c>
      <c r="O65">
        <v>261.72000000000003</v>
      </c>
      <c r="P65">
        <v>10</v>
      </c>
      <c r="Q65">
        <v>26.17</v>
      </c>
      <c r="R65">
        <v>235.55</v>
      </c>
      <c r="S65">
        <v>154.76</v>
      </c>
      <c r="T65">
        <v>80.790000000000006</v>
      </c>
      <c r="U65" t="s">
        <v>158</v>
      </c>
      <c r="V65" t="s">
        <v>186</v>
      </c>
      <c r="W65" t="s">
        <v>2085</v>
      </c>
      <c r="X65" t="s">
        <v>2108</v>
      </c>
      <c r="Y65">
        <v>276</v>
      </c>
      <c r="Z65">
        <v>2455.27</v>
      </c>
      <c r="AA65">
        <v>161.71</v>
      </c>
      <c r="AB65" t="s">
        <v>90</v>
      </c>
      <c r="AC65" t="s">
        <v>16</v>
      </c>
      <c r="AD65" t="s">
        <v>2106</v>
      </c>
      <c r="AE65" t="s">
        <v>2121</v>
      </c>
    </row>
    <row r="66" spans="1:31">
      <c r="A66" t="s">
        <v>1641</v>
      </c>
      <c r="B66" s="1">
        <v>45271</v>
      </c>
      <c r="C66" t="s">
        <v>245</v>
      </c>
      <c r="D66">
        <v>2023</v>
      </c>
      <c r="E66" t="s">
        <v>184</v>
      </c>
      <c r="F66" t="s">
        <v>1055</v>
      </c>
      <c r="G66" t="s">
        <v>86</v>
      </c>
      <c r="H66" t="s">
        <v>87</v>
      </c>
      <c r="I66" t="s">
        <v>66</v>
      </c>
      <c r="J66" t="s">
        <v>67</v>
      </c>
      <c r="K66" t="s">
        <v>156</v>
      </c>
      <c r="L66" t="s">
        <v>232</v>
      </c>
      <c r="M66">
        <v>2</v>
      </c>
      <c r="N66">
        <v>124.77</v>
      </c>
      <c r="O66">
        <v>249.54</v>
      </c>
      <c r="P66">
        <v>15</v>
      </c>
      <c r="Q66">
        <v>37.43</v>
      </c>
      <c r="R66">
        <v>212.11</v>
      </c>
      <c r="S66">
        <v>139.28</v>
      </c>
      <c r="T66">
        <v>72.83</v>
      </c>
      <c r="U66" t="s">
        <v>195</v>
      </c>
      <c r="V66" t="s">
        <v>159</v>
      </c>
      <c r="W66" t="s">
        <v>2085</v>
      </c>
      <c r="X66" t="s">
        <v>2100</v>
      </c>
      <c r="Y66">
        <v>60</v>
      </c>
      <c r="Z66">
        <v>2828.35</v>
      </c>
      <c r="AA66">
        <v>171.09</v>
      </c>
      <c r="AB66" t="s">
        <v>66</v>
      </c>
      <c r="AC66" t="s">
        <v>16</v>
      </c>
      <c r="AD66" t="s">
        <v>2106</v>
      </c>
      <c r="AE66" t="s">
        <v>2121</v>
      </c>
    </row>
    <row r="67" spans="1:31">
      <c r="A67" t="s">
        <v>776</v>
      </c>
      <c r="B67" s="1">
        <v>45270</v>
      </c>
      <c r="C67" t="s">
        <v>245</v>
      </c>
      <c r="D67">
        <v>2023</v>
      </c>
      <c r="E67" t="s">
        <v>184</v>
      </c>
      <c r="F67" t="s">
        <v>777</v>
      </c>
      <c r="G67" t="s">
        <v>86</v>
      </c>
      <c r="H67" t="s">
        <v>87</v>
      </c>
      <c r="I67" t="s">
        <v>66</v>
      </c>
      <c r="J67" t="s">
        <v>67</v>
      </c>
      <c r="K67" t="s">
        <v>164</v>
      </c>
      <c r="L67" t="s">
        <v>232</v>
      </c>
      <c r="M67">
        <v>1</v>
      </c>
      <c r="N67">
        <v>124.77</v>
      </c>
      <c r="O67">
        <v>124.77</v>
      </c>
      <c r="P67">
        <v>0</v>
      </c>
      <c r="Q67">
        <v>0</v>
      </c>
      <c r="R67">
        <v>124.77</v>
      </c>
      <c r="S67">
        <v>69.64</v>
      </c>
      <c r="T67">
        <v>55.13</v>
      </c>
      <c r="U67" t="s">
        <v>195</v>
      </c>
      <c r="V67" t="s">
        <v>181</v>
      </c>
      <c r="W67" t="s">
        <v>2113</v>
      </c>
      <c r="X67" t="s">
        <v>2111</v>
      </c>
      <c r="Y67">
        <v>32</v>
      </c>
      <c r="Z67">
        <v>551.36</v>
      </c>
      <c r="AA67">
        <v>79.489999999999995</v>
      </c>
      <c r="AB67" t="s">
        <v>90</v>
      </c>
      <c r="AC67" t="s">
        <v>20</v>
      </c>
      <c r="AD67" t="s">
        <v>2106</v>
      </c>
      <c r="AE67" t="s">
        <v>2107</v>
      </c>
    </row>
    <row r="68" spans="1:31">
      <c r="A68" t="s">
        <v>1188</v>
      </c>
      <c r="B68" s="1">
        <v>45270</v>
      </c>
      <c r="C68" t="s">
        <v>245</v>
      </c>
      <c r="D68">
        <v>2023</v>
      </c>
      <c r="E68" t="s">
        <v>184</v>
      </c>
      <c r="F68" t="s">
        <v>1189</v>
      </c>
      <c r="G68" t="s">
        <v>117</v>
      </c>
      <c r="H68" t="s">
        <v>118</v>
      </c>
      <c r="I68" t="s">
        <v>115</v>
      </c>
      <c r="J68" t="s">
        <v>119</v>
      </c>
      <c r="K68" t="s">
        <v>178</v>
      </c>
      <c r="L68" t="s">
        <v>174</v>
      </c>
      <c r="M68">
        <v>1</v>
      </c>
      <c r="N68">
        <v>93.41</v>
      </c>
      <c r="O68">
        <v>93.41</v>
      </c>
      <c r="P68">
        <v>0</v>
      </c>
      <c r="Q68">
        <v>0</v>
      </c>
      <c r="R68">
        <v>93.41</v>
      </c>
      <c r="S68">
        <v>64.05</v>
      </c>
      <c r="T68">
        <v>29.36</v>
      </c>
      <c r="U68" t="s">
        <v>190</v>
      </c>
      <c r="V68" t="s">
        <v>181</v>
      </c>
      <c r="W68" t="s">
        <v>2090</v>
      </c>
      <c r="X68" t="s">
        <v>2100</v>
      </c>
      <c r="Y68">
        <v>239</v>
      </c>
      <c r="Z68">
        <v>390.25</v>
      </c>
      <c r="AA68">
        <v>86.65</v>
      </c>
      <c r="AB68" t="s">
        <v>14</v>
      </c>
      <c r="AC68" t="s">
        <v>16</v>
      </c>
      <c r="AD68" t="s">
        <v>2095</v>
      </c>
      <c r="AE68" t="s">
        <v>2121</v>
      </c>
    </row>
    <row r="69" spans="1:31">
      <c r="A69" t="s">
        <v>1822</v>
      </c>
      <c r="B69" s="1">
        <v>45270</v>
      </c>
      <c r="C69" t="s">
        <v>245</v>
      </c>
      <c r="D69">
        <v>2023</v>
      </c>
      <c r="E69" t="s">
        <v>184</v>
      </c>
      <c r="F69" t="s">
        <v>1645</v>
      </c>
      <c r="G69" t="s">
        <v>48</v>
      </c>
      <c r="H69" t="s">
        <v>49</v>
      </c>
      <c r="I69" t="s">
        <v>41</v>
      </c>
      <c r="J69" t="s">
        <v>42</v>
      </c>
      <c r="K69" t="s">
        <v>209</v>
      </c>
      <c r="L69" t="s">
        <v>174</v>
      </c>
      <c r="M69">
        <v>2</v>
      </c>
      <c r="N69">
        <v>84.95</v>
      </c>
      <c r="O69">
        <v>169.9</v>
      </c>
      <c r="P69">
        <v>0</v>
      </c>
      <c r="Q69">
        <v>0</v>
      </c>
      <c r="R69">
        <v>169.9</v>
      </c>
      <c r="S69">
        <v>106.14</v>
      </c>
      <c r="T69">
        <v>63.76</v>
      </c>
      <c r="U69" t="s">
        <v>190</v>
      </c>
      <c r="V69" t="s">
        <v>159</v>
      </c>
      <c r="W69" t="s">
        <v>2099</v>
      </c>
      <c r="X69" t="s">
        <v>2111</v>
      </c>
      <c r="Y69">
        <v>146</v>
      </c>
      <c r="Z69">
        <v>149.88</v>
      </c>
      <c r="AA69">
        <v>96.86</v>
      </c>
      <c r="AB69" t="s">
        <v>90</v>
      </c>
      <c r="AC69" t="s">
        <v>16</v>
      </c>
      <c r="AD69" t="s">
        <v>2087</v>
      </c>
      <c r="AE69" t="s">
        <v>2088</v>
      </c>
    </row>
    <row r="70" spans="1:31">
      <c r="A70" t="s">
        <v>1075</v>
      </c>
      <c r="B70" s="1">
        <v>45270</v>
      </c>
      <c r="C70" t="s">
        <v>245</v>
      </c>
      <c r="D70">
        <v>2023</v>
      </c>
      <c r="E70" t="s">
        <v>184</v>
      </c>
      <c r="F70" t="s">
        <v>1076</v>
      </c>
      <c r="G70" t="s">
        <v>53</v>
      </c>
      <c r="H70" t="s">
        <v>54</v>
      </c>
      <c r="I70" t="s">
        <v>41</v>
      </c>
      <c r="J70" t="s">
        <v>45</v>
      </c>
      <c r="K70" t="s">
        <v>209</v>
      </c>
      <c r="L70" t="s">
        <v>179</v>
      </c>
      <c r="M70">
        <v>1</v>
      </c>
      <c r="N70">
        <v>51.98</v>
      </c>
      <c r="O70">
        <v>51.98</v>
      </c>
      <c r="P70">
        <v>0</v>
      </c>
      <c r="Q70">
        <v>0</v>
      </c>
      <c r="R70">
        <v>51.98</v>
      </c>
      <c r="S70">
        <v>33.04</v>
      </c>
      <c r="T70">
        <v>18.940000000000001</v>
      </c>
      <c r="U70" t="s">
        <v>166</v>
      </c>
      <c r="V70" t="s">
        <v>186</v>
      </c>
      <c r="W70" t="s">
        <v>2097</v>
      </c>
      <c r="X70" t="s">
        <v>2100</v>
      </c>
      <c r="Y70">
        <v>9</v>
      </c>
      <c r="Z70">
        <v>771.61</v>
      </c>
      <c r="AA70">
        <v>116.06</v>
      </c>
      <c r="AB70" t="s">
        <v>41</v>
      </c>
      <c r="AC70" t="s">
        <v>16</v>
      </c>
      <c r="AD70" t="s">
        <v>2087</v>
      </c>
      <c r="AE70" t="s">
        <v>2107</v>
      </c>
    </row>
    <row r="71" spans="1:31">
      <c r="A71" t="s">
        <v>509</v>
      </c>
      <c r="B71" s="1">
        <v>45270</v>
      </c>
      <c r="C71" t="s">
        <v>245</v>
      </c>
      <c r="D71">
        <v>2023</v>
      </c>
      <c r="E71" t="s">
        <v>184</v>
      </c>
      <c r="F71" t="s">
        <v>510</v>
      </c>
      <c r="G71" t="s">
        <v>113</v>
      </c>
      <c r="H71" t="s">
        <v>114</v>
      </c>
      <c r="I71" t="s">
        <v>115</v>
      </c>
      <c r="J71" t="s">
        <v>116</v>
      </c>
      <c r="K71" t="s">
        <v>164</v>
      </c>
      <c r="L71" t="s">
        <v>194</v>
      </c>
      <c r="M71">
        <v>1</v>
      </c>
      <c r="N71">
        <v>18.7</v>
      </c>
      <c r="O71">
        <v>18.7</v>
      </c>
      <c r="P71">
        <v>0</v>
      </c>
      <c r="Q71">
        <v>0</v>
      </c>
      <c r="R71">
        <v>18.7</v>
      </c>
      <c r="S71">
        <v>6.86</v>
      </c>
      <c r="T71">
        <v>11.84</v>
      </c>
      <c r="U71" t="s">
        <v>166</v>
      </c>
      <c r="V71" t="s">
        <v>159</v>
      </c>
      <c r="W71" t="s">
        <v>2099</v>
      </c>
      <c r="X71" t="s">
        <v>2091</v>
      </c>
      <c r="Y71">
        <v>260</v>
      </c>
      <c r="Z71">
        <v>29.14</v>
      </c>
      <c r="AA71">
        <v>44.47</v>
      </c>
      <c r="AB71" t="s">
        <v>14</v>
      </c>
      <c r="AC71" t="s">
        <v>16</v>
      </c>
      <c r="AD71" t="s">
        <v>2106</v>
      </c>
      <c r="AE71" t="s">
        <v>2107</v>
      </c>
    </row>
    <row r="72" spans="1:31">
      <c r="A72" t="s">
        <v>1915</v>
      </c>
      <c r="B72" s="1">
        <v>45270</v>
      </c>
      <c r="C72" t="s">
        <v>245</v>
      </c>
      <c r="D72">
        <v>2023</v>
      </c>
      <c r="E72" t="s">
        <v>184</v>
      </c>
      <c r="F72" t="s">
        <v>1916</v>
      </c>
      <c r="G72" t="s">
        <v>131</v>
      </c>
      <c r="H72" t="s">
        <v>132</v>
      </c>
      <c r="I72" t="s">
        <v>115</v>
      </c>
      <c r="J72" t="s">
        <v>119</v>
      </c>
      <c r="K72" t="s">
        <v>178</v>
      </c>
      <c r="L72" t="s">
        <v>232</v>
      </c>
      <c r="M72">
        <v>1</v>
      </c>
      <c r="N72">
        <v>75.69</v>
      </c>
      <c r="O72">
        <v>75.69</v>
      </c>
      <c r="P72">
        <v>15</v>
      </c>
      <c r="Q72">
        <v>11.35</v>
      </c>
      <c r="R72">
        <v>64.34</v>
      </c>
      <c r="S72">
        <v>35.630000000000003</v>
      </c>
      <c r="T72">
        <v>28.71</v>
      </c>
      <c r="U72" t="s">
        <v>180</v>
      </c>
      <c r="V72" t="s">
        <v>159</v>
      </c>
      <c r="W72" t="s">
        <v>2090</v>
      </c>
      <c r="X72" t="s">
        <v>2091</v>
      </c>
      <c r="Y72">
        <v>40</v>
      </c>
      <c r="Z72">
        <v>227.59</v>
      </c>
      <c r="AA72">
        <v>68.03</v>
      </c>
      <c r="AB72" t="s">
        <v>66</v>
      </c>
      <c r="AC72" t="s">
        <v>16</v>
      </c>
      <c r="AD72" t="s">
        <v>2106</v>
      </c>
      <c r="AE72" t="s">
        <v>2107</v>
      </c>
    </row>
    <row r="73" spans="1:31">
      <c r="A73" t="s">
        <v>1482</v>
      </c>
      <c r="B73" s="1">
        <v>45270</v>
      </c>
      <c r="C73" t="s">
        <v>245</v>
      </c>
      <c r="D73">
        <v>2023</v>
      </c>
      <c r="E73" t="s">
        <v>184</v>
      </c>
      <c r="F73" t="s">
        <v>1483</v>
      </c>
      <c r="G73" t="s">
        <v>80</v>
      </c>
      <c r="H73" t="s">
        <v>81</v>
      </c>
      <c r="I73" t="s">
        <v>66</v>
      </c>
      <c r="J73" t="s">
        <v>70</v>
      </c>
      <c r="K73" t="s">
        <v>156</v>
      </c>
      <c r="L73" t="s">
        <v>174</v>
      </c>
      <c r="M73">
        <v>2</v>
      </c>
      <c r="N73">
        <v>106.06</v>
      </c>
      <c r="O73">
        <v>212.12</v>
      </c>
      <c r="P73">
        <v>15</v>
      </c>
      <c r="Q73">
        <v>31.82</v>
      </c>
      <c r="R73">
        <v>180.3</v>
      </c>
      <c r="S73">
        <v>66.84</v>
      </c>
      <c r="T73">
        <v>113.46</v>
      </c>
      <c r="U73" t="s">
        <v>190</v>
      </c>
      <c r="V73" t="s">
        <v>186</v>
      </c>
      <c r="W73" t="s">
        <v>2085</v>
      </c>
      <c r="X73" t="s">
        <v>2086</v>
      </c>
      <c r="Y73">
        <v>178</v>
      </c>
      <c r="Z73">
        <v>1948.87</v>
      </c>
      <c r="AA73">
        <v>129.04</v>
      </c>
      <c r="AB73" t="s">
        <v>90</v>
      </c>
      <c r="AC73" t="s">
        <v>20</v>
      </c>
      <c r="AD73" t="s">
        <v>2106</v>
      </c>
      <c r="AE73" t="s">
        <v>2121</v>
      </c>
    </row>
    <row r="74" spans="1:31">
      <c r="A74" t="s">
        <v>1605</v>
      </c>
      <c r="B74" s="1">
        <v>45270</v>
      </c>
      <c r="C74" t="s">
        <v>245</v>
      </c>
      <c r="D74">
        <v>2023</v>
      </c>
      <c r="E74" t="s">
        <v>184</v>
      </c>
      <c r="F74" t="s">
        <v>1606</v>
      </c>
      <c r="G74" t="s">
        <v>37</v>
      </c>
      <c r="H74" t="s">
        <v>38</v>
      </c>
      <c r="I74" t="s">
        <v>14</v>
      </c>
      <c r="J74" t="s">
        <v>27</v>
      </c>
      <c r="K74" t="s">
        <v>156</v>
      </c>
      <c r="L74" t="s">
        <v>174</v>
      </c>
      <c r="M74">
        <v>3</v>
      </c>
      <c r="N74">
        <v>133.99</v>
      </c>
      <c r="O74">
        <v>401.97</v>
      </c>
      <c r="P74">
        <v>20</v>
      </c>
      <c r="Q74">
        <v>80.39</v>
      </c>
      <c r="R74">
        <v>321.58</v>
      </c>
      <c r="S74">
        <v>220.47</v>
      </c>
      <c r="T74">
        <v>101.11</v>
      </c>
      <c r="U74" t="s">
        <v>158</v>
      </c>
      <c r="V74" t="s">
        <v>159</v>
      </c>
      <c r="W74" t="s">
        <v>2097</v>
      </c>
      <c r="X74" t="s">
        <v>2100</v>
      </c>
      <c r="Y74">
        <v>294</v>
      </c>
      <c r="Z74">
        <v>195.85</v>
      </c>
      <c r="AA74">
        <v>146.34</v>
      </c>
      <c r="AB74" t="s">
        <v>14</v>
      </c>
      <c r="AC74" t="s">
        <v>20</v>
      </c>
      <c r="AD74" t="s">
        <v>2106</v>
      </c>
      <c r="AE74" t="s">
        <v>2107</v>
      </c>
    </row>
    <row r="75" spans="1:31">
      <c r="A75" t="s">
        <v>1157</v>
      </c>
      <c r="B75" s="1">
        <v>45269</v>
      </c>
      <c r="C75" t="s">
        <v>245</v>
      </c>
      <c r="D75">
        <v>2023</v>
      </c>
      <c r="E75" t="s">
        <v>184</v>
      </c>
      <c r="F75" t="s">
        <v>1158</v>
      </c>
      <c r="G75" t="s">
        <v>88</v>
      </c>
      <c r="H75" t="s">
        <v>89</v>
      </c>
      <c r="I75" t="s">
        <v>90</v>
      </c>
      <c r="J75" t="s">
        <v>91</v>
      </c>
      <c r="K75" t="s">
        <v>164</v>
      </c>
      <c r="L75" t="s">
        <v>157</v>
      </c>
      <c r="M75">
        <v>1</v>
      </c>
      <c r="N75">
        <v>54.64</v>
      </c>
      <c r="O75">
        <v>54.64</v>
      </c>
      <c r="P75">
        <v>0</v>
      </c>
      <c r="Q75">
        <v>0</v>
      </c>
      <c r="R75">
        <v>54.64</v>
      </c>
      <c r="S75">
        <v>20.32</v>
      </c>
      <c r="T75">
        <v>34.32</v>
      </c>
      <c r="U75" t="s">
        <v>166</v>
      </c>
      <c r="V75" t="s">
        <v>181</v>
      </c>
      <c r="W75" t="s">
        <v>2085</v>
      </c>
      <c r="X75" t="s">
        <v>2111</v>
      </c>
      <c r="Y75">
        <v>19</v>
      </c>
      <c r="Z75">
        <v>953.4</v>
      </c>
      <c r="AA75">
        <v>252.6</v>
      </c>
      <c r="AB75" t="s">
        <v>90</v>
      </c>
      <c r="AC75" t="s">
        <v>16</v>
      </c>
      <c r="AD75" t="s">
        <v>2106</v>
      </c>
      <c r="AE75" t="s">
        <v>2088</v>
      </c>
    </row>
    <row r="76" spans="1:31">
      <c r="A76" t="s">
        <v>689</v>
      </c>
      <c r="B76" s="1">
        <v>45269</v>
      </c>
      <c r="C76" t="s">
        <v>245</v>
      </c>
      <c r="D76">
        <v>2023</v>
      </c>
      <c r="E76" t="s">
        <v>184</v>
      </c>
      <c r="F76" t="s">
        <v>690</v>
      </c>
      <c r="G76" t="s">
        <v>21</v>
      </c>
      <c r="H76" t="s">
        <v>22</v>
      </c>
      <c r="I76" t="s">
        <v>14</v>
      </c>
      <c r="J76" t="s">
        <v>15</v>
      </c>
      <c r="K76" t="s">
        <v>209</v>
      </c>
      <c r="L76" t="s">
        <v>204</v>
      </c>
      <c r="M76">
        <v>1</v>
      </c>
      <c r="N76">
        <v>65.430000000000007</v>
      </c>
      <c r="O76">
        <v>65.430000000000007</v>
      </c>
      <c r="P76">
        <v>20</v>
      </c>
      <c r="Q76">
        <v>13.09</v>
      </c>
      <c r="R76">
        <v>52.34</v>
      </c>
      <c r="S76">
        <v>38.69</v>
      </c>
      <c r="T76">
        <v>13.65</v>
      </c>
      <c r="U76" t="s">
        <v>190</v>
      </c>
      <c r="V76" t="s">
        <v>159</v>
      </c>
      <c r="W76" t="s">
        <v>2099</v>
      </c>
      <c r="X76" t="s">
        <v>2111</v>
      </c>
      <c r="Y76">
        <v>295</v>
      </c>
      <c r="Z76">
        <v>47.4</v>
      </c>
      <c r="AA76">
        <v>37.97</v>
      </c>
      <c r="AB76" t="s">
        <v>41</v>
      </c>
      <c r="AC76" t="s">
        <v>16</v>
      </c>
      <c r="AD76" t="s">
        <v>2106</v>
      </c>
      <c r="AE76" t="s">
        <v>2109</v>
      </c>
    </row>
    <row r="77" spans="1:31">
      <c r="A77" t="s">
        <v>1820</v>
      </c>
      <c r="B77" s="1">
        <v>45268</v>
      </c>
      <c r="C77" t="s">
        <v>245</v>
      </c>
      <c r="D77">
        <v>2023</v>
      </c>
      <c r="E77" t="s">
        <v>184</v>
      </c>
      <c r="F77" t="s">
        <v>1821</v>
      </c>
      <c r="G77" t="s">
        <v>21</v>
      </c>
      <c r="H77" t="s">
        <v>22</v>
      </c>
      <c r="I77" t="s">
        <v>14</v>
      </c>
      <c r="J77" t="s">
        <v>15</v>
      </c>
      <c r="K77" t="s">
        <v>209</v>
      </c>
      <c r="L77" t="s">
        <v>179</v>
      </c>
      <c r="M77">
        <v>1</v>
      </c>
      <c r="N77">
        <v>65.430000000000007</v>
      </c>
      <c r="O77">
        <v>65.430000000000007</v>
      </c>
      <c r="P77">
        <v>0</v>
      </c>
      <c r="Q77">
        <v>0</v>
      </c>
      <c r="R77">
        <v>65.430000000000007</v>
      </c>
      <c r="S77">
        <v>38.69</v>
      </c>
      <c r="T77">
        <v>26.74</v>
      </c>
      <c r="U77" t="s">
        <v>158</v>
      </c>
      <c r="V77" t="s">
        <v>181</v>
      </c>
      <c r="W77" t="s">
        <v>2099</v>
      </c>
      <c r="X77" t="s">
        <v>2091</v>
      </c>
      <c r="Y77">
        <v>335</v>
      </c>
      <c r="Z77">
        <v>44.17</v>
      </c>
      <c r="AA77">
        <v>31.01</v>
      </c>
      <c r="AB77" t="s">
        <v>66</v>
      </c>
      <c r="AC77" t="s">
        <v>20</v>
      </c>
      <c r="AD77" t="s">
        <v>2087</v>
      </c>
      <c r="AE77" t="s">
        <v>2121</v>
      </c>
    </row>
    <row r="78" spans="1:31">
      <c r="A78" t="s">
        <v>1651</v>
      </c>
      <c r="B78" s="1">
        <v>45268</v>
      </c>
      <c r="C78" t="s">
        <v>245</v>
      </c>
      <c r="D78">
        <v>2023</v>
      </c>
      <c r="E78" t="s">
        <v>184</v>
      </c>
      <c r="F78" t="s">
        <v>1652</v>
      </c>
      <c r="G78" t="s">
        <v>135</v>
      </c>
      <c r="H78" t="s">
        <v>136</v>
      </c>
      <c r="I78" t="s">
        <v>115</v>
      </c>
      <c r="J78" t="s">
        <v>119</v>
      </c>
      <c r="K78" t="s">
        <v>178</v>
      </c>
      <c r="L78" t="s">
        <v>194</v>
      </c>
      <c r="M78">
        <v>4</v>
      </c>
      <c r="N78">
        <v>89.62</v>
      </c>
      <c r="O78">
        <v>358.48</v>
      </c>
      <c r="P78">
        <v>15</v>
      </c>
      <c r="Q78">
        <v>53.77</v>
      </c>
      <c r="R78">
        <v>304.70999999999998</v>
      </c>
      <c r="S78">
        <v>152.52000000000001</v>
      </c>
      <c r="T78">
        <v>152.19</v>
      </c>
      <c r="U78" t="s">
        <v>190</v>
      </c>
      <c r="V78" t="s">
        <v>159</v>
      </c>
      <c r="W78" t="s">
        <v>2097</v>
      </c>
      <c r="X78" t="s">
        <v>2100</v>
      </c>
      <c r="Y78">
        <v>146</v>
      </c>
      <c r="Z78">
        <v>231.49</v>
      </c>
      <c r="AA78">
        <v>94.72</v>
      </c>
      <c r="AB78" t="s">
        <v>66</v>
      </c>
      <c r="AC78" t="s">
        <v>16</v>
      </c>
      <c r="AD78" t="s">
        <v>2106</v>
      </c>
      <c r="AE78" t="s">
        <v>2088</v>
      </c>
    </row>
    <row r="79" spans="1:31">
      <c r="A79" t="s">
        <v>1141</v>
      </c>
      <c r="B79" s="1">
        <v>45267</v>
      </c>
      <c r="C79" t="s">
        <v>245</v>
      </c>
      <c r="D79">
        <v>2023</v>
      </c>
      <c r="E79" t="s">
        <v>184</v>
      </c>
      <c r="F79" t="s">
        <v>662</v>
      </c>
      <c r="G79" t="s">
        <v>53</v>
      </c>
      <c r="H79" t="s">
        <v>54</v>
      </c>
      <c r="I79" t="s">
        <v>41</v>
      </c>
      <c r="J79" t="s">
        <v>45</v>
      </c>
      <c r="K79" t="s">
        <v>164</v>
      </c>
      <c r="L79" t="s">
        <v>204</v>
      </c>
      <c r="M79">
        <v>3</v>
      </c>
      <c r="N79">
        <v>51.98</v>
      </c>
      <c r="O79">
        <v>155.94</v>
      </c>
      <c r="P79">
        <v>15</v>
      </c>
      <c r="Q79">
        <v>23.39</v>
      </c>
      <c r="R79">
        <v>132.55000000000001</v>
      </c>
      <c r="S79">
        <v>99.12</v>
      </c>
      <c r="T79">
        <v>33.43</v>
      </c>
      <c r="U79" t="s">
        <v>180</v>
      </c>
      <c r="V79" t="s">
        <v>159</v>
      </c>
      <c r="W79" t="s">
        <v>2090</v>
      </c>
      <c r="X79" t="s">
        <v>2108</v>
      </c>
      <c r="Y79">
        <v>110</v>
      </c>
      <c r="Z79">
        <v>171.84</v>
      </c>
      <c r="AA79">
        <v>110.03</v>
      </c>
      <c r="AB79" t="s">
        <v>66</v>
      </c>
      <c r="AC79" t="s">
        <v>16</v>
      </c>
      <c r="AD79" t="s">
        <v>2106</v>
      </c>
      <c r="AE79" t="s">
        <v>2096</v>
      </c>
    </row>
    <row r="80" spans="1:31">
      <c r="A80" t="s">
        <v>485</v>
      </c>
      <c r="B80" s="1">
        <v>45267</v>
      </c>
      <c r="C80" t="s">
        <v>245</v>
      </c>
      <c r="D80">
        <v>2023</v>
      </c>
      <c r="E80" t="s">
        <v>184</v>
      </c>
      <c r="F80" t="s">
        <v>486</v>
      </c>
      <c r="G80" t="s">
        <v>53</v>
      </c>
      <c r="H80" t="s">
        <v>54</v>
      </c>
      <c r="I80" t="s">
        <v>41</v>
      </c>
      <c r="J80" t="s">
        <v>45</v>
      </c>
      <c r="K80" t="s">
        <v>209</v>
      </c>
      <c r="L80" t="s">
        <v>232</v>
      </c>
      <c r="M80">
        <v>4</v>
      </c>
      <c r="N80">
        <v>51.98</v>
      </c>
      <c r="O80">
        <v>207.92</v>
      </c>
      <c r="P80">
        <v>0</v>
      </c>
      <c r="Q80">
        <v>0</v>
      </c>
      <c r="R80">
        <v>207.92</v>
      </c>
      <c r="S80">
        <v>132.16</v>
      </c>
      <c r="T80">
        <v>75.760000000000005</v>
      </c>
      <c r="U80" t="s">
        <v>195</v>
      </c>
      <c r="V80" t="s">
        <v>159</v>
      </c>
      <c r="W80" t="s">
        <v>2090</v>
      </c>
      <c r="X80" t="s">
        <v>2086</v>
      </c>
      <c r="Y80">
        <v>89</v>
      </c>
      <c r="Z80">
        <v>219.73</v>
      </c>
      <c r="AA80">
        <v>77.8</v>
      </c>
      <c r="AB80" t="s">
        <v>66</v>
      </c>
      <c r="AC80" t="s">
        <v>20</v>
      </c>
      <c r="AD80" t="s">
        <v>2095</v>
      </c>
      <c r="AE80" t="s">
        <v>2109</v>
      </c>
    </row>
    <row r="81" spans="1:31">
      <c r="A81" t="s">
        <v>943</v>
      </c>
      <c r="B81" s="1">
        <v>45267</v>
      </c>
      <c r="C81" t="s">
        <v>245</v>
      </c>
      <c r="D81">
        <v>2023</v>
      </c>
      <c r="E81" t="s">
        <v>184</v>
      </c>
      <c r="F81" t="s">
        <v>944</v>
      </c>
      <c r="G81" t="s">
        <v>43</v>
      </c>
      <c r="H81" t="s">
        <v>44</v>
      </c>
      <c r="I81" t="s">
        <v>41</v>
      </c>
      <c r="J81" t="s">
        <v>45</v>
      </c>
      <c r="K81" t="s">
        <v>156</v>
      </c>
      <c r="L81" t="s">
        <v>204</v>
      </c>
      <c r="M81">
        <v>3</v>
      </c>
      <c r="N81">
        <v>67.56</v>
      </c>
      <c r="O81">
        <v>202.68</v>
      </c>
      <c r="P81">
        <v>0</v>
      </c>
      <c r="Q81">
        <v>0</v>
      </c>
      <c r="R81">
        <v>202.68</v>
      </c>
      <c r="S81">
        <v>129.63</v>
      </c>
      <c r="T81">
        <v>73.05</v>
      </c>
      <c r="U81" t="s">
        <v>195</v>
      </c>
      <c r="V81" t="s">
        <v>159</v>
      </c>
      <c r="W81" t="s">
        <v>2097</v>
      </c>
      <c r="X81" t="s">
        <v>2111</v>
      </c>
      <c r="Y81">
        <v>120</v>
      </c>
      <c r="Z81">
        <v>194.93</v>
      </c>
      <c r="AA81">
        <v>129.57</v>
      </c>
      <c r="AB81" t="s">
        <v>14</v>
      </c>
      <c r="AC81" t="s">
        <v>20</v>
      </c>
      <c r="AD81" t="s">
        <v>2087</v>
      </c>
      <c r="AE81" t="s">
        <v>2107</v>
      </c>
    </row>
    <row r="82" spans="1:31">
      <c r="A82" t="s">
        <v>310</v>
      </c>
      <c r="B82" s="1">
        <v>45266</v>
      </c>
      <c r="C82" t="s">
        <v>245</v>
      </c>
      <c r="D82">
        <v>2023</v>
      </c>
      <c r="E82" t="s">
        <v>184</v>
      </c>
      <c r="F82" t="s">
        <v>311</v>
      </c>
      <c r="G82" t="s">
        <v>127</v>
      </c>
      <c r="H82" t="s">
        <v>128</v>
      </c>
      <c r="I82" t="s">
        <v>115</v>
      </c>
      <c r="J82" t="s">
        <v>124</v>
      </c>
      <c r="K82" t="s">
        <v>156</v>
      </c>
      <c r="L82" t="s">
        <v>204</v>
      </c>
      <c r="M82">
        <v>4</v>
      </c>
      <c r="N82">
        <v>94.76</v>
      </c>
      <c r="O82">
        <v>379.04</v>
      </c>
      <c r="P82">
        <v>5</v>
      </c>
      <c r="Q82">
        <v>18.95</v>
      </c>
      <c r="R82">
        <v>360.09</v>
      </c>
      <c r="S82">
        <v>315.27999999999997</v>
      </c>
      <c r="T82">
        <v>44.81</v>
      </c>
      <c r="U82" t="s">
        <v>158</v>
      </c>
      <c r="V82" t="s">
        <v>159</v>
      </c>
      <c r="W82" t="s">
        <v>2085</v>
      </c>
      <c r="X82" t="s">
        <v>2086</v>
      </c>
      <c r="Y82">
        <v>153</v>
      </c>
      <c r="Z82">
        <v>2129.88</v>
      </c>
      <c r="AA82">
        <v>260.45</v>
      </c>
      <c r="AB82" t="s">
        <v>66</v>
      </c>
      <c r="AC82" t="s">
        <v>16</v>
      </c>
      <c r="AD82" t="s">
        <v>2087</v>
      </c>
      <c r="AE82" t="s">
        <v>2109</v>
      </c>
    </row>
    <row r="83" spans="1:31">
      <c r="A83" t="s">
        <v>366</v>
      </c>
      <c r="B83" s="1">
        <v>45266</v>
      </c>
      <c r="C83" t="s">
        <v>245</v>
      </c>
      <c r="D83">
        <v>2023</v>
      </c>
      <c r="E83" t="s">
        <v>184</v>
      </c>
      <c r="F83" t="s">
        <v>367</v>
      </c>
      <c r="G83" t="s">
        <v>33</v>
      </c>
      <c r="H83" t="s">
        <v>34</v>
      </c>
      <c r="I83" t="s">
        <v>14</v>
      </c>
      <c r="J83" t="s">
        <v>27</v>
      </c>
      <c r="K83" t="s">
        <v>209</v>
      </c>
      <c r="L83" t="s">
        <v>174</v>
      </c>
      <c r="M83">
        <v>4</v>
      </c>
      <c r="N83">
        <v>124.26</v>
      </c>
      <c r="O83">
        <v>497.04</v>
      </c>
      <c r="P83">
        <v>0</v>
      </c>
      <c r="Q83">
        <v>0</v>
      </c>
      <c r="R83">
        <v>497.04</v>
      </c>
      <c r="S83">
        <v>210.48</v>
      </c>
      <c r="T83">
        <v>286.56</v>
      </c>
      <c r="U83" t="s">
        <v>195</v>
      </c>
      <c r="V83" t="s">
        <v>159</v>
      </c>
      <c r="W83" t="s">
        <v>2113</v>
      </c>
      <c r="X83" t="s">
        <v>2100</v>
      </c>
      <c r="Y83">
        <v>181</v>
      </c>
      <c r="Z83">
        <v>447.75</v>
      </c>
      <c r="AA83">
        <v>74.150000000000006</v>
      </c>
      <c r="AB83" t="s">
        <v>90</v>
      </c>
      <c r="AC83" t="s">
        <v>20</v>
      </c>
      <c r="AD83" t="s">
        <v>2106</v>
      </c>
      <c r="AE83" t="s">
        <v>2109</v>
      </c>
    </row>
    <row r="84" spans="1:31">
      <c r="A84" t="s">
        <v>1971</v>
      </c>
      <c r="B84" s="1">
        <v>45266</v>
      </c>
      <c r="C84" t="s">
        <v>245</v>
      </c>
      <c r="D84">
        <v>2023</v>
      </c>
      <c r="E84" t="s">
        <v>184</v>
      </c>
      <c r="F84" t="s">
        <v>1972</v>
      </c>
      <c r="G84" t="s">
        <v>39</v>
      </c>
      <c r="H84" t="s">
        <v>40</v>
      </c>
      <c r="I84" t="s">
        <v>41</v>
      </c>
      <c r="J84" t="s">
        <v>42</v>
      </c>
      <c r="K84" t="s">
        <v>156</v>
      </c>
      <c r="L84" t="s">
        <v>232</v>
      </c>
      <c r="M84">
        <v>3</v>
      </c>
      <c r="N84">
        <v>35.11</v>
      </c>
      <c r="O84">
        <v>105.33</v>
      </c>
      <c r="P84">
        <v>10</v>
      </c>
      <c r="Q84">
        <v>10.53</v>
      </c>
      <c r="R84">
        <v>94.8</v>
      </c>
      <c r="S84">
        <v>74.61</v>
      </c>
      <c r="T84">
        <v>20.190000000000001</v>
      </c>
      <c r="U84" t="s">
        <v>158</v>
      </c>
      <c r="V84" t="s">
        <v>181</v>
      </c>
      <c r="W84" t="s">
        <v>2097</v>
      </c>
      <c r="X84" t="s">
        <v>2094</v>
      </c>
      <c r="Y84">
        <v>69</v>
      </c>
      <c r="Z84">
        <v>154.31</v>
      </c>
      <c r="AA84">
        <v>58.52</v>
      </c>
      <c r="AB84" t="s">
        <v>66</v>
      </c>
      <c r="AC84" t="s">
        <v>20</v>
      </c>
      <c r="AD84" t="s">
        <v>2095</v>
      </c>
      <c r="AE84" t="s">
        <v>2121</v>
      </c>
    </row>
    <row r="85" spans="1:31">
      <c r="A85" t="s">
        <v>1889</v>
      </c>
      <c r="B85" s="1">
        <v>45265</v>
      </c>
      <c r="C85" t="s">
        <v>245</v>
      </c>
      <c r="D85">
        <v>2023</v>
      </c>
      <c r="E85" t="s">
        <v>184</v>
      </c>
      <c r="F85" t="s">
        <v>674</v>
      </c>
      <c r="G85" t="s">
        <v>105</v>
      </c>
      <c r="H85" t="s">
        <v>106</v>
      </c>
      <c r="I85" t="s">
        <v>90</v>
      </c>
      <c r="J85" t="s">
        <v>91</v>
      </c>
      <c r="K85" t="s">
        <v>164</v>
      </c>
      <c r="L85" t="s">
        <v>194</v>
      </c>
      <c r="M85">
        <v>4</v>
      </c>
      <c r="N85">
        <v>36.35</v>
      </c>
      <c r="O85">
        <v>145.4</v>
      </c>
      <c r="P85">
        <v>0</v>
      </c>
      <c r="Q85">
        <v>0</v>
      </c>
      <c r="R85">
        <v>145.4</v>
      </c>
      <c r="S85">
        <v>120.08</v>
      </c>
      <c r="T85">
        <v>25.32</v>
      </c>
      <c r="U85" t="s">
        <v>166</v>
      </c>
      <c r="V85" t="s">
        <v>181</v>
      </c>
      <c r="W85" t="s">
        <v>2113</v>
      </c>
      <c r="X85" t="s">
        <v>2091</v>
      </c>
      <c r="Y85">
        <v>18</v>
      </c>
      <c r="Z85">
        <v>276.82</v>
      </c>
      <c r="AA85">
        <v>34.03</v>
      </c>
      <c r="AB85" t="s">
        <v>66</v>
      </c>
      <c r="AC85" t="s">
        <v>16</v>
      </c>
      <c r="AD85" t="s">
        <v>2095</v>
      </c>
      <c r="AE85" t="s">
        <v>2096</v>
      </c>
    </row>
    <row r="86" spans="1:31">
      <c r="A86" t="s">
        <v>505</v>
      </c>
      <c r="B86" s="1">
        <v>45265</v>
      </c>
      <c r="C86" t="s">
        <v>245</v>
      </c>
      <c r="D86">
        <v>2023</v>
      </c>
      <c r="E86" t="s">
        <v>184</v>
      </c>
      <c r="F86" t="s">
        <v>506</v>
      </c>
      <c r="G86" t="s">
        <v>30</v>
      </c>
      <c r="H86" t="s">
        <v>31</v>
      </c>
      <c r="I86" t="s">
        <v>14</v>
      </c>
      <c r="J86" t="s">
        <v>32</v>
      </c>
      <c r="K86" t="s">
        <v>178</v>
      </c>
      <c r="L86" t="s">
        <v>204</v>
      </c>
      <c r="M86">
        <v>1</v>
      </c>
      <c r="N86">
        <v>113.18</v>
      </c>
      <c r="O86">
        <v>113.18</v>
      </c>
      <c r="P86">
        <v>0</v>
      </c>
      <c r="Q86">
        <v>0</v>
      </c>
      <c r="R86">
        <v>113.18</v>
      </c>
      <c r="S86">
        <v>39.01</v>
      </c>
      <c r="T86">
        <v>74.17</v>
      </c>
      <c r="U86" t="s">
        <v>166</v>
      </c>
      <c r="V86" t="s">
        <v>186</v>
      </c>
      <c r="W86" t="s">
        <v>2097</v>
      </c>
      <c r="X86" t="s">
        <v>2108</v>
      </c>
      <c r="Y86">
        <v>255</v>
      </c>
      <c r="Z86">
        <v>231.17</v>
      </c>
      <c r="AA86">
        <v>50.79</v>
      </c>
      <c r="AB86" t="s">
        <v>66</v>
      </c>
      <c r="AC86" t="s">
        <v>16</v>
      </c>
      <c r="AD86" t="s">
        <v>2095</v>
      </c>
      <c r="AE86" t="s">
        <v>2121</v>
      </c>
    </row>
    <row r="87" spans="1:31">
      <c r="A87" t="s">
        <v>1668</v>
      </c>
      <c r="B87" s="1">
        <v>45265</v>
      </c>
      <c r="C87" t="s">
        <v>245</v>
      </c>
      <c r="D87">
        <v>2023</v>
      </c>
      <c r="E87" t="s">
        <v>184</v>
      </c>
      <c r="F87" t="s">
        <v>498</v>
      </c>
      <c r="G87" t="s">
        <v>103</v>
      </c>
      <c r="H87" t="s">
        <v>104</v>
      </c>
      <c r="I87" t="s">
        <v>90</v>
      </c>
      <c r="J87" t="s">
        <v>94</v>
      </c>
      <c r="K87" t="s">
        <v>178</v>
      </c>
      <c r="L87" t="s">
        <v>165</v>
      </c>
      <c r="M87">
        <v>1</v>
      </c>
      <c r="N87">
        <v>98.58</v>
      </c>
      <c r="O87">
        <v>98.58</v>
      </c>
      <c r="P87">
        <v>5</v>
      </c>
      <c r="Q87">
        <v>4.93</v>
      </c>
      <c r="R87">
        <v>93.65</v>
      </c>
      <c r="S87">
        <v>52.57</v>
      </c>
      <c r="T87">
        <v>41.08</v>
      </c>
      <c r="U87" t="s">
        <v>180</v>
      </c>
      <c r="V87" t="s">
        <v>159</v>
      </c>
      <c r="W87" t="s">
        <v>2097</v>
      </c>
      <c r="X87" t="s">
        <v>2086</v>
      </c>
      <c r="Y87">
        <v>250</v>
      </c>
      <c r="Z87">
        <v>341.75</v>
      </c>
      <c r="AA87">
        <v>56.13</v>
      </c>
      <c r="AB87" t="s">
        <v>41</v>
      </c>
      <c r="AC87" t="s">
        <v>16</v>
      </c>
      <c r="AD87" t="s">
        <v>2095</v>
      </c>
      <c r="AE87" t="s">
        <v>2121</v>
      </c>
    </row>
    <row r="88" spans="1:31">
      <c r="A88" t="s">
        <v>1858</v>
      </c>
      <c r="B88" s="1">
        <v>45264</v>
      </c>
      <c r="C88" t="s">
        <v>245</v>
      </c>
      <c r="D88">
        <v>2023</v>
      </c>
      <c r="E88" t="s">
        <v>184</v>
      </c>
      <c r="F88" t="s">
        <v>1859</v>
      </c>
      <c r="G88" t="s">
        <v>21</v>
      </c>
      <c r="H88" t="s">
        <v>22</v>
      </c>
      <c r="I88" t="s">
        <v>14</v>
      </c>
      <c r="J88" t="s">
        <v>15</v>
      </c>
      <c r="K88" t="s">
        <v>178</v>
      </c>
      <c r="L88" t="s">
        <v>165</v>
      </c>
      <c r="M88">
        <v>2</v>
      </c>
      <c r="N88">
        <v>65.430000000000007</v>
      </c>
      <c r="O88">
        <v>130.86000000000001</v>
      </c>
      <c r="P88">
        <v>10</v>
      </c>
      <c r="Q88">
        <v>13.09</v>
      </c>
      <c r="R88">
        <v>117.77</v>
      </c>
      <c r="S88">
        <v>77.38</v>
      </c>
      <c r="T88">
        <v>40.39</v>
      </c>
      <c r="U88" t="s">
        <v>190</v>
      </c>
      <c r="V88" t="s">
        <v>186</v>
      </c>
      <c r="W88" t="s">
        <v>2099</v>
      </c>
      <c r="X88" t="s">
        <v>2091</v>
      </c>
      <c r="Y88">
        <v>46</v>
      </c>
      <c r="Z88">
        <v>75.2</v>
      </c>
      <c r="AA88">
        <v>45.16</v>
      </c>
      <c r="AB88" t="s">
        <v>115</v>
      </c>
      <c r="AC88" t="s">
        <v>16</v>
      </c>
      <c r="AD88" t="s">
        <v>2095</v>
      </c>
      <c r="AE88" t="s">
        <v>2107</v>
      </c>
    </row>
    <row r="89" spans="1:31">
      <c r="A89" t="s">
        <v>1819</v>
      </c>
      <c r="B89" s="1">
        <v>45264</v>
      </c>
      <c r="C89" t="s">
        <v>245</v>
      </c>
      <c r="D89">
        <v>2023</v>
      </c>
      <c r="E89" t="s">
        <v>184</v>
      </c>
      <c r="F89" t="s">
        <v>903</v>
      </c>
      <c r="G89" t="s">
        <v>46</v>
      </c>
      <c r="H89" t="s">
        <v>47</v>
      </c>
      <c r="I89" t="s">
        <v>41</v>
      </c>
      <c r="J89" t="s">
        <v>45</v>
      </c>
      <c r="K89" t="s">
        <v>209</v>
      </c>
      <c r="L89" t="s">
        <v>204</v>
      </c>
      <c r="M89">
        <v>1</v>
      </c>
      <c r="N89">
        <v>16.95</v>
      </c>
      <c r="O89">
        <v>16.95</v>
      </c>
      <c r="P89">
        <v>0</v>
      </c>
      <c r="Q89">
        <v>0</v>
      </c>
      <c r="R89">
        <v>16.95</v>
      </c>
      <c r="S89">
        <v>9.76</v>
      </c>
      <c r="T89">
        <v>7.19</v>
      </c>
      <c r="U89" t="s">
        <v>158</v>
      </c>
      <c r="V89" t="s">
        <v>159</v>
      </c>
      <c r="W89" t="s">
        <v>2090</v>
      </c>
      <c r="X89" t="s">
        <v>2108</v>
      </c>
      <c r="Y89">
        <v>257</v>
      </c>
      <c r="Z89">
        <v>233.61</v>
      </c>
      <c r="AA89">
        <v>94.38</v>
      </c>
      <c r="AB89" t="s">
        <v>41</v>
      </c>
      <c r="AC89" t="s">
        <v>16</v>
      </c>
      <c r="AD89" t="s">
        <v>2095</v>
      </c>
      <c r="AE89" t="s">
        <v>2096</v>
      </c>
    </row>
    <row r="90" spans="1:31">
      <c r="A90" t="s">
        <v>1032</v>
      </c>
      <c r="B90" s="1">
        <v>45263</v>
      </c>
      <c r="C90" t="s">
        <v>245</v>
      </c>
      <c r="D90">
        <v>2023</v>
      </c>
      <c r="E90" t="s">
        <v>184</v>
      </c>
      <c r="F90" t="s">
        <v>1033</v>
      </c>
      <c r="G90" t="s">
        <v>62</v>
      </c>
      <c r="H90" t="s">
        <v>63</v>
      </c>
      <c r="I90" t="s">
        <v>41</v>
      </c>
      <c r="J90" t="s">
        <v>45</v>
      </c>
      <c r="K90" t="s">
        <v>156</v>
      </c>
      <c r="L90" t="s">
        <v>194</v>
      </c>
      <c r="M90">
        <v>2</v>
      </c>
      <c r="N90">
        <v>160.35</v>
      </c>
      <c r="O90">
        <v>320.7</v>
      </c>
      <c r="P90">
        <v>20</v>
      </c>
      <c r="Q90">
        <v>64.14</v>
      </c>
      <c r="R90">
        <v>256.56</v>
      </c>
      <c r="S90">
        <v>144.94</v>
      </c>
      <c r="T90">
        <v>111.62</v>
      </c>
      <c r="U90" t="s">
        <v>158</v>
      </c>
      <c r="V90" t="s">
        <v>186</v>
      </c>
      <c r="W90" t="s">
        <v>2090</v>
      </c>
      <c r="X90" t="s">
        <v>2094</v>
      </c>
      <c r="Y90">
        <v>125</v>
      </c>
      <c r="Z90">
        <v>233.7</v>
      </c>
      <c r="AA90">
        <v>40.03</v>
      </c>
      <c r="AB90" t="s">
        <v>14</v>
      </c>
      <c r="AC90" t="s">
        <v>16</v>
      </c>
      <c r="AD90" t="s">
        <v>2095</v>
      </c>
      <c r="AE90" t="s">
        <v>2088</v>
      </c>
    </row>
    <row r="91" spans="1:31">
      <c r="A91" t="s">
        <v>1109</v>
      </c>
      <c r="B91" s="1">
        <v>45263</v>
      </c>
      <c r="C91" t="s">
        <v>245</v>
      </c>
      <c r="D91">
        <v>2023</v>
      </c>
      <c r="E91" t="s">
        <v>184</v>
      </c>
      <c r="F91" t="s">
        <v>1110</v>
      </c>
      <c r="G91" t="s">
        <v>68</v>
      </c>
      <c r="H91" t="s">
        <v>69</v>
      </c>
      <c r="I91" t="s">
        <v>66</v>
      </c>
      <c r="J91" t="s">
        <v>70</v>
      </c>
      <c r="K91" t="s">
        <v>164</v>
      </c>
      <c r="L91" t="s">
        <v>174</v>
      </c>
      <c r="M91">
        <v>4</v>
      </c>
      <c r="N91">
        <v>98.51</v>
      </c>
      <c r="O91">
        <v>394.04</v>
      </c>
      <c r="P91">
        <v>15</v>
      </c>
      <c r="Q91">
        <v>59.11</v>
      </c>
      <c r="R91">
        <v>334.93</v>
      </c>
      <c r="S91">
        <v>220.68</v>
      </c>
      <c r="T91">
        <v>114.25</v>
      </c>
      <c r="U91" t="s">
        <v>158</v>
      </c>
      <c r="V91" t="s">
        <v>159</v>
      </c>
      <c r="W91" t="s">
        <v>2085</v>
      </c>
      <c r="X91" t="s">
        <v>2111</v>
      </c>
      <c r="Y91">
        <v>156</v>
      </c>
      <c r="Z91">
        <v>2338.6999999999998</v>
      </c>
      <c r="AA91">
        <v>175.98</v>
      </c>
      <c r="AB91" t="s">
        <v>90</v>
      </c>
      <c r="AC91" t="s">
        <v>16</v>
      </c>
      <c r="AD91" t="s">
        <v>2087</v>
      </c>
      <c r="AE91" t="s">
        <v>2096</v>
      </c>
    </row>
    <row r="92" spans="1:31">
      <c r="A92" t="s">
        <v>360</v>
      </c>
      <c r="B92" s="1">
        <v>45262</v>
      </c>
      <c r="C92" t="s">
        <v>245</v>
      </c>
      <c r="D92">
        <v>2023</v>
      </c>
      <c r="E92" t="s">
        <v>184</v>
      </c>
      <c r="F92" t="s">
        <v>361</v>
      </c>
      <c r="G92" t="s">
        <v>107</v>
      </c>
      <c r="H92" t="s">
        <v>108</v>
      </c>
      <c r="I92" t="s">
        <v>90</v>
      </c>
      <c r="J92" t="s">
        <v>100</v>
      </c>
      <c r="K92" t="s">
        <v>164</v>
      </c>
      <c r="L92" t="s">
        <v>232</v>
      </c>
      <c r="M92">
        <v>2</v>
      </c>
      <c r="N92">
        <v>26.61</v>
      </c>
      <c r="O92">
        <v>53.22</v>
      </c>
      <c r="P92">
        <v>5</v>
      </c>
      <c r="Q92">
        <v>2.66</v>
      </c>
      <c r="R92">
        <v>50.56</v>
      </c>
      <c r="S92">
        <v>21.28</v>
      </c>
      <c r="T92">
        <v>29.28</v>
      </c>
      <c r="U92" t="s">
        <v>180</v>
      </c>
      <c r="V92" t="s">
        <v>159</v>
      </c>
      <c r="W92" t="s">
        <v>2099</v>
      </c>
      <c r="X92" t="s">
        <v>2094</v>
      </c>
      <c r="Y92">
        <v>275</v>
      </c>
      <c r="Z92">
        <v>128.59</v>
      </c>
      <c r="AA92">
        <v>41.82</v>
      </c>
      <c r="AB92" t="s">
        <v>66</v>
      </c>
      <c r="AC92" t="s">
        <v>20</v>
      </c>
      <c r="AD92" t="s">
        <v>2087</v>
      </c>
      <c r="AE92" t="s">
        <v>2109</v>
      </c>
    </row>
    <row r="93" spans="1:31">
      <c r="A93" t="s">
        <v>827</v>
      </c>
      <c r="B93" s="1">
        <v>45262</v>
      </c>
      <c r="C93" t="s">
        <v>245</v>
      </c>
      <c r="D93">
        <v>2023</v>
      </c>
      <c r="E93" t="s">
        <v>184</v>
      </c>
      <c r="F93" t="s">
        <v>828</v>
      </c>
      <c r="G93" t="s">
        <v>129</v>
      </c>
      <c r="H93" t="s">
        <v>130</v>
      </c>
      <c r="I93" t="s">
        <v>115</v>
      </c>
      <c r="J93" t="s">
        <v>124</v>
      </c>
      <c r="K93" t="s">
        <v>209</v>
      </c>
      <c r="L93" t="s">
        <v>174</v>
      </c>
      <c r="M93">
        <v>2</v>
      </c>
      <c r="N93">
        <v>99.34</v>
      </c>
      <c r="O93">
        <v>198.68</v>
      </c>
      <c r="P93">
        <v>5</v>
      </c>
      <c r="Q93">
        <v>9.93</v>
      </c>
      <c r="R93">
        <v>188.75</v>
      </c>
      <c r="S93">
        <v>74.7</v>
      </c>
      <c r="T93">
        <v>114.05</v>
      </c>
      <c r="U93" t="s">
        <v>190</v>
      </c>
      <c r="V93" t="s">
        <v>186</v>
      </c>
      <c r="W93" t="s">
        <v>2085</v>
      </c>
      <c r="X93" t="s">
        <v>2094</v>
      </c>
      <c r="Y93">
        <v>55</v>
      </c>
      <c r="Z93">
        <v>2094.0300000000002</v>
      </c>
      <c r="AA93">
        <v>178.22</v>
      </c>
      <c r="AB93" t="s">
        <v>66</v>
      </c>
      <c r="AC93" t="s">
        <v>16</v>
      </c>
      <c r="AD93" t="s">
        <v>2106</v>
      </c>
      <c r="AE93" t="s">
        <v>2121</v>
      </c>
    </row>
    <row r="94" spans="1:31">
      <c r="A94" t="s">
        <v>314</v>
      </c>
      <c r="B94" s="1">
        <v>45262</v>
      </c>
      <c r="C94" t="s">
        <v>245</v>
      </c>
      <c r="D94">
        <v>2023</v>
      </c>
      <c r="E94" t="s">
        <v>184</v>
      </c>
      <c r="F94" t="s">
        <v>315</v>
      </c>
      <c r="G94" t="s">
        <v>12</v>
      </c>
      <c r="H94" t="s">
        <v>13</v>
      </c>
      <c r="I94" t="s">
        <v>14</v>
      </c>
      <c r="J94" t="s">
        <v>15</v>
      </c>
      <c r="K94" t="s">
        <v>156</v>
      </c>
      <c r="L94" t="s">
        <v>174</v>
      </c>
      <c r="M94">
        <v>2</v>
      </c>
      <c r="N94">
        <v>76.53</v>
      </c>
      <c r="O94">
        <v>153.06</v>
      </c>
      <c r="P94">
        <v>5</v>
      </c>
      <c r="Q94">
        <v>7.65</v>
      </c>
      <c r="R94">
        <v>145.41</v>
      </c>
      <c r="S94">
        <v>105.92</v>
      </c>
      <c r="T94">
        <v>39.49</v>
      </c>
      <c r="U94" t="s">
        <v>180</v>
      </c>
      <c r="V94" t="s">
        <v>159</v>
      </c>
      <c r="W94" t="s">
        <v>2099</v>
      </c>
      <c r="X94" t="s">
        <v>2091</v>
      </c>
      <c r="Y94">
        <v>257</v>
      </c>
      <c r="Z94">
        <v>146.9</v>
      </c>
      <c r="AA94">
        <v>27.48</v>
      </c>
      <c r="AB94" t="s">
        <v>14</v>
      </c>
      <c r="AC94" t="s">
        <v>16</v>
      </c>
      <c r="AD94" t="s">
        <v>2095</v>
      </c>
      <c r="AE94" t="s">
        <v>2088</v>
      </c>
    </row>
    <row r="95" spans="1:31">
      <c r="A95" t="s">
        <v>1219</v>
      </c>
      <c r="B95" s="1">
        <v>45261</v>
      </c>
      <c r="C95" t="s">
        <v>245</v>
      </c>
      <c r="D95">
        <v>2023</v>
      </c>
      <c r="E95" t="s">
        <v>184</v>
      </c>
      <c r="F95" t="s">
        <v>1220</v>
      </c>
      <c r="G95" t="s">
        <v>101</v>
      </c>
      <c r="H95" t="s">
        <v>102</v>
      </c>
      <c r="I95" t="s">
        <v>90</v>
      </c>
      <c r="J95" t="s">
        <v>100</v>
      </c>
      <c r="K95" t="s">
        <v>178</v>
      </c>
      <c r="L95" t="s">
        <v>232</v>
      </c>
      <c r="M95">
        <v>2</v>
      </c>
      <c r="N95">
        <v>196.28</v>
      </c>
      <c r="O95">
        <v>392.56</v>
      </c>
      <c r="P95">
        <v>5</v>
      </c>
      <c r="Q95">
        <v>19.63</v>
      </c>
      <c r="R95">
        <v>372.93</v>
      </c>
      <c r="S95">
        <v>143.46</v>
      </c>
      <c r="T95">
        <v>229.47</v>
      </c>
      <c r="U95" t="s">
        <v>158</v>
      </c>
      <c r="V95" t="s">
        <v>181</v>
      </c>
      <c r="W95" t="s">
        <v>2113</v>
      </c>
      <c r="X95" t="s">
        <v>2094</v>
      </c>
      <c r="Y95">
        <v>107</v>
      </c>
      <c r="Z95">
        <v>183.82</v>
      </c>
      <c r="AA95">
        <v>71.34</v>
      </c>
      <c r="AB95" t="s">
        <v>115</v>
      </c>
      <c r="AC95" t="s">
        <v>20</v>
      </c>
      <c r="AD95" t="s">
        <v>2087</v>
      </c>
      <c r="AE95" t="s">
        <v>2088</v>
      </c>
    </row>
    <row r="96" spans="1:31">
      <c r="A96" t="s">
        <v>1103</v>
      </c>
      <c r="B96" s="1">
        <v>45261</v>
      </c>
      <c r="C96" t="s">
        <v>245</v>
      </c>
      <c r="D96">
        <v>2023</v>
      </c>
      <c r="E96" t="s">
        <v>184</v>
      </c>
      <c r="F96" t="s">
        <v>1104</v>
      </c>
      <c r="G96" t="s">
        <v>64</v>
      </c>
      <c r="H96" t="s">
        <v>65</v>
      </c>
      <c r="I96" t="s">
        <v>66</v>
      </c>
      <c r="J96" t="s">
        <v>67</v>
      </c>
      <c r="K96" t="s">
        <v>209</v>
      </c>
      <c r="L96" t="s">
        <v>204</v>
      </c>
      <c r="M96">
        <v>1</v>
      </c>
      <c r="N96">
        <v>24.9</v>
      </c>
      <c r="O96">
        <v>24.9</v>
      </c>
      <c r="P96">
        <v>5</v>
      </c>
      <c r="Q96">
        <v>1.25</v>
      </c>
      <c r="R96">
        <v>23.65</v>
      </c>
      <c r="S96">
        <v>21.52</v>
      </c>
      <c r="T96">
        <v>2.13</v>
      </c>
      <c r="U96" t="s">
        <v>180</v>
      </c>
      <c r="V96" t="s">
        <v>159</v>
      </c>
      <c r="W96" t="s">
        <v>2099</v>
      </c>
      <c r="X96" t="s">
        <v>2100</v>
      </c>
      <c r="Y96">
        <v>114</v>
      </c>
      <c r="Z96">
        <v>88.36</v>
      </c>
      <c r="AA96">
        <v>92.82</v>
      </c>
      <c r="AB96" t="s">
        <v>90</v>
      </c>
      <c r="AC96" t="s">
        <v>20</v>
      </c>
      <c r="AD96" t="s">
        <v>2095</v>
      </c>
      <c r="AE96" t="s">
        <v>2109</v>
      </c>
    </row>
    <row r="97" spans="1:31">
      <c r="A97" t="s">
        <v>1163</v>
      </c>
      <c r="B97" s="1">
        <v>45260</v>
      </c>
      <c r="C97" t="s">
        <v>188</v>
      </c>
      <c r="D97">
        <v>2023</v>
      </c>
      <c r="E97" t="s">
        <v>184</v>
      </c>
      <c r="F97" t="s">
        <v>1164</v>
      </c>
      <c r="G97" t="s">
        <v>92</v>
      </c>
      <c r="H97" t="s">
        <v>93</v>
      </c>
      <c r="I97" t="s">
        <v>90</v>
      </c>
      <c r="J97" t="s">
        <v>94</v>
      </c>
      <c r="K97" t="s">
        <v>178</v>
      </c>
      <c r="L97" t="s">
        <v>232</v>
      </c>
      <c r="M97">
        <v>1</v>
      </c>
      <c r="N97">
        <v>230.34</v>
      </c>
      <c r="O97">
        <v>230.34</v>
      </c>
      <c r="P97">
        <v>0</v>
      </c>
      <c r="Q97">
        <v>0</v>
      </c>
      <c r="R97">
        <v>230.34</v>
      </c>
      <c r="S97">
        <v>74.680000000000007</v>
      </c>
      <c r="T97">
        <v>155.66</v>
      </c>
      <c r="U97" t="s">
        <v>158</v>
      </c>
      <c r="V97" t="s">
        <v>159</v>
      </c>
      <c r="W97" t="s">
        <v>2093</v>
      </c>
      <c r="X97" t="s">
        <v>2091</v>
      </c>
      <c r="Y97">
        <v>247</v>
      </c>
      <c r="Z97">
        <v>38.979999999999997</v>
      </c>
      <c r="AA97">
        <v>30.79</v>
      </c>
      <c r="AB97" t="s">
        <v>41</v>
      </c>
      <c r="AC97" t="s">
        <v>16</v>
      </c>
      <c r="AD97" t="s">
        <v>2106</v>
      </c>
      <c r="AE97" t="s">
        <v>2096</v>
      </c>
    </row>
    <row r="98" spans="1:31">
      <c r="A98" t="s">
        <v>1015</v>
      </c>
      <c r="B98" s="1">
        <v>45260</v>
      </c>
      <c r="C98" t="s">
        <v>188</v>
      </c>
      <c r="D98">
        <v>2023</v>
      </c>
      <c r="E98" t="s">
        <v>184</v>
      </c>
      <c r="F98" t="s">
        <v>1016</v>
      </c>
      <c r="G98" t="s">
        <v>122</v>
      </c>
      <c r="H98" t="s">
        <v>123</v>
      </c>
      <c r="I98" t="s">
        <v>115</v>
      </c>
      <c r="J98" t="s">
        <v>124</v>
      </c>
      <c r="K98" t="s">
        <v>209</v>
      </c>
      <c r="L98" t="s">
        <v>179</v>
      </c>
      <c r="M98">
        <v>2</v>
      </c>
      <c r="N98">
        <v>93.88</v>
      </c>
      <c r="O98">
        <v>187.76</v>
      </c>
      <c r="P98">
        <v>0</v>
      </c>
      <c r="Q98">
        <v>0</v>
      </c>
      <c r="R98">
        <v>187.76</v>
      </c>
      <c r="S98">
        <v>106.22</v>
      </c>
      <c r="T98">
        <v>81.540000000000006</v>
      </c>
      <c r="U98" t="s">
        <v>158</v>
      </c>
      <c r="V98" t="s">
        <v>186</v>
      </c>
      <c r="W98" t="s">
        <v>2085</v>
      </c>
      <c r="X98" t="s">
        <v>2094</v>
      </c>
      <c r="Y98">
        <v>261</v>
      </c>
      <c r="Z98">
        <v>2184.2399999999998</v>
      </c>
      <c r="AA98">
        <v>195.56</v>
      </c>
      <c r="AB98" t="s">
        <v>41</v>
      </c>
      <c r="AC98" t="s">
        <v>16</v>
      </c>
      <c r="AD98" t="s">
        <v>2095</v>
      </c>
      <c r="AE98" t="s">
        <v>2109</v>
      </c>
    </row>
    <row r="99" spans="1:31">
      <c r="A99" t="s">
        <v>605</v>
      </c>
      <c r="B99" s="1">
        <v>45260</v>
      </c>
      <c r="C99" t="s">
        <v>188</v>
      </c>
      <c r="D99">
        <v>2023</v>
      </c>
      <c r="E99" t="s">
        <v>184</v>
      </c>
      <c r="F99" t="s">
        <v>606</v>
      </c>
      <c r="G99" t="s">
        <v>80</v>
      </c>
      <c r="H99" t="s">
        <v>81</v>
      </c>
      <c r="I99" t="s">
        <v>66</v>
      </c>
      <c r="J99" t="s">
        <v>70</v>
      </c>
      <c r="K99" t="s">
        <v>178</v>
      </c>
      <c r="L99" t="s">
        <v>194</v>
      </c>
      <c r="M99">
        <v>4</v>
      </c>
      <c r="N99">
        <v>106.06</v>
      </c>
      <c r="O99">
        <v>424.24</v>
      </c>
      <c r="P99">
        <v>5</v>
      </c>
      <c r="Q99">
        <v>21.21</v>
      </c>
      <c r="R99">
        <v>403.03</v>
      </c>
      <c r="S99">
        <v>133.68</v>
      </c>
      <c r="T99">
        <v>269.35000000000002</v>
      </c>
      <c r="U99" t="s">
        <v>195</v>
      </c>
      <c r="V99" t="s">
        <v>159</v>
      </c>
      <c r="W99" t="s">
        <v>2099</v>
      </c>
      <c r="X99" t="s">
        <v>2094</v>
      </c>
      <c r="Y99">
        <v>326</v>
      </c>
      <c r="Z99">
        <v>99.27</v>
      </c>
      <c r="AA99">
        <v>47.66</v>
      </c>
      <c r="AB99" t="s">
        <v>115</v>
      </c>
      <c r="AC99" t="s">
        <v>16</v>
      </c>
      <c r="AD99" t="s">
        <v>2095</v>
      </c>
      <c r="AE99" t="s">
        <v>2088</v>
      </c>
    </row>
    <row r="100" spans="1:31">
      <c r="A100" t="s">
        <v>1691</v>
      </c>
      <c r="B100" s="1">
        <v>45260</v>
      </c>
      <c r="C100" t="s">
        <v>188</v>
      </c>
      <c r="D100">
        <v>2023</v>
      </c>
      <c r="E100" t="s">
        <v>184</v>
      </c>
      <c r="F100" t="s">
        <v>1692</v>
      </c>
      <c r="G100" t="s">
        <v>43</v>
      </c>
      <c r="H100" t="s">
        <v>44</v>
      </c>
      <c r="I100" t="s">
        <v>41</v>
      </c>
      <c r="J100" t="s">
        <v>45</v>
      </c>
      <c r="K100" t="s">
        <v>178</v>
      </c>
      <c r="L100" t="s">
        <v>204</v>
      </c>
      <c r="M100">
        <v>1</v>
      </c>
      <c r="N100">
        <v>67.56</v>
      </c>
      <c r="O100">
        <v>67.56</v>
      </c>
      <c r="P100">
        <v>15</v>
      </c>
      <c r="Q100">
        <v>10.130000000000001</v>
      </c>
      <c r="R100">
        <v>57.43</v>
      </c>
      <c r="S100">
        <v>43.21</v>
      </c>
      <c r="T100">
        <v>14.22</v>
      </c>
      <c r="U100" t="s">
        <v>180</v>
      </c>
      <c r="V100" t="s">
        <v>159</v>
      </c>
      <c r="W100" t="s">
        <v>2090</v>
      </c>
      <c r="X100" t="s">
        <v>2091</v>
      </c>
      <c r="Y100">
        <v>213</v>
      </c>
      <c r="Z100">
        <v>387.18</v>
      </c>
      <c r="AA100">
        <v>92.19</v>
      </c>
      <c r="AB100" t="s">
        <v>90</v>
      </c>
      <c r="AC100" t="s">
        <v>16</v>
      </c>
      <c r="AD100" t="s">
        <v>2095</v>
      </c>
      <c r="AE100" t="s">
        <v>2088</v>
      </c>
    </row>
    <row r="101" spans="1:31">
      <c r="A101" t="s">
        <v>1478</v>
      </c>
      <c r="B101" s="1">
        <v>45259</v>
      </c>
      <c r="C101" t="s">
        <v>188</v>
      </c>
      <c r="D101">
        <v>2023</v>
      </c>
      <c r="E101" t="s">
        <v>184</v>
      </c>
      <c r="F101" t="s">
        <v>1479</v>
      </c>
      <c r="G101" t="s">
        <v>95</v>
      </c>
      <c r="H101" t="s">
        <v>96</v>
      </c>
      <c r="I101" t="s">
        <v>90</v>
      </c>
      <c r="J101" t="s">
        <v>97</v>
      </c>
      <c r="K101" t="s">
        <v>156</v>
      </c>
      <c r="L101" t="s">
        <v>179</v>
      </c>
      <c r="M101">
        <v>4</v>
      </c>
      <c r="N101">
        <v>177.41</v>
      </c>
      <c r="O101">
        <v>709.64</v>
      </c>
      <c r="P101">
        <v>15</v>
      </c>
      <c r="Q101">
        <v>106.45</v>
      </c>
      <c r="R101">
        <v>603.19000000000005</v>
      </c>
      <c r="S101">
        <v>299.95999999999998</v>
      </c>
      <c r="T101">
        <v>303.23</v>
      </c>
      <c r="U101" t="s">
        <v>180</v>
      </c>
      <c r="V101" t="s">
        <v>186</v>
      </c>
      <c r="W101" t="s">
        <v>2090</v>
      </c>
      <c r="X101" t="s">
        <v>2108</v>
      </c>
      <c r="Y101">
        <v>223</v>
      </c>
      <c r="Z101">
        <v>315.48</v>
      </c>
      <c r="AA101">
        <v>57.87</v>
      </c>
      <c r="AB101" t="s">
        <v>14</v>
      </c>
      <c r="AC101" t="s">
        <v>16</v>
      </c>
      <c r="AD101" t="s">
        <v>2087</v>
      </c>
      <c r="AE101" t="s">
        <v>2096</v>
      </c>
    </row>
    <row r="102" spans="1:31">
      <c r="A102" t="s">
        <v>1929</v>
      </c>
      <c r="B102" s="1">
        <v>45259</v>
      </c>
      <c r="C102" t="s">
        <v>188</v>
      </c>
      <c r="D102">
        <v>2023</v>
      </c>
      <c r="E102" t="s">
        <v>184</v>
      </c>
      <c r="F102" t="s">
        <v>1930</v>
      </c>
      <c r="G102" t="s">
        <v>39</v>
      </c>
      <c r="H102" t="s">
        <v>40</v>
      </c>
      <c r="I102" t="s">
        <v>41</v>
      </c>
      <c r="J102" t="s">
        <v>42</v>
      </c>
      <c r="K102" t="s">
        <v>156</v>
      </c>
      <c r="L102" t="s">
        <v>179</v>
      </c>
      <c r="M102">
        <v>2</v>
      </c>
      <c r="N102">
        <v>35.11</v>
      </c>
      <c r="O102">
        <v>70.22</v>
      </c>
      <c r="P102">
        <v>10</v>
      </c>
      <c r="Q102">
        <v>7.02</v>
      </c>
      <c r="R102">
        <v>63.2</v>
      </c>
      <c r="S102">
        <v>49.74</v>
      </c>
      <c r="T102">
        <v>13.46</v>
      </c>
      <c r="U102" t="s">
        <v>166</v>
      </c>
      <c r="V102" t="s">
        <v>186</v>
      </c>
      <c r="W102" t="s">
        <v>2099</v>
      </c>
      <c r="X102" t="s">
        <v>2111</v>
      </c>
      <c r="Y102">
        <v>307</v>
      </c>
      <c r="Z102">
        <v>26.04</v>
      </c>
      <c r="AA102">
        <v>21.7</v>
      </c>
      <c r="AB102" t="s">
        <v>66</v>
      </c>
      <c r="AC102" t="s">
        <v>16</v>
      </c>
      <c r="AD102" t="s">
        <v>2087</v>
      </c>
      <c r="AE102" t="s">
        <v>2109</v>
      </c>
    </row>
    <row r="103" spans="1:31">
      <c r="A103" t="s">
        <v>214</v>
      </c>
      <c r="B103" s="1">
        <v>45259</v>
      </c>
      <c r="C103" t="s">
        <v>188</v>
      </c>
      <c r="D103">
        <v>2023</v>
      </c>
      <c r="E103" t="s">
        <v>184</v>
      </c>
      <c r="F103" t="s">
        <v>215</v>
      </c>
      <c r="G103" t="s">
        <v>23</v>
      </c>
      <c r="H103" t="s">
        <v>24</v>
      </c>
      <c r="I103" t="s">
        <v>14</v>
      </c>
      <c r="J103" t="s">
        <v>19</v>
      </c>
      <c r="K103" t="s">
        <v>209</v>
      </c>
      <c r="L103" t="s">
        <v>179</v>
      </c>
      <c r="M103">
        <v>3</v>
      </c>
      <c r="N103">
        <v>154.03</v>
      </c>
      <c r="O103">
        <v>462.09000000000003</v>
      </c>
      <c r="P103">
        <v>0</v>
      </c>
      <c r="Q103">
        <v>0</v>
      </c>
      <c r="R103">
        <v>462.09</v>
      </c>
      <c r="S103">
        <v>230.37</v>
      </c>
      <c r="T103">
        <v>231.72</v>
      </c>
      <c r="U103" t="s">
        <v>158</v>
      </c>
      <c r="V103" t="s">
        <v>159</v>
      </c>
      <c r="W103" t="s">
        <v>2099</v>
      </c>
      <c r="X103" t="s">
        <v>2094</v>
      </c>
      <c r="Y103">
        <v>6</v>
      </c>
      <c r="Z103">
        <v>60.21</v>
      </c>
      <c r="AA103">
        <v>23.29</v>
      </c>
      <c r="AB103" t="s">
        <v>115</v>
      </c>
      <c r="AC103" t="s">
        <v>16</v>
      </c>
      <c r="AD103" t="s">
        <v>2087</v>
      </c>
      <c r="AE103" t="s">
        <v>2121</v>
      </c>
    </row>
    <row r="104" spans="1:31">
      <c r="A104" t="s">
        <v>1457</v>
      </c>
      <c r="B104" s="1">
        <v>45259</v>
      </c>
      <c r="C104" t="s">
        <v>188</v>
      </c>
      <c r="D104">
        <v>2023</v>
      </c>
      <c r="E104" t="s">
        <v>184</v>
      </c>
      <c r="F104" t="s">
        <v>1458</v>
      </c>
      <c r="G104" t="s">
        <v>30</v>
      </c>
      <c r="H104" t="s">
        <v>31</v>
      </c>
      <c r="I104" t="s">
        <v>14</v>
      </c>
      <c r="J104" t="s">
        <v>32</v>
      </c>
      <c r="K104" t="s">
        <v>156</v>
      </c>
      <c r="L104" t="s">
        <v>204</v>
      </c>
      <c r="M104">
        <v>1</v>
      </c>
      <c r="N104">
        <v>113.18</v>
      </c>
      <c r="O104">
        <v>113.18</v>
      </c>
      <c r="P104">
        <v>0</v>
      </c>
      <c r="Q104">
        <v>0</v>
      </c>
      <c r="R104">
        <v>113.18</v>
      </c>
      <c r="S104">
        <v>39.01</v>
      </c>
      <c r="T104">
        <v>74.17</v>
      </c>
      <c r="U104" t="s">
        <v>166</v>
      </c>
      <c r="V104" t="s">
        <v>159</v>
      </c>
      <c r="W104" t="s">
        <v>2085</v>
      </c>
      <c r="X104" t="s">
        <v>2094</v>
      </c>
      <c r="Y104">
        <v>85</v>
      </c>
      <c r="Z104">
        <v>2137.2800000000002</v>
      </c>
      <c r="AA104">
        <v>105.27</v>
      </c>
      <c r="AB104" t="s">
        <v>14</v>
      </c>
      <c r="AC104" t="s">
        <v>16</v>
      </c>
      <c r="AD104" t="s">
        <v>2106</v>
      </c>
      <c r="AE104" t="s">
        <v>2096</v>
      </c>
    </row>
    <row r="105" spans="1:31">
      <c r="A105" t="s">
        <v>2044</v>
      </c>
      <c r="B105" s="1">
        <v>45258</v>
      </c>
      <c r="C105" t="s">
        <v>188</v>
      </c>
      <c r="D105">
        <v>2023</v>
      </c>
      <c r="E105" t="s">
        <v>184</v>
      </c>
      <c r="F105" t="s">
        <v>2045</v>
      </c>
      <c r="G105" t="s">
        <v>129</v>
      </c>
      <c r="H105" t="s">
        <v>130</v>
      </c>
      <c r="I105" t="s">
        <v>115</v>
      </c>
      <c r="J105" t="s">
        <v>124</v>
      </c>
      <c r="K105" t="s">
        <v>178</v>
      </c>
      <c r="L105" t="s">
        <v>179</v>
      </c>
      <c r="M105">
        <v>1</v>
      </c>
      <c r="N105">
        <v>99.34</v>
      </c>
      <c r="O105">
        <v>99.34</v>
      </c>
      <c r="P105">
        <v>0</v>
      </c>
      <c r="Q105">
        <v>0</v>
      </c>
      <c r="R105">
        <v>99.34</v>
      </c>
      <c r="S105">
        <v>37.35</v>
      </c>
      <c r="T105">
        <v>61.99</v>
      </c>
      <c r="U105" t="s">
        <v>190</v>
      </c>
      <c r="V105" t="s">
        <v>159</v>
      </c>
      <c r="W105" t="s">
        <v>2099</v>
      </c>
      <c r="X105" t="s">
        <v>2100</v>
      </c>
      <c r="Y105">
        <v>150</v>
      </c>
      <c r="Z105">
        <v>58.52</v>
      </c>
      <c r="AA105">
        <v>89.1</v>
      </c>
      <c r="AB105" t="s">
        <v>14</v>
      </c>
      <c r="AC105" t="s">
        <v>16</v>
      </c>
      <c r="AD105" t="s">
        <v>2095</v>
      </c>
      <c r="AE105" t="s">
        <v>2096</v>
      </c>
    </row>
    <row r="106" spans="1:31">
      <c r="A106" t="s">
        <v>497</v>
      </c>
      <c r="B106" s="1">
        <v>45258</v>
      </c>
      <c r="C106" t="s">
        <v>188</v>
      </c>
      <c r="D106">
        <v>2023</v>
      </c>
      <c r="E106" t="s">
        <v>184</v>
      </c>
      <c r="F106" t="s">
        <v>498</v>
      </c>
      <c r="G106" t="s">
        <v>88</v>
      </c>
      <c r="H106" t="s">
        <v>89</v>
      </c>
      <c r="I106" t="s">
        <v>90</v>
      </c>
      <c r="J106" t="s">
        <v>91</v>
      </c>
      <c r="K106" t="s">
        <v>178</v>
      </c>
      <c r="L106" t="s">
        <v>194</v>
      </c>
      <c r="M106">
        <v>3</v>
      </c>
      <c r="N106">
        <v>54.64</v>
      </c>
      <c r="O106">
        <v>163.92000000000002</v>
      </c>
      <c r="P106">
        <v>0</v>
      </c>
      <c r="Q106">
        <v>0</v>
      </c>
      <c r="R106">
        <v>163.92</v>
      </c>
      <c r="S106">
        <v>60.96</v>
      </c>
      <c r="T106">
        <v>102.96</v>
      </c>
      <c r="U106" t="s">
        <v>158</v>
      </c>
      <c r="V106" t="s">
        <v>159</v>
      </c>
      <c r="W106" t="s">
        <v>2097</v>
      </c>
      <c r="X106" t="s">
        <v>2086</v>
      </c>
      <c r="Y106">
        <v>250</v>
      </c>
      <c r="Z106">
        <v>341.75</v>
      </c>
      <c r="AA106">
        <v>56.13</v>
      </c>
      <c r="AB106" t="s">
        <v>41</v>
      </c>
      <c r="AC106" t="s">
        <v>16</v>
      </c>
      <c r="AD106" t="s">
        <v>2095</v>
      </c>
      <c r="AE106" t="s">
        <v>2121</v>
      </c>
    </row>
    <row r="107" spans="1:31">
      <c r="A107" t="s">
        <v>2020</v>
      </c>
      <c r="B107" s="1">
        <v>45258</v>
      </c>
      <c r="C107" t="s">
        <v>188</v>
      </c>
      <c r="D107">
        <v>2023</v>
      </c>
      <c r="E107" t="s">
        <v>184</v>
      </c>
      <c r="F107" t="s">
        <v>2021</v>
      </c>
      <c r="G107" t="s">
        <v>103</v>
      </c>
      <c r="H107" t="s">
        <v>104</v>
      </c>
      <c r="I107" t="s">
        <v>90</v>
      </c>
      <c r="J107" t="s">
        <v>94</v>
      </c>
      <c r="K107" t="s">
        <v>164</v>
      </c>
      <c r="L107" t="s">
        <v>174</v>
      </c>
      <c r="M107">
        <v>1</v>
      </c>
      <c r="N107">
        <v>98.58</v>
      </c>
      <c r="O107">
        <v>98.58</v>
      </c>
      <c r="P107">
        <v>0</v>
      </c>
      <c r="Q107">
        <v>0</v>
      </c>
      <c r="R107">
        <v>98.58</v>
      </c>
      <c r="S107">
        <v>52.57</v>
      </c>
      <c r="T107">
        <v>46.01</v>
      </c>
      <c r="U107" t="s">
        <v>180</v>
      </c>
      <c r="V107" t="s">
        <v>181</v>
      </c>
      <c r="W107" t="s">
        <v>2097</v>
      </c>
      <c r="X107" t="s">
        <v>2111</v>
      </c>
      <c r="Y107">
        <v>201</v>
      </c>
      <c r="Z107">
        <v>192.69</v>
      </c>
      <c r="AA107">
        <v>136.97999999999999</v>
      </c>
      <c r="AB107" t="s">
        <v>66</v>
      </c>
      <c r="AC107" t="s">
        <v>20</v>
      </c>
      <c r="AD107" t="s">
        <v>2095</v>
      </c>
      <c r="AE107" t="s">
        <v>2121</v>
      </c>
    </row>
    <row r="108" spans="1:31">
      <c r="A108" t="s">
        <v>1736</v>
      </c>
      <c r="B108" s="1">
        <v>45258</v>
      </c>
      <c r="C108" t="s">
        <v>188</v>
      </c>
      <c r="D108">
        <v>2023</v>
      </c>
      <c r="E108" t="s">
        <v>184</v>
      </c>
      <c r="F108" t="s">
        <v>1737</v>
      </c>
      <c r="G108" t="s">
        <v>73</v>
      </c>
      <c r="H108" t="s">
        <v>74</v>
      </c>
      <c r="I108" t="s">
        <v>66</v>
      </c>
      <c r="J108" t="s">
        <v>75</v>
      </c>
      <c r="K108" t="s">
        <v>209</v>
      </c>
      <c r="L108" t="s">
        <v>232</v>
      </c>
      <c r="M108">
        <v>3</v>
      </c>
      <c r="N108">
        <v>53.95</v>
      </c>
      <c r="O108">
        <v>161.85000000000002</v>
      </c>
      <c r="P108">
        <v>0</v>
      </c>
      <c r="Q108">
        <v>0</v>
      </c>
      <c r="R108">
        <v>161.85</v>
      </c>
      <c r="S108">
        <v>105.6</v>
      </c>
      <c r="T108">
        <v>56.25</v>
      </c>
      <c r="U108" t="s">
        <v>190</v>
      </c>
      <c r="V108" t="s">
        <v>159</v>
      </c>
      <c r="W108" t="s">
        <v>2097</v>
      </c>
      <c r="X108" t="s">
        <v>2108</v>
      </c>
      <c r="Y108">
        <v>85</v>
      </c>
      <c r="Z108">
        <v>472.15</v>
      </c>
      <c r="AA108">
        <v>106.08</v>
      </c>
      <c r="AB108" t="s">
        <v>90</v>
      </c>
      <c r="AC108" t="s">
        <v>16</v>
      </c>
      <c r="AD108" t="s">
        <v>2087</v>
      </c>
      <c r="AE108" t="s">
        <v>2107</v>
      </c>
    </row>
    <row r="109" spans="1:31">
      <c r="A109" t="s">
        <v>1703</v>
      </c>
      <c r="B109" s="1">
        <v>45257</v>
      </c>
      <c r="C109" t="s">
        <v>188</v>
      </c>
      <c r="D109">
        <v>2023</v>
      </c>
      <c r="E109" t="s">
        <v>184</v>
      </c>
      <c r="F109" t="s">
        <v>1704</v>
      </c>
      <c r="G109" t="s">
        <v>120</v>
      </c>
      <c r="H109" t="s">
        <v>121</v>
      </c>
      <c r="I109" t="s">
        <v>115</v>
      </c>
      <c r="J109" t="s">
        <v>119</v>
      </c>
      <c r="K109" t="s">
        <v>178</v>
      </c>
      <c r="L109" t="s">
        <v>157</v>
      </c>
      <c r="M109">
        <v>1</v>
      </c>
      <c r="N109">
        <v>197.52</v>
      </c>
      <c r="O109">
        <v>197.52</v>
      </c>
      <c r="P109">
        <v>0</v>
      </c>
      <c r="Q109">
        <v>0</v>
      </c>
      <c r="R109">
        <v>197.52</v>
      </c>
      <c r="S109">
        <v>66.540000000000006</v>
      </c>
      <c r="T109">
        <v>130.97999999999999</v>
      </c>
      <c r="U109" t="s">
        <v>180</v>
      </c>
      <c r="V109" t="s">
        <v>159</v>
      </c>
      <c r="W109" t="s">
        <v>2099</v>
      </c>
      <c r="X109" t="s">
        <v>2086</v>
      </c>
      <c r="Y109">
        <v>188</v>
      </c>
      <c r="Z109">
        <v>125.17</v>
      </c>
      <c r="AA109">
        <v>45.28</v>
      </c>
      <c r="AB109" t="s">
        <v>90</v>
      </c>
      <c r="AC109" t="s">
        <v>20</v>
      </c>
      <c r="AD109" t="s">
        <v>2095</v>
      </c>
      <c r="AE109" t="s">
        <v>2107</v>
      </c>
    </row>
    <row r="110" spans="1:31">
      <c r="A110" t="s">
        <v>364</v>
      </c>
      <c r="B110" s="1">
        <v>45257</v>
      </c>
      <c r="C110" t="s">
        <v>188</v>
      </c>
      <c r="D110">
        <v>2023</v>
      </c>
      <c r="E110" t="s">
        <v>184</v>
      </c>
      <c r="F110" t="s">
        <v>365</v>
      </c>
      <c r="G110" t="s">
        <v>122</v>
      </c>
      <c r="H110" t="s">
        <v>123</v>
      </c>
      <c r="I110" t="s">
        <v>115</v>
      </c>
      <c r="J110" t="s">
        <v>124</v>
      </c>
      <c r="K110" t="s">
        <v>209</v>
      </c>
      <c r="L110" t="s">
        <v>204</v>
      </c>
      <c r="M110">
        <v>3</v>
      </c>
      <c r="N110">
        <v>93.88</v>
      </c>
      <c r="O110">
        <v>281.64</v>
      </c>
      <c r="P110">
        <v>10</v>
      </c>
      <c r="Q110">
        <v>28.16</v>
      </c>
      <c r="R110">
        <v>253.48</v>
      </c>
      <c r="S110">
        <v>159.33000000000001</v>
      </c>
      <c r="T110">
        <v>94.15</v>
      </c>
      <c r="U110" t="s">
        <v>195</v>
      </c>
      <c r="V110" t="s">
        <v>159</v>
      </c>
      <c r="W110" t="s">
        <v>2093</v>
      </c>
      <c r="X110" t="s">
        <v>2091</v>
      </c>
      <c r="Y110">
        <v>337</v>
      </c>
      <c r="Z110">
        <v>88.23</v>
      </c>
      <c r="AA110">
        <v>45.05</v>
      </c>
      <c r="AB110" t="s">
        <v>115</v>
      </c>
      <c r="AC110" t="s">
        <v>16</v>
      </c>
      <c r="AD110" t="s">
        <v>2087</v>
      </c>
      <c r="AE110" t="s">
        <v>2096</v>
      </c>
    </row>
    <row r="111" spans="1:31">
      <c r="A111" t="s">
        <v>340</v>
      </c>
      <c r="B111" s="1">
        <v>45257</v>
      </c>
      <c r="C111" t="s">
        <v>188</v>
      </c>
      <c r="D111">
        <v>2023</v>
      </c>
      <c r="E111" t="s">
        <v>184</v>
      </c>
      <c r="F111" t="s">
        <v>341</v>
      </c>
      <c r="G111" t="s">
        <v>113</v>
      </c>
      <c r="H111" t="s">
        <v>114</v>
      </c>
      <c r="I111" t="s">
        <v>115</v>
      </c>
      <c r="J111" t="s">
        <v>116</v>
      </c>
      <c r="K111" t="s">
        <v>178</v>
      </c>
      <c r="L111" t="s">
        <v>179</v>
      </c>
      <c r="M111">
        <v>1</v>
      </c>
      <c r="N111">
        <v>18.7</v>
      </c>
      <c r="O111">
        <v>18.7</v>
      </c>
      <c r="P111">
        <v>15</v>
      </c>
      <c r="Q111">
        <v>2.81</v>
      </c>
      <c r="R111">
        <v>15.89</v>
      </c>
      <c r="S111">
        <v>6.86</v>
      </c>
      <c r="T111">
        <v>9.0299999999999994</v>
      </c>
      <c r="U111" t="s">
        <v>180</v>
      </c>
      <c r="V111" t="s">
        <v>159</v>
      </c>
      <c r="W111" t="s">
        <v>2093</v>
      </c>
      <c r="X111" t="s">
        <v>2108</v>
      </c>
      <c r="Y111">
        <v>16</v>
      </c>
      <c r="Z111">
        <v>50.19</v>
      </c>
      <c r="AA111">
        <v>49.34</v>
      </c>
      <c r="AB111" t="s">
        <v>41</v>
      </c>
      <c r="AC111" t="s">
        <v>16</v>
      </c>
      <c r="AD111" t="s">
        <v>2087</v>
      </c>
      <c r="AE111" t="s">
        <v>2109</v>
      </c>
    </row>
    <row r="112" spans="1:31">
      <c r="A112" t="s">
        <v>1200</v>
      </c>
      <c r="B112" s="1">
        <v>45257</v>
      </c>
      <c r="C112" t="s">
        <v>188</v>
      </c>
      <c r="D112">
        <v>2023</v>
      </c>
      <c r="E112" t="s">
        <v>184</v>
      </c>
      <c r="F112" t="s">
        <v>1201</v>
      </c>
      <c r="G112" t="s">
        <v>103</v>
      </c>
      <c r="H112" t="s">
        <v>104</v>
      </c>
      <c r="I112" t="s">
        <v>90</v>
      </c>
      <c r="J112" t="s">
        <v>94</v>
      </c>
      <c r="K112" t="s">
        <v>209</v>
      </c>
      <c r="L112" t="s">
        <v>179</v>
      </c>
      <c r="M112">
        <v>1</v>
      </c>
      <c r="N112">
        <v>98.58</v>
      </c>
      <c r="O112">
        <v>98.58</v>
      </c>
      <c r="P112">
        <v>0</v>
      </c>
      <c r="Q112">
        <v>0</v>
      </c>
      <c r="R112">
        <v>98.58</v>
      </c>
      <c r="S112">
        <v>52.57</v>
      </c>
      <c r="T112">
        <v>46.01</v>
      </c>
      <c r="U112" t="s">
        <v>195</v>
      </c>
      <c r="V112" t="s">
        <v>159</v>
      </c>
      <c r="W112" t="s">
        <v>2113</v>
      </c>
      <c r="X112" t="s">
        <v>2111</v>
      </c>
      <c r="Y112">
        <v>3</v>
      </c>
      <c r="Z112">
        <v>387.21</v>
      </c>
      <c r="AA112">
        <v>39</v>
      </c>
      <c r="AB112" t="s">
        <v>41</v>
      </c>
      <c r="AC112" t="s">
        <v>16</v>
      </c>
      <c r="AD112" t="s">
        <v>2106</v>
      </c>
      <c r="AE112" t="s">
        <v>2121</v>
      </c>
    </row>
    <row r="113" spans="1:31">
      <c r="A113" t="s">
        <v>840</v>
      </c>
      <c r="B113" s="1">
        <v>45257</v>
      </c>
      <c r="C113" t="s">
        <v>188</v>
      </c>
      <c r="D113">
        <v>2023</v>
      </c>
      <c r="E113" t="s">
        <v>184</v>
      </c>
      <c r="F113" t="s">
        <v>841</v>
      </c>
      <c r="G113" t="s">
        <v>35</v>
      </c>
      <c r="H113" t="s">
        <v>36</v>
      </c>
      <c r="I113" t="s">
        <v>14</v>
      </c>
      <c r="J113" t="s">
        <v>19</v>
      </c>
      <c r="K113" t="s">
        <v>156</v>
      </c>
      <c r="L113" t="s">
        <v>232</v>
      </c>
      <c r="M113">
        <v>2</v>
      </c>
      <c r="N113">
        <v>81.599999999999994</v>
      </c>
      <c r="O113">
        <v>163.19999999999999</v>
      </c>
      <c r="P113">
        <v>0</v>
      </c>
      <c r="Q113">
        <v>0</v>
      </c>
      <c r="R113">
        <v>163.19999999999999</v>
      </c>
      <c r="S113">
        <v>58.64</v>
      </c>
      <c r="T113">
        <v>104.56</v>
      </c>
      <c r="U113" t="s">
        <v>166</v>
      </c>
      <c r="V113" t="s">
        <v>181</v>
      </c>
      <c r="W113" t="s">
        <v>2085</v>
      </c>
      <c r="X113" t="s">
        <v>2100</v>
      </c>
      <c r="Y113">
        <v>71</v>
      </c>
      <c r="Z113">
        <v>1698.71</v>
      </c>
      <c r="AA113">
        <v>201.01</v>
      </c>
      <c r="AB113" t="s">
        <v>41</v>
      </c>
      <c r="AC113" t="s">
        <v>16</v>
      </c>
      <c r="AD113" t="s">
        <v>2087</v>
      </c>
      <c r="AE113" t="s">
        <v>2096</v>
      </c>
    </row>
    <row r="114" spans="1:31">
      <c r="A114" t="s">
        <v>443</v>
      </c>
      <c r="B114" s="1">
        <v>45257</v>
      </c>
      <c r="C114" t="s">
        <v>188</v>
      </c>
      <c r="D114">
        <v>2023</v>
      </c>
      <c r="E114" t="s">
        <v>184</v>
      </c>
      <c r="F114" t="s">
        <v>444</v>
      </c>
      <c r="G114" t="s">
        <v>127</v>
      </c>
      <c r="H114" t="s">
        <v>128</v>
      </c>
      <c r="I114" t="s">
        <v>115</v>
      </c>
      <c r="J114" t="s">
        <v>124</v>
      </c>
      <c r="K114" t="s">
        <v>209</v>
      </c>
      <c r="L114" t="s">
        <v>157</v>
      </c>
      <c r="M114">
        <v>1</v>
      </c>
      <c r="N114">
        <v>94.76</v>
      </c>
      <c r="O114">
        <v>94.76</v>
      </c>
      <c r="P114">
        <v>10</v>
      </c>
      <c r="Q114">
        <v>9.48</v>
      </c>
      <c r="R114">
        <v>85.28</v>
      </c>
      <c r="S114">
        <v>78.819999999999993</v>
      </c>
      <c r="T114">
        <v>6.46</v>
      </c>
      <c r="U114" t="s">
        <v>180</v>
      </c>
      <c r="V114" t="s">
        <v>186</v>
      </c>
      <c r="W114" t="s">
        <v>2085</v>
      </c>
      <c r="X114" t="s">
        <v>2094</v>
      </c>
      <c r="Y114">
        <v>266</v>
      </c>
      <c r="Z114">
        <v>2663.78</v>
      </c>
      <c r="AA114">
        <v>113.55</v>
      </c>
      <c r="AB114" t="s">
        <v>115</v>
      </c>
      <c r="AC114" t="s">
        <v>16</v>
      </c>
      <c r="AD114" t="s">
        <v>2095</v>
      </c>
      <c r="AE114" t="s">
        <v>2088</v>
      </c>
    </row>
    <row r="115" spans="1:31">
      <c r="A115" t="s">
        <v>1794</v>
      </c>
      <c r="B115" s="1">
        <v>45257</v>
      </c>
      <c r="C115" t="s">
        <v>188</v>
      </c>
      <c r="D115">
        <v>2023</v>
      </c>
      <c r="E115" t="s">
        <v>184</v>
      </c>
      <c r="F115" t="s">
        <v>1795</v>
      </c>
      <c r="G115" t="s">
        <v>43</v>
      </c>
      <c r="H115" t="s">
        <v>44</v>
      </c>
      <c r="I115" t="s">
        <v>41</v>
      </c>
      <c r="J115" t="s">
        <v>45</v>
      </c>
      <c r="K115" t="s">
        <v>209</v>
      </c>
      <c r="L115" t="s">
        <v>174</v>
      </c>
      <c r="M115">
        <v>4</v>
      </c>
      <c r="N115">
        <v>67.56</v>
      </c>
      <c r="O115">
        <v>270.24</v>
      </c>
      <c r="P115">
        <v>15</v>
      </c>
      <c r="Q115">
        <v>40.54</v>
      </c>
      <c r="R115">
        <v>229.7</v>
      </c>
      <c r="S115">
        <v>172.84</v>
      </c>
      <c r="T115">
        <v>56.86</v>
      </c>
      <c r="U115" t="s">
        <v>195</v>
      </c>
      <c r="V115" t="s">
        <v>186</v>
      </c>
      <c r="W115" t="s">
        <v>2113</v>
      </c>
      <c r="X115" t="s">
        <v>2111</v>
      </c>
      <c r="Y115">
        <v>19</v>
      </c>
      <c r="Z115">
        <v>304.33</v>
      </c>
      <c r="AA115">
        <v>79.12</v>
      </c>
      <c r="AB115" t="s">
        <v>14</v>
      </c>
      <c r="AC115" t="s">
        <v>16</v>
      </c>
      <c r="AD115" t="s">
        <v>2095</v>
      </c>
      <c r="AE115" t="s">
        <v>2109</v>
      </c>
    </row>
    <row r="116" spans="1:31">
      <c r="A116" t="s">
        <v>1920</v>
      </c>
      <c r="B116" s="1">
        <v>45256</v>
      </c>
      <c r="C116" t="s">
        <v>188</v>
      </c>
      <c r="D116">
        <v>2023</v>
      </c>
      <c r="E116" t="s">
        <v>184</v>
      </c>
      <c r="F116" t="s">
        <v>1921</v>
      </c>
      <c r="G116" t="s">
        <v>84</v>
      </c>
      <c r="H116" t="s">
        <v>85</v>
      </c>
      <c r="I116" t="s">
        <v>66</v>
      </c>
      <c r="J116" t="s">
        <v>67</v>
      </c>
      <c r="K116" t="s">
        <v>209</v>
      </c>
      <c r="L116" t="s">
        <v>194</v>
      </c>
      <c r="M116">
        <v>3</v>
      </c>
      <c r="N116">
        <v>174.23</v>
      </c>
      <c r="O116">
        <v>522.68999999999994</v>
      </c>
      <c r="P116">
        <v>20</v>
      </c>
      <c r="Q116">
        <v>104.54</v>
      </c>
      <c r="R116">
        <v>418.15</v>
      </c>
      <c r="S116">
        <v>221.85</v>
      </c>
      <c r="T116">
        <v>196.3</v>
      </c>
      <c r="U116" t="s">
        <v>158</v>
      </c>
      <c r="V116" t="s">
        <v>186</v>
      </c>
      <c r="W116" t="s">
        <v>2085</v>
      </c>
      <c r="X116" t="s">
        <v>2086</v>
      </c>
      <c r="Y116">
        <v>12</v>
      </c>
      <c r="Z116">
        <v>1107.6099999999999</v>
      </c>
      <c r="AA116">
        <v>187.02</v>
      </c>
      <c r="AB116" t="s">
        <v>115</v>
      </c>
      <c r="AC116" t="s">
        <v>16</v>
      </c>
      <c r="AD116" t="s">
        <v>2087</v>
      </c>
      <c r="AE116" t="s">
        <v>2109</v>
      </c>
    </row>
    <row r="117" spans="1:31">
      <c r="A117" t="s">
        <v>1978</v>
      </c>
      <c r="B117" s="1">
        <v>45256</v>
      </c>
      <c r="C117" t="s">
        <v>188</v>
      </c>
      <c r="D117">
        <v>2023</v>
      </c>
      <c r="E117" t="s">
        <v>184</v>
      </c>
      <c r="F117" t="s">
        <v>1979</v>
      </c>
      <c r="G117" t="s">
        <v>48</v>
      </c>
      <c r="H117" t="s">
        <v>49</v>
      </c>
      <c r="I117" t="s">
        <v>41</v>
      </c>
      <c r="J117" t="s">
        <v>42</v>
      </c>
      <c r="K117" t="s">
        <v>178</v>
      </c>
      <c r="L117" t="s">
        <v>179</v>
      </c>
      <c r="M117">
        <v>1</v>
      </c>
      <c r="N117">
        <v>84.95</v>
      </c>
      <c r="O117">
        <v>84.95</v>
      </c>
      <c r="P117">
        <v>20</v>
      </c>
      <c r="Q117">
        <v>16.989999999999998</v>
      </c>
      <c r="R117">
        <v>67.959999999999994</v>
      </c>
      <c r="S117">
        <v>53.07</v>
      </c>
      <c r="T117">
        <v>14.89</v>
      </c>
      <c r="U117" t="s">
        <v>158</v>
      </c>
      <c r="V117" t="s">
        <v>159</v>
      </c>
      <c r="W117" t="s">
        <v>2090</v>
      </c>
      <c r="X117" t="s">
        <v>2108</v>
      </c>
      <c r="Y117">
        <v>203</v>
      </c>
      <c r="Z117">
        <v>160.58000000000001</v>
      </c>
      <c r="AA117">
        <v>68.400000000000006</v>
      </c>
      <c r="AB117" t="s">
        <v>14</v>
      </c>
      <c r="AC117" t="s">
        <v>16</v>
      </c>
      <c r="AD117" t="s">
        <v>2095</v>
      </c>
      <c r="AE117" t="s">
        <v>2107</v>
      </c>
    </row>
    <row r="118" spans="1:31">
      <c r="A118" t="s">
        <v>1631</v>
      </c>
      <c r="B118" s="1">
        <v>45255</v>
      </c>
      <c r="C118" t="s">
        <v>188</v>
      </c>
      <c r="D118">
        <v>2023</v>
      </c>
      <c r="E118" t="s">
        <v>184</v>
      </c>
      <c r="F118" t="s">
        <v>1632</v>
      </c>
      <c r="G118" t="s">
        <v>105</v>
      </c>
      <c r="H118" t="s">
        <v>106</v>
      </c>
      <c r="I118" t="s">
        <v>90</v>
      </c>
      <c r="J118" t="s">
        <v>91</v>
      </c>
      <c r="K118" t="s">
        <v>209</v>
      </c>
      <c r="L118" t="s">
        <v>174</v>
      </c>
      <c r="M118">
        <v>3</v>
      </c>
      <c r="N118">
        <v>36.35</v>
      </c>
      <c r="O118">
        <v>109.05000000000001</v>
      </c>
      <c r="P118">
        <v>0</v>
      </c>
      <c r="Q118">
        <v>0</v>
      </c>
      <c r="R118">
        <v>109.05</v>
      </c>
      <c r="S118">
        <v>90.06</v>
      </c>
      <c r="T118">
        <v>18.989999999999998</v>
      </c>
      <c r="U118" t="s">
        <v>190</v>
      </c>
      <c r="V118" t="s">
        <v>186</v>
      </c>
      <c r="W118" t="s">
        <v>2085</v>
      </c>
      <c r="X118" t="s">
        <v>2111</v>
      </c>
      <c r="Y118">
        <v>8</v>
      </c>
      <c r="Z118">
        <v>1555.17</v>
      </c>
      <c r="AA118">
        <v>173.99</v>
      </c>
      <c r="AB118" t="s">
        <v>115</v>
      </c>
      <c r="AC118" t="s">
        <v>16</v>
      </c>
      <c r="AD118" t="s">
        <v>2106</v>
      </c>
      <c r="AE118" t="s">
        <v>2096</v>
      </c>
    </row>
    <row r="119" spans="1:31">
      <c r="A119" t="s">
        <v>541</v>
      </c>
      <c r="B119" s="1">
        <v>45255</v>
      </c>
      <c r="C119" t="s">
        <v>188</v>
      </c>
      <c r="D119">
        <v>2023</v>
      </c>
      <c r="E119" t="s">
        <v>184</v>
      </c>
      <c r="F119" t="s">
        <v>542</v>
      </c>
      <c r="G119" t="s">
        <v>101</v>
      </c>
      <c r="H119" t="s">
        <v>102</v>
      </c>
      <c r="I119" t="s">
        <v>90</v>
      </c>
      <c r="J119" t="s">
        <v>100</v>
      </c>
      <c r="K119" t="s">
        <v>156</v>
      </c>
      <c r="L119" t="s">
        <v>157</v>
      </c>
      <c r="M119">
        <v>1</v>
      </c>
      <c r="N119">
        <v>196.28</v>
      </c>
      <c r="O119">
        <v>196.28</v>
      </c>
      <c r="P119">
        <v>10</v>
      </c>
      <c r="Q119">
        <v>19.63</v>
      </c>
      <c r="R119">
        <v>176.65</v>
      </c>
      <c r="S119">
        <v>71.73</v>
      </c>
      <c r="T119">
        <v>104.92</v>
      </c>
      <c r="U119" t="s">
        <v>166</v>
      </c>
      <c r="V119" t="s">
        <v>181</v>
      </c>
      <c r="W119" t="s">
        <v>2093</v>
      </c>
      <c r="X119" t="s">
        <v>2100</v>
      </c>
      <c r="Y119">
        <v>354</v>
      </c>
      <c r="Z119">
        <v>71.489999999999995</v>
      </c>
      <c r="AA119">
        <v>61.85</v>
      </c>
      <c r="AB119" t="s">
        <v>115</v>
      </c>
      <c r="AC119" t="s">
        <v>16</v>
      </c>
      <c r="AD119" t="s">
        <v>2087</v>
      </c>
      <c r="AE119" t="s">
        <v>2109</v>
      </c>
    </row>
    <row r="120" spans="1:31">
      <c r="A120" t="s">
        <v>2055</v>
      </c>
      <c r="B120" s="1">
        <v>45255</v>
      </c>
      <c r="C120" t="s">
        <v>188</v>
      </c>
      <c r="D120">
        <v>2023</v>
      </c>
      <c r="E120" t="s">
        <v>184</v>
      </c>
      <c r="F120" t="s">
        <v>2056</v>
      </c>
      <c r="G120" t="s">
        <v>133</v>
      </c>
      <c r="H120" t="s">
        <v>134</v>
      </c>
      <c r="I120" t="s">
        <v>115</v>
      </c>
      <c r="J120" t="s">
        <v>119</v>
      </c>
      <c r="K120" t="s">
        <v>209</v>
      </c>
      <c r="L120" t="s">
        <v>165</v>
      </c>
      <c r="M120">
        <v>1</v>
      </c>
      <c r="N120">
        <v>78.84</v>
      </c>
      <c r="O120">
        <v>78.84</v>
      </c>
      <c r="P120">
        <v>15</v>
      </c>
      <c r="Q120">
        <v>11.83</v>
      </c>
      <c r="R120">
        <v>67.010000000000005</v>
      </c>
      <c r="S120">
        <v>47.68</v>
      </c>
      <c r="T120">
        <v>19.329999999999998</v>
      </c>
      <c r="U120" t="s">
        <v>166</v>
      </c>
      <c r="V120" t="s">
        <v>159</v>
      </c>
      <c r="W120" t="s">
        <v>2085</v>
      </c>
      <c r="X120" t="s">
        <v>2094</v>
      </c>
      <c r="Y120">
        <v>133</v>
      </c>
      <c r="Z120">
        <v>1803.08</v>
      </c>
      <c r="AA120">
        <v>139.56</v>
      </c>
      <c r="AB120" t="s">
        <v>41</v>
      </c>
      <c r="AC120" t="s">
        <v>20</v>
      </c>
      <c r="AD120" t="s">
        <v>2095</v>
      </c>
      <c r="AE120" t="s">
        <v>2096</v>
      </c>
    </row>
    <row r="121" spans="1:31">
      <c r="A121" t="s">
        <v>1425</v>
      </c>
      <c r="B121" s="1">
        <v>45255</v>
      </c>
      <c r="C121" t="s">
        <v>188</v>
      </c>
      <c r="D121">
        <v>2023</v>
      </c>
      <c r="E121" t="s">
        <v>184</v>
      </c>
      <c r="F121" t="s">
        <v>1426</v>
      </c>
      <c r="G121" t="s">
        <v>92</v>
      </c>
      <c r="H121" t="s">
        <v>93</v>
      </c>
      <c r="I121" t="s">
        <v>90</v>
      </c>
      <c r="J121" t="s">
        <v>94</v>
      </c>
      <c r="K121" t="s">
        <v>209</v>
      </c>
      <c r="L121" t="s">
        <v>165</v>
      </c>
      <c r="M121">
        <v>1</v>
      </c>
      <c r="N121">
        <v>230.34</v>
      </c>
      <c r="O121">
        <v>230.34</v>
      </c>
      <c r="P121">
        <v>10</v>
      </c>
      <c r="Q121">
        <v>23.03</v>
      </c>
      <c r="R121">
        <v>207.31</v>
      </c>
      <c r="S121">
        <v>74.680000000000007</v>
      </c>
      <c r="T121">
        <v>132.63</v>
      </c>
      <c r="U121" t="s">
        <v>166</v>
      </c>
      <c r="V121" t="s">
        <v>186</v>
      </c>
      <c r="W121" t="s">
        <v>2090</v>
      </c>
      <c r="X121" t="s">
        <v>2086</v>
      </c>
      <c r="Y121">
        <v>22</v>
      </c>
      <c r="Z121">
        <v>278.16000000000003</v>
      </c>
      <c r="AA121">
        <v>115.13</v>
      </c>
      <c r="AB121" t="s">
        <v>90</v>
      </c>
      <c r="AC121" t="s">
        <v>20</v>
      </c>
      <c r="AD121" t="s">
        <v>2087</v>
      </c>
      <c r="AE121" t="s">
        <v>2088</v>
      </c>
    </row>
    <row r="122" spans="1:31">
      <c r="A122" t="s">
        <v>1196</v>
      </c>
      <c r="B122" s="1">
        <v>45255</v>
      </c>
      <c r="C122" t="s">
        <v>188</v>
      </c>
      <c r="D122">
        <v>2023</v>
      </c>
      <c r="E122" t="s">
        <v>184</v>
      </c>
      <c r="F122" t="s">
        <v>1197</v>
      </c>
      <c r="G122" t="s">
        <v>53</v>
      </c>
      <c r="H122" t="s">
        <v>54</v>
      </c>
      <c r="I122" t="s">
        <v>41</v>
      </c>
      <c r="J122" t="s">
        <v>45</v>
      </c>
      <c r="K122" t="s">
        <v>178</v>
      </c>
      <c r="L122" t="s">
        <v>179</v>
      </c>
      <c r="M122">
        <v>2</v>
      </c>
      <c r="N122">
        <v>51.98</v>
      </c>
      <c r="O122">
        <v>103.96</v>
      </c>
      <c r="P122">
        <v>15</v>
      </c>
      <c r="Q122">
        <v>15.59</v>
      </c>
      <c r="R122">
        <v>88.37</v>
      </c>
      <c r="S122">
        <v>66.08</v>
      </c>
      <c r="T122">
        <v>22.29</v>
      </c>
      <c r="U122" t="s">
        <v>195</v>
      </c>
      <c r="V122" t="s">
        <v>159</v>
      </c>
      <c r="W122" t="s">
        <v>2093</v>
      </c>
      <c r="X122" t="s">
        <v>2111</v>
      </c>
      <c r="Y122">
        <v>66</v>
      </c>
      <c r="Z122">
        <v>84.52</v>
      </c>
      <c r="AA122">
        <v>44.48</v>
      </c>
      <c r="AB122" t="s">
        <v>90</v>
      </c>
      <c r="AC122" t="s">
        <v>20</v>
      </c>
      <c r="AD122" t="s">
        <v>2095</v>
      </c>
      <c r="AE122" t="s">
        <v>2121</v>
      </c>
    </row>
    <row r="123" spans="1:31">
      <c r="A123" t="s">
        <v>468</v>
      </c>
      <c r="B123" s="1">
        <v>45255</v>
      </c>
      <c r="C123" t="s">
        <v>188</v>
      </c>
      <c r="D123">
        <v>2023</v>
      </c>
      <c r="E123" t="s">
        <v>184</v>
      </c>
      <c r="F123" t="s">
        <v>469</v>
      </c>
      <c r="G123" t="s">
        <v>35</v>
      </c>
      <c r="H123" t="s">
        <v>36</v>
      </c>
      <c r="I123" t="s">
        <v>14</v>
      </c>
      <c r="J123" t="s">
        <v>19</v>
      </c>
      <c r="K123" t="s">
        <v>178</v>
      </c>
      <c r="L123" t="s">
        <v>232</v>
      </c>
      <c r="M123">
        <v>3</v>
      </c>
      <c r="N123">
        <v>81.599999999999994</v>
      </c>
      <c r="O123">
        <v>244.79999999999998</v>
      </c>
      <c r="P123">
        <v>0</v>
      </c>
      <c r="Q123">
        <v>0</v>
      </c>
      <c r="R123">
        <v>244.8</v>
      </c>
      <c r="S123">
        <v>87.96</v>
      </c>
      <c r="T123">
        <v>156.84</v>
      </c>
      <c r="U123" t="s">
        <v>158</v>
      </c>
      <c r="V123" t="s">
        <v>181</v>
      </c>
      <c r="W123" t="s">
        <v>2099</v>
      </c>
      <c r="X123" t="s">
        <v>2091</v>
      </c>
      <c r="Y123">
        <v>192</v>
      </c>
      <c r="Z123">
        <v>44.39</v>
      </c>
      <c r="AA123">
        <v>97.31</v>
      </c>
      <c r="AB123" t="s">
        <v>14</v>
      </c>
      <c r="AC123" t="s">
        <v>16</v>
      </c>
      <c r="AD123" t="s">
        <v>2106</v>
      </c>
      <c r="AE123" t="s">
        <v>2088</v>
      </c>
    </row>
    <row r="124" spans="1:31">
      <c r="A124" t="s">
        <v>685</v>
      </c>
      <c r="B124" s="1">
        <v>45255</v>
      </c>
      <c r="C124" t="s">
        <v>188</v>
      </c>
      <c r="D124">
        <v>2023</v>
      </c>
      <c r="E124" t="s">
        <v>184</v>
      </c>
      <c r="F124" t="s">
        <v>686</v>
      </c>
      <c r="G124" t="s">
        <v>55</v>
      </c>
      <c r="H124" t="s">
        <v>56</v>
      </c>
      <c r="I124" t="s">
        <v>41</v>
      </c>
      <c r="J124" t="s">
        <v>45</v>
      </c>
      <c r="K124" t="s">
        <v>164</v>
      </c>
      <c r="L124" t="s">
        <v>204</v>
      </c>
      <c r="M124">
        <v>4</v>
      </c>
      <c r="N124">
        <v>205.4</v>
      </c>
      <c r="O124">
        <v>821.6</v>
      </c>
      <c r="P124">
        <v>15</v>
      </c>
      <c r="Q124">
        <v>123.24</v>
      </c>
      <c r="R124">
        <v>698.36</v>
      </c>
      <c r="S124">
        <v>283.60000000000002</v>
      </c>
      <c r="T124">
        <v>414.76</v>
      </c>
      <c r="U124" t="s">
        <v>190</v>
      </c>
      <c r="V124" t="s">
        <v>159</v>
      </c>
      <c r="W124" t="s">
        <v>2085</v>
      </c>
      <c r="X124" t="s">
        <v>2094</v>
      </c>
      <c r="Y124">
        <v>163</v>
      </c>
      <c r="Z124">
        <v>1317.27</v>
      </c>
      <c r="AA124">
        <v>200.26</v>
      </c>
      <c r="AB124" t="s">
        <v>14</v>
      </c>
      <c r="AC124" t="s">
        <v>16</v>
      </c>
      <c r="AD124" t="s">
        <v>2087</v>
      </c>
      <c r="AE124" t="s">
        <v>2088</v>
      </c>
    </row>
    <row r="125" spans="1:31">
      <c r="A125" t="s">
        <v>1534</v>
      </c>
      <c r="B125" s="1">
        <v>45254</v>
      </c>
      <c r="C125" t="s">
        <v>188</v>
      </c>
      <c r="D125">
        <v>2023</v>
      </c>
      <c r="E125" t="s">
        <v>184</v>
      </c>
      <c r="F125" t="s">
        <v>1535</v>
      </c>
      <c r="G125" t="s">
        <v>71</v>
      </c>
      <c r="H125" t="s">
        <v>72</v>
      </c>
      <c r="I125" t="s">
        <v>66</v>
      </c>
      <c r="J125" t="s">
        <v>70</v>
      </c>
      <c r="K125" t="s">
        <v>178</v>
      </c>
      <c r="L125" t="s">
        <v>194</v>
      </c>
      <c r="M125">
        <v>2</v>
      </c>
      <c r="N125">
        <v>26.7</v>
      </c>
      <c r="O125">
        <v>53.4</v>
      </c>
      <c r="P125">
        <v>0</v>
      </c>
      <c r="Q125">
        <v>0</v>
      </c>
      <c r="R125">
        <v>53.4</v>
      </c>
      <c r="S125">
        <v>24.54</v>
      </c>
      <c r="T125">
        <v>28.86</v>
      </c>
      <c r="U125" t="s">
        <v>158</v>
      </c>
      <c r="V125" t="s">
        <v>159</v>
      </c>
      <c r="W125" t="s">
        <v>2093</v>
      </c>
      <c r="X125" t="s">
        <v>2091</v>
      </c>
      <c r="Y125">
        <v>47</v>
      </c>
      <c r="Z125">
        <v>102.16</v>
      </c>
      <c r="AA125">
        <v>53.68</v>
      </c>
      <c r="AB125" t="s">
        <v>115</v>
      </c>
      <c r="AC125" t="s">
        <v>16</v>
      </c>
      <c r="AD125" t="s">
        <v>2087</v>
      </c>
      <c r="AE125" t="s">
        <v>2107</v>
      </c>
    </row>
    <row r="126" spans="1:31">
      <c r="A126" t="s">
        <v>1660</v>
      </c>
      <c r="B126" s="1">
        <v>45254</v>
      </c>
      <c r="C126" t="s">
        <v>188</v>
      </c>
      <c r="D126">
        <v>2023</v>
      </c>
      <c r="E126" t="s">
        <v>184</v>
      </c>
      <c r="F126" t="s">
        <v>1661</v>
      </c>
      <c r="G126" t="s">
        <v>92</v>
      </c>
      <c r="H126" t="s">
        <v>93</v>
      </c>
      <c r="I126" t="s">
        <v>90</v>
      </c>
      <c r="J126" t="s">
        <v>94</v>
      </c>
      <c r="K126" t="s">
        <v>209</v>
      </c>
      <c r="L126" t="s">
        <v>165</v>
      </c>
      <c r="M126">
        <v>2</v>
      </c>
      <c r="N126">
        <v>230.34</v>
      </c>
      <c r="O126">
        <v>460.68</v>
      </c>
      <c r="P126">
        <v>15</v>
      </c>
      <c r="Q126">
        <v>69.099999999999994</v>
      </c>
      <c r="R126">
        <v>391.58</v>
      </c>
      <c r="S126">
        <v>149.36000000000001</v>
      </c>
      <c r="T126">
        <v>242.22</v>
      </c>
      <c r="U126" t="s">
        <v>180</v>
      </c>
      <c r="V126" t="s">
        <v>159</v>
      </c>
      <c r="W126" t="s">
        <v>2097</v>
      </c>
      <c r="X126" t="s">
        <v>2091</v>
      </c>
      <c r="Y126">
        <v>148</v>
      </c>
      <c r="Z126">
        <v>688.48</v>
      </c>
      <c r="AA126">
        <v>58.19</v>
      </c>
      <c r="AB126" t="s">
        <v>90</v>
      </c>
      <c r="AC126" t="s">
        <v>16</v>
      </c>
      <c r="AD126" t="s">
        <v>2087</v>
      </c>
      <c r="AE126" t="s">
        <v>2088</v>
      </c>
    </row>
    <row r="127" spans="1:31">
      <c r="A127" t="s">
        <v>770</v>
      </c>
      <c r="B127" s="1">
        <v>45254</v>
      </c>
      <c r="C127" t="s">
        <v>188</v>
      </c>
      <c r="D127">
        <v>2023</v>
      </c>
      <c r="E127" t="s">
        <v>184</v>
      </c>
      <c r="F127" t="s">
        <v>771</v>
      </c>
      <c r="G127" t="s">
        <v>113</v>
      </c>
      <c r="H127" t="s">
        <v>114</v>
      </c>
      <c r="I127" t="s">
        <v>115</v>
      </c>
      <c r="J127" t="s">
        <v>116</v>
      </c>
      <c r="K127" t="s">
        <v>164</v>
      </c>
      <c r="L127" t="s">
        <v>204</v>
      </c>
      <c r="M127">
        <v>2</v>
      </c>
      <c r="N127">
        <v>18.7</v>
      </c>
      <c r="O127">
        <v>37.4</v>
      </c>
      <c r="P127">
        <v>0</v>
      </c>
      <c r="Q127">
        <v>0</v>
      </c>
      <c r="R127">
        <v>37.4</v>
      </c>
      <c r="S127">
        <v>13.72</v>
      </c>
      <c r="T127">
        <v>23.68</v>
      </c>
      <c r="U127" t="s">
        <v>158</v>
      </c>
      <c r="V127" t="s">
        <v>181</v>
      </c>
      <c r="W127" t="s">
        <v>2097</v>
      </c>
      <c r="X127" t="s">
        <v>2108</v>
      </c>
      <c r="Y127">
        <v>23</v>
      </c>
      <c r="Z127">
        <v>691.89</v>
      </c>
      <c r="AA127">
        <v>127.35</v>
      </c>
      <c r="AB127" t="s">
        <v>41</v>
      </c>
      <c r="AC127" t="s">
        <v>16</v>
      </c>
      <c r="AD127" t="s">
        <v>2095</v>
      </c>
      <c r="AE127" t="s">
        <v>2109</v>
      </c>
    </row>
    <row r="128" spans="1:31">
      <c r="A128" t="s">
        <v>1405</v>
      </c>
      <c r="B128" s="1">
        <v>45253</v>
      </c>
      <c r="C128" t="s">
        <v>188</v>
      </c>
      <c r="D128">
        <v>2023</v>
      </c>
      <c r="E128" t="s">
        <v>184</v>
      </c>
      <c r="F128" t="s">
        <v>1406</v>
      </c>
      <c r="G128" t="s">
        <v>131</v>
      </c>
      <c r="H128" t="s">
        <v>132</v>
      </c>
      <c r="I128" t="s">
        <v>115</v>
      </c>
      <c r="J128" t="s">
        <v>119</v>
      </c>
      <c r="K128" t="s">
        <v>178</v>
      </c>
      <c r="L128" t="s">
        <v>165</v>
      </c>
      <c r="M128">
        <v>1</v>
      </c>
      <c r="N128">
        <v>75.69</v>
      </c>
      <c r="O128">
        <v>75.69</v>
      </c>
      <c r="P128">
        <v>20</v>
      </c>
      <c r="Q128">
        <v>15.14</v>
      </c>
      <c r="R128">
        <v>60.55</v>
      </c>
      <c r="S128">
        <v>35.630000000000003</v>
      </c>
      <c r="T128">
        <v>24.92</v>
      </c>
      <c r="U128" t="s">
        <v>180</v>
      </c>
      <c r="V128" t="s">
        <v>186</v>
      </c>
      <c r="W128" t="s">
        <v>2113</v>
      </c>
      <c r="X128" t="s">
        <v>2086</v>
      </c>
      <c r="Y128">
        <v>237</v>
      </c>
      <c r="Z128">
        <v>249.09</v>
      </c>
      <c r="AA128">
        <v>73.739999999999995</v>
      </c>
      <c r="AB128" t="s">
        <v>90</v>
      </c>
      <c r="AC128" t="s">
        <v>20</v>
      </c>
      <c r="AD128" t="s">
        <v>2087</v>
      </c>
      <c r="AE128" t="s">
        <v>2107</v>
      </c>
    </row>
    <row r="129" spans="1:31">
      <c r="A129" t="s">
        <v>352</v>
      </c>
      <c r="B129" s="1">
        <v>45253</v>
      </c>
      <c r="C129" t="s">
        <v>188</v>
      </c>
      <c r="D129">
        <v>2023</v>
      </c>
      <c r="E129" t="s">
        <v>184</v>
      </c>
      <c r="F129" t="s">
        <v>353</v>
      </c>
      <c r="G129" t="s">
        <v>107</v>
      </c>
      <c r="H129" t="s">
        <v>108</v>
      </c>
      <c r="I129" t="s">
        <v>90</v>
      </c>
      <c r="J129" t="s">
        <v>100</v>
      </c>
      <c r="K129" t="s">
        <v>178</v>
      </c>
      <c r="L129" t="s">
        <v>174</v>
      </c>
      <c r="M129">
        <v>4</v>
      </c>
      <c r="N129">
        <v>26.61</v>
      </c>
      <c r="O129">
        <v>106.44</v>
      </c>
      <c r="P129">
        <v>20</v>
      </c>
      <c r="Q129">
        <v>21.29</v>
      </c>
      <c r="R129">
        <v>85.15</v>
      </c>
      <c r="S129">
        <v>42.56</v>
      </c>
      <c r="T129">
        <v>42.59</v>
      </c>
      <c r="U129" t="s">
        <v>190</v>
      </c>
      <c r="V129" t="s">
        <v>186</v>
      </c>
      <c r="W129" t="s">
        <v>2099</v>
      </c>
      <c r="X129" t="s">
        <v>2108</v>
      </c>
      <c r="Y129">
        <v>49</v>
      </c>
      <c r="Z129">
        <v>60.39</v>
      </c>
      <c r="AA129">
        <v>73.95</v>
      </c>
      <c r="AB129" t="s">
        <v>115</v>
      </c>
      <c r="AC129" t="s">
        <v>20</v>
      </c>
      <c r="AD129" t="s">
        <v>2106</v>
      </c>
      <c r="AE129" t="s">
        <v>2109</v>
      </c>
    </row>
    <row r="130" spans="1:31">
      <c r="A130" t="s">
        <v>1385</v>
      </c>
      <c r="B130" s="1">
        <v>45253</v>
      </c>
      <c r="C130" t="s">
        <v>188</v>
      </c>
      <c r="D130">
        <v>2023</v>
      </c>
      <c r="E130" t="s">
        <v>184</v>
      </c>
      <c r="F130" t="s">
        <v>1386</v>
      </c>
      <c r="G130" t="s">
        <v>73</v>
      </c>
      <c r="H130" t="s">
        <v>74</v>
      </c>
      <c r="I130" t="s">
        <v>66</v>
      </c>
      <c r="J130" t="s">
        <v>75</v>
      </c>
      <c r="K130" t="s">
        <v>164</v>
      </c>
      <c r="L130" t="s">
        <v>165</v>
      </c>
      <c r="M130">
        <v>4</v>
      </c>
      <c r="N130">
        <v>53.95</v>
      </c>
      <c r="O130">
        <v>215.8</v>
      </c>
      <c r="P130">
        <v>0</v>
      </c>
      <c r="Q130">
        <v>0</v>
      </c>
      <c r="R130">
        <v>215.8</v>
      </c>
      <c r="S130">
        <v>140.80000000000001</v>
      </c>
      <c r="T130">
        <v>75</v>
      </c>
      <c r="U130" t="s">
        <v>190</v>
      </c>
      <c r="V130" t="s">
        <v>159</v>
      </c>
      <c r="W130" t="s">
        <v>2099</v>
      </c>
      <c r="X130" t="s">
        <v>2100</v>
      </c>
      <c r="Y130">
        <v>207</v>
      </c>
      <c r="Z130">
        <v>50.8</v>
      </c>
      <c r="AA130">
        <v>60.8</v>
      </c>
      <c r="AB130" t="s">
        <v>14</v>
      </c>
      <c r="AC130" t="s">
        <v>16</v>
      </c>
      <c r="AD130" t="s">
        <v>2095</v>
      </c>
      <c r="AE130" t="s">
        <v>2121</v>
      </c>
    </row>
    <row r="131" spans="1:31">
      <c r="A131" t="s">
        <v>187</v>
      </c>
      <c r="B131" s="1">
        <v>45253</v>
      </c>
      <c r="C131" t="s">
        <v>188</v>
      </c>
      <c r="D131">
        <v>2023</v>
      </c>
      <c r="E131" t="s">
        <v>184</v>
      </c>
      <c r="F131" t="s">
        <v>189</v>
      </c>
      <c r="G131" t="s">
        <v>55</v>
      </c>
      <c r="H131" t="s">
        <v>56</v>
      </c>
      <c r="I131" t="s">
        <v>41</v>
      </c>
      <c r="J131" t="s">
        <v>45</v>
      </c>
      <c r="K131" t="s">
        <v>164</v>
      </c>
      <c r="L131" t="s">
        <v>165</v>
      </c>
      <c r="M131">
        <v>2</v>
      </c>
      <c r="N131">
        <v>205.4</v>
      </c>
      <c r="O131">
        <v>410.8</v>
      </c>
      <c r="P131">
        <v>20</v>
      </c>
      <c r="Q131">
        <v>82.16</v>
      </c>
      <c r="R131">
        <v>328.64</v>
      </c>
      <c r="S131">
        <v>141.80000000000001</v>
      </c>
      <c r="T131">
        <v>186.84</v>
      </c>
      <c r="U131" t="s">
        <v>190</v>
      </c>
      <c r="V131" t="s">
        <v>159</v>
      </c>
      <c r="W131" t="s">
        <v>2099</v>
      </c>
      <c r="X131" t="s">
        <v>2111</v>
      </c>
      <c r="Y131">
        <v>360</v>
      </c>
      <c r="Z131">
        <v>131.69</v>
      </c>
      <c r="AA131">
        <v>30.05</v>
      </c>
      <c r="AB131" t="s">
        <v>66</v>
      </c>
      <c r="AC131" t="s">
        <v>16</v>
      </c>
      <c r="AD131" t="s">
        <v>2106</v>
      </c>
      <c r="AE131" t="s">
        <v>2121</v>
      </c>
    </row>
    <row r="132" spans="1:31">
      <c r="A132" t="s">
        <v>1800</v>
      </c>
      <c r="B132" s="1">
        <v>45252</v>
      </c>
      <c r="C132" t="s">
        <v>188</v>
      </c>
      <c r="D132">
        <v>2023</v>
      </c>
      <c r="E132" t="s">
        <v>184</v>
      </c>
      <c r="F132" t="s">
        <v>1801</v>
      </c>
      <c r="G132" t="s">
        <v>57</v>
      </c>
      <c r="H132" t="s">
        <v>58</v>
      </c>
      <c r="I132" t="s">
        <v>41</v>
      </c>
      <c r="J132" t="s">
        <v>59</v>
      </c>
      <c r="K132" t="s">
        <v>178</v>
      </c>
      <c r="L132" t="s">
        <v>174</v>
      </c>
      <c r="M132">
        <v>3</v>
      </c>
      <c r="N132">
        <v>56.33</v>
      </c>
      <c r="O132">
        <v>168.99</v>
      </c>
      <c r="P132">
        <v>5</v>
      </c>
      <c r="Q132">
        <v>8.4499999999999993</v>
      </c>
      <c r="R132">
        <v>160.54</v>
      </c>
      <c r="S132">
        <v>124.35</v>
      </c>
      <c r="T132">
        <v>36.19</v>
      </c>
      <c r="U132" t="s">
        <v>195</v>
      </c>
      <c r="V132" t="s">
        <v>159</v>
      </c>
      <c r="W132" t="s">
        <v>2085</v>
      </c>
      <c r="X132" t="s">
        <v>2094</v>
      </c>
      <c r="Y132">
        <v>132</v>
      </c>
      <c r="Z132">
        <v>2282.35</v>
      </c>
      <c r="AA132">
        <v>102.01</v>
      </c>
      <c r="AB132" t="s">
        <v>14</v>
      </c>
      <c r="AC132" t="s">
        <v>16</v>
      </c>
      <c r="AD132" t="s">
        <v>2087</v>
      </c>
      <c r="AE132" t="s">
        <v>2121</v>
      </c>
    </row>
    <row r="133" spans="1:31">
      <c r="A133" t="s">
        <v>539</v>
      </c>
      <c r="B133" s="1">
        <v>45252</v>
      </c>
      <c r="C133" t="s">
        <v>188</v>
      </c>
      <c r="D133">
        <v>2023</v>
      </c>
      <c r="E133" t="s">
        <v>184</v>
      </c>
      <c r="F133" t="s">
        <v>540</v>
      </c>
      <c r="G133" t="s">
        <v>28</v>
      </c>
      <c r="H133" t="s">
        <v>29</v>
      </c>
      <c r="I133" t="s">
        <v>14</v>
      </c>
      <c r="J133" t="s">
        <v>19</v>
      </c>
      <c r="K133" t="s">
        <v>178</v>
      </c>
      <c r="L133" t="s">
        <v>157</v>
      </c>
      <c r="M133">
        <v>3</v>
      </c>
      <c r="N133">
        <v>26.46</v>
      </c>
      <c r="O133">
        <v>79.38</v>
      </c>
      <c r="P133">
        <v>0</v>
      </c>
      <c r="Q133">
        <v>0</v>
      </c>
      <c r="R133">
        <v>79.38</v>
      </c>
      <c r="S133">
        <v>58.26</v>
      </c>
      <c r="T133">
        <v>21.12</v>
      </c>
      <c r="U133" t="s">
        <v>195</v>
      </c>
      <c r="V133" t="s">
        <v>181</v>
      </c>
      <c r="W133" t="s">
        <v>2113</v>
      </c>
      <c r="X133" t="s">
        <v>2100</v>
      </c>
      <c r="Y133">
        <v>86</v>
      </c>
      <c r="Z133">
        <v>495.9</v>
      </c>
      <c r="AA133">
        <v>35.89</v>
      </c>
      <c r="AB133" t="s">
        <v>41</v>
      </c>
      <c r="AC133" t="s">
        <v>16</v>
      </c>
      <c r="AD133" t="s">
        <v>2106</v>
      </c>
      <c r="AE133" t="s">
        <v>2109</v>
      </c>
    </row>
    <row r="134" spans="1:31">
      <c r="A134" t="s">
        <v>1792</v>
      </c>
      <c r="B134" s="1">
        <v>45252</v>
      </c>
      <c r="C134" t="s">
        <v>188</v>
      </c>
      <c r="D134">
        <v>2023</v>
      </c>
      <c r="E134" t="s">
        <v>184</v>
      </c>
      <c r="F134" t="s">
        <v>1793</v>
      </c>
      <c r="G134" t="s">
        <v>55</v>
      </c>
      <c r="H134" t="s">
        <v>56</v>
      </c>
      <c r="I134" t="s">
        <v>41</v>
      </c>
      <c r="J134" t="s">
        <v>45</v>
      </c>
      <c r="K134" t="s">
        <v>209</v>
      </c>
      <c r="L134" t="s">
        <v>165</v>
      </c>
      <c r="M134">
        <v>3</v>
      </c>
      <c r="N134">
        <v>205.4</v>
      </c>
      <c r="O134">
        <v>616.20000000000005</v>
      </c>
      <c r="P134">
        <v>15</v>
      </c>
      <c r="Q134">
        <v>92.43</v>
      </c>
      <c r="R134">
        <v>523.77</v>
      </c>
      <c r="S134">
        <v>212.7</v>
      </c>
      <c r="T134">
        <v>311.07</v>
      </c>
      <c r="U134" t="s">
        <v>195</v>
      </c>
      <c r="V134" t="s">
        <v>186</v>
      </c>
      <c r="W134" t="s">
        <v>2093</v>
      </c>
      <c r="X134" t="s">
        <v>2108</v>
      </c>
      <c r="Y134">
        <v>45</v>
      </c>
      <c r="Z134">
        <v>169.57</v>
      </c>
      <c r="AA134">
        <v>40.94</v>
      </c>
      <c r="AB134" t="s">
        <v>41</v>
      </c>
      <c r="AC134" t="s">
        <v>20</v>
      </c>
      <c r="AD134" t="s">
        <v>2087</v>
      </c>
      <c r="AE134" t="s">
        <v>2096</v>
      </c>
    </row>
    <row r="135" spans="1:31">
      <c r="A135" t="s">
        <v>1111</v>
      </c>
      <c r="B135" s="1">
        <v>45251</v>
      </c>
      <c r="C135" t="s">
        <v>188</v>
      </c>
      <c r="D135">
        <v>2023</v>
      </c>
      <c r="E135" t="s">
        <v>184</v>
      </c>
      <c r="F135" t="s">
        <v>1112</v>
      </c>
      <c r="G135" t="s">
        <v>12</v>
      </c>
      <c r="H135" t="s">
        <v>13</v>
      </c>
      <c r="I135" t="s">
        <v>14</v>
      </c>
      <c r="J135" t="s">
        <v>15</v>
      </c>
      <c r="K135" t="s">
        <v>178</v>
      </c>
      <c r="L135" t="s">
        <v>232</v>
      </c>
      <c r="M135">
        <v>3</v>
      </c>
      <c r="N135">
        <v>76.53</v>
      </c>
      <c r="O135">
        <v>229.59</v>
      </c>
      <c r="P135">
        <v>0</v>
      </c>
      <c r="Q135">
        <v>0</v>
      </c>
      <c r="R135">
        <v>229.59</v>
      </c>
      <c r="S135">
        <v>158.88</v>
      </c>
      <c r="T135">
        <v>70.709999999999994</v>
      </c>
      <c r="U135" t="s">
        <v>166</v>
      </c>
      <c r="V135" t="s">
        <v>159</v>
      </c>
      <c r="W135" t="s">
        <v>2113</v>
      </c>
      <c r="X135" t="s">
        <v>2108</v>
      </c>
      <c r="Y135">
        <v>49</v>
      </c>
      <c r="Z135">
        <v>344.64</v>
      </c>
      <c r="AA135">
        <v>73.34</v>
      </c>
      <c r="AB135" t="s">
        <v>90</v>
      </c>
      <c r="AC135" t="s">
        <v>16</v>
      </c>
      <c r="AD135" t="s">
        <v>2095</v>
      </c>
      <c r="AE135" t="s">
        <v>2107</v>
      </c>
    </row>
    <row r="136" spans="1:31">
      <c r="A136" t="s">
        <v>447</v>
      </c>
      <c r="B136" s="1">
        <v>45250</v>
      </c>
      <c r="C136" t="s">
        <v>188</v>
      </c>
      <c r="D136">
        <v>2023</v>
      </c>
      <c r="E136" t="s">
        <v>184</v>
      </c>
      <c r="F136" t="s">
        <v>448</v>
      </c>
      <c r="G136" t="s">
        <v>122</v>
      </c>
      <c r="H136" t="s">
        <v>123</v>
      </c>
      <c r="I136" t="s">
        <v>115</v>
      </c>
      <c r="J136" t="s">
        <v>124</v>
      </c>
      <c r="K136" t="s">
        <v>178</v>
      </c>
      <c r="L136" t="s">
        <v>174</v>
      </c>
      <c r="M136">
        <v>1</v>
      </c>
      <c r="N136">
        <v>93.88</v>
      </c>
      <c r="O136">
        <v>93.88</v>
      </c>
      <c r="P136">
        <v>20</v>
      </c>
      <c r="Q136">
        <v>18.78</v>
      </c>
      <c r="R136">
        <v>75.099999999999994</v>
      </c>
      <c r="S136">
        <v>53.11</v>
      </c>
      <c r="T136">
        <v>21.99</v>
      </c>
      <c r="U136" t="s">
        <v>195</v>
      </c>
      <c r="V136" t="s">
        <v>159</v>
      </c>
      <c r="W136" t="s">
        <v>2090</v>
      </c>
      <c r="X136" t="s">
        <v>2094</v>
      </c>
      <c r="Y136">
        <v>112</v>
      </c>
      <c r="Z136">
        <v>89.68</v>
      </c>
      <c r="AA136">
        <v>42.24</v>
      </c>
      <c r="AB136" t="s">
        <v>14</v>
      </c>
      <c r="AC136" t="s">
        <v>16</v>
      </c>
      <c r="AD136" t="s">
        <v>2106</v>
      </c>
      <c r="AE136" t="s">
        <v>2096</v>
      </c>
    </row>
    <row r="137" spans="1:31">
      <c r="A137" t="s">
        <v>1322</v>
      </c>
      <c r="B137" s="1">
        <v>45250</v>
      </c>
      <c r="C137" t="s">
        <v>188</v>
      </c>
      <c r="D137">
        <v>2023</v>
      </c>
      <c r="E137" t="s">
        <v>184</v>
      </c>
      <c r="F137" t="s">
        <v>1323</v>
      </c>
      <c r="G137" t="s">
        <v>113</v>
      </c>
      <c r="H137" t="s">
        <v>114</v>
      </c>
      <c r="I137" t="s">
        <v>115</v>
      </c>
      <c r="J137" t="s">
        <v>116</v>
      </c>
      <c r="K137" t="s">
        <v>164</v>
      </c>
      <c r="L137" t="s">
        <v>179</v>
      </c>
      <c r="M137">
        <v>3</v>
      </c>
      <c r="N137">
        <v>18.7</v>
      </c>
      <c r="O137">
        <v>56.099999999999994</v>
      </c>
      <c r="P137">
        <v>5</v>
      </c>
      <c r="Q137">
        <v>2.81</v>
      </c>
      <c r="R137">
        <v>53.29</v>
      </c>
      <c r="S137">
        <v>20.58</v>
      </c>
      <c r="T137">
        <v>32.71</v>
      </c>
      <c r="U137" t="s">
        <v>158</v>
      </c>
      <c r="V137" t="s">
        <v>159</v>
      </c>
      <c r="W137" t="s">
        <v>2113</v>
      </c>
      <c r="X137" t="s">
        <v>2100</v>
      </c>
      <c r="Y137">
        <v>250</v>
      </c>
      <c r="Z137">
        <v>380.09</v>
      </c>
      <c r="AA137">
        <v>36.869999999999997</v>
      </c>
      <c r="AB137" t="s">
        <v>41</v>
      </c>
      <c r="AC137" t="s">
        <v>16</v>
      </c>
      <c r="AD137" t="s">
        <v>2087</v>
      </c>
      <c r="AE137" t="s">
        <v>2121</v>
      </c>
    </row>
    <row r="138" spans="1:31">
      <c r="A138" t="s">
        <v>1428</v>
      </c>
      <c r="B138" s="1">
        <v>45250</v>
      </c>
      <c r="C138" t="s">
        <v>188</v>
      </c>
      <c r="D138">
        <v>2023</v>
      </c>
      <c r="E138" t="s">
        <v>184</v>
      </c>
      <c r="F138" t="s">
        <v>1429</v>
      </c>
      <c r="G138" t="s">
        <v>131</v>
      </c>
      <c r="H138" t="s">
        <v>132</v>
      </c>
      <c r="I138" t="s">
        <v>115</v>
      </c>
      <c r="J138" t="s">
        <v>119</v>
      </c>
      <c r="K138" t="s">
        <v>209</v>
      </c>
      <c r="L138" t="s">
        <v>194</v>
      </c>
      <c r="M138">
        <v>1</v>
      </c>
      <c r="N138">
        <v>75.69</v>
      </c>
      <c r="O138">
        <v>75.69</v>
      </c>
      <c r="P138">
        <v>15</v>
      </c>
      <c r="Q138">
        <v>11.35</v>
      </c>
      <c r="R138">
        <v>64.34</v>
      </c>
      <c r="S138">
        <v>35.630000000000003</v>
      </c>
      <c r="T138">
        <v>28.71</v>
      </c>
      <c r="U138" t="s">
        <v>166</v>
      </c>
      <c r="V138" t="s">
        <v>159</v>
      </c>
      <c r="W138" t="s">
        <v>2113</v>
      </c>
      <c r="X138" t="s">
        <v>2108</v>
      </c>
      <c r="Y138">
        <v>58</v>
      </c>
      <c r="Z138">
        <v>283.02999999999997</v>
      </c>
      <c r="AA138">
        <v>65.319999999999993</v>
      </c>
      <c r="AB138" t="s">
        <v>41</v>
      </c>
      <c r="AC138" t="s">
        <v>20</v>
      </c>
      <c r="AD138" t="s">
        <v>2087</v>
      </c>
      <c r="AE138" t="s">
        <v>2088</v>
      </c>
    </row>
    <row r="139" spans="1:31">
      <c r="A139" t="s">
        <v>582</v>
      </c>
      <c r="B139" s="1">
        <v>45249</v>
      </c>
      <c r="C139" t="s">
        <v>188</v>
      </c>
      <c r="D139">
        <v>2023</v>
      </c>
      <c r="E139" t="s">
        <v>184</v>
      </c>
      <c r="F139" t="s">
        <v>583</v>
      </c>
      <c r="G139" t="s">
        <v>88</v>
      </c>
      <c r="H139" t="s">
        <v>89</v>
      </c>
      <c r="I139" t="s">
        <v>90</v>
      </c>
      <c r="J139" t="s">
        <v>91</v>
      </c>
      <c r="K139" t="s">
        <v>164</v>
      </c>
      <c r="L139" t="s">
        <v>157</v>
      </c>
      <c r="M139">
        <v>2</v>
      </c>
      <c r="N139">
        <v>54.64</v>
      </c>
      <c r="O139">
        <v>109.28</v>
      </c>
      <c r="P139">
        <v>10</v>
      </c>
      <c r="Q139">
        <v>10.93</v>
      </c>
      <c r="R139">
        <v>98.35</v>
      </c>
      <c r="S139">
        <v>40.64</v>
      </c>
      <c r="T139">
        <v>57.71</v>
      </c>
      <c r="U139" t="s">
        <v>190</v>
      </c>
      <c r="V139" t="s">
        <v>159</v>
      </c>
      <c r="W139" t="s">
        <v>2093</v>
      </c>
      <c r="X139" t="s">
        <v>2091</v>
      </c>
      <c r="Y139">
        <v>252</v>
      </c>
      <c r="Z139">
        <v>122.77</v>
      </c>
      <c r="AA139">
        <v>37.270000000000003</v>
      </c>
      <c r="AB139" t="s">
        <v>14</v>
      </c>
      <c r="AC139" t="s">
        <v>16</v>
      </c>
      <c r="AD139" t="s">
        <v>2087</v>
      </c>
      <c r="AE139" t="s">
        <v>2107</v>
      </c>
    </row>
    <row r="140" spans="1:31">
      <c r="A140" t="s">
        <v>1987</v>
      </c>
      <c r="B140" s="1">
        <v>45249</v>
      </c>
      <c r="C140" t="s">
        <v>188</v>
      </c>
      <c r="D140">
        <v>2023</v>
      </c>
      <c r="E140" t="s">
        <v>184</v>
      </c>
      <c r="F140" t="s">
        <v>1988</v>
      </c>
      <c r="G140" t="s">
        <v>111</v>
      </c>
      <c r="H140" t="s">
        <v>112</v>
      </c>
      <c r="I140" t="s">
        <v>90</v>
      </c>
      <c r="J140" t="s">
        <v>97</v>
      </c>
      <c r="K140" t="s">
        <v>209</v>
      </c>
      <c r="L140" t="s">
        <v>174</v>
      </c>
      <c r="M140">
        <v>2</v>
      </c>
      <c r="N140">
        <v>189.99</v>
      </c>
      <c r="O140">
        <v>379.98</v>
      </c>
      <c r="P140">
        <v>5</v>
      </c>
      <c r="Q140">
        <v>19</v>
      </c>
      <c r="R140">
        <v>360.98</v>
      </c>
      <c r="S140">
        <v>127.02</v>
      </c>
      <c r="T140">
        <v>233.96</v>
      </c>
      <c r="U140" t="s">
        <v>166</v>
      </c>
      <c r="V140" t="s">
        <v>159</v>
      </c>
      <c r="W140" t="s">
        <v>2085</v>
      </c>
      <c r="X140" t="s">
        <v>2091</v>
      </c>
      <c r="Y140">
        <v>38</v>
      </c>
      <c r="Z140">
        <v>2240.4299999999998</v>
      </c>
      <c r="AA140">
        <v>275.82</v>
      </c>
      <c r="AB140" t="s">
        <v>90</v>
      </c>
      <c r="AC140" t="s">
        <v>16</v>
      </c>
      <c r="AD140" t="s">
        <v>2095</v>
      </c>
      <c r="AE140" t="s">
        <v>2107</v>
      </c>
    </row>
    <row r="141" spans="1:31">
      <c r="A141" t="s">
        <v>1231</v>
      </c>
      <c r="B141" s="1">
        <v>45249</v>
      </c>
      <c r="C141" t="s">
        <v>188</v>
      </c>
      <c r="D141">
        <v>2023</v>
      </c>
      <c r="E141" t="s">
        <v>184</v>
      </c>
      <c r="F141" t="s">
        <v>1232</v>
      </c>
      <c r="G141" t="s">
        <v>107</v>
      </c>
      <c r="H141" t="s">
        <v>108</v>
      </c>
      <c r="I141" t="s">
        <v>90</v>
      </c>
      <c r="J141" t="s">
        <v>100</v>
      </c>
      <c r="K141" t="s">
        <v>209</v>
      </c>
      <c r="L141" t="s">
        <v>232</v>
      </c>
      <c r="M141">
        <v>2</v>
      </c>
      <c r="N141">
        <v>26.61</v>
      </c>
      <c r="O141">
        <v>53.22</v>
      </c>
      <c r="P141">
        <v>0</v>
      </c>
      <c r="Q141">
        <v>0</v>
      </c>
      <c r="R141">
        <v>53.22</v>
      </c>
      <c r="S141">
        <v>21.28</v>
      </c>
      <c r="T141">
        <v>31.94</v>
      </c>
      <c r="U141" t="s">
        <v>190</v>
      </c>
      <c r="V141" t="s">
        <v>159</v>
      </c>
      <c r="W141" t="s">
        <v>2099</v>
      </c>
      <c r="X141" t="s">
        <v>2108</v>
      </c>
      <c r="Y141">
        <v>252</v>
      </c>
      <c r="Z141">
        <v>117.95</v>
      </c>
      <c r="AA141">
        <v>55.56</v>
      </c>
      <c r="AB141" t="s">
        <v>90</v>
      </c>
      <c r="AC141" t="s">
        <v>16</v>
      </c>
      <c r="AD141" t="s">
        <v>2106</v>
      </c>
      <c r="AE141" t="s">
        <v>2107</v>
      </c>
    </row>
    <row r="142" spans="1:31">
      <c r="A142" t="s">
        <v>261</v>
      </c>
      <c r="B142" s="1">
        <v>45249</v>
      </c>
      <c r="C142" t="s">
        <v>188</v>
      </c>
      <c r="D142">
        <v>2023</v>
      </c>
      <c r="E142" t="s">
        <v>184</v>
      </c>
      <c r="F142" t="s">
        <v>262</v>
      </c>
      <c r="G142" t="s">
        <v>92</v>
      </c>
      <c r="H142" t="s">
        <v>93</v>
      </c>
      <c r="I142" t="s">
        <v>90</v>
      </c>
      <c r="J142" t="s">
        <v>94</v>
      </c>
      <c r="K142" t="s">
        <v>209</v>
      </c>
      <c r="L142" t="s">
        <v>157</v>
      </c>
      <c r="M142">
        <v>1</v>
      </c>
      <c r="N142">
        <v>230.34</v>
      </c>
      <c r="O142">
        <v>230.34</v>
      </c>
      <c r="P142">
        <v>10</v>
      </c>
      <c r="Q142">
        <v>23.03</v>
      </c>
      <c r="R142">
        <v>207.31</v>
      </c>
      <c r="S142">
        <v>74.680000000000007</v>
      </c>
      <c r="T142">
        <v>132.63</v>
      </c>
      <c r="U142" t="s">
        <v>190</v>
      </c>
      <c r="V142" t="s">
        <v>181</v>
      </c>
      <c r="W142" t="s">
        <v>2085</v>
      </c>
      <c r="X142" t="s">
        <v>2108</v>
      </c>
      <c r="Y142">
        <v>114</v>
      </c>
      <c r="Z142">
        <v>2953.15</v>
      </c>
      <c r="AA142">
        <v>181.57</v>
      </c>
      <c r="AB142" t="s">
        <v>115</v>
      </c>
      <c r="AC142" t="s">
        <v>16</v>
      </c>
      <c r="AD142" t="s">
        <v>2087</v>
      </c>
      <c r="AE142" t="s">
        <v>2121</v>
      </c>
    </row>
    <row r="143" spans="1:31">
      <c r="A143" t="s">
        <v>1927</v>
      </c>
      <c r="B143" s="1">
        <v>45248</v>
      </c>
      <c r="C143" t="s">
        <v>188</v>
      </c>
      <c r="D143">
        <v>2023</v>
      </c>
      <c r="E143" t="s">
        <v>184</v>
      </c>
      <c r="F143" t="s">
        <v>1928</v>
      </c>
      <c r="G143" t="s">
        <v>12</v>
      </c>
      <c r="H143" t="s">
        <v>13</v>
      </c>
      <c r="I143" t="s">
        <v>14</v>
      </c>
      <c r="J143" t="s">
        <v>15</v>
      </c>
      <c r="K143" t="s">
        <v>178</v>
      </c>
      <c r="L143" t="s">
        <v>232</v>
      </c>
      <c r="M143">
        <v>4</v>
      </c>
      <c r="N143">
        <v>76.53</v>
      </c>
      <c r="O143">
        <v>306.12</v>
      </c>
      <c r="P143">
        <v>0</v>
      </c>
      <c r="Q143">
        <v>0</v>
      </c>
      <c r="R143">
        <v>306.12</v>
      </c>
      <c r="S143">
        <v>211.84</v>
      </c>
      <c r="T143">
        <v>94.28</v>
      </c>
      <c r="U143" t="s">
        <v>158</v>
      </c>
      <c r="V143" t="s">
        <v>159</v>
      </c>
      <c r="W143" t="s">
        <v>2090</v>
      </c>
      <c r="X143" t="s">
        <v>2100</v>
      </c>
      <c r="Y143">
        <v>227</v>
      </c>
      <c r="Z143">
        <v>112.78</v>
      </c>
      <c r="AA143">
        <v>90.7</v>
      </c>
      <c r="AB143" t="s">
        <v>14</v>
      </c>
      <c r="AC143" t="s">
        <v>20</v>
      </c>
      <c r="AD143" t="s">
        <v>2106</v>
      </c>
      <c r="AE143" t="s">
        <v>2121</v>
      </c>
    </row>
    <row r="144" spans="1:31">
      <c r="A144" t="s">
        <v>1403</v>
      </c>
      <c r="B144" s="1">
        <v>45247</v>
      </c>
      <c r="C144" t="s">
        <v>188</v>
      </c>
      <c r="D144">
        <v>2023</v>
      </c>
      <c r="E144" t="s">
        <v>184</v>
      </c>
      <c r="F144" t="s">
        <v>1404</v>
      </c>
      <c r="G144" t="s">
        <v>120</v>
      </c>
      <c r="H144" t="s">
        <v>121</v>
      </c>
      <c r="I144" t="s">
        <v>115</v>
      </c>
      <c r="J144" t="s">
        <v>119</v>
      </c>
      <c r="K144" t="s">
        <v>156</v>
      </c>
      <c r="L144" t="s">
        <v>232</v>
      </c>
      <c r="M144">
        <v>2</v>
      </c>
      <c r="N144">
        <v>197.52</v>
      </c>
      <c r="O144">
        <v>395.04</v>
      </c>
      <c r="P144">
        <v>10</v>
      </c>
      <c r="Q144">
        <v>39.5</v>
      </c>
      <c r="R144">
        <v>355.54</v>
      </c>
      <c r="S144">
        <v>133.08000000000001</v>
      </c>
      <c r="T144">
        <v>222.46</v>
      </c>
      <c r="U144" t="s">
        <v>166</v>
      </c>
      <c r="V144" t="s">
        <v>186</v>
      </c>
      <c r="W144" t="s">
        <v>2113</v>
      </c>
      <c r="X144" t="s">
        <v>2108</v>
      </c>
      <c r="Y144">
        <v>74</v>
      </c>
      <c r="Z144">
        <v>590.79</v>
      </c>
      <c r="AA144">
        <v>34.86</v>
      </c>
      <c r="AB144" t="s">
        <v>41</v>
      </c>
      <c r="AC144" t="s">
        <v>16</v>
      </c>
      <c r="AD144" t="s">
        <v>2106</v>
      </c>
      <c r="AE144" t="s">
        <v>2121</v>
      </c>
    </row>
    <row r="145" spans="1:31">
      <c r="A145" t="s">
        <v>1149</v>
      </c>
      <c r="B145" s="1">
        <v>45247</v>
      </c>
      <c r="C145" t="s">
        <v>188</v>
      </c>
      <c r="D145">
        <v>2023</v>
      </c>
      <c r="E145" t="s">
        <v>184</v>
      </c>
      <c r="F145" t="s">
        <v>1150</v>
      </c>
      <c r="G145" t="s">
        <v>109</v>
      </c>
      <c r="H145" t="s">
        <v>110</v>
      </c>
      <c r="I145" t="s">
        <v>90</v>
      </c>
      <c r="J145" t="s">
        <v>100</v>
      </c>
      <c r="K145" t="s">
        <v>178</v>
      </c>
      <c r="L145" t="s">
        <v>204</v>
      </c>
      <c r="M145">
        <v>1</v>
      </c>
      <c r="N145">
        <v>77.67</v>
      </c>
      <c r="O145">
        <v>77.67</v>
      </c>
      <c r="P145">
        <v>20</v>
      </c>
      <c r="Q145">
        <v>15.53</v>
      </c>
      <c r="R145">
        <v>62.14</v>
      </c>
      <c r="S145">
        <v>28.12</v>
      </c>
      <c r="T145">
        <v>34.020000000000003</v>
      </c>
      <c r="U145" t="s">
        <v>166</v>
      </c>
      <c r="V145" t="s">
        <v>181</v>
      </c>
      <c r="W145" t="s">
        <v>2097</v>
      </c>
      <c r="X145" t="s">
        <v>2094</v>
      </c>
      <c r="Y145">
        <v>343</v>
      </c>
      <c r="Z145">
        <v>737.32</v>
      </c>
      <c r="AA145">
        <v>100.38</v>
      </c>
      <c r="AB145" t="s">
        <v>14</v>
      </c>
      <c r="AC145" t="s">
        <v>20</v>
      </c>
      <c r="AD145" t="s">
        <v>2087</v>
      </c>
      <c r="AE145" t="s">
        <v>2121</v>
      </c>
    </row>
    <row r="146" spans="1:31">
      <c r="A146" t="s">
        <v>1202</v>
      </c>
      <c r="B146" s="1">
        <v>45247</v>
      </c>
      <c r="C146" t="s">
        <v>188</v>
      </c>
      <c r="D146">
        <v>2023</v>
      </c>
      <c r="E146" t="s">
        <v>184</v>
      </c>
      <c r="F146" t="s">
        <v>1203</v>
      </c>
      <c r="G146" t="s">
        <v>101</v>
      </c>
      <c r="H146" t="s">
        <v>102</v>
      </c>
      <c r="I146" t="s">
        <v>90</v>
      </c>
      <c r="J146" t="s">
        <v>100</v>
      </c>
      <c r="K146" t="s">
        <v>209</v>
      </c>
      <c r="L146" t="s">
        <v>174</v>
      </c>
      <c r="M146">
        <v>2</v>
      </c>
      <c r="N146">
        <v>196.28</v>
      </c>
      <c r="O146">
        <v>392.56</v>
      </c>
      <c r="P146">
        <v>0</v>
      </c>
      <c r="Q146">
        <v>0</v>
      </c>
      <c r="R146">
        <v>392.56</v>
      </c>
      <c r="S146">
        <v>143.46</v>
      </c>
      <c r="T146">
        <v>249.1</v>
      </c>
      <c r="U146" t="s">
        <v>166</v>
      </c>
      <c r="V146" t="s">
        <v>159</v>
      </c>
      <c r="W146" t="s">
        <v>2090</v>
      </c>
      <c r="X146" t="s">
        <v>2111</v>
      </c>
      <c r="Y146">
        <v>350</v>
      </c>
      <c r="Z146">
        <v>379.82</v>
      </c>
      <c r="AA146">
        <v>118.79</v>
      </c>
      <c r="AB146" t="s">
        <v>66</v>
      </c>
      <c r="AC146" t="s">
        <v>16</v>
      </c>
      <c r="AD146" t="s">
        <v>2087</v>
      </c>
      <c r="AE146" t="s">
        <v>2096</v>
      </c>
    </row>
    <row r="147" spans="1:31">
      <c r="A147" t="s">
        <v>2009</v>
      </c>
      <c r="B147" s="1">
        <v>45247</v>
      </c>
      <c r="C147" t="s">
        <v>188</v>
      </c>
      <c r="D147">
        <v>2023</v>
      </c>
      <c r="E147" t="s">
        <v>184</v>
      </c>
      <c r="F147" t="s">
        <v>999</v>
      </c>
      <c r="G147" t="s">
        <v>117</v>
      </c>
      <c r="H147" t="s">
        <v>118</v>
      </c>
      <c r="I147" t="s">
        <v>115</v>
      </c>
      <c r="J147" t="s">
        <v>119</v>
      </c>
      <c r="K147" t="s">
        <v>156</v>
      </c>
      <c r="L147" t="s">
        <v>174</v>
      </c>
      <c r="M147">
        <v>2</v>
      </c>
      <c r="N147">
        <v>93.41</v>
      </c>
      <c r="O147">
        <v>186.82</v>
      </c>
      <c r="P147">
        <v>5</v>
      </c>
      <c r="Q147">
        <v>9.34</v>
      </c>
      <c r="R147">
        <v>177.48</v>
      </c>
      <c r="S147">
        <v>128.1</v>
      </c>
      <c r="T147">
        <v>49.38</v>
      </c>
      <c r="U147" t="s">
        <v>195</v>
      </c>
      <c r="V147" t="s">
        <v>186</v>
      </c>
      <c r="W147" t="s">
        <v>2093</v>
      </c>
      <c r="X147" t="s">
        <v>2086</v>
      </c>
      <c r="Y147">
        <v>239</v>
      </c>
      <c r="Z147">
        <v>140.29</v>
      </c>
      <c r="AA147">
        <v>79.92</v>
      </c>
      <c r="AB147" t="s">
        <v>115</v>
      </c>
      <c r="AC147" t="s">
        <v>20</v>
      </c>
      <c r="AD147" t="s">
        <v>2095</v>
      </c>
      <c r="AE147" t="s">
        <v>2096</v>
      </c>
    </row>
    <row r="148" spans="1:31">
      <c r="A148" t="s">
        <v>1890</v>
      </c>
      <c r="B148" s="1">
        <v>45247</v>
      </c>
      <c r="C148" t="s">
        <v>188</v>
      </c>
      <c r="D148">
        <v>2023</v>
      </c>
      <c r="E148" t="s">
        <v>184</v>
      </c>
      <c r="F148" t="s">
        <v>1891</v>
      </c>
      <c r="G148" t="s">
        <v>135</v>
      </c>
      <c r="H148" t="s">
        <v>136</v>
      </c>
      <c r="I148" t="s">
        <v>115</v>
      </c>
      <c r="J148" t="s">
        <v>119</v>
      </c>
      <c r="K148" t="s">
        <v>156</v>
      </c>
      <c r="L148" t="s">
        <v>194</v>
      </c>
      <c r="M148">
        <v>4</v>
      </c>
      <c r="N148">
        <v>89.62</v>
      </c>
      <c r="O148">
        <v>358.48</v>
      </c>
      <c r="P148">
        <v>10</v>
      </c>
      <c r="Q148">
        <v>35.85</v>
      </c>
      <c r="R148">
        <v>322.63</v>
      </c>
      <c r="S148">
        <v>152.52000000000001</v>
      </c>
      <c r="T148">
        <v>170.11</v>
      </c>
      <c r="U148" t="s">
        <v>180</v>
      </c>
      <c r="V148" t="s">
        <v>159</v>
      </c>
      <c r="W148" t="s">
        <v>2085</v>
      </c>
      <c r="X148" t="s">
        <v>2091</v>
      </c>
      <c r="Y148">
        <v>103</v>
      </c>
      <c r="Z148">
        <v>2133.44</v>
      </c>
      <c r="AA148">
        <v>207.19</v>
      </c>
      <c r="AB148" t="s">
        <v>41</v>
      </c>
      <c r="AC148" t="s">
        <v>16</v>
      </c>
      <c r="AD148" t="s">
        <v>2095</v>
      </c>
      <c r="AE148" t="s">
        <v>2121</v>
      </c>
    </row>
    <row r="149" spans="1:31">
      <c r="A149" t="s">
        <v>273</v>
      </c>
      <c r="B149" s="1">
        <v>45247</v>
      </c>
      <c r="C149" t="s">
        <v>188</v>
      </c>
      <c r="D149">
        <v>2023</v>
      </c>
      <c r="E149" t="s">
        <v>184</v>
      </c>
      <c r="F149" t="s">
        <v>274</v>
      </c>
      <c r="G149" t="s">
        <v>122</v>
      </c>
      <c r="H149" t="s">
        <v>123</v>
      </c>
      <c r="I149" t="s">
        <v>115</v>
      </c>
      <c r="J149" t="s">
        <v>124</v>
      </c>
      <c r="K149" t="s">
        <v>156</v>
      </c>
      <c r="L149" t="s">
        <v>204</v>
      </c>
      <c r="M149">
        <v>2</v>
      </c>
      <c r="N149">
        <v>93.88</v>
      </c>
      <c r="O149">
        <v>187.76</v>
      </c>
      <c r="P149">
        <v>0</v>
      </c>
      <c r="Q149">
        <v>0</v>
      </c>
      <c r="R149">
        <v>187.76</v>
      </c>
      <c r="S149">
        <v>106.22</v>
      </c>
      <c r="T149">
        <v>81.540000000000006</v>
      </c>
      <c r="U149" t="s">
        <v>158</v>
      </c>
      <c r="V149" t="s">
        <v>181</v>
      </c>
      <c r="W149" t="s">
        <v>2093</v>
      </c>
      <c r="X149" t="s">
        <v>2100</v>
      </c>
      <c r="Y149">
        <v>103</v>
      </c>
      <c r="Z149">
        <v>118.99</v>
      </c>
      <c r="AA149">
        <v>25.54</v>
      </c>
      <c r="AB149" t="s">
        <v>14</v>
      </c>
      <c r="AC149" t="s">
        <v>20</v>
      </c>
      <c r="AD149" t="s">
        <v>2095</v>
      </c>
      <c r="AE149" t="s">
        <v>2088</v>
      </c>
    </row>
    <row r="150" spans="1:31">
      <c r="A150" t="s">
        <v>2061</v>
      </c>
      <c r="B150" s="1">
        <v>45246</v>
      </c>
      <c r="C150" t="s">
        <v>188</v>
      </c>
      <c r="D150">
        <v>2023</v>
      </c>
      <c r="E150" t="s">
        <v>184</v>
      </c>
      <c r="F150" t="s">
        <v>2062</v>
      </c>
      <c r="G150" t="s">
        <v>117</v>
      </c>
      <c r="H150" t="s">
        <v>118</v>
      </c>
      <c r="I150" t="s">
        <v>115</v>
      </c>
      <c r="J150" t="s">
        <v>119</v>
      </c>
      <c r="K150" t="s">
        <v>164</v>
      </c>
      <c r="L150" t="s">
        <v>165</v>
      </c>
      <c r="M150">
        <v>2</v>
      </c>
      <c r="N150">
        <v>93.41</v>
      </c>
      <c r="O150">
        <v>186.82</v>
      </c>
      <c r="P150">
        <v>10</v>
      </c>
      <c r="Q150">
        <v>18.68</v>
      </c>
      <c r="R150">
        <v>168.14</v>
      </c>
      <c r="S150">
        <v>128.1</v>
      </c>
      <c r="T150">
        <v>40.04</v>
      </c>
      <c r="U150" t="s">
        <v>195</v>
      </c>
      <c r="V150" t="s">
        <v>186</v>
      </c>
      <c r="W150" t="s">
        <v>2090</v>
      </c>
      <c r="X150" t="s">
        <v>2111</v>
      </c>
      <c r="Y150">
        <v>137</v>
      </c>
      <c r="Z150">
        <v>277.52999999999997</v>
      </c>
      <c r="AA150">
        <v>104.78</v>
      </c>
      <c r="AB150" t="s">
        <v>66</v>
      </c>
      <c r="AC150" t="s">
        <v>16</v>
      </c>
      <c r="AD150" t="s">
        <v>2106</v>
      </c>
      <c r="AE150" t="s">
        <v>2109</v>
      </c>
    </row>
    <row r="151" spans="1:31">
      <c r="A151" t="s">
        <v>568</v>
      </c>
      <c r="B151" s="1">
        <v>45246</v>
      </c>
      <c r="C151" t="s">
        <v>188</v>
      </c>
      <c r="D151">
        <v>2023</v>
      </c>
      <c r="E151" t="s">
        <v>184</v>
      </c>
      <c r="F151" t="s">
        <v>569</v>
      </c>
      <c r="G151" t="s">
        <v>133</v>
      </c>
      <c r="H151" t="s">
        <v>134</v>
      </c>
      <c r="I151" t="s">
        <v>115</v>
      </c>
      <c r="J151" t="s">
        <v>119</v>
      </c>
      <c r="K151" t="s">
        <v>209</v>
      </c>
      <c r="L151" t="s">
        <v>157</v>
      </c>
      <c r="M151">
        <v>3</v>
      </c>
      <c r="N151">
        <v>78.84</v>
      </c>
      <c r="O151">
        <v>236.52</v>
      </c>
      <c r="P151">
        <v>20</v>
      </c>
      <c r="Q151">
        <v>47.3</v>
      </c>
      <c r="R151">
        <v>189.22</v>
      </c>
      <c r="S151">
        <v>143.04</v>
      </c>
      <c r="T151">
        <v>46.18</v>
      </c>
      <c r="U151" t="s">
        <v>158</v>
      </c>
      <c r="V151" t="s">
        <v>186</v>
      </c>
      <c r="W151" t="s">
        <v>2085</v>
      </c>
      <c r="X151" t="s">
        <v>2100</v>
      </c>
      <c r="Y151">
        <v>216</v>
      </c>
      <c r="Z151">
        <v>1370.81</v>
      </c>
      <c r="AA151">
        <v>163.98</v>
      </c>
      <c r="AB151" t="s">
        <v>90</v>
      </c>
      <c r="AC151" t="s">
        <v>16</v>
      </c>
      <c r="AD151" t="s">
        <v>2095</v>
      </c>
      <c r="AE151" t="s">
        <v>2109</v>
      </c>
    </row>
    <row r="152" spans="1:31">
      <c r="A152" t="s">
        <v>1394</v>
      </c>
      <c r="B152" s="1">
        <v>45246</v>
      </c>
      <c r="C152" t="s">
        <v>188</v>
      </c>
      <c r="D152">
        <v>2023</v>
      </c>
      <c r="E152" t="s">
        <v>184</v>
      </c>
      <c r="F152" t="s">
        <v>1395</v>
      </c>
      <c r="G152" t="s">
        <v>120</v>
      </c>
      <c r="H152" t="s">
        <v>121</v>
      </c>
      <c r="I152" t="s">
        <v>115</v>
      </c>
      <c r="J152" t="s">
        <v>119</v>
      </c>
      <c r="K152" t="s">
        <v>178</v>
      </c>
      <c r="L152" t="s">
        <v>174</v>
      </c>
      <c r="M152">
        <v>4</v>
      </c>
      <c r="N152">
        <v>197.52</v>
      </c>
      <c r="O152">
        <v>790.08</v>
      </c>
      <c r="P152">
        <v>10</v>
      </c>
      <c r="Q152">
        <v>79.010000000000005</v>
      </c>
      <c r="R152">
        <v>711.07</v>
      </c>
      <c r="S152">
        <v>266.16000000000003</v>
      </c>
      <c r="T152">
        <v>444.91</v>
      </c>
      <c r="U152" t="s">
        <v>195</v>
      </c>
      <c r="V152" t="s">
        <v>159</v>
      </c>
      <c r="W152" t="s">
        <v>2090</v>
      </c>
      <c r="X152" t="s">
        <v>2100</v>
      </c>
      <c r="Y152">
        <v>7</v>
      </c>
      <c r="Z152">
        <v>350.61</v>
      </c>
      <c r="AA152">
        <v>111.36</v>
      </c>
      <c r="AB152" t="s">
        <v>115</v>
      </c>
      <c r="AC152" t="s">
        <v>16</v>
      </c>
      <c r="AD152" t="s">
        <v>2106</v>
      </c>
      <c r="AE152" t="s">
        <v>2109</v>
      </c>
    </row>
    <row r="153" spans="1:31">
      <c r="A153" t="s">
        <v>1564</v>
      </c>
      <c r="B153" s="1">
        <v>45245</v>
      </c>
      <c r="C153" t="s">
        <v>188</v>
      </c>
      <c r="D153">
        <v>2023</v>
      </c>
      <c r="E153" t="s">
        <v>184</v>
      </c>
      <c r="F153" t="s">
        <v>1565</v>
      </c>
      <c r="G153" t="s">
        <v>57</v>
      </c>
      <c r="H153" t="s">
        <v>58</v>
      </c>
      <c r="I153" t="s">
        <v>41</v>
      </c>
      <c r="J153" t="s">
        <v>59</v>
      </c>
      <c r="K153" t="s">
        <v>209</v>
      </c>
      <c r="L153" t="s">
        <v>157</v>
      </c>
      <c r="M153">
        <v>1</v>
      </c>
      <c r="N153">
        <v>56.33</v>
      </c>
      <c r="O153">
        <v>56.33</v>
      </c>
      <c r="P153">
        <v>0</v>
      </c>
      <c r="Q153">
        <v>0</v>
      </c>
      <c r="R153">
        <v>56.33</v>
      </c>
      <c r="S153">
        <v>41.45</v>
      </c>
      <c r="T153">
        <v>14.88</v>
      </c>
      <c r="U153" t="s">
        <v>166</v>
      </c>
      <c r="V153" t="s">
        <v>159</v>
      </c>
      <c r="W153" t="s">
        <v>2090</v>
      </c>
      <c r="X153" t="s">
        <v>2094</v>
      </c>
      <c r="Y153">
        <v>228</v>
      </c>
      <c r="Z153">
        <v>81.56</v>
      </c>
      <c r="AA153">
        <v>48.28</v>
      </c>
      <c r="AB153" t="s">
        <v>14</v>
      </c>
      <c r="AC153" t="s">
        <v>16</v>
      </c>
      <c r="AD153" t="s">
        <v>2087</v>
      </c>
      <c r="AE153" t="s">
        <v>2096</v>
      </c>
    </row>
    <row r="154" spans="1:31">
      <c r="A154" t="s">
        <v>1506</v>
      </c>
      <c r="B154" s="1">
        <v>45245</v>
      </c>
      <c r="C154" t="s">
        <v>188</v>
      </c>
      <c r="D154">
        <v>2023</v>
      </c>
      <c r="E154" t="s">
        <v>184</v>
      </c>
      <c r="F154" t="s">
        <v>1507</v>
      </c>
      <c r="G154" t="s">
        <v>35</v>
      </c>
      <c r="H154" t="s">
        <v>36</v>
      </c>
      <c r="I154" t="s">
        <v>14</v>
      </c>
      <c r="J154" t="s">
        <v>19</v>
      </c>
      <c r="K154" t="s">
        <v>178</v>
      </c>
      <c r="L154" t="s">
        <v>174</v>
      </c>
      <c r="M154">
        <v>2</v>
      </c>
      <c r="N154">
        <v>81.599999999999994</v>
      </c>
      <c r="O154">
        <v>163.19999999999999</v>
      </c>
      <c r="P154">
        <v>0</v>
      </c>
      <c r="Q154">
        <v>0</v>
      </c>
      <c r="R154">
        <v>163.19999999999999</v>
      </c>
      <c r="S154">
        <v>58.64</v>
      </c>
      <c r="T154">
        <v>104.56</v>
      </c>
      <c r="U154" t="s">
        <v>180</v>
      </c>
      <c r="V154" t="s">
        <v>186</v>
      </c>
      <c r="W154" t="s">
        <v>2085</v>
      </c>
      <c r="X154" t="s">
        <v>2111</v>
      </c>
      <c r="Y154">
        <v>141</v>
      </c>
      <c r="Z154">
        <v>822.54</v>
      </c>
      <c r="AA154">
        <v>215.07</v>
      </c>
      <c r="AB154" t="s">
        <v>115</v>
      </c>
      <c r="AC154" t="s">
        <v>20</v>
      </c>
      <c r="AD154" t="s">
        <v>2106</v>
      </c>
      <c r="AE154" t="s">
        <v>2096</v>
      </c>
    </row>
    <row r="155" spans="1:31">
      <c r="A155" t="s">
        <v>1083</v>
      </c>
      <c r="B155" s="1">
        <v>45245</v>
      </c>
      <c r="C155" t="s">
        <v>188</v>
      </c>
      <c r="D155">
        <v>2023</v>
      </c>
      <c r="E155" t="s">
        <v>184</v>
      </c>
      <c r="F155" t="s">
        <v>1084</v>
      </c>
      <c r="G155" t="s">
        <v>68</v>
      </c>
      <c r="H155" t="s">
        <v>69</v>
      </c>
      <c r="I155" t="s">
        <v>66</v>
      </c>
      <c r="J155" t="s">
        <v>70</v>
      </c>
      <c r="K155" t="s">
        <v>209</v>
      </c>
      <c r="L155" t="s">
        <v>194</v>
      </c>
      <c r="M155">
        <v>3</v>
      </c>
      <c r="N155">
        <v>98.51</v>
      </c>
      <c r="O155">
        <v>295.53000000000003</v>
      </c>
      <c r="P155">
        <v>5</v>
      </c>
      <c r="Q155">
        <v>14.78</v>
      </c>
      <c r="R155">
        <v>280.75</v>
      </c>
      <c r="S155">
        <v>165.51</v>
      </c>
      <c r="T155">
        <v>115.24</v>
      </c>
      <c r="U155" t="s">
        <v>195</v>
      </c>
      <c r="V155" t="s">
        <v>159</v>
      </c>
      <c r="W155" t="s">
        <v>2097</v>
      </c>
      <c r="X155" t="s">
        <v>2091</v>
      </c>
      <c r="Y155">
        <v>139</v>
      </c>
      <c r="Z155">
        <v>259.83</v>
      </c>
      <c r="AA155">
        <v>113.99</v>
      </c>
      <c r="AB155" t="s">
        <v>115</v>
      </c>
      <c r="AC155" t="s">
        <v>16</v>
      </c>
      <c r="AD155" t="s">
        <v>2106</v>
      </c>
      <c r="AE155" t="s">
        <v>2107</v>
      </c>
    </row>
    <row r="156" spans="1:31">
      <c r="A156" t="s">
        <v>1646</v>
      </c>
      <c r="B156" s="1">
        <v>45244</v>
      </c>
      <c r="C156" t="s">
        <v>188</v>
      </c>
      <c r="D156">
        <v>2023</v>
      </c>
      <c r="E156" t="s">
        <v>184</v>
      </c>
      <c r="F156" t="s">
        <v>911</v>
      </c>
      <c r="G156" t="s">
        <v>46</v>
      </c>
      <c r="H156" t="s">
        <v>47</v>
      </c>
      <c r="I156" t="s">
        <v>41</v>
      </c>
      <c r="J156" t="s">
        <v>45</v>
      </c>
      <c r="K156" t="s">
        <v>209</v>
      </c>
      <c r="L156" t="s">
        <v>232</v>
      </c>
      <c r="M156">
        <v>1</v>
      </c>
      <c r="N156">
        <v>16.95</v>
      </c>
      <c r="O156">
        <v>16.95</v>
      </c>
      <c r="P156">
        <v>0</v>
      </c>
      <c r="Q156">
        <v>0</v>
      </c>
      <c r="R156">
        <v>16.95</v>
      </c>
      <c r="S156">
        <v>9.76</v>
      </c>
      <c r="T156">
        <v>7.19</v>
      </c>
      <c r="U156" t="s">
        <v>190</v>
      </c>
      <c r="V156" t="s">
        <v>181</v>
      </c>
      <c r="W156" t="s">
        <v>2093</v>
      </c>
      <c r="X156" t="s">
        <v>2091</v>
      </c>
      <c r="Y156">
        <v>162</v>
      </c>
      <c r="Z156">
        <v>106.89</v>
      </c>
      <c r="AA156">
        <v>54.67</v>
      </c>
      <c r="AB156" t="s">
        <v>90</v>
      </c>
      <c r="AC156" t="s">
        <v>16</v>
      </c>
      <c r="AD156" t="s">
        <v>2087</v>
      </c>
      <c r="AE156" t="s">
        <v>2121</v>
      </c>
    </row>
    <row r="157" spans="1:31">
      <c r="A157" t="s">
        <v>1387</v>
      </c>
      <c r="B157" s="1">
        <v>45244</v>
      </c>
      <c r="C157" t="s">
        <v>188</v>
      </c>
      <c r="D157">
        <v>2023</v>
      </c>
      <c r="E157" t="s">
        <v>184</v>
      </c>
      <c r="F157" t="s">
        <v>1388</v>
      </c>
      <c r="G157" t="s">
        <v>111</v>
      </c>
      <c r="H157" t="s">
        <v>112</v>
      </c>
      <c r="I157" t="s">
        <v>90</v>
      </c>
      <c r="J157" t="s">
        <v>97</v>
      </c>
      <c r="K157" t="s">
        <v>178</v>
      </c>
      <c r="L157" t="s">
        <v>165</v>
      </c>
      <c r="M157">
        <v>3</v>
      </c>
      <c r="N157">
        <v>189.99</v>
      </c>
      <c r="O157">
        <v>569.97</v>
      </c>
      <c r="P157">
        <v>20</v>
      </c>
      <c r="Q157">
        <v>113.99</v>
      </c>
      <c r="R157">
        <v>455.98</v>
      </c>
      <c r="S157">
        <v>190.53</v>
      </c>
      <c r="T157">
        <v>265.45</v>
      </c>
      <c r="U157" t="s">
        <v>158</v>
      </c>
      <c r="V157" t="s">
        <v>181</v>
      </c>
      <c r="W157" t="s">
        <v>2099</v>
      </c>
      <c r="X157" t="s">
        <v>2091</v>
      </c>
      <c r="Y157">
        <v>325</v>
      </c>
      <c r="Z157">
        <v>148.91</v>
      </c>
      <c r="AA157">
        <v>30.23</v>
      </c>
      <c r="AB157" t="s">
        <v>115</v>
      </c>
      <c r="AC157" t="s">
        <v>20</v>
      </c>
      <c r="AD157" t="s">
        <v>2087</v>
      </c>
      <c r="AE157" t="s">
        <v>2096</v>
      </c>
    </row>
    <row r="158" spans="1:31">
      <c r="A158" t="s">
        <v>1744</v>
      </c>
      <c r="B158" s="1">
        <v>45244</v>
      </c>
      <c r="C158" t="s">
        <v>188</v>
      </c>
      <c r="D158">
        <v>2023</v>
      </c>
      <c r="E158" t="s">
        <v>184</v>
      </c>
      <c r="F158" t="s">
        <v>1745</v>
      </c>
      <c r="G158" t="s">
        <v>88</v>
      </c>
      <c r="H158" t="s">
        <v>89</v>
      </c>
      <c r="I158" t="s">
        <v>90</v>
      </c>
      <c r="J158" t="s">
        <v>91</v>
      </c>
      <c r="K158" t="s">
        <v>209</v>
      </c>
      <c r="L158" t="s">
        <v>157</v>
      </c>
      <c r="M158">
        <v>3</v>
      </c>
      <c r="N158">
        <v>54.64</v>
      </c>
      <c r="O158">
        <v>163.92000000000002</v>
      </c>
      <c r="P158">
        <v>5</v>
      </c>
      <c r="Q158">
        <v>8.1999999999999993</v>
      </c>
      <c r="R158">
        <v>155.72</v>
      </c>
      <c r="S158">
        <v>60.96</v>
      </c>
      <c r="T158">
        <v>94.76</v>
      </c>
      <c r="U158" t="s">
        <v>180</v>
      </c>
      <c r="V158" t="s">
        <v>159</v>
      </c>
      <c r="W158" t="s">
        <v>2099</v>
      </c>
      <c r="X158" t="s">
        <v>2111</v>
      </c>
      <c r="Y158">
        <v>139</v>
      </c>
      <c r="Z158">
        <v>140.72</v>
      </c>
      <c r="AA158">
        <v>78.41</v>
      </c>
      <c r="AB158" t="s">
        <v>41</v>
      </c>
      <c r="AC158" t="s">
        <v>20</v>
      </c>
      <c r="AD158" t="s">
        <v>2087</v>
      </c>
      <c r="AE158" t="s">
        <v>2109</v>
      </c>
    </row>
    <row r="159" spans="1:31">
      <c r="A159" t="s">
        <v>916</v>
      </c>
      <c r="B159" s="1">
        <v>45244</v>
      </c>
      <c r="C159" t="s">
        <v>188</v>
      </c>
      <c r="D159">
        <v>2023</v>
      </c>
      <c r="E159" t="s">
        <v>184</v>
      </c>
      <c r="F159" t="s">
        <v>917</v>
      </c>
      <c r="G159" t="s">
        <v>37</v>
      </c>
      <c r="H159" t="s">
        <v>38</v>
      </c>
      <c r="I159" t="s">
        <v>14</v>
      </c>
      <c r="J159" t="s">
        <v>27</v>
      </c>
      <c r="K159" t="s">
        <v>156</v>
      </c>
      <c r="L159" t="s">
        <v>165</v>
      </c>
      <c r="M159">
        <v>1</v>
      </c>
      <c r="N159">
        <v>133.99</v>
      </c>
      <c r="O159">
        <v>133.99</v>
      </c>
      <c r="P159">
        <v>10</v>
      </c>
      <c r="Q159">
        <v>13.4</v>
      </c>
      <c r="R159">
        <v>120.59</v>
      </c>
      <c r="S159">
        <v>73.489999999999995</v>
      </c>
      <c r="T159">
        <v>47.1</v>
      </c>
      <c r="U159" t="s">
        <v>195</v>
      </c>
      <c r="V159" t="s">
        <v>186</v>
      </c>
      <c r="W159" t="s">
        <v>2093</v>
      </c>
      <c r="X159" t="s">
        <v>2100</v>
      </c>
      <c r="Y159">
        <v>15</v>
      </c>
      <c r="Z159">
        <v>49.16</v>
      </c>
      <c r="AA159">
        <v>20.46</v>
      </c>
      <c r="AB159" t="s">
        <v>115</v>
      </c>
      <c r="AC159" t="s">
        <v>16</v>
      </c>
      <c r="AD159" t="s">
        <v>2095</v>
      </c>
      <c r="AE159" t="s">
        <v>2096</v>
      </c>
    </row>
    <row r="160" spans="1:31">
      <c r="A160" t="s">
        <v>1679</v>
      </c>
      <c r="B160" s="1">
        <v>45243</v>
      </c>
      <c r="C160" t="s">
        <v>188</v>
      </c>
      <c r="D160">
        <v>2023</v>
      </c>
      <c r="E160" t="s">
        <v>184</v>
      </c>
      <c r="F160" t="s">
        <v>1680</v>
      </c>
      <c r="G160" t="s">
        <v>117</v>
      </c>
      <c r="H160" t="s">
        <v>118</v>
      </c>
      <c r="I160" t="s">
        <v>115</v>
      </c>
      <c r="J160" t="s">
        <v>119</v>
      </c>
      <c r="K160" t="s">
        <v>156</v>
      </c>
      <c r="L160" t="s">
        <v>165</v>
      </c>
      <c r="M160">
        <v>1</v>
      </c>
      <c r="N160">
        <v>93.41</v>
      </c>
      <c r="O160">
        <v>93.41</v>
      </c>
      <c r="P160">
        <v>5</v>
      </c>
      <c r="Q160">
        <v>4.67</v>
      </c>
      <c r="R160">
        <v>88.74</v>
      </c>
      <c r="S160">
        <v>64.05</v>
      </c>
      <c r="T160">
        <v>24.69</v>
      </c>
      <c r="U160" t="s">
        <v>190</v>
      </c>
      <c r="V160" t="s">
        <v>159</v>
      </c>
      <c r="W160" t="s">
        <v>2093</v>
      </c>
      <c r="X160" t="s">
        <v>2091</v>
      </c>
      <c r="Y160">
        <v>138</v>
      </c>
      <c r="Z160">
        <v>64.39</v>
      </c>
      <c r="AA160">
        <v>48.83</v>
      </c>
      <c r="AB160" t="s">
        <v>66</v>
      </c>
      <c r="AC160" t="s">
        <v>16</v>
      </c>
      <c r="AD160" t="s">
        <v>2087</v>
      </c>
      <c r="AE160" t="s">
        <v>2096</v>
      </c>
    </row>
    <row r="161" spans="1:31">
      <c r="A161" t="s">
        <v>1139</v>
      </c>
      <c r="B161" s="1">
        <v>45242</v>
      </c>
      <c r="C161" t="s">
        <v>188</v>
      </c>
      <c r="D161">
        <v>2023</v>
      </c>
      <c r="E161" t="s">
        <v>184</v>
      </c>
      <c r="F161" t="s">
        <v>1140</v>
      </c>
      <c r="G161" t="s">
        <v>71</v>
      </c>
      <c r="H161" t="s">
        <v>72</v>
      </c>
      <c r="I161" t="s">
        <v>66</v>
      </c>
      <c r="J161" t="s">
        <v>70</v>
      </c>
      <c r="K161" t="s">
        <v>156</v>
      </c>
      <c r="L161" t="s">
        <v>165</v>
      </c>
      <c r="M161">
        <v>4</v>
      </c>
      <c r="N161">
        <v>26.7</v>
      </c>
      <c r="O161">
        <v>106.8</v>
      </c>
      <c r="P161">
        <v>0</v>
      </c>
      <c r="Q161">
        <v>0</v>
      </c>
      <c r="R161">
        <v>106.8</v>
      </c>
      <c r="S161">
        <v>49.08</v>
      </c>
      <c r="T161">
        <v>57.72</v>
      </c>
      <c r="U161" t="s">
        <v>166</v>
      </c>
      <c r="V161" t="s">
        <v>186</v>
      </c>
      <c r="W161" t="s">
        <v>2099</v>
      </c>
      <c r="X161" t="s">
        <v>2108</v>
      </c>
      <c r="Y161">
        <v>237</v>
      </c>
      <c r="Z161">
        <v>29.68</v>
      </c>
      <c r="AA161">
        <v>53.03</v>
      </c>
      <c r="AB161" t="s">
        <v>41</v>
      </c>
      <c r="AC161" t="s">
        <v>16</v>
      </c>
      <c r="AD161" t="s">
        <v>2087</v>
      </c>
      <c r="AE161" t="s">
        <v>2107</v>
      </c>
    </row>
    <row r="162" spans="1:31">
      <c r="A162" t="s">
        <v>1594</v>
      </c>
      <c r="B162" s="1">
        <v>45242</v>
      </c>
      <c r="C162" t="s">
        <v>188</v>
      </c>
      <c r="D162">
        <v>2023</v>
      </c>
      <c r="E162" t="s">
        <v>184</v>
      </c>
      <c r="F162" t="s">
        <v>397</v>
      </c>
      <c r="G162" t="s">
        <v>84</v>
      </c>
      <c r="H162" t="s">
        <v>85</v>
      </c>
      <c r="I162" t="s">
        <v>66</v>
      </c>
      <c r="J162" t="s">
        <v>67</v>
      </c>
      <c r="K162" t="s">
        <v>164</v>
      </c>
      <c r="L162" t="s">
        <v>157</v>
      </c>
      <c r="M162">
        <v>3</v>
      </c>
      <c r="N162">
        <v>174.23</v>
      </c>
      <c r="O162">
        <v>522.68999999999994</v>
      </c>
      <c r="P162">
        <v>5</v>
      </c>
      <c r="Q162">
        <v>26.13</v>
      </c>
      <c r="R162">
        <v>496.56</v>
      </c>
      <c r="S162">
        <v>221.85</v>
      </c>
      <c r="T162">
        <v>274.70999999999998</v>
      </c>
      <c r="U162" t="s">
        <v>190</v>
      </c>
      <c r="V162" t="s">
        <v>159</v>
      </c>
      <c r="W162" t="s">
        <v>2097</v>
      </c>
      <c r="X162" t="s">
        <v>2100</v>
      </c>
      <c r="Y162">
        <v>27</v>
      </c>
      <c r="Z162">
        <v>235.16</v>
      </c>
      <c r="AA162">
        <v>104.38</v>
      </c>
      <c r="AB162" t="s">
        <v>14</v>
      </c>
      <c r="AC162" t="s">
        <v>16</v>
      </c>
      <c r="AD162" t="s">
        <v>2095</v>
      </c>
      <c r="AE162" t="s">
        <v>2121</v>
      </c>
    </row>
    <row r="163" spans="1:31">
      <c r="A163" t="s">
        <v>477</v>
      </c>
      <c r="B163" s="1">
        <v>45242</v>
      </c>
      <c r="C163" t="s">
        <v>188</v>
      </c>
      <c r="D163">
        <v>2023</v>
      </c>
      <c r="E163" t="s">
        <v>184</v>
      </c>
      <c r="F163" t="s">
        <v>478</v>
      </c>
      <c r="G163" t="s">
        <v>133</v>
      </c>
      <c r="H163" t="s">
        <v>134</v>
      </c>
      <c r="I163" t="s">
        <v>115</v>
      </c>
      <c r="J163" t="s">
        <v>119</v>
      </c>
      <c r="K163" t="s">
        <v>209</v>
      </c>
      <c r="L163" t="s">
        <v>174</v>
      </c>
      <c r="M163">
        <v>4</v>
      </c>
      <c r="N163">
        <v>78.84</v>
      </c>
      <c r="O163">
        <v>315.36</v>
      </c>
      <c r="P163">
        <v>5</v>
      </c>
      <c r="Q163">
        <v>15.77</v>
      </c>
      <c r="R163">
        <v>299.58999999999997</v>
      </c>
      <c r="S163">
        <v>190.72</v>
      </c>
      <c r="T163">
        <v>108.87</v>
      </c>
      <c r="U163" t="s">
        <v>195</v>
      </c>
      <c r="V163" t="s">
        <v>159</v>
      </c>
      <c r="W163" t="s">
        <v>2090</v>
      </c>
      <c r="X163" t="s">
        <v>2100</v>
      </c>
      <c r="Y163">
        <v>365</v>
      </c>
      <c r="Z163">
        <v>387.63</v>
      </c>
      <c r="AA163">
        <v>84.41</v>
      </c>
      <c r="AB163" t="s">
        <v>115</v>
      </c>
      <c r="AC163" t="s">
        <v>16</v>
      </c>
      <c r="AD163" t="s">
        <v>2106</v>
      </c>
      <c r="AE163" t="s">
        <v>2096</v>
      </c>
    </row>
    <row r="164" spans="1:31">
      <c r="A164" t="s">
        <v>1528</v>
      </c>
      <c r="B164" s="1">
        <v>45241</v>
      </c>
      <c r="C164" t="s">
        <v>188</v>
      </c>
      <c r="D164">
        <v>2023</v>
      </c>
      <c r="E164" t="s">
        <v>184</v>
      </c>
      <c r="F164" t="s">
        <v>1529</v>
      </c>
      <c r="G164" t="s">
        <v>55</v>
      </c>
      <c r="H164" t="s">
        <v>56</v>
      </c>
      <c r="I164" t="s">
        <v>41</v>
      </c>
      <c r="J164" t="s">
        <v>45</v>
      </c>
      <c r="K164" t="s">
        <v>164</v>
      </c>
      <c r="L164" t="s">
        <v>232</v>
      </c>
      <c r="M164">
        <v>3</v>
      </c>
      <c r="N164">
        <v>205.4</v>
      </c>
      <c r="O164">
        <v>616.20000000000005</v>
      </c>
      <c r="P164">
        <v>0</v>
      </c>
      <c r="Q164">
        <v>0</v>
      </c>
      <c r="R164">
        <v>616.20000000000005</v>
      </c>
      <c r="S164">
        <v>212.7</v>
      </c>
      <c r="T164">
        <v>403.5</v>
      </c>
      <c r="U164" t="s">
        <v>180</v>
      </c>
      <c r="V164" t="s">
        <v>186</v>
      </c>
      <c r="W164" t="s">
        <v>2090</v>
      </c>
      <c r="X164" t="s">
        <v>2111</v>
      </c>
      <c r="Y164">
        <v>295</v>
      </c>
      <c r="Z164">
        <v>203.9</v>
      </c>
      <c r="AA164">
        <v>86.09</v>
      </c>
      <c r="AB164" t="s">
        <v>90</v>
      </c>
      <c r="AC164" t="s">
        <v>20</v>
      </c>
      <c r="AD164" t="s">
        <v>2106</v>
      </c>
      <c r="AE164" t="s">
        <v>2109</v>
      </c>
    </row>
    <row r="165" spans="1:31">
      <c r="A165" t="s">
        <v>1267</v>
      </c>
      <c r="B165" s="1">
        <v>45241</v>
      </c>
      <c r="C165" t="s">
        <v>188</v>
      </c>
      <c r="D165">
        <v>2023</v>
      </c>
      <c r="E165" t="s">
        <v>184</v>
      </c>
      <c r="F165" t="s">
        <v>1268</v>
      </c>
      <c r="G165" t="s">
        <v>21</v>
      </c>
      <c r="H165" t="s">
        <v>22</v>
      </c>
      <c r="I165" t="s">
        <v>14</v>
      </c>
      <c r="J165" t="s">
        <v>15</v>
      </c>
      <c r="K165" t="s">
        <v>178</v>
      </c>
      <c r="L165" t="s">
        <v>165</v>
      </c>
      <c r="M165">
        <v>4</v>
      </c>
      <c r="N165">
        <v>65.430000000000007</v>
      </c>
      <c r="O165">
        <v>261.72000000000003</v>
      </c>
      <c r="P165">
        <v>5</v>
      </c>
      <c r="Q165">
        <v>13.09</v>
      </c>
      <c r="R165">
        <v>248.63</v>
      </c>
      <c r="S165">
        <v>154.76</v>
      </c>
      <c r="T165">
        <v>93.87</v>
      </c>
      <c r="U165" t="s">
        <v>166</v>
      </c>
      <c r="V165" t="s">
        <v>159</v>
      </c>
      <c r="W165" t="s">
        <v>2099</v>
      </c>
      <c r="X165" t="s">
        <v>2100</v>
      </c>
      <c r="Y165">
        <v>338</v>
      </c>
      <c r="Z165">
        <v>100.68</v>
      </c>
      <c r="AA165">
        <v>96.62</v>
      </c>
      <c r="AB165" t="s">
        <v>90</v>
      </c>
      <c r="AC165" t="s">
        <v>16</v>
      </c>
      <c r="AD165" t="s">
        <v>2106</v>
      </c>
      <c r="AE165" t="s">
        <v>2121</v>
      </c>
    </row>
    <row r="166" spans="1:31">
      <c r="A166" t="s">
        <v>1877</v>
      </c>
      <c r="B166" s="1">
        <v>45241</v>
      </c>
      <c r="C166" t="s">
        <v>188</v>
      </c>
      <c r="D166">
        <v>2023</v>
      </c>
      <c r="E166" t="s">
        <v>184</v>
      </c>
      <c r="F166" t="s">
        <v>1878</v>
      </c>
      <c r="G166" t="s">
        <v>92</v>
      </c>
      <c r="H166" t="s">
        <v>93</v>
      </c>
      <c r="I166" t="s">
        <v>90</v>
      </c>
      <c r="J166" t="s">
        <v>94</v>
      </c>
      <c r="K166" t="s">
        <v>178</v>
      </c>
      <c r="L166" t="s">
        <v>204</v>
      </c>
      <c r="M166">
        <v>3</v>
      </c>
      <c r="N166">
        <v>230.34</v>
      </c>
      <c r="O166">
        <v>691.02</v>
      </c>
      <c r="P166">
        <v>0</v>
      </c>
      <c r="Q166">
        <v>0</v>
      </c>
      <c r="R166">
        <v>691.02</v>
      </c>
      <c r="S166">
        <v>224.04</v>
      </c>
      <c r="T166">
        <v>466.98</v>
      </c>
      <c r="U166" t="s">
        <v>190</v>
      </c>
      <c r="V166" t="s">
        <v>186</v>
      </c>
      <c r="W166" t="s">
        <v>2097</v>
      </c>
      <c r="X166" t="s">
        <v>2091</v>
      </c>
      <c r="Y166">
        <v>251</v>
      </c>
      <c r="Z166">
        <v>532.75</v>
      </c>
      <c r="AA166">
        <v>56.53</v>
      </c>
      <c r="AB166" t="s">
        <v>90</v>
      </c>
      <c r="AC166" t="s">
        <v>16</v>
      </c>
      <c r="AD166" t="s">
        <v>2106</v>
      </c>
      <c r="AE166" t="s">
        <v>2121</v>
      </c>
    </row>
    <row r="167" spans="1:31">
      <c r="A167" t="s">
        <v>1209</v>
      </c>
      <c r="B167" s="1">
        <v>45241</v>
      </c>
      <c r="C167" t="s">
        <v>188</v>
      </c>
      <c r="D167">
        <v>2023</v>
      </c>
      <c r="E167" t="s">
        <v>184</v>
      </c>
      <c r="F167" t="s">
        <v>1210</v>
      </c>
      <c r="G167" t="s">
        <v>120</v>
      </c>
      <c r="H167" t="s">
        <v>121</v>
      </c>
      <c r="I167" t="s">
        <v>115</v>
      </c>
      <c r="J167" t="s">
        <v>119</v>
      </c>
      <c r="K167" t="s">
        <v>156</v>
      </c>
      <c r="L167" t="s">
        <v>179</v>
      </c>
      <c r="M167">
        <v>2</v>
      </c>
      <c r="N167">
        <v>197.52</v>
      </c>
      <c r="O167">
        <v>395.04</v>
      </c>
      <c r="P167">
        <v>20</v>
      </c>
      <c r="Q167">
        <v>79.010000000000005</v>
      </c>
      <c r="R167">
        <v>316.02999999999997</v>
      </c>
      <c r="S167">
        <v>133.08000000000001</v>
      </c>
      <c r="T167">
        <v>182.95</v>
      </c>
      <c r="U167" t="s">
        <v>166</v>
      </c>
      <c r="V167" t="s">
        <v>159</v>
      </c>
      <c r="W167" t="s">
        <v>2093</v>
      </c>
      <c r="X167" t="s">
        <v>2100</v>
      </c>
      <c r="Y167">
        <v>208</v>
      </c>
      <c r="Z167">
        <v>63.23</v>
      </c>
      <c r="AA167">
        <v>56.39</v>
      </c>
      <c r="AB167" t="s">
        <v>66</v>
      </c>
      <c r="AC167" t="s">
        <v>20</v>
      </c>
      <c r="AD167" t="s">
        <v>2087</v>
      </c>
      <c r="AE167" t="s">
        <v>2109</v>
      </c>
    </row>
    <row r="168" spans="1:31">
      <c r="A168" t="s">
        <v>1656</v>
      </c>
      <c r="B168" s="1">
        <v>45241</v>
      </c>
      <c r="C168" t="s">
        <v>188</v>
      </c>
      <c r="D168">
        <v>2023</v>
      </c>
      <c r="E168" t="s">
        <v>184</v>
      </c>
      <c r="F168" t="s">
        <v>1657</v>
      </c>
      <c r="G168" t="s">
        <v>37</v>
      </c>
      <c r="H168" t="s">
        <v>38</v>
      </c>
      <c r="I168" t="s">
        <v>14</v>
      </c>
      <c r="J168" t="s">
        <v>27</v>
      </c>
      <c r="K168" t="s">
        <v>209</v>
      </c>
      <c r="L168" t="s">
        <v>204</v>
      </c>
      <c r="M168">
        <v>4</v>
      </c>
      <c r="N168">
        <v>133.99</v>
      </c>
      <c r="O168">
        <v>535.96</v>
      </c>
      <c r="P168">
        <v>0</v>
      </c>
      <c r="Q168">
        <v>0</v>
      </c>
      <c r="R168">
        <v>535.96</v>
      </c>
      <c r="S168">
        <v>293.95999999999998</v>
      </c>
      <c r="T168">
        <v>242</v>
      </c>
      <c r="U168" t="s">
        <v>195</v>
      </c>
      <c r="V168" t="s">
        <v>159</v>
      </c>
      <c r="W168" t="s">
        <v>2090</v>
      </c>
      <c r="X168" t="s">
        <v>2111</v>
      </c>
      <c r="Y168">
        <v>357</v>
      </c>
      <c r="Z168">
        <v>212.62</v>
      </c>
      <c r="AA168">
        <v>46.57</v>
      </c>
      <c r="AB168" t="s">
        <v>115</v>
      </c>
      <c r="AC168" t="s">
        <v>16</v>
      </c>
      <c r="AD168" t="s">
        <v>2087</v>
      </c>
      <c r="AE168" t="s">
        <v>2107</v>
      </c>
    </row>
    <row r="169" spans="1:31">
      <c r="A169" t="s">
        <v>1243</v>
      </c>
      <c r="B169" s="1">
        <v>45241</v>
      </c>
      <c r="C169" t="s">
        <v>188</v>
      </c>
      <c r="D169">
        <v>2023</v>
      </c>
      <c r="E169" t="s">
        <v>184</v>
      </c>
      <c r="F169" t="s">
        <v>1244</v>
      </c>
      <c r="G169" t="s">
        <v>30</v>
      </c>
      <c r="H169" t="s">
        <v>31</v>
      </c>
      <c r="I169" t="s">
        <v>14</v>
      </c>
      <c r="J169" t="s">
        <v>32</v>
      </c>
      <c r="K169" t="s">
        <v>209</v>
      </c>
      <c r="L169" t="s">
        <v>179</v>
      </c>
      <c r="M169">
        <v>2</v>
      </c>
      <c r="N169">
        <v>113.18</v>
      </c>
      <c r="O169">
        <v>226.36</v>
      </c>
      <c r="P169">
        <v>5</v>
      </c>
      <c r="Q169">
        <v>11.32</v>
      </c>
      <c r="R169">
        <v>215.04</v>
      </c>
      <c r="S169">
        <v>78.02</v>
      </c>
      <c r="T169">
        <v>137.02000000000001</v>
      </c>
      <c r="U169" t="s">
        <v>166</v>
      </c>
      <c r="V169" t="s">
        <v>181</v>
      </c>
      <c r="W169" t="s">
        <v>2113</v>
      </c>
      <c r="X169" t="s">
        <v>2091</v>
      </c>
      <c r="Y169">
        <v>100</v>
      </c>
      <c r="Z169">
        <v>337.89</v>
      </c>
      <c r="AA169">
        <v>61.69</v>
      </c>
      <c r="AB169" t="s">
        <v>41</v>
      </c>
      <c r="AC169" t="s">
        <v>16</v>
      </c>
      <c r="AD169" t="s">
        <v>2087</v>
      </c>
      <c r="AE169" t="s">
        <v>2121</v>
      </c>
    </row>
    <row r="170" spans="1:31">
      <c r="A170" t="s">
        <v>1305</v>
      </c>
      <c r="B170" s="1">
        <v>45240</v>
      </c>
      <c r="C170" t="s">
        <v>188</v>
      </c>
      <c r="D170">
        <v>2023</v>
      </c>
      <c r="E170" t="s">
        <v>184</v>
      </c>
      <c r="F170" t="s">
        <v>763</v>
      </c>
      <c r="G170" t="s">
        <v>53</v>
      </c>
      <c r="H170" t="s">
        <v>54</v>
      </c>
      <c r="I170" t="s">
        <v>41</v>
      </c>
      <c r="J170" t="s">
        <v>45</v>
      </c>
      <c r="K170" t="s">
        <v>178</v>
      </c>
      <c r="L170" t="s">
        <v>157</v>
      </c>
      <c r="M170">
        <v>3</v>
      </c>
      <c r="N170">
        <v>51.98</v>
      </c>
      <c r="O170">
        <v>155.94</v>
      </c>
      <c r="P170">
        <v>5</v>
      </c>
      <c r="Q170">
        <v>7.8</v>
      </c>
      <c r="R170">
        <v>148.13999999999999</v>
      </c>
      <c r="S170">
        <v>99.12</v>
      </c>
      <c r="T170">
        <v>49.02</v>
      </c>
      <c r="U170" t="s">
        <v>180</v>
      </c>
      <c r="V170" t="s">
        <v>186</v>
      </c>
      <c r="W170" t="s">
        <v>2093</v>
      </c>
      <c r="X170" t="s">
        <v>2094</v>
      </c>
      <c r="Y170">
        <v>231</v>
      </c>
      <c r="Z170">
        <v>79.91</v>
      </c>
      <c r="AA170">
        <v>47.34</v>
      </c>
      <c r="AB170" t="s">
        <v>41</v>
      </c>
      <c r="AC170" t="s">
        <v>16</v>
      </c>
      <c r="AD170" t="s">
        <v>2095</v>
      </c>
      <c r="AE170" t="s">
        <v>2109</v>
      </c>
    </row>
    <row r="171" spans="1:31">
      <c r="A171" t="s">
        <v>947</v>
      </c>
      <c r="B171" s="1">
        <v>45240</v>
      </c>
      <c r="C171" t="s">
        <v>188</v>
      </c>
      <c r="D171">
        <v>2023</v>
      </c>
      <c r="E171" t="s">
        <v>184</v>
      </c>
      <c r="F171" t="s">
        <v>948</v>
      </c>
      <c r="G171" t="s">
        <v>43</v>
      </c>
      <c r="H171" t="s">
        <v>44</v>
      </c>
      <c r="I171" t="s">
        <v>41</v>
      </c>
      <c r="J171" t="s">
        <v>45</v>
      </c>
      <c r="K171" t="s">
        <v>209</v>
      </c>
      <c r="L171" t="s">
        <v>204</v>
      </c>
      <c r="M171">
        <v>3</v>
      </c>
      <c r="N171">
        <v>67.56</v>
      </c>
      <c r="O171">
        <v>202.68</v>
      </c>
      <c r="P171">
        <v>20</v>
      </c>
      <c r="Q171">
        <v>40.54</v>
      </c>
      <c r="R171">
        <v>162.13999999999999</v>
      </c>
      <c r="S171">
        <v>129.63</v>
      </c>
      <c r="T171">
        <v>32.51</v>
      </c>
      <c r="U171" t="s">
        <v>190</v>
      </c>
      <c r="V171" t="s">
        <v>159</v>
      </c>
      <c r="W171" t="s">
        <v>2090</v>
      </c>
      <c r="X171" t="s">
        <v>2091</v>
      </c>
      <c r="Y171">
        <v>315</v>
      </c>
      <c r="Z171">
        <v>121.81</v>
      </c>
      <c r="AA171">
        <v>42.25</v>
      </c>
      <c r="AB171" t="s">
        <v>66</v>
      </c>
      <c r="AC171" t="s">
        <v>16</v>
      </c>
      <c r="AD171" t="s">
        <v>2106</v>
      </c>
      <c r="AE171" t="s">
        <v>2107</v>
      </c>
    </row>
    <row r="172" spans="1:31">
      <c r="A172" t="s">
        <v>1476</v>
      </c>
      <c r="B172" s="1">
        <v>45240</v>
      </c>
      <c r="C172" t="s">
        <v>188</v>
      </c>
      <c r="D172">
        <v>2023</v>
      </c>
      <c r="E172" t="s">
        <v>184</v>
      </c>
      <c r="F172" t="s">
        <v>917</v>
      </c>
      <c r="G172" t="s">
        <v>35</v>
      </c>
      <c r="H172" t="s">
        <v>36</v>
      </c>
      <c r="I172" t="s">
        <v>14</v>
      </c>
      <c r="J172" t="s">
        <v>19</v>
      </c>
      <c r="K172" t="s">
        <v>178</v>
      </c>
      <c r="L172" t="s">
        <v>232</v>
      </c>
      <c r="M172">
        <v>2</v>
      </c>
      <c r="N172">
        <v>81.599999999999994</v>
      </c>
      <c r="O172">
        <v>163.19999999999999</v>
      </c>
      <c r="P172">
        <v>0</v>
      </c>
      <c r="Q172">
        <v>0</v>
      </c>
      <c r="R172">
        <v>163.19999999999999</v>
      </c>
      <c r="S172">
        <v>58.64</v>
      </c>
      <c r="T172">
        <v>104.56</v>
      </c>
      <c r="U172" t="s">
        <v>166</v>
      </c>
      <c r="V172" t="s">
        <v>181</v>
      </c>
      <c r="W172" t="s">
        <v>2093</v>
      </c>
      <c r="X172" t="s">
        <v>2100</v>
      </c>
      <c r="Y172">
        <v>15</v>
      </c>
      <c r="Z172">
        <v>49.16</v>
      </c>
      <c r="AA172">
        <v>20.46</v>
      </c>
      <c r="AB172" t="s">
        <v>115</v>
      </c>
      <c r="AC172" t="s">
        <v>16</v>
      </c>
      <c r="AD172" t="s">
        <v>2095</v>
      </c>
      <c r="AE172" t="s">
        <v>2096</v>
      </c>
    </row>
    <row r="173" spans="1:31">
      <c r="A173" t="s">
        <v>2059</v>
      </c>
      <c r="B173" s="1">
        <v>45239</v>
      </c>
      <c r="C173" t="s">
        <v>188</v>
      </c>
      <c r="D173">
        <v>2023</v>
      </c>
      <c r="E173" t="s">
        <v>184</v>
      </c>
      <c r="F173" t="s">
        <v>2060</v>
      </c>
      <c r="G173" t="s">
        <v>12</v>
      </c>
      <c r="H173" t="s">
        <v>13</v>
      </c>
      <c r="I173" t="s">
        <v>14</v>
      </c>
      <c r="J173" t="s">
        <v>15</v>
      </c>
      <c r="K173" t="s">
        <v>156</v>
      </c>
      <c r="L173" t="s">
        <v>165</v>
      </c>
      <c r="M173">
        <v>3</v>
      </c>
      <c r="N173">
        <v>76.53</v>
      </c>
      <c r="O173">
        <v>229.59</v>
      </c>
      <c r="P173">
        <v>10</v>
      </c>
      <c r="Q173">
        <v>22.96</v>
      </c>
      <c r="R173">
        <v>206.63</v>
      </c>
      <c r="S173">
        <v>158.88</v>
      </c>
      <c r="T173">
        <v>47.75</v>
      </c>
      <c r="U173" t="s">
        <v>180</v>
      </c>
      <c r="V173" t="s">
        <v>186</v>
      </c>
      <c r="W173" t="s">
        <v>2085</v>
      </c>
      <c r="X173" t="s">
        <v>2091</v>
      </c>
      <c r="Y173">
        <v>310</v>
      </c>
      <c r="Z173">
        <v>887.54</v>
      </c>
      <c r="AA173">
        <v>113.84</v>
      </c>
      <c r="AB173" t="s">
        <v>66</v>
      </c>
      <c r="AC173" t="s">
        <v>16</v>
      </c>
      <c r="AD173" t="s">
        <v>2106</v>
      </c>
      <c r="AE173" t="s">
        <v>2109</v>
      </c>
    </row>
    <row r="174" spans="1:31">
      <c r="A174" t="s">
        <v>1614</v>
      </c>
      <c r="B174" s="1">
        <v>45239</v>
      </c>
      <c r="C174" t="s">
        <v>188</v>
      </c>
      <c r="D174">
        <v>2023</v>
      </c>
      <c r="E174" t="s">
        <v>184</v>
      </c>
      <c r="F174" t="s">
        <v>1615</v>
      </c>
      <c r="G174" t="s">
        <v>86</v>
      </c>
      <c r="H174" t="s">
        <v>87</v>
      </c>
      <c r="I174" t="s">
        <v>66</v>
      </c>
      <c r="J174" t="s">
        <v>67</v>
      </c>
      <c r="K174" t="s">
        <v>156</v>
      </c>
      <c r="L174" t="s">
        <v>204</v>
      </c>
      <c r="M174">
        <v>1</v>
      </c>
      <c r="N174">
        <v>124.77</v>
      </c>
      <c r="O174">
        <v>124.77</v>
      </c>
      <c r="P174">
        <v>10</v>
      </c>
      <c r="Q174">
        <v>12.48</v>
      </c>
      <c r="R174">
        <v>112.29</v>
      </c>
      <c r="S174">
        <v>69.64</v>
      </c>
      <c r="T174">
        <v>42.65</v>
      </c>
      <c r="U174" t="s">
        <v>158</v>
      </c>
      <c r="V174" t="s">
        <v>181</v>
      </c>
      <c r="W174" t="s">
        <v>2099</v>
      </c>
      <c r="X174" t="s">
        <v>2108</v>
      </c>
      <c r="Y174">
        <v>216</v>
      </c>
      <c r="Z174">
        <v>134.13</v>
      </c>
      <c r="AA174">
        <v>87.26</v>
      </c>
      <c r="AB174" t="s">
        <v>90</v>
      </c>
      <c r="AC174" t="s">
        <v>16</v>
      </c>
      <c r="AD174" t="s">
        <v>2106</v>
      </c>
      <c r="AE174" t="s">
        <v>2121</v>
      </c>
    </row>
    <row r="175" spans="1:31">
      <c r="A175" t="s">
        <v>511</v>
      </c>
      <c r="B175" s="1">
        <v>45238</v>
      </c>
      <c r="C175" t="s">
        <v>188</v>
      </c>
      <c r="D175">
        <v>2023</v>
      </c>
      <c r="E175" t="s">
        <v>184</v>
      </c>
      <c r="F175" t="s">
        <v>512</v>
      </c>
      <c r="G175" t="s">
        <v>17</v>
      </c>
      <c r="H175" t="s">
        <v>18</v>
      </c>
      <c r="I175" t="s">
        <v>14</v>
      </c>
      <c r="J175" t="s">
        <v>19</v>
      </c>
      <c r="K175" t="s">
        <v>164</v>
      </c>
      <c r="L175" t="s">
        <v>174</v>
      </c>
      <c r="M175">
        <v>2</v>
      </c>
      <c r="N175">
        <v>53.26</v>
      </c>
      <c r="O175">
        <v>106.52</v>
      </c>
      <c r="P175">
        <v>20</v>
      </c>
      <c r="Q175">
        <v>21.3</v>
      </c>
      <c r="R175">
        <v>85.22</v>
      </c>
      <c r="S175">
        <v>73.28</v>
      </c>
      <c r="T175">
        <v>11.94</v>
      </c>
      <c r="U175" t="s">
        <v>190</v>
      </c>
      <c r="V175" t="s">
        <v>159</v>
      </c>
      <c r="W175" t="s">
        <v>2097</v>
      </c>
      <c r="X175" t="s">
        <v>2111</v>
      </c>
      <c r="Y175">
        <v>235</v>
      </c>
      <c r="Z175">
        <v>241.41</v>
      </c>
      <c r="AA175">
        <v>146.74</v>
      </c>
      <c r="AB175" t="s">
        <v>14</v>
      </c>
      <c r="AC175" t="s">
        <v>20</v>
      </c>
      <c r="AD175" t="s">
        <v>2095</v>
      </c>
      <c r="AE175" t="s">
        <v>2088</v>
      </c>
    </row>
    <row r="176" spans="1:31">
      <c r="A176" t="s">
        <v>294</v>
      </c>
      <c r="B176" s="1">
        <v>45238</v>
      </c>
      <c r="C176" t="s">
        <v>188</v>
      </c>
      <c r="D176">
        <v>2023</v>
      </c>
      <c r="E176" t="s">
        <v>184</v>
      </c>
      <c r="F176" t="s">
        <v>295</v>
      </c>
      <c r="G176" t="s">
        <v>33</v>
      </c>
      <c r="H176" t="s">
        <v>34</v>
      </c>
      <c r="I176" t="s">
        <v>14</v>
      </c>
      <c r="J176" t="s">
        <v>27</v>
      </c>
      <c r="K176" t="s">
        <v>156</v>
      </c>
      <c r="L176" t="s">
        <v>165</v>
      </c>
      <c r="M176">
        <v>1</v>
      </c>
      <c r="N176">
        <v>124.26</v>
      </c>
      <c r="O176">
        <v>124.26</v>
      </c>
      <c r="P176">
        <v>15</v>
      </c>
      <c r="Q176">
        <v>18.64</v>
      </c>
      <c r="R176">
        <v>105.62</v>
      </c>
      <c r="S176">
        <v>52.62</v>
      </c>
      <c r="T176">
        <v>53</v>
      </c>
      <c r="U176" t="s">
        <v>190</v>
      </c>
      <c r="V176" t="s">
        <v>159</v>
      </c>
      <c r="W176" t="s">
        <v>2113</v>
      </c>
      <c r="X176" t="s">
        <v>2100</v>
      </c>
      <c r="Y176">
        <v>30</v>
      </c>
      <c r="Z176">
        <v>268.32</v>
      </c>
      <c r="AA176">
        <v>46.84</v>
      </c>
      <c r="AB176" t="s">
        <v>90</v>
      </c>
      <c r="AC176" t="s">
        <v>20</v>
      </c>
      <c r="AD176" t="s">
        <v>2087</v>
      </c>
      <c r="AE176" t="s">
        <v>2121</v>
      </c>
    </row>
    <row r="177" spans="1:31">
      <c r="A177" t="s">
        <v>409</v>
      </c>
      <c r="B177" s="1">
        <v>45237</v>
      </c>
      <c r="C177" t="s">
        <v>188</v>
      </c>
      <c r="D177">
        <v>2023</v>
      </c>
      <c r="E177" t="s">
        <v>184</v>
      </c>
      <c r="F177" t="s">
        <v>410</v>
      </c>
      <c r="G177" t="s">
        <v>84</v>
      </c>
      <c r="H177" t="s">
        <v>85</v>
      </c>
      <c r="I177" t="s">
        <v>66</v>
      </c>
      <c r="J177" t="s">
        <v>67</v>
      </c>
      <c r="K177" t="s">
        <v>164</v>
      </c>
      <c r="L177" t="s">
        <v>194</v>
      </c>
      <c r="M177">
        <v>4</v>
      </c>
      <c r="N177">
        <v>174.23</v>
      </c>
      <c r="O177">
        <v>696.92</v>
      </c>
      <c r="P177">
        <v>5</v>
      </c>
      <c r="Q177">
        <v>34.85</v>
      </c>
      <c r="R177">
        <v>662.07</v>
      </c>
      <c r="S177">
        <v>295.8</v>
      </c>
      <c r="T177">
        <v>366.27</v>
      </c>
      <c r="U177" t="s">
        <v>190</v>
      </c>
      <c r="V177" t="s">
        <v>181</v>
      </c>
      <c r="W177" t="s">
        <v>2099</v>
      </c>
      <c r="X177" t="s">
        <v>2091</v>
      </c>
      <c r="Y177">
        <v>79</v>
      </c>
      <c r="Z177">
        <v>140.51</v>
      </c>
      <c r="AA177">
        <v>37.32</v>
      </c>
      <c r="AB177" t="s">
        <v>14</v>
      </c>
      <c r="AC177" t="s">
        <v>16</v>
      </c>
      <c r="AD177" t="s">
        <v>2087</v>
      </c>
      <c r="AE177" t="s">
        <v>2109</v>
      </c>
    </row>
    <row r="178" spans="1:31">
      <c r="A178" t="s">
        <v>2029</v>
      </c>
      <c r="B178" s="1">
        <v>45237</v>
      </c>
      <c r="C178" t="s">
        <v>188</v>
      </c>
      <c r="D178">
        <v>2023</v>
      </c>
      <c r="E178" t="s">
        <v>184</v>
      </c>
      <c r="F178" t="s">
        <v>2030</v>
      </c>
      <c r="G178" t="s">
        <v>43</v>
      </c>
      <c r="H178" t="s">
        <v>44</v>
      </c>
      <c r="I178" t="s">
        <v>41</v>
      </c>
      <c r="J178" t="s">
        <v>45</v>
      </c>
      <c r="K178" t="s">
        <v>209</v>
      </c>
      <c r="L178" t="s">
        <v>179</v>
      </c>
      <c r="M178">
        <v>2</v>
      </c>
      <c r="N178">
        <v>67.56</v>
      </c>
      <c r="O178">
        <v>135.12</v>
      </c>
      <c r="P178">
        <v>0</v>
      </c>
      <c r="Q178">
        <v>0</v>
      </c>
      <c r="R178">
        <v>135.12</v>
      </c>
      <c r="S178">
        <v>86.42</v>
      </c>
      <c r="T178">
        <v>48.7</v>
      </c>
      <c r="U178" t="s">
        <v>180</v>
      </c>
      <c r="V178" t="s">
        <v>186</v>
      </c>
      <c r="W178" t="s">
        <v>2085</v>
      </c>
      <c r="X178" t="s">
        <v>2111</v>
      </c>
      <c r="Y178">
        <v>226</v>
      </c>
      <c r="Z178">
        <v>2752.38</v>
      </c>
      <c r="AA178">
        <v>172.17</v>
      </c>
      <c r="AB178" t="s">
        <v>90</v>
      </c>
      <c r="AC178" t="s">
        <v>16</v>
      </c>
      <c r="AD178" t="s">
        <v>2106</v>
      </c>
      <c r="AE178" t="s">
        <v>2107</v>
      </c>
    </row>
    <row r="179" spans="1:31">
      <c r="A179" t="s">
        <v>1468</v>
      </c>
      <c r="B179" s="1">
        <v>45236</v>
      </c>
      <c r="C179" t="s">
        <v>188</v>
      </c>
      <c r="D179">
        <v>2023</v>
      </c>
      <c r="E179" t="s">
        <v>184</v>
      </c>
      <c r="F179" t="s">
        <v>1469</v>
      </c>
      <c r="G179" t="s">
        <v>37</v>
      </c>
      <c r="H179" t="s">
        <v>38</v>
      </c>
      <c r="I179" t="s">
        <v>14</v>
      </c>
      <c r="J179" t="s">
        <v>27</v>
      </c>
      <c r="K179" t="s">
        <v>164</v>
      </c>
      <c r="L179" t="s">
        <v>232</v>
      </c>
      <c r="M179">
        <v>4</v>
      </c>
      <c r="N179">
        <v>133.99</v>
      </c>
      <c r="O179">
        <v>535.96</v>
      </c>
      <c r="P179">
        <v>0</v>
      </c>
      <c r="Q179">
        <v>0</v>
      </c>
      <c r="R179">
        <v>535.96</v>
      </c>
      <c r="S179">
        <v>293.95999999999998</v>
      </c>
      <c r="T179">
        <v>242</v>
      </c>
      <c r="U179" t="s">
        <v>190</v>
      </c>
      <c r="V179" t="s">
        <v>159</v>
      </c>
      <c r="W179" t="s">
        <v>2099</v>
      </c>
      <c r="X179" t="s">
        <v>2108</v>
      </c>
      <c r="Y179">
        <v>267</v>
      </c>
      <c r="Z179">
        <v>143.69999999999999</v>
      </c>
      <c r="AA179">
        <v>82.12</v>
      </c>
      <c r="AB179" t="s">
        <v>66</v>
      </c>
      <c r="AC179" t="s">
        <v>16</v>
      </c>
      <c r="AD179" t="s">
        <v>2087</v>
      </c>
      <c r="AE179" t="s">
        <v>2109</v>
      </c>
    </row>
    <row r="180" spans="1:31">
      <c r="A180" t="s">
        <v>933</v>
      </c>
      <c r="B180" s="1">
        <v>45235</v>
      </c>
      <c r="C180" t="s">
        <v>188</v>
      </c>
      <c r="D180">
        <v>2023</v>
      </c>
      <c r="E180" t="s">
        <v>184</v>
      </c>
      <c r="F180" t="s">
        <v>934</v>
      </c>
      <c r="G180" t="s">
        <v>28</v>
      </c>
      <c r="H180" t="s">
        <v>29</v>
      </c>
      <c r="I180" t="s">
        <v>14</v>
      </c>
      <c r="J180" t="s">
        <v>19</v>
      </c>
      <c r="K180" t="s">
        <v>209</v>
      </c>
      <c r="L180" t="s">
        <v>232</v>
      </c>
      <c r="M180">
        <v>1</v>
      </c>
      <c r="N180">
        <v>26.46</v>
      </c>
      <c r="O180">
        <v>26.46</v>
      </c>
      <c r="P180">
        <v>0</v>
      </c>
      <c r="Q180">
        <v>0</v>
      </c>
      <c r="R180">
        <v>26.46</v>
      </c>
      <c r="S180">
        <v>19.420000000000002</v>
      </c>
      <c r="T180">
        <v>7.04</v>
      </c>
      <c r="U180" t="s">
        <v>180</v>
      </c>
      <c r="V180" t="s">
        <v>159</v>
      </c>
      <c r="W180" t="s">
        <v>2099</v>
      </c>
      <c r="X180" t="s">
        <v>2108</v>
      </c>
      <c r="Y180">
        <v>304</v>
      </c>
      <c r="Z180">
        <v>91.42</v>
      </c>
      <c r="AA180">
        <v>34.53</v>
      </c>
      <c r="AB180" t="s">
        <v>90</v>
      </c>
      <c r="AC180" t="s">
        <v>16</v>
      </c>
      <c r="AD180" t="s">
        <v>2095</v>
      </c>
      <c r="AE180" t="s">
        <v>2107</v>
      </c>
    </row>
    <row r="181" spans="1:31">
      <c r="A181" t="s">
        <v>1510</v>
      </c>
      <c r="B181" s="1">
        <v>45234</v>
      </c>
      <c r="C181" t="s">
        <v>188</v>
      </c>
      <c r="D181">
        <v>2023</v>
      </c>
      <c r="E181" t="s">
        <v>184</v>
      </c>
      <c r="F181" t="s">
        <v>1511</v>
      </c>
      <c r="G181" t="s">
        <v>80</v>
      </c>
      <c r="H181" t="s">
        <v>81</v>
      </c>
      <c r="I181" t="s">
        <v>66</v>
      </c>
      <c r="J181" t="s">
        <v>70</v>
      </c>
      <c r="K181" t="s">
        <v>209</v>
      </c>
      <c r="L181" t="s">
        <v>157</v>
      </c>
      <c r="M181">
        <v>4</v>
      </c>
      <c r="N181">
        <v>106.06</v>
      </c>
      <c r="O181">
        <v>424.24</v>
      </c>
      <c r="P181">
        <v>0</v>
      </c>
      <c r="Q181">
        <v>0</v>
      </c>
      <c r="R181">
        <v>424.24</v>
      </c>
      <c r="S181">
        <v>133.68</v>
      </c>
      <c r="T181">
        <v>290.56</v>
      </c>
      <c r="U181" t="s">
        <v>166</v>
      </c>
      <c r="V181" t="s">
        <v>159</v>
      </c>
      <c r="W181" t="s">
        <v>2093</v>
      </c>
      <c r="X181" t="s">
        <v>2108</v>
      </c>
      <c r="Y181">
        <v>351</v>
      </c>
      <c r="Z181">
        <v>99.68</v>
      </c>
      <c r="AA181">
        <v>31.14</v>
      </c>
      <c r="AB181" t="s">
        <v>90</v>
      </c>
      <c r="AC181" t="s">
        <v>20</v>
      </c>
      <c r="AD181" t="s">
        <v>2087</v>
      </c>
      <c r="AE181" t="s">
        <v>2109</v>
      </c>
    </row>
    <row r="182" spans="1:31">
      <c r="A182" t="s">
        <v>1986</v>
      </c>
      <c r="B182" s="1">
        <v>45234</v>
      </c>
      <c r="C182" t="s">
        <v>188</v>
      </c>
      <c r="D182">
        <v>2023</v>
      </c>
      <c r="E182" t="s">
        <v>184</v>
      </c>
      <c r="F182" t="s">
        <v>784</v>
      </c>
      <c r="G182" t="s">
        <v>88</v>
      </c>
      <c r="H182" t="s">
        <v>89</v>
      </c>
      <c r="I182" t="s">
        <v>90</v>
      </c>
      <c r="J182" t="s">
        <v>91</v>
      </c>
      <c r="K182" t="s">
        <v>209</v>
      </c>
      <c r="L182" t="s">
        <v>179</v>
      </c>
      <c r="M182">
        <v>3</v>
      </c>
      <c r="N182">
        <v>54.64</v>
      </c>
      <c r="O182">
        <v>163.92000000000002</v>
      </c>
      <c r="P182">
        <v>10</v>
      </c>
      <c r="Q182">
        <v>16.39</v>
      </c>
      <c r="R182">
        <v>147.53</v>
      </c>
      <c r="S182">
        <v>60.96</v>
      </c>
      <c r="T182">
        <v>86.57</v>
      </c>
      <c r="U182" t="s">
        <v>180</v>
      </c>
      <c r="V182" t="s">
        <v>159</v>
      </c>
      <c r="W182" t="s">
        <v>2085</v>
      </c>
      <c r="X182" t="s">
        <v>2094</v>
      </c>
      <c r="Y182">
        <v>192</v>
      </c>
      <c r="Z182">
        <v>989.24</v>
      </c>
      <c r="AA182">
        <v>104.82</v>
      </c>
      <c r="AB182" t="s">
        <v>41</v>
      </c>
      <c r="AC182" t="s">
        <v>16</v>
      </c>
      <c r="AD182" t="s">
        <v>2087</v>
      </c>
      <c r="AE182" t="s">
        <v>2107</v>
      </c>
    </row>
    <row r="183" spans="1:31">
      <c r="A183" t="s">
        <v>1027</v>
      </c>
      <c r="B183" s="1">
        <v>45234</v>
      </c>
      <c r="C183" t="s">
        <v>188</v>
      </c>
      <c r="D183">
        <v>2023</v>
      </c>
      <c r="E183" t="s">
        <v>184</v>
      </c>
      <c r="F183" t="s">
        <v>1028</v>
      </c>
      <c r="G183" t="s">
        <v>133</v>
      </c>
      <c r="H183" t="s">
        <v>134</v>
      </c>
      <c r="I183" t="s">
        <v>115</v>
      </c>
      <c r="J183" t="s">
        <v>119</v>
      </c>
      <c r="K183" t="s">
        <v>178</v>
      </c>
      <c r="L183" t="s">
        <v>165</v>
      </c>
      <c r="M183">
        <v>2</v>
      </c>
      <c r="N183">
        <v>78.84</v>
      </c>
      <c r="O183">
        <v>157.68</v>
      </c>
      <c r="P183">
        <v>0</v>
      </c>
      <c r="Q183">
        <v>0</v>
      </c>
      <c r="R183">
        <v>157.68</v>
      </c>
      <c r="S183">
        <v>95.36</v>
      </c>
      <c r="T183">
        <v>62.32</v>
      </c>
      <c r="U183" t="s">
        <v>190</v>
      </c>
      <c r="V183" t="s">
        <v>159</v>
      </c>
      <c r="W183" t="s">
        <v>2090</v>
      </c>
      <c r="X183" t="s">
        <v>2100</v>
      </c>
      <c r="Y183">
        <v>341</v>
      </c>
      <c r="Z183">
        <v>253.83</v>
      </c>
      <c r="AA183">
        <v>41.18</v>
      </c>
      <c r="AB183" t="s">
        <v>66</v>
      </c>
      <c r="AC183" t="s">
        <v>16</v>
      </c>
      <c r="AD183" t="s">
        <v>2087</v>
      </c>
      <c r="AE183" t="s">
        <v>2109</v>
      </c>
    </row>
    <row r="184" spans="1:31">
      <c r="A184" t="s">
        <v>1270</v>
      </c>
      <c r="B184" s="1">
        <v>45233</v>
      </c>
      <c r="C184" t="s">
        <v>188</v>
      </c>
      <c r="D184">
        <v>2023</v>
      </c>
      <c r="E184" t="s">
        <v>184</v>
      </c>
      <c r="F184" t="s">
        <v>1271</v>
      </c>
      <c r="G184" t="s">
        <v>46</v>
      </c>
      <c r="H184" t="s">
        <v>47</v>
      </c>
      <c r="I184" t="s">
        <v>41</v>
      </c>
      <c r="J184" t="s">
        <v>45</v>
      </c>
      <c r="K184" t="s">
        <v>156</v>
      </c>
      <c r="L184" t="s">
        <v>232</v>
      </c>
      <c r="M184">
        <v>1</v>
      </c>
      <c r="N184">
        <v>16.95</v>
      </c>
      <c r="O184">
        <v>16.95</v>
      </c>
      <c r="P184">
        <v>20</v>
      </c>
      <c r="Q184">
        <v>3.39</v>
      </c>
      <c r="R184">
        <v>13.56</v>
      </c>
      <c r="S184">
        <v>9.76</v>
      </c>
      <c r="T184">
        <v>3.8</v>
      </c>
      <c r="U184" t="s">
        <v>190</v>
      </c>
      <c r="V184" t="s">
        <v>159</v>
      </c>
      <c r="W184" t="s">
        <v>2097</v>
      </c>
      <c r="X184" t="s">
        <v>2100</v>
      </c>
      <c r="Y184">
        <v>184</v>
      </c>
      <c r="Z184">
        <v>164.16</v>
      </c>
      <c r="AA184">
        <v>60.46</v>
      </c>
      <c r="AB184" t="s">
        <v>66</v>
      </c>
      <c r="AC184" t="s">
        <v>16</v>
      </c>
      <c r="AD184" t="s">
        <v>2087</v>
      </c>
      <c r="AE184" t="s">
        <v>2107</v>
      </c>
    </row>
    <row r="185" spans="1:31">
      <c r="A185" t="s">
        <v>657</v>
      </c>
      <c r="B185" s="1">
        <v>45233</v>
      </c>
      <c r="C185" t="s">
        <v>188</v>
      </c>
      <c r="D185">
        <v>2023</v>
      </c>
      <c r="E185" t="s">
        <v>184</v>
      </c>
      <c r="F185" t="s">
        <v>658</v>
      </c>
      <c r="G185" t="s">
        <v>50</v>
      </c>
      <c r="H185" t="s">
        <v>51</v>
      </c>
      <c r="I185" t="s">
        <v>41</v>
      </c>
      <c r="J185" t="s">
        <v>52</v>
      </c>
      <c r="K185" t="s">
        <v>178</v>
      </c>
      <c r="L185" t="s">
        <v>157</v>
      </c>
      <c r="M185">
        <v>3</v>
      </c>
      <c r="N185">
        <v>143.80000000000001</v>
      </c>
      <c r="O185">
        <v>431.40000000000003</v>
      </c>
      <c r="P185">
        <v>10</v>
      </c>
      <c r="Q185">
        <v>43.14</v>
      </c>
      <c r="R185">
        <v>388.26</v>
      </c>
      <c r="S185">
        <v>186.45</v>
      </c>
      <c r="T185">
        <v>201.81</v>
      </c>
      <c r="U185" t="s">
        <v>195</v>
      </c>
      <c r="V185" t="s">
        <v>159</v>
      </c>
      <c r="W185" t="s">
        <v>2097</v>
      </c>
      <c r="X185" t="s">
        <v>2086</v>
      </c>
      <c r="Y185">
        <v>39</v>
      </c>
      <c r="Z185">
        <v>756.52</v>
      </c>
      <c r="AA185">
        <v>145.91999999999999</v>
      </c>
      <c r="AB185" t="s">
        <v>41</v>
      </c>
      <c r="AC185" t="s">
        <v>16</v>
      </c>
      <c r="AD185" t="s">
        <v>2106</v>
      </c>
      <c r="AE185" t="s">
        <v>2107</v>
      </c>
    </row>
    <row r="186" spans="1:31">
      <c r="A186" t="s">
        <v>370</v>
      </c>
      <c r="B186" s="1">
        <v>45232</v>
      </c>
      <c r="C186" t="s">
        <v>188</v>
      </c>
      <c r="D186">
        <v>2023</v>
      </c>
      <c r="E186" t="s">
        <v>184</v>
      </c>
      <c r="F186" t="s">
        <v>371</v>
      </c>
      <c r="G186" t="s">
        <v>135</v>
      </c>
      <c r="H186" t="s">
        <v>136</v>
      </c>
      <c r="I186" t="s">
        <v>115</v>
      </c>
      <c r="J186" t="s">
        <v>119</v>
      </c>
      <c r="K186" t="s">
        <v>178</v>
      </c>
      <c r="L186" t="s">
        <v>179</v>
      </c>
      <c r="M186">
        <v>2</v>
      </c>
      <c r="N186">
        <v>89.62</v>
      </c>
      <c r="O186">
        <v>179.24</v>
      </c>
      <c r="P186">
        <v>20</v>
      </c>
      <c r="Q186">
        <v>35.85</v>
      </c>
      <c r="R186">
        <v>143.38999999999999</v>
      </c>
      <c r="S186">
        <v>76.260000000000005</v>
      </c>
      <c r="T186">
        <v>67.13</v>
      </c>
      <c r="U186" t="s">
        <v>190</v>
      </c>
      <c r="V186" t="s">
        <v>159</v>
      </c>
      <c r="W186" t="s">
        <v>2099</v>
      </c>
      <c r="X186" t="s">
        <v>2100</v>
      </c>
      <c r="Y186">
        <v>22</v>
      </c>
      <c r="Z186">
        <v>137.03</v>
      </c>
      <c r="AA186">
        <v>47.12</v>
      </c>
      <c r="AB186" t="s">
        <v>66</v>
      </c>
      <c r="AC186" t="s">
        <v>20</v>
      </c>
      <c r="AD186" t="s">
        <v>2095</v>
      </c>
      <c r="AE186" t="s">
        <v>2096</v>
      </c>
    </row>
    <row r="187" spans="1:31">
      <c r="A187" t="s">
        <v>384</v>
      </c>
      <c r="B187" s="1">
        <v>45232</v>
      </c>
      <c r="C187" t="s">
        <v>188</v>
      </c>
      <c r="D187">
        <v>2023</v>
      </c>
      <c r="E187" t="s">
        <v>184</v>
      </c>
      <c r="F187" t="s">
        <v>385</v>
      </c>
      <c r="G187" t="s">
        <v>103</v>
      </c>
      <c r="H187" t="s">
        <v>104</v>
      </c>
      <c r="I187" t="s">
        <v>90</v>
      </c>
      <c r="J187" t="s">
        <v>94</v>
      </c>
      <c r="K187" t="s">
        <v>178</v>
      </c>
      <c r="L187" t="s">
        <v>204</v>
      </c>
      <c r="M187">
        <v>3</v>
      </c>
      <c r="N187">
        <v>98.58</v>
      </c>
      <c r="O187">
        <v>295.74</v>
      </c>
      <c r="P187">
        <v>5</v>
      </c>
      <c r="Q187">
        <v>14.79</v>
      </c>
      <c r="R187">
        <v>280.95</v>
      </c>
      <c r="S187">
        <v>157.71</v>
      </c>
      <c r="T187">
        <v>123.24</v>
      </c>
      <c r="U187" t="s">
        <v>166</v>
      </c>
      <c r="V187" t="s">
        <v>181</v>
      </c>
      <c r="W187" t="s">
        <v>2099</v>
      </c>
      <c r="X187" t="s">
        <v>2108</v>
      </c>
      <c r="Y187">
        <v>264</v>
      </c>
      <c r="Z187">
        <v>70.430000000000007</v>
      </c>
      <c r="AA187">
        <v>32.54</v>
      </c>
      <c r="AB187" t="s">
        <v>115</v>
      </c>
      <c r="AC187" t="s">
        <v>16</v>
      </c>
      <c r="AD187" t="s">
        <v>2087</v>
      </c>
      <c r="AE187" t="s">
        <v>2107</v>
      </c>
    </row>
    <row r="188" spans="1:31">
      <c r="A188" t="s">
        <v>1239</v>
      </c>
      <c r="B188" s="1">
        <v>45232</v>
      </c>
      <c r="C188" t="s">
        <v>188</v>
      </c>
      <c r="D188">
        <v>2023</v>
      </c>
      <c r="E188" t="s">
        <v>184</v>
      </c>
      <c r="F188" t="s">
        <v>1240</v>
      </c>
      <c r="G188" t="s">
        <v>39</v>
      </c>
      <c r="H188" t="s">
        <v>40</v>
      </c>
      <c r="I188" t="s">
        <v>41</v>
      </c>
      <c r="J188" t="s">
        <v>42</v>
      </c>
      <c r="K188" t="s">
        <v>209</v>
      </c>
      <c r="L188" t="s">
        <v>157</v>
      </c>
      <c r="M188">
        <v>3</v>
      </c>
      <c r="N188">
        <v>35.11</v>
      </c>
      <c r="O188">
        <v>105.33</v>
      </c>
      <c r="P188">
        <v>5</v>
      </c>
      <c r="Q188">
        <v>5.27</v>
      </c>
      <c r="R188">
        <v>100.06</v>
      </c>
      <c r="S188">
        <v>74.61</v>
      </c>
      <c r="T188">
        <v>25.45</v>
      </c>
      <c r="U188" t="s">
        <v>180</v>
      </c>
      <c r="V188" t="s">
        <v>186</v>
      </c>
      <c r="W188" t="s">
        <v>2093</v>
      </c>
      <c r="X188" t="s">
        <v>2100</v>
      </c>
      <c r="Y188">
        <v>159</v>
      </c>
      <c r="Z188">
        <v>73.489999999999995</v>
      </c>
      <c r="AA188">
        <v>47.54</v>
      </c>
      <c r="AB188" t="s">
        <v>90</v>
      </c>
      <c r="AC188" t="s">
        <v>16</v>
      </c>
      <c r="AD188" t="s">
        <v>2087</v>
      </c>
      <c r="AE188" t="s">
        <v>2109</v>
      </c>
    </row>
    <row r="189" spans="1:31">
      <c r="A189" t="s">
        <v>1459</v>
      </c>
      <c r="B189" s="1">
        <v>45232</v>
      </c>
      <c r="C189" t="s">
        <v>188</v>
      </c>
      <c r="D189">
        <v>2023</v>
      </c>
      <c r="E189" t="s">
        <v>184</v>
      </c>
      <c r="F189" t="s">
        <v>1402</v>
      </c>
      <c r="G189" t="s">
        <v>64</v>
      </c>
      <c r="H189" t="s">
        <v>65</v>
      </c>
      <c r="I189" t="s">
        <v>66</v>
      </c>
      <c r="J189" t="s">
        <v>67</v>
      </c>
      <c r="K189" t="s">
        <v>209</v>
      </c>
      <c r="L189" t="s">
        <v>157</v>
      </c>
      <c r="M189">
        <v>4</v>
      </c>
      <c r="N189">
        <v>24.9</v>
      </c>
      <c r="O189">
        <v>99.6</v>
      </c>
      <c r="P189">
        <v>20</v>
      </c>
      <c r="Q189">
        <v>19.920000000000002</v>
      </c>
      <c r="R189">
        <v>79.680000000000007</v>
      </c>
      <c r="S189">
        <v>86.08</v>
      </c>
      <c r="T189">
        <v>-6.4</v>
      </c>
      <c r="U189" t="s">
        <v>190</v>
      </c>
      <c r="V189" t="s">
        <v>181</v>
      </c>
      <c r="W189" t="s">
        <v>2113</v>
      </c>
      <c r="X189" t="s">
        <v>2094</v>
      </c>
      <c r="Y189">
        <v>177</v>
      </c>
      <c r="Z189">
        <v>392.58</v>
      </c>
      <c r="AA189">
        <v>65.52</v>
      </c>
      <c r="AB189" t="s">
        <v>90</v>
      </c>
      <c r="AC189" t="s">
        <v>16</v>
      </c>
      <c r="AD189" t="s">
        <v>2095</v>
      </c>
      <c r="AE189" t="s">
        <v>2109</v>
      </c>
    </row>
    <row r="190" spans="1:31">
      <c r="A190" t="s">
        <v>1339</v>
      </c>
      <c r="B190" s="1">
        <v>45232</v>
      </c>
      <c r="C190" t="s">
        <v>188</v>
      </c>
      <c r="D190">
        <v>2023</v>
      </c>
      <c r="E190" t="s">
        <v>184</v>
      </c>
      <c r="F190" t="s">
        <v>1340</v>
      </c>
      <c r="G190" t="s">
        <v>125</v>
      </c>
      <c r="H190" t="s">
        <v>126</v>
      </c>
      <c r="I190" t="s">
        <v>115</v>
      </c>
      <c r="J190" t="s">
        <v>116</v>
      </c>
      <c r="K190" t="s">
        <v>164</v>
      </c>
      <c r="L190" t="s">
        <v>232</v>
      </c>
      <c r="M190">
        <v>2</v>
      </c>
      <c r="N190">
        <v>144.94999999999999</v>
      </c>
      <c r="O190">
        <v>289.89999999999998</v>
      </c>
      <c r="P190">
        <v>10</v>
      </c>
      <c r="Q190">
        <v>28.99</v>
      </c>
      <c r="R190">
        <v>260.91000000000003</v>
      </c>
      <c r="S190">
        <v>154.38</v>
      </c>
      <c r="T190">
        <v>106.53</v>
      </c>
      <c r="U190" t="s">
        <v>166</v>
      </c>
      <c r="V190" t="s">
        <v>159</v>
      </c>
      <c r="W190" t="s">
        <v>2090</v>
      </c>
      <c r="X190" t="s">
        <v>2086</v>
      </c>
      <c r="Y190">
        <v>174</v>
      </c>
      <c r="Z190">
        <v>340.39</v>
      </c>
      <c r="AA190">
        <v>61.2</v>
      </c>
      <c r="AB190" t="s">
        <v>66</v>
      </c>
      <c r="AC190" t="s">
        <v>20</v>
      </c>
      <c r="AD190" t="s">
        <v>2087</v>
      </c>
      <c r="AE190" t="s">
        <v>2121</v>
      </c>
    </row>
    <row r="191" spans="1:31">
      <c r="A191" t="s">
        <v>1619</v>
      </c>
      <c r="B191" s="1">
        <v>45232</v>
      </c>
      <c r="C191" t="s">
        <v>188</v>
      </c>
      <c r="D191">
        <v>2023</v>
      </c>
      <c r="E191" t="s">
        <v>184</v>
      </c>
      <c r="F191" t="s">
        <v>1620</v>
      </c>
      <c r="G191" t="s">
        <v>39</v>
      </c>
      <c r="H191" t="s">
        <v>40</v>
      </c>
      <c r="I191" t="s">
        <v>41</v>
      </c>
      <c r="J191" t="s">
        <v>42</v>
      </c>
      <c r="K191" t="s">
        <v>178</v>
      </c>
      <c r="L191" t="s">
        <v>165</v>
      </c>
      <c r="M191">
        <v>1</v>
      </c>
      <c r="N191">
        <v>35.11</v>
      </c>
      <c r="O191">
        <v>35.11</v>
      </c>
      <c r="P191">
        <v>15</v>
      </c>
      <c r="Q191">
        <v>5.27</v>
      </c>
      <c r="R191">
        <v>29.84</v>
      </c>
      <c r="S191">
        <v>24.87</v>
      </c>
      <c r="T191">
        <v>4.97</v>
      </c>
      <c r="U191" t="s">
        <v>166</v>
      </c>
      <c r="V191" t="s">
        <v>159</v>
      </c>
      <c r="W191" t="s">
        <v>2093</v>
      </c>
      <c r="X191" t="s">
        <v>2108</v>
      </c>
      <c r="Y191">
        <v>228</v>
      </c>
      <c r="Z191">
        <v>80.58</v>
      </c>
      <c r="AA191">
        <v>47.68</v>
      </c>
      <c r="AB191" t="s">
        <v>90</v>
      </c>
      <c r="AC191" t="s">
        <v>20</v>
      </c>
      <c r="AD191" t="s">
        <v>2106</v>
      </c>
      <c r="AE191" t="s">
        <v>2109</v>
      </c>
    </row>
    <row r="192" spans="1:31">
      <c r="A192" t="s">
        <v>1591</v>
      </c>
      <c r="B192" s="1">
        <v>45232</v>
      </c>
      <c r="C192" t="s">
        <v>188</v>
      </c>
      <c r="D192">
        <v>2023</v>
      </c>
      <c r="E192" t="s">
        <v>184</v>
      </c>
      <c r="F192" t="s">
        <v>864</v>
      </c>
      <c r="G192" t="s">
        <v>25</v>
      </c>
      <c r="H192" t="s">
        <v>26</v>
      </c>
      <c r="I192" t="s">
        <v>14</v>
      </c>
      <c r="J192" t="s">
        <v>27</v>
      </c>
      <c r="K192" t="s">
        <v>164</v>
      </c>
      <c r="L192" t="s">
        <v>194</v>
      </c>
      <c r="M192">
        <v>1</v>
      </c>
      <c r="N192">
        <v>18.39</v>
      </c>
      <c r="O192">
        <v>18.39</v>
      </c>
      <c r="P192">
        <v>15</v>
      </c>
      <c r="Q192">
        <v>2.76</v>
      </c>
      <c r="R192">
        <v>15.63</v>
      </c>
      <c r="S192">
        <v>8.26</v>
      </c>
      <c r="T192">
        <v>7.37</v>
      </c>
      <c r="U192" t="s">
        <v>180</v>
      </c>
      <c r="V192" t="s">
        <v>159</v>
      </c>
      <c r="W192" t="s">
        <v>2085</v>
      </c>
      <c r="X192" t="s">
        <v>2086</v>
      </c>
      <c r="Y192">
        <v>316</v>
      </c>
      <c r="Z192">
        <v>1501.58</v>
      </c>
      <c r="AA192">
        <v>294.56</v>
      </c>
      <c r="AB192" t="s">
        <v>14</v>
      </c>
      <c r="AC192" t="s">
        <v>16</v>
      </c>
      <c r="AD192" t="s">
        <v>2087</v>
      </c>
      <c r="AE192" t="s">
        <v>2088</v>
      </c>
    </row>
    <row r="193" spans="1:31">
      <c r="A193" t="s">
        <v>1683</v>
      </c>
      <c r="B193" s="1">
        <v>45231</v>
      </c>
      <c r="C193" t="s">
        <v>188</v>
      </c>
      <c r="D193">
        <v>2023</v>
      </c>
      <c r="E193" t="s">
        <v>184</v>
      </c>
      <c r="F193" t="s">
        <v>295</v>
      </c>
      <c r="G193" t="s">
        <v>30</v>
      </c>
      <c r="H193" t="s">
        <v>31</v>
      </c>
      <c r="I193" t="s">
        <v>14</v>
      </c>
      <c r="J193" t="s">
        <v>32</v>
      </c>
      <c r="K193" t="s">
        <v>156</v>
      </c>
      <c r="L193" t="s">
        <v>174</v>
      </c>
      <c r="M193">
        <v>1</v>
      </c>
      <c r="N193">
        <v>113.18</v>
      </c>
      <c r="O193">
        <v>113.18</v>
      </c>
      <c r="P193">
        <v>5</v>
      </c>
      <c r="Q193">
        <v>5.66</v>
      </c>
      <c r="R193">
        <v>107.52</v>
      </c>
      <c r="S193">
        <v>39.01</v>
      </c>
      <c r="T193">
        <v>68.510000000000005</v>
      </c>
      <c r="U193" t="s">
        <v>190</v>
      </c>
      <c r="V193" t="s">
        <v>186</v>
      </c>
      <c r="W193" t="s">
        <v>2113</v>
      </c>
      <c r="X193" t="s">
        <v>2100</v>
      </c>
      <c r="Y193">
        <v>30</v>
      </c>
      <c r="Z193">
        <v>268.32</v>
      </c>
      <c r="AA193">
        <v>46.84</v>
      </c>
      <c r="AB193" t="s">
        <v>90</v>
      </c>
      <c r="AC193" t="s">
        <v>20</v>
      </c>
      <c r="AD193" t="s">
        <v>2087</v>
      </c>
      <c r="AE193" t="s">
        <v>2121</v>
      </c>
    </row>
    <row r="194" spans="1:31">
      <c r="A194" t="s">
        <v>1547</v>
      </c>
      <c r="B194" s="1">
        <v>45231</v>
      </c>
      <c r="C194" t="s">
        <v>188</v>
      </c>
      <c r="D194">
        <v>2023</v>
      </c>
      <c r="E194" t="s">
        <v>184</v>
      </c>
      <c r="F194" t="s">
        <v>1548</v>
      </c>
      <c r="G194" t="s">
        <v>105</v>
      </c>
      <c r="H194" t="s">
        <v>106</v>
      </c>
      <c r="I194" t="s">
        <v>90</v>
      </c>
      <c r="J194" t="s">
        <v>91</v>
      </c>
      <c r="K194" t="s">
        <v>178</v>
      </c>
      <c r="L194" t="s">
        <v>165</v>
      </c>
      <c r="M194">
        <v>4</v>
      </c>
      <c r="N194">
        <v>36.35</v>
      </c>
      <c r="O194">
        <v>145.4</v>
      </c>
      <c r="P194">
        <v>0</v>
      </c>
      <c r="Q194">
        <v>0</v>
      </c>
      <c r="R194">
        <v>145.4</v>
      </c>
      <c r="S194">
        <v>120.08</v>
      </c>
      <c r="T194">
        <v>25.32</v>
      </c>
      <c r="U194" t="s">
        <v>195</v>
      </c>
      <c r="V194" t="s">
        <v>159</v>
      </c>
      <c r="W194" t="s">
        <v>2099</v>
      </c>
      <c r="X194" t="s">
        <v>2086</v>
      </c>
      <c r="Y194">
        <v>232</v>
      </c>
      <c r="Z194">
        <v>62.62</v>
      </c>
      <c r="AA194">
        <v>63.73</v>
      </c>
      <c r="AB194" t="s">
        <v>115</v>
      </c>
      <c r="AC194" t="s">
        <v>16</v>
      </c>
      <c r="AD194" t="s">
        <v>2106</v>
      </c>
      <c r="AE194" t="s">
        <v>2096</v>
      </c>
    </row>
    <row r="195" spans="1:31">
      <c r="A195" t="s">
        <v>233</v>
      </c>
      <c r="B195" s="1">
        <v>45230</v>
      </c>
      <c r="C195" t="s">
        <v>183</v>
      </c>
      <c r="D195">
        <v>2023</v>
      </c>
      <c r="E195" t="s">
        <v>184</v>
      </c>
      <c r="F195" t="s">
        <v>234</v>
      </c>
      <c r="G195" t="s">
        <v>86</v>
      </c>
      <c r="H195" t="s">
        <v>87</v>
      </c>
      <c r="I195" t="s">
        <v>66</v>
      </c>
      <c r="J195" t="s">
        <v>67</v>
      </c>
      <c r="K195" t="s">
        <v>178</v>
      </c>
      <c r="L195" t="s">
        <v>179</v>
      </c>
      <c r="M195">
        <v>4</v>
      </c>
      <c r="N195">
        <v>124.77</v>
      </c>
      <c r="O195">
        <v>499.08</v>
      </c>
      <c r="P195">
        <v>20</v>
      </c>
      <c r="Q195">
        <v>99.82</v>
      </c>
      <c r="R195">
        <v>399.26</v>
      </c>
      <c r="S195">
        <v>278.56</v>
      </c>
      <c r="T195">
        <v>120.7</v>
      </c>
      <c r="U195" t="s">
        <v>190</v>
      </c>
      <c r="V195" t="s">
        <v>159</v>
      </c>
      <c r="W195" t="s">
        <v>2085</v>
      </c>
      <c r="X195" t="s">
        <v>2094</v>
      </c>
      <c r="Y195">
        <v>252</v>
      </c>
      <c r="Z195">
        <v>1599.9</v>
      </c>
      <c r="AA195">
        <v>194.74</v>
      </c>
      <c r="AB195" t="s">
        <v>41</v>
      </c>
      <c r="AC195" t="s">
        <v>16</v>
      </c>
      <c r="AD195" t="s">
        <v>2095</v>
      </c>
      <c r="AE195" t="s">
        <v>2096</v>
      </c>
    </row>
    <row r="196" spans="1:31">
      <c r="A196" t="s">
        <v>207</v>
      </c>
      <c r="B196" s="1">
        <v>45230</v>
      </c>
      <c r="C196" t="s">
        <v>183</v>
      </c>
      <c r="D196">
        <v>2023</v>
      </c>
      <c r="E196" t="s">
        <v>184</v>
      </c>
      <c r="F196" t="s">
        <v>208</v>
      </c>
      <c r="G196" t="s">
        <v>35</v>
      </c>
      <c r="H196" t="s">
        <v>36</v>
      </c>
      <c r="I196" t="s">
        <v>14</v>
      </c>
      <c r="J196" t="s">
        <v>19</v>
      </c>
      <c r="K196" t="s">
        <v>209</v>
      </c>
      <c r="L196" t="s">
        <v>174</v>
      </c>
      <c r="M196">
        <v>1</v>
      </c>
      <c r="N196">
        <v>81.599999999999994</v>
      </c>
      <c r="O196">
        <v>81.599999999999994</v>
      </c>
      <c r="P196">
        <v>5</v>
      </c>
      <c r="Q196">
        <v>4.08</v>
      </c>
      <c r="R196">
        <v>77.52</v>
      </c>
      <c r="S196">
        <v>29.32</v>
      </c>
      <c r="T196">
        <v>48.2</v>
      </c>
      <c r="U196" t="s">
        <v>180</v>
      </c>
      <c r="V196" t="s">
        <v>159</v>
      </c>
      <c r="W196" t="s">
        <v>2093</v>
      </c>
      <c r="X196" t="s">
        <v>2111</v>
      </c>
      <c r="Y196">
        <v>81</v>
      </c>
      <c r="Z196">
        <v>176.11</v>
      </c>
      <c r="AA196">
        <v>59.51</v>
      </c>
      <c r="AB196" t="s">
        <v>41</v>
      </c>
      <c r="AC196" t="s">
        <v>16</v>
      </c>
      <c r="AD196" t="s">
        <v>2095</v>
      </c>
      <c r="AE196" t="s">
        <v>2109</v>
      </c>
    </row>
    <row r="197" spans="1:31">
      <c r="A197" t="s">
        <v>1671</v>
      </c>
      <c r="B197" s="1">
        <v>45230</v>
      </c>
      <c r="C197" t="s">
        <v>183</v>
      </c>
      <c r="D197">
        <v>2023</v>
      </c>
      <c r="E197" t="s">
        <v>184</v>
      </c>
      <c r="F197" t="s">
        <v>1672</v>
      </c>
      <c r="G197" t="s">
        <v>21</v>
      </c>
      <c r="H197" t="s">
        <v>22</v>
      </c>
      <c r="I197" t="s">
        <v>14</v>
      </c>
      <c r="J197" t="s">
        <v>15</v>
      </c>
      <c r="K197" t="s">
        <v>164</v>
      </c>
      <c r="L197" t="s">
        <v>204</v>
      </c>
      <c r="M197">
        <v>2</v>
      </c>
      <c r="N197">
        <v>65.430000000000007</v>
      </c>
      <c r="O197">
        <v>130.86000000000001</v>
      </c>
      <c r="P197">
        <v>0</v>
      </c>
      <c r="Q197">
        <v>0</v>
      </c>
      <c r="R197">
        <v>130.86000000000001</v>
      </c>
      <c r="S197">
        <v>77.38</v>
      </c>
      <c r="T197">
        <v>53.48</v>
      </c>
      <c r="U197" t="s">
        <v>158</v>
      </c>
      <c r="V197" t="s">
        <v>181</v>
      </c>
      <c r="W197" t="s">
        <v>2090</v>
      </c>
      <c r="X197" t="s">
        <v>2108</v>
      </c>
      <c r="Y197">
        <v>222</v>
      </c>
      <c r="Z197">
        <v>204.85</v>
      </c>
      <c r="AA197">
        <v>48.29</v>
      </c>
      <c r="AB197" t="s">
        <v>14</v>
      </c>
      <c r="AC197" t="s">
        <v>16</v>
      </c>
      <c r="AD197" t="s">
        <v>2087</v>
      </c>
      <c r="AE197" t="s">
        <v>2121</v>
      </c>
    </row>
    <row r="198" spans="1:31">
      <c r="A198" t="s">
        <v>1753</v>
      </c>
      <c r="B198" s="1">
        <v>45230</v>
      </c>
      <c r="C198" t="s">
        <v>183</v>
      </c>
      <c r="D198">
        <v>2023</v>
      </c>
      <c r="E198" t="s">
        <v>184</v>
      </c>
      <c r="F198" t="s">
        <v>1754</v>
      </c>
      <c r="G198" t="s">
        <v>117</v>
      </c>
      <c r="H198" t="s">
        <v>118</v>
      </c>
      <c r="I198" t="s">
        <v>115</v>
      </c>
      <c r="J198" t="s">
        <v>119</v>
      </c>
      <c r="K198" t="s">
        <v>164</v>
      </c>
      <c r="L198" t="s">
        <v>204</v>
      </c>
      <c r="M198">
        <v>3</v>
      </c>
      <c r="N198">
        <v>93.41</v>
      </c>
      <c r="O198">
        <v>280.23</v>
      </c>
      <c r="P198">
        <v>5</v>
      </c>
      <c r="Q198">
        <v>14.01</v>
      </c>
      <c r="R198">
        <v>266.22000000000003</v>
      </c>
      <c r="S198">
        <v>192.15</v>
      </c>
      <c r="T198">
        <v>74.069999999999993</v>
      </c>
      <c r="U198" t="s">
        <v>195</v>
      </c>
      <c r="V198" t="s">
        <v>181</v>
      </c>
      <c r="W198" t="s">
        <v>2099</v>
      </c>
      <c r="X198" t="s">
        <v>2108</v>
      </c>
      <c r="Y198">
        <v>257</v>
      </c>
      <c r="Z198">
        <v>48.22</v>
      </c>
      <c r="AA198">
        <v>83.36</v>
      </c>
      <c r="AB198" t="s">
        <v>66</v>
      </c>
      <c r="AC198" t="s">
        <v>16</v>
      </c>
      <c r="AD198" t="s">
        <v>2106</v>
      </c>
      <c r="AE198" t="s">
        <v>2107</v>
      </c>
    </row>
    <row r="199" spans="1:31">
      <c r="A199" t="s">
        <v>881</v>
      </c>
      <c r="B199" s="1">
        <v>45229</v>
      </c>
      <c r="C199" t="s">
        <v>183</v>
      </c>
      <c r="D199">
        <v>2023</v>
      </c>
      <c r="E199" t="s">
        <v>184</v>
      </c>
      <c r="F199" t="s">
        <v>882</v>
      </c>
      <c r="G199" t="s">
        <v>53</v>
      </c>
      <c r="H199" t="s">
        <v>54</v>
      </c>
      <c r="I199" t="s">
        <v>41</v>
      </c>
      <c r="J199" t="s">
        <v>45</v>
      </c>
      <c r="K199" t="s">
        <v>164</v>
      </c>
      <c r="L199" t="s">
        <v>179</v>
      </c>
      <c r="M199">
        <v>4</v>
      </c>
      <c r="N199">
        <v>51.98</v>
      </c>
      <c r="O199">
        <v>207.92</v>
      </c>
      <c r="P199">
        <v>0</v>
      </c>
      <c r="Q199">
        <v>0</v>
      </c>
      <c r="R199">
        <v>207.92</v>
      </c>
      <c r="S199">
        <v>132.16</v>
      </c>
      <c r="T199">
        <v>75.760000000000005</v>
      </c>
      <c r="U199" t="s">
        <v>190</v>
      </c>
      <c r="V199" t="s">
        <v>181</v>
      </c>
      <c r="W199" t="s">
        <v>2097</v>
      </c>
      <c r="X199" t="s">
        <v>2111</v>
      </c>
      <c r="Y199">
        <v>314</v>
      </c>
      <c r="Z199">
        <v>438.44</v>
      </c>
      <c r="AA199">
        <v>60.4</v>
      </c>
      <c r="AB199" t="s">
        <v>41</v>
      </c>
      <c r="AC199" t="s">
        <v>20</v>
      </c>
      <c r="AD199" t="s">
        <v>2087</v>
      </c>
      <c r="AE199" t="s">
        <v>2088</v>
      </c>
    </row>
    <row r="200" spans="1:31">
      <c r="A200" t="s">
        <v>1204</v>
      </c>
      <c r="B200" s="1">
        <v>45229</v>
      </c>
      <c r="C200" t="s">
        <v>183</v>
      </c>
      <c r="D200">
        <v>2023</v>
      </c>
      <c r="E200" t="s">
        <v>184</v>
      </c>
      <c r="F200" t="s">
        <v>1205</v>
      </c>
      <c r="G200" t="s">
        <v>107</v>
      </c>
      <c r="H200" t="s">
        <v>108</v>
      </c>
      <c r="I200" t="s">
        <v>90</v>
      </c>
      <c r="J200" t="s">
        <v>100</v>
      </c>
      <c r="K200" t="s">
        <v>209</v>
      </c>
      <c r="L200" t="s">
        <v>232</v>
      </c>
      <c r="M200">
        <v>4</v>
      </c>
      <c r="N200">
        <v>26.61</v>
      </c>
      <c r="O200">
        <v>106.44</v>
      </c>
      <c r="P200">
        <v>20</v>
      </c>
      <c r="Q200">
        <v>21.29</v>
      </c>
      <c r="R200">
        <v>85.15</v>
      </c>
      <c r="S200">
        <v>42.56</v>
      </c>
      <c r="T200">
        <v>42.59</v>
      </c>
      <c r="U200" t="s">
        <v>195</v>
      </c>
      <c r="V200" t="s">
        <v>181</v>
      </c>
      <c r="W200" t="s">
        <v>2093</v>
      </c>
      <c r="X200" t="s">
        <v>2091</v>
      </c>
      <c r="Y200">
        <v>252</v>
      </c>
      <c r="Z200">
        <v>173.95</v>
      </c>
      <c r="AA200">
        <v>67.37</v>
      </c>
      <c r="AB200" t="s">
        <v>115</v>
      </c>
      <c r="AC200" t="s">
        <v>20</v>
      </c>
      <c r="AD200" t="s">
        <v>2095</v>
      </c>
      <c r="AE200" t="s">
        <v>2107</v>
      </c>
    </row>
    <row r="201" spans="1:31">
      <c r="A201" t="s">
        <v>1784</v>
      </c>
      <c r="B201" s="1">
        <v>45229</v>
      </c>
      <c r="C201" t="s">
        <v>183</v>
      </c>
      <c r="D201">
        <v>2023</v>
      </c>
      <c r="E201" t="s">
        <v>184</v>
      </c>
      <c r="F201" t="s">
        <v>1785</v>
      </c>
      <c r="G201" t="s">
        <v>88</v>
      </c>
      <c r="H201" t="s">
        <v>89</v>
      </c>
      <c r="I201" t="s">
        <v>90</v>
      </c>
      <c r="J201" t="s">
        <v>91</v>
      </c>
      <c r="K201" t="s">
        <v>164</v>
      </c>
      <c r="L201" t="s">
        <v>174</v>
      </c>
      <c r="M201">
        <v>3</v>
      </c>
      <c r="N201">
        <v>54.64</v>
      </c>
      <c r="O201">
        <v>163.92000000000002</v>
      </c>
      <c r="P201">
        <v>0</v>
      </c>
      <c r="Q201">
        <v>0</v>
      </c>
      <c r="R201">
        <v>163.92</v>
      </c>
      <c r="S201">
        <v>60.96</v>
      </c>
      <c r="T201">
        <v>102.96</v>
      </c>
      <c r="U201" t="s">
        <v>158</v>
      </c>
      <c r="V201" t="s">
        <v>186</v>
      </c>
      <c r="W201" t="s">
        <v>2093</v>
      </c>
      <c r="X201" t="s">
        <v>2091</v>
      </c>
      <c r="Y201">
        <v>306</v>
      </c>
      <c r="Z201">
        <v>183.54</v>
      </c>
      <c r="AA201">
        <v>72.33</v>
      </c>
      <c r="AB201" t="s">
        <v>14</v>
      </c>
      <c r="AC201" t="s">
        <v>20</v>
      </c>
      <c r="AD201" t="s">
        <v>2106</v>
      </c>
      <c r="AE201" t="s">
        <v>2121</v>
      </c>
    </row>
    <row r="202" spans="1:31">
      <c r="A202" t="s">
        <v>779</v>
      </c>
      <c r="B202" s="1">
        <v>45229</v>
      </c>
      <c r="C202" t="s">
        <v>183</v>
      </c>
      <c r="D202">
        <v>2023</v>
      </c>
      <c r="E202" t="s">
        <v>184</v>
      </c>
      <c r="F202" t="s">
        <v>780</v>
      </c>
      <c r="G202" t="s">
        <v>43</v>
      </c>
      <c r="H202" t="s">
        <v>44</v>
      </c>
      <c r="I202" t="s">
        <v>41</v>
      </c>
      <c r="J202" t="s">
        <v>45</v>
      </c>
      <c r="K202" t="s">
        <v>156</v>
      </c>
      <c r="L202" t="s">
        <v>194</v>
      </c>
      <c r="M202">
        <v>3</v>
      </c>
      <c r="N202">
        <v>67.56</v>
      </c>
      <c r="O202">
        <v>202.68</v>
      </c>
      <c r="P202">
        <v>10</v>
      </c>
      <c r="Q202">
        <v>20.27</v>
      </c>
      <c r="R202">
        <v>182.41</v>
      </c>
      <c r="S202">
        <v>129.63</v>
      </c>
      <c r="T202">
        <v>52.78</v>
      </c>
      <c r="U202" t="s">
        <v>158</v>
      </c>
      <c r="V202" t="s">
        <v>159</v>
      </c>
      <c r="W202" t="s">
        <v>2090</v>
      </c>
      <c r="X202" t="s">
        <v>2091</v>
      </c>
      <c r="Y202">
        <v>184</v>
      </c>
      <c r="Z202">
        <v>249.38</v>
      </c>
      <c r="AA202">
        <v>71.05</v>
      </c>
      <c r="AB202" t="s">
        <v>90</v>
      </c>
      <c r="AC202" t="s">
        <v>20</v>
      </c>
      <c r="AD202" t="s">
        <v>2106</v>
      </c>
      <c r="AE202" t="s">
        <v>2121</v>
      </c>
    </row>
    <row r="203" spans="1:31">
      <c r="A203" t="s">
        <v>908</v>
      </c>
      <c r="B203" s="1">
        <v>45227</v>
      </c>
      <c r="C203" t="s">
        <v>183</v>
      </c>
      <c r="D203">
        <v>2023</v>
      </c>
      <c r="E203" t="s">
        <v>184</v>
      </c>
      <c r="F203" t="s">
        <v>909</v>
      </c>
      <c r="G203" t="s">
        <v>73</v>
      </c>
      <c r="H203" t="s">
        <v>74</v>
      </c>
      <c r="I203" t="s">
        <v>66</v>
      </c>
      <c r="J203" t="s">
        <v>75</v>
      </c>
      <c r="K203" t="s">
        <v>209</v>
      </c>
      <c r="L203" t="s">
        <v>174</v>
      </c>
      <c r="M203">
        <v>1</v>
      </c>
      <c r="N203">
        <v>53.95</v>
      </c>
      <c r="O203">
        <v>53.95</v>
      </c>
      <c r="P203">
        <v>10</v>
      </c>
      <c r="Q203">
        <v>5.39</v>
      </c>
      <c r="R203">
        <v>48.56</v>
      </c>
      <c r="S203">
        <v>35.200000000000003</v>
      </c>
      <c r="T203">
        <v>13.36</v>
      </c>
      <c r="U203" t="s">
        <v>158</v>
      </c>
      <c r="V203" t="s">
        <v>159</v>
      </c>
      <c r="W203" t="s">
        <v>2085</v>
      </c>
      <c r="X203" t="s">
        <v>2091</v>
      </c>
      <c r="Y203">
        <v>121</v>
      </c>
      <c r="Z203">
        <v>1011.14</v>
      </c>
      <c r="AA203">
        <v>202.78</v>
      </c>
      <c r="AB203" t="s">
        <v>14</v>
      </c>
      <c r="AC203" t="s">
        <v>16</v>
      </c>
      <c r="AD203" t="s">
        <v>2095</v>
      </c>
      <c r="AE203" t="s">
        <v>2088</v>
      </c>
    </row>
    <row r="204" spans="1:31">
      <c r="A204" t="s">
        <v>671</v>
      </c>
      <c r="B204" s="1">
        <v>45227</v>
      </c>
      <c r="C204" t="s">
        <v>183</v>
      </c>
      <c r="D204">
        <v>2023</v>
      </c>
      <c r="E204" t="s">
        <v>184</v>
      </c>
      <c r="F204" t="s">
        <v>672</v>
      </c>
      <c r="G204" t="s">
        <v>21</v>
      </c>
      <c r="H204" t="s">
        <v>22</v>
      </c>
      <c r="I204" t="s">
        <v>14</v>
      </c>
      <c r="J204" t="s">
        <v>15</v>
      </c>
      <c r="K204" t="s">
        <v>156</v>
      </c>
      <c r="L204" t="s">
        <v>204</v>
      </c>
      <c r="M204">
        <v>1</v>
      </c>
      <c r="N204">
        <v>65.430000000000007</v>
      </c>
      <c r="O204">
        <v>65.430000000000007</v>
      </c>
      <c r="P204">
        <v>0</v>
      </c>
      <c r="Q204">
        <v>0</v>
      </c>
      <c r="R204">
        <v>65.430000000000007</v>
      </c>
      <c r="S204">
        <v>38.69</v>
      </c>
      <c r="T204">
        <v>26.74</v>
      </c>
      <c r="U204" t="s">
        <v>190</v>
      </c>
      <c r="V204" t="s">
        <v>159</v>
      </c>
      <c r="W204" t="s">
        <v>2085</v>
      </c>
      <c r="X204" t="s">
        <v>2086</v>
      </c>
      <c r="Y204">
        <v>22</v>
      </c>
      <c r="Z204">
        <v>2944.11</v>
      </c>
      <c r="AA204">
        <v>250.79</v>
      </c>
      <c r="AB204" t="s">
        <v>90</v>
      </c>
      <c r="AC204" t="s">
        <v>20</v>
      </c>
      <c r="AD204" t="s">
        <v>2095</v>
      </c>
      <c r="AE204" t="s">
        <v>2096</v>
      </c>
    </row>
    <row r="205" spans="1:31">
      <c r="A205" t="s">
        <v>304</v>
      </c>
      <c r="B205" s="1">
        <v>45227</v>
      </c>
      <c r="C205" t="s">
        <v>183</v>
      </c>
      <c r="D205">
        <v>2023</v>
      </c>
      <c r="E205" t="s">
        <v>184</v>
      </c>
      <c r="F205" t="s">
        <v>305</v>
      </c>
      <c r="G205" t="s">
        <v>129</v>
      </c>
      <c r="H205" t="s">
        <v>130</v>
      </c>
      <c r="I205" t="s">
        <v>115</v>
      </c>
      <c r="J205" t="s">
        <v>124</v>
      </c>
      <c r="K205" t="s">
        <v>164</v>
      </c>
      <c r="L205" t="s">
        <v>179</v>
      </c>
      <c r="M205">
        <v>3</v>
      </c>
      <c r="N205">
        <v>99.34</v>
      </c>
      <c r="O205">
        <v>298.02</v>
      </c>
      <c r="P205">
        <v>20</v>
      </c>
      <c r="Q205">
        <v>59.6</v>
      </c>
      <c r="R205">
        <v>238.42</v>
      </c>
      <c r="S205">
        <v>112.05</v>
      </c>
      <c r="T205">
        <v>126.37</v>
      </c>
      <c r="U205" t="s">
        <v>190</v>
      </c>
      <c r="V205" t="s">
        <v>186</v>
      </c>
      <c r="W205" t="s">
        <v>2097</v>
      </c>
      <c r="X205" t="s">
        <v>2094</v>
      </c>
      <c r="Y205">
        <v>112</v>
      </c>
      <c r="Z205">
        <v>717.31</v>
      </c>
      <c r="AA205">
        <v>57.3</v>
      </c>
      <c r="AB205" t="s">
        <v>115</v>
      </c>
      <c r="AC205" t="s">
        <v>20</v>
      </c>
      <c r="AD205" t="s">
        <v>2087</v>
      </c>
      <c r="AE205" t="s">
        <v>2109</v>
      </c>
    </row>
    <row r="206" spans="1:31">
      <c r="A206" t="s">
        <v>1274</v>
      </c>
      <c r="B206" s="1">
        <v>45227</v>
      </c>
      <c r="C206" t="s">
        <v>183</v>
      </c>
      <c r="D206">
        <v>2023</v>
      </c>
      <c r="E206" t="s">
        <v>184</v>
      </c>
      <c r="F206" t="s">
        <v>1275</v>
      </c>
      <c r="G206" t="s">
        <v>71</v>
      </c>
      <c r="H206" t="s">
        <v>72</v>
      </c>
      <c r="I206" t="s">
        <v>66</v>
      </c>
      <c r="J206" t="s">
        <v>70</v>
      </c>
      <c r="K206" t="s">
        <v>209</v>
      </c>
      <c r="L206" t="s">
        <v>165</v>
      </c>
      <c r="M206">
        <v>4</v>
      </c>
      <c r="N206">
        <v>26.7</v>
      </c>
      <c r="O206">
        <v>106.8</v>
      </c>
      <c r="P206">
        <v>5</v>
      </c>
      <c r="Q206">
        <v>5.34</v>
      </c>
      <c r="R206">
        <v>101.46</v>
      </c>
      <c r="S206">
        <v>49.08</v>
      </c>
      <c r="T206">
        <v>52.38</v>
      </c>
      <c r="U206" t="s">
        <v>158</v>
      </c>
      <c r="V206" t="s">
        <v>159</v>
      </c>
      <c r="W206" t="s">
        <v>2113</v>
      </c>
      <c r="X206" t="s">
        <v>2100</v>
      </c>
      <c r="Y206">
        <v>163</v>
      </c>
      <c r="Z206">
        <v>489.01</v>
      </c>
      <c r="AA206">
        <v>46.87</v>
      </c>
      <c r="AB206" t="s">
        <v>90</v>
      </c>
      <c r="AC206" t="s">
        <v>20</v>
      </c>
      <c r="AD206" t="s">
        <v>2095</v>
      </c>
      <c r="AE206" t="s">
        <v>2096</v>
      </c>
    </row>
    <row r="207" spans="1:31">
      <c r="A207" t="s">
        <v>1998</v>
      </c>
      <c r="B207" s="1">
        <v>45227</v>
      </c>
      <c r="C207" t="s">
        <v>183</v>
      </c>
      <c r="D207">
        <v>2023</v>
      </c>
      <c r="E207" t="s">
        <v>184</v>
      </c>
      <c r="F207" t="s">
        <v>1999</v>
      </c>
      <c r="G207" t="s">
        <v>127</v>
      </c>
      <c r="H207" t="s">
        <v>128</v>
      </c>
      <c r="I207" t="s">
        <v>115</v>
      </c>
      <c r="J207" t="s">
        <v>124</v>
      </c>
      <c r="K207" t="s">
        <v>164</v>
      </c>
      <c r="L207" t="s">
        <v>179</v>
      </c>
      <c r="M207">
        <v>3</v>
      </c>
      <c r="N207">
        <v>94.76</v>
      </c>
      <c r="O207">
        <v>284.28000000000003</v>
      </c>
      <c r="P207">
        <v>0</v>
      </c>
      <c r="Q207">
        <v>0</v>
      </c>
      <c r="R207">
        <v>284.27999999999997</v>
      </c>
      <c r="S207">
        <v>236.46</v>
      </c>
      <c r="T207">
        <v>47.82</v>
      </c>
      <c r="U207" t="s">
        <v>180</v>
      </c>
      <c r="V207" t="s">
        <v>181</v>
      </c>
      <c r="W207" t="s">
        <v>2099</v>
      </c>
      <c r="X207" t="s">
        <v>2091</v>
      </c>
      <c r="Y207">
        <v>30</v>
      </c>
      <c r="Z207">
        <v>126.75</v>
      </c>
      <c r="AA207">
        <v>43</v>
      </c>
      <c r="AB207" t="s">
        <v>41</v>
      </c>
      <c r="AC207" t="s">
        <v>20</v>
      </c>
      <c r="AD207" t="s">
        <v>2106</v>
      </c>
      <c r="AE207" t="s">
        <v>2121</v>
      </c>
    </row>
    <row r="208" spans="1:31">
      <c r="A208" t="s">
        <v>855</v>
      </c>
      <c r="B208" s="1">
        <v>45227</v>
      </c>
      <c r="C208" t="s">
        <v>183</v>
      </c>
      <c r="D208">
        <v>2023</v>
      </c>
      <c r="E208" t="s">
        <v>184</v>
      </c>
      <c r="F208" t="s">
        <v>856</v>
      </c>
      <c r="G208" t="s">
        <v>101</v>
      </c>
      <c r="H208" t="s">
        <v>102</v>
      </c>
      <c r="I208" t="s">
        <v>90</v>
      </c>
      <c r="J208" t="s">
        <v>100</v>
      </c>
      <c r="K208" t="s">
        <v>209</v>
      </c>
      <c r="L208" t="s">
        <v>194</v>
      </c>
      <c r="M208">
        <v>3</v>
      </c>
      <c r="N208">
        <v>196.28</v>
      </c>
      <c r="O208">
        <v>588.84</v>
      </c>
      <c r="P208">
        <v>5</v>
      </c>
      <c r="Q208">
        <v>29.44</v>
      </c>
      <c r="R208">
        <v>559.4</v>
      </c>
      <c r="S208">
        <v>215.19</v>
      </c>
      <c r="T208">
        <v>344.21</v>
      </c>
      <c r="U208" t="s">
        <v>180</v>
      </c>
      <c r="V208" t="s">
        <v>159</v>
      </c>
      <c r="W208" t="s">
        <v>2099</v>
      </c>
      <c r="X208" t="s">
        <v>2094</v>
      </c>
      <c r="Y208">
        <v>345</v>
      </c>
      <c r="Z208">
        <v>87.08</v>
      </c>
      <c r="AA208">
        <v>58.25</v>
      </c>
      <c r="AB208" t="s">
        <v>41</v>
      </c>
      <c r="AC208" t="s">
        <v>20</v>
      </c>
      <c r="AD208" t="s">
        <v>2095</v>
      </c>
      <c r="AE208" t="s">
        <v>2107</v>
      </c>
    </row>
    <row r="209" spans="1:31">
      <c r="A209" t="s">
        <v>849</v>
      </c>
      <c r="B209" s="1">
        <v>45227</v>
      </c>
      <c r="C209" t="s">
        <v>183</v>
      </c>
      <c r="D209">
        <v>2023</v>
      </c>
      <c r="E209" t="s">
        <v>184</v>
      </c>
      <c r="F209" t="s">
        <v>850</v>
      </c>
      <c r="G209" t="s">
        <v>135</v>
      </c>
      <c r="H209" t="s">
        <v>136</v>
      </c>
      <c r="I209" t="s">
        <v>115</v>
      </c>
      <c r="J209" t="s">
        <v>119</v>
      </c>
      <c r="K209" t="s">
        <v>209</v>
      </c>
      <c r="L209" t="s">
        <v>194</v>
      </c>
      <c r="M209">
        <v>1</v>
      </c>
      <c r="N209">
        <v>89.62</v>
      </c>
      <c r="O209">
        <v>89.62</v>
      </c>
      <c r="P209">
        <v>0</v>
      </c>
      <c r="Q209">
        <v>0</v>
      </c>
      <c r="R209">
        <v>89.62</v>
      </c>
      <c r="S209">
        <v>38.130000000000003</v>
      </c>
      <c r="T209">
        <v>51.49</v>
      </c>
      <c r="U209" t="s">
        <v>190</v>
      </c>
      <c r="V209" t="s">
        <v>159</v>
      </c>
      <c r="W209" t="s">
        <v>2097</v>
      </c>
      <c r="X209" t="s">
        <v>2111</v>
      </c>
      <c r="Y209">
        <v>317</v>
      </c>
      <c r="Z209">
        <v>477.05</v>
      </c>
      <c r="AA209">
        <v>125.5</v>
      </c>
      <c r="AB209" t="s">
        <v>66</v>
      </c>
      <c r="AC209" t="s">
        <v>20</v>
      </c>
      <c r="AD209" t="s">
        <v>2087</v>
      </c>
      <c r="AE209" t="s">
        <v>2121</v>
      </c>
    </row>
    <row r="210" spans="1:31">
      <c r="A210" t="s">
        <v>1496</v>
      </c>
      <c r="B210" s="1">
        <v>45226</v>
      </c>
      <c r="C210" t="s">
        <v>183</v>
      </c>
      <c r="D210">
        <v>2023</v>
      </c>
      <c r="E210" t="s">
        <v>184</v>
      </c>
      <c r="F210" t="s">
        <v>1497</v>
      </c>
      <c r="G210" t="s">
        <v>129</v>
      </c>
      <c r="H210" t="s">
        <v>130</v>
      </c>
      <c r="I210" t="s">
        <v>115</v>
      </c>
      <c r="J210" t="s">
        <v>124</v>
      </c>
      <c r="K210" t="s">
        <v>156</v>
      </c>
      <c r="L210" t="s">
        <v>204</v>
      </c>
      <c r="M210">
        <v>1</v>
      </c>
      <c r="N210">
        <v>99.34</v>
      </c>
      <c r="O210">
        <v>99.34</v>
      </c>
      <c r="P210">
        <v>0</v>
      </c>
      <c r="Q210">
        <v>0</v>
      </c>
      <c r="R210">
        <v>99.34</v>
      </c>
      <c r="S210">
        <v>37.35</v>
      </c>
      <c r="T210">
        <v>61.99</v>
      </c>
      <c r="U210" t="s">
        <v>180</v>
      </c>
      <c r="V210" t="s">
        <v>159</v>
      </c>
      <c r="W210" t="s">
        <v>2090</v>
      </c>
      <c r="X210" t="s">
        <v>2091</v>
      </c>
      <c r="Y210">
        <v>197</v>
      </c>
      <c r="Z210">
        <v>273.62</v>
      </c>
      <c r="AA210">
        <v>68.900000000000006</v>
      </c>
      <c r="AB210" t="s">
        <v>90</v>
      </c>
      <c r="AC210" t="s">
        <v>20</v>
      </c>
      <c r="AD210" t="s">
        <v>2087</v>
      </c>
      <c r="AE210" t="s">
        <v>2107</v>
      </c>
    </row>
    <row r="211" spans="1:31">
      <c r="A211" t="s">
        <v>634</v>
      </c>
      <c r="B211" s="1">
        <v>45225</v>
      </c>
      <c r="C211" t="s">
        <v>183</v>
      </c>
      <c r="D211">
        <v>2023</v>
      </c>
      <c r="E211" t="s">
        <v>184</v>
      </c>
      <c r="F211" t="s">
        <v>594</v>
      </c>
      <c r="G211" t="s">
        <v>33</v>
      </c>
      <c r="H211" t="s">
        <v>34</v>
      </c>
      <c r="I211" t="s">
        <v>14</v>
      </c>
      <c r="J211" t="s">
        <v>27</v>
      </c>
      <c r="K211" t="s">
        <v>209</v>
      </c>
      <c r="L211" t="s">
        <v>232</v>
      </c>
      <c r="M211">
        <v>2</v>
      </c>
      <c r="N211">
        <v>124.26</v>
      </c>
      <c r="O211">
        <v>248.52</v>
      </c>
      <c r="P211">
        <v>15</v>
      </c>
      <c r="Q211">
        <v>37.28</v>
      </c>
      <c r="R211">
        <v>211.24</v>
      </c>
      <c r="S211">
        <v>105.24</v>
      </c>
      <c r="T211">
        <v>106</v>
      </c>
      <c r="U211" t="s">
        <v>180</v>
      </c>
      <c r="V211" t="s">
        <v>159</v>
      </c>
      <c r="W211" t="s">
        <v>2097</v>
      </c>
      <c r="X211" t="s">
        <v>2100</v>
      </c>
      <c r="Y211">
        <v>349</v>
      </c>
      <c r="Z211">
        <v>538.1</v>
      </c>
      <c r="AA211">
        <v>67.239999999999995</v>
      </c>
      <c r="AB211" t="s">
        <v>115</v>
      </c>
      <c r="AC211" t="s">
        <v>20</v>
      </c>
      <c r="AD211" t="s">
        <v>2095</v>
      </c>
      <c r="AE211" t="s">
        <v>2107</v>
      </c>
    </row>
    <row r="212" spans="1:31">
      <c r="A212" t="s">
        <v>560</v>
      </c>
      <c r="B212" s="1">
        <v>45225</v>
      </c>
      <c r="C212" t="s">
        <v>183</v>
      </c>
      <c r="D212">
        <v>2023</v>
      </c>
      <c r="E212" t="s">
        <v>184</v>
      </c>
      <c r="F212" t="s">
        <v>561</v>
      </c>
      <c r="G212" t="s">
        <v>86</v>
      </c>
      <c r="H212" t="s">
        <v>87</v>
      </c>
      <c r="I212" t="s">
        <v>66</v>
      </c>
      <c r="J212" t="s">
        <v>67</v>
      </c>
      <c r="K212" t="s">
        <v>209</v>
      </c>
      <c r="L212" t="s">
        <v>174</v>
      </c>
      <c r="M212">
        <v>2</v>
      </c>
      <c r="N212">
        <v>124.77</v>
      </c>
      <c r="O212">
        <v>249.54</v>
      </c>
      <c r="P212">
        <v>0</v>
      </c>
      <c r="Q212">
        <v>0</v>
      </c>
      <c r="R212">
        <v>249.54</v>
      </c>
      <c r="S212">
        <v>139.28</v>
      </c>
      <c r="T212">
        <v>110.26</v>
      </c>
      <c r="U212" t="s">
        <v>195</v>
      </c>
      <c r="V212" t="s">
        <v>186</v>
      </c>
      <c r="W212" t="s">
        <v>2090</v>
      </c>
      <c r="X212" t="s">
        <v>2086</v>
      </c>
      <c r="Y212">
        <v>237</v>
      </c>
      <c r="Z212">
        <v>95.63</v>
      </c>
      <c r="AA212">
        <v>115.8</v>
      </c>
      <c r="AB212" t="s">
        <v>41</v>
      </c>
      <c r="AC212" t="s">
        <v>16</v>
      </c>
      <c r="AD212" t="s">
        <v>2087</v>
      </c>
      <c r="AE212" t="s">
        <v>2088</v>
      </c>
    </row>
    <row r="213" spans="1:31">
      <c r="A213" t="s">
        <v>1613</v>
      </c>
      <c r="B213" s="1">
        <v>45224</v>
      </c>
      <c r="C213" t="s">
        <v>183</v>
      </c>
      <c r="D213">
        <v>2023</v>
      </c>
      <c r="E213" t="s">
        <v>184</v>
      </c>
      <c r="F213" t="s">
        <v>1540</v>
      </c>
      <c r="G213" t="s">
        <v>88</v>
      </c>
      <c r="H213" t="s">
        <v>89</v>
      </c>
      <c r="I213" t="s">
        <v>90</v>
      </c>
      <c r="J213" t="s">
        <v>91</v>
      </c>
      <c r="K213" t="s">
        <v>209</v>
      </c>
      <c r="L213" t="s">
        <v>157</v>
      </c>
      <c r="M213">
        <v>3</v>
      </c>
      <c r="N213">
        <v>54.64</v>
      </c>
      <c r="O213">
        <v>163.92000000000002</v>
      </c>
      <c r="P213">
        <v>0</v>
      </c>
      <c r="Q213">
        <v>0</v>
      </c>
      <c r="R213">
        <v>163.92</v>
      </c>
      <c r="S213">
        <v>60.96</v>
      </c>
      <c r="T213">
        <v>102.96</v>
      </c>
      <c r="U213" t="s">
        <v>166</v>
      </c>
      <c r="V213" t="s">
        <v>159</v>
      </c>
      <c r="W213" t="s">
        <v>2099</v>
      </c>
      <c r="X213" t="s">
        <v>2111</v>
      </c>
      <c r="Y213">
        <v>72</v>
      </c>
      <c r="Z213">
        <v>80.930000000000007</v>
      </c>
      <c r="AA213">
        <v>58.63</v>
      </c>
      <c r="AB213" t="s">
        <v>90</v>
      </c>
      <c r="AC213" t="s">
        <v>20</v>
      </c>
      <c r="AD213" t="s">
        <v>2106</v>
      </c>
      <c r="AE213" t="s">
        <v>2096</v>
      </c>
    </row>
    <row r="214" spans="1:31">
      <c r="A214" t="s">
        <v>1677</v>
      </c>
      <c r="B214" s="1">
        <v>45223</v>
      </c>
      <c r="C214" t="s">
        <v>183</v>
      </c>
      <c r="D214">
        <v>2023</v>
      </c>
      <c r="E214" t="s">
        <v>184</v>
      </c>
      <c r="F214" t="s">
        <v>1678</v>
      </c>
      <c r="G214" t="s">
        <v>122</v>
      </c>
      <c r="H214" t="s">
        <v>123</v>
      </c>
      <c r="I214" t="s">
        <v>115</v>
      </c>
      <c r="J214" t="s">
        <v>124</v>
      </c>
      <c r="K214" t="s">
        <v>209</v>
      </c>
      <c r="L214" t="s">
        <v>174</v>
      </c>
      <c r="M214">
        <v>2</v>
      </c>
      <c r="N214">
        <v>93.88</v>
      </c>
      <c r="O214">
        <v>187.76</v>
      </c>
      <c r="P214">
        <v>15</v>
      </c>
      <c r="Q214">
        <v>28.16</v>
      </c>
      <c r="R214">
        <v>159.6</v>
      </c>
      <c r="S214">
        <v>106.22</v>
      </c>
      <c r="T214">
        <v>53.38</v>
      </c>
      <c r="U214" t="s">
        <v>190</v>
      </c>
      <c r="V214" t="s">
        <v>186</v>
      </c>
      <c r="W214" t="s">
        <v>2090</v>
      </c>
      <c r="X214" t="s">
        <v>2091</v>
      </c>
      <c r="Y214">
        <v>69</v>
      </c>
      <c r="Z214">
        <v>112.71</v>
      </c>
      <c r="AA214">
        <v>51.39</v>
      </c>
      <c r="AB214" t="s">
        <v>90</v>
      </c>
      <c r="AC214" t="s">
        <v>16</v>
      </c>
      <c r="AD214" t="s">
        <v>2106</v>
      </c>
      <c r="AE214" t="s">
        <v>2096</v>
      </c>
    </row>
    <row r="215" spans="1:31">
      <c r="A215" t="s">
        <v>1121</v>
      </c>
      <c r="B215" s="1">
        <v>45223</v>
      </c>
      <c r="C215" t="s">
        <v>183</v>
      </c>
      <c r="D215">
        <v>2023</v>
      </c>
      <c r="E215" t="s">
        <v>184</v>
      </c>
      <c r="F215" t="s">
        <v>1122</v>
      </c>
      <c r="G215" t="s">
        <v>88</v>
      </c>
      <c r="H215" t="s">
        <v>89</v>
      </c>
      <c r="I215" t="s">
        <v>90</v>
      </c>
      <c r="J215" t="s">
        <v>91</v>
      </c>
      <c r="K215" t="s">
        <v>156</v>
      </c>
      <c r="L215" t="s">
        <v>174</v>
      </c>
      <c r="M215">
        <v>2</v>
      </c>
      <c r="N215">
        <v>54.64</v>
      </c>
      <c r="O215">
        <v>109.28</v>
      </c>
      <c r="P215">
        <v>15</v>
      </c>
      <c r="Q215">
        <v>16.39</v>
      </c>
      <c r="R215">
        <v>92.89</v>
      </c>
      <c r="S215">
        <v>40.64</v>
      </c>
      <c r="T215">
        <v>52.25</v>
      </c>
      <c r="U215" t="s">
        <v>180</v>
      </c>
      <c r="V215" t="s">
        <v>181</v>
      </c>
      <c r="W215" t="s">
        <v>2090</v>
      </c>
      <c r="X215" t="s">
        <v>2086</v>
      </c>
      <c r="Y215">
        <v>147</v>
      </c>
      <c r="Z215">
        <v>213.63</v>
      </c>
      <c r="AA215">
        <v>106.07</v>
      </c>
      <c r="AB215" t="s">
        <v>115</v>
      </c>
      <c r="AC215" t="s">
        <v>16</v>
      </c>
      <c r="AD215" t="s">
        <v>2095</v>
      </c>
      <c r="AE215" t="s">
        <v>2107</v>
      </c>
    </row>
    <row r="216" spans="1:31">
      <c r="A216" t="s">
        <v>1518</v>
      </c>
      <c r="B216" s="1">
        <v>45223</v>
      </c>
      <c r="C216" t="s">
        <v>183</v>
      </c>
      <c r="D216">
        <v>2023</v>
      </c>
      <c r="E216" t="s">
        <v>184</v>
      </c>
      <c r="F216" t="s">
        <v>1519</v>
      </c>
      <c r="G216" t="s">
        <v>103</v>
      </c>
      <c r="H216" t="s">
        <v>104</v>
      </c>
      <c r="I216" t="s">
        <v>90</v>
      </c>
      <c r="J216" t="s">
        <v>94</v>
      </c>
      <c r="K216" t="s">
        <v>209</v>
      </c>
      <c r="L216" t="s">
        <v>174</v>
      </c>
      <c r="M216">
        <v>2</v>
      </c>
      <c r="N216">
        <v>98.58</v>
      </c>
      <c r="O216">
        <v>197.16</v>
      </c>
      <c r="P216">
        <v>5</v>
      </c>
      <c r="Q216">
        <v>9.86</v>
      </c>
      <c r="R216">
        <v>187.3</v>
      </c>
      <c r="S216">
        <v>105.14</v>
      </c>
      <c r="T216">
        <v>82.16</v>
      </c>
      <c r="U216" t="s">
        <v>195</v>
      </c>
      <c r="V216" t="s">
        <v>159</v>
      </c>
      <c r="W216" t="s">
        <v>2099</v>
      </c>
      <c r="X216" t="s">
        <v>2100</v>
      </c>
      <c r="Y216">
        <v>214</v>
      </c>
      <c r="Z216">
        <v>143.76</v>
      </c>
      <c r="AA216">
        <v>49.07</v>
      </c>
      <c r="AB216" t="s">
        <v>14</v>
      </c>
      <c r="AC216" t="s">
        <v>20</v>
      </c>
      <c r="AD216" t="s">
        <v>2106</v>
      </c>
      <c r="AE216" t="s">
        <v>2107</v>
      </c>
    </row>
    <row r="217" spans="1:31">
      <c r="A217" t="s">
        <v>1514</v>
      </c>
      <c r="B217" s="1">
        <v>45222</v>
      </c>
      <c r="C217" t="s">
        <v>183</v>
      </c>
      <c r="D217">
        <v>2023</v>
      </c>
      <c r="E217" t="s">
        <v>184</v>
      </c>
      <c r="F217" t="s">
        <v>1515</v>
      </c>
      <c r="G217" t="s">
        <v>37</v>
      </c>
      <c r="H217" t="s">
        <v>38</v>
      </c>
      <c r="I217" t="s">
        <v>14</v>
      </c>
      <c r="J217" t="s">
        <v>27</v>
      </c>
      <c r="K217" t="s">
        <v>178</v>
      </c>
      <c r="L217" t="s">
        <v>194</v>
      </c>
      <c r="M217">
        <v>1</v>
      </c>
      <c r="N217">
        <v>133.99</v>
      </c>
      <c r="O217">
        <v>133.99</v>
      </c>
      <c r="P217">
        <v>15</v>
      </c>
      <c r="Q217">
        <v>20.100000000000001</v>
      </c>
      <c r="R217">
        <v>113.89</v>
      </c>
      <c r="S217">
        <v>73.489999999999995</v>
      </c>
      <c r="T217">
        <v>40.4</v>
      </c>
      <c r="U217" t="s">
        <v>158</v>
      </c>
      <c r="V217" t="s">
        <v>159</v>
      </c>
      <c r="W217" t="s">
        <v>2093</v>
      </c>
      <c r="X217" t="s">
        <v>2086</v>
      </c>
      <c r="Y217">
        <v>312</v>
      </c>
      <c r="Z217">
        <v>105.32</v>
      </c>
      <c r="AA217">
        <v>45.84</v>
      </c>
      <c r="AB217" t="s">
        <v>115</v>
      </c>
      <c r="AC217" t="s">
        <v>16</v>
      </c>
      <c r="AD217" t="s">
        <v>2087</v>
      </c>
      <c r="AE217" t="s">
        <v>2088</v>
      </c>
    </row>
    <row r="218" spans="1:31">
      <c r="A218" t="s">
        <v>1662</v>
      </c>
      <c r="B218" s="1">
        <v>45221</v>
      </c>
      <c r="C218" t="s">
        <v>183</v>
      </c>
      <c r="D218">
        <v>2023</v>
      </c>
      <c r="E218" t="s">
        <v>184</v>
      </c>
      <c r="F218" t="s">
        <v>966</v>
      </c>
      <c r="G218" t="s">
        <v>37</v>
      </c>
      <c r="H218" t="s">
        <v>38</v>
      </c>
      <c r="I218" t="s">
        <v>14</v>
      </c>
      <c r="J218" t="s">
        <v>27</v>
      </c>
      <c r="K218" t="s">
        <v>164</v>
      </c>
      <c r="L218" t="s">
        <v>204</v>
      </c>
      <c r="M218">
        <v>3</v>
      </c>
      <c r="N218">
        <v>133.99</v>
      </c>
      <c r="O218">
        <v>401.97</v>
      </c>
      <c r="P218">
        <v>5</v>
      </c>
      <c r="Q218">
        <v>20.100000000000001</v>
      </c>
      <c r="R218">
        <v>381.87</v>
      </c>
      <c r="S218">
        <v>220.47</v>
      </c>
      <c r="T218">
        <v>161.4</v>
      </c>
      <c r="U218" t="s">
        <v>180</v>
      </c>
      <c r="V218" t="s">
        <v>186</v>
      </c>
      <c r="W218" t="s">
        <v>2099</v>
      </c>
      <c r="X218" t="s">
        <v>2111</v>
      </c>
      <c r="Y218">
        <v>319</v>
      </c>
      <c r="Z218">
        <v>131.75</v>
      </c>
      <c r="AA218">
        <v>45.39</v>
      </c>
      <c r="AB218" t="s">
        <v>14</v>
      </c>
      <c r="AC218" t="s">
        <v>20</v>
      </c>
      <c r="AD218" t="s">
        <v>2095</v>
      </c>
      <c r="AE218" t="s">
        <v>2107</v>
      </c>
    </row>
    <row r="219" spans="1:31">
      <c r="A219" t="s">
        <v>1581</v>
      </c>
      <c r="B219" s="1">
        <v>45221</v>
      </c>
      <c r="C219" t="s">
        <v>183</v>
      </c>
      <c r="D219">
        <v>2023</v>
      </c>
      <c r="E219" t="s">
        <v>184</v>
      </c>
      <c r="F219" t="s">
        <v>1582</v>
      </c>
      <c r="G219" t="s">
        <v>60</v>
      </c>
      <c r="H219" t="s">
        <v>61</v>
      </c>
      <c r="I219" t="s">
        <v>41</v>
      </c>
      <c r="J219" t="s">
        <v>59</v>
      </c>
      <c r="K219" t="s">
        <v>209</v>
      </c>
      <c r="L219" t="s">
        <v>204</v>
      </c>
      <c r="M219">
        <v>3</v>
      </c>
      <c r="N219">
        <v>103.56</v>
      </c>
      <c r="O219">
        <v>310.68</v>
      </c>
      <c r="P219">
        <v>10</v>
      </c>
      <c r="Q219">
        <v>31.07</v>
      </c>
      <c r="R219">
        <v>279.61</v>
      </c>
      <c r="S219">
        <v>133.74</v>
      </c>
      <c r="T219">
        <v>145.87</v>
      </c>
      <c r="U219" t="s">
        <v>158</v>
      </c>
      <c r="V219" t="s">
        <v>159</v>
      </c>
      <c r="W219" t="s">
        <v>2085</v>
      </c>
      <c r="X219" t="s">
        <v>2100</v>
      </c>
      <c r="Y219">
        <v>76</v>
      </c>
      <c r="Z219">
        <v>2617.77</v>
      </c>
      <c r="AA219">
        <v>197.57</v>
      </c>
      <c r="AB219" t="s">
        <v>115</v>
      </c>
      <c r="AC219" t="s">
        <v>20</v>
      </c>
      <c r="AD219" t="s">
        <v>2106</v>
      </c>
      <c r="AE219" t="s">
        <v>2088</v>
      </c>
    </row>
    <row r="220" spans="1:31">
      <c r="A220" t="s">
        <v>200</v>
      </c>
      <c r="B220" s="1">
        <v>45221</v>
      </c>
      <c r="C220" t="s">
        <v>183</v>
      </c>
      <c r="D220">
        <v>2023</v>
      </c>
      <c r="E220" t="s">
        <v>184</v>
      </c>
      <c r="F220" t="s">
        <v>201</v>
      </c>
      <c r="G220" t="s">
        <v>76</v>
      </c>
      <c r="H220" t="s">
        <v>77</v>
      </c>
      <c r="I220" t="s">
        <v>66</v>
      </c>
      <c r="J220" t="s">
        <v>67</v>
      </c>
      <c r="K220" t="s">
        <v>164</v>
      </c>
      <c r="L220" t="s">
        <v>174</v>
      </c>
      <c r="M220">
        <v>1</v>
      </c>
      <c r="N220">
        <v>118.07</v>
      </c>
      <c r="O220">
        <v>118.07</v>
      </c>
      <c r="P220">
        <v>20</v>
      </c>
      <c r="Q220">
        <v>23.61</v>
      </c>
      <c r="R220">
        <v>94.46</v>
      </c>
      <c r="S220">
        <v>39.700000000000003</v>
      </c>
      <c r="T220">
        <v>54.76</v>
      </c>
      <c r="U220" t="s">
        <v>195</v>
      </c>
      <c r="V220" t="s">
        <v>159</v>
      </c>
      <c r="W220" t="s">
        <v>2099</v>
      </c>
      <c r="X220" t="s">
        <v>2091</v>
      </c>
      <c r="Y220">
        <v>29</v>
      </c>
      <c r="Z220">
        <v>116.17</v>
      </c>
      <c r="AA220">
        <v>81.28</v>
      </c>
      <c r="AB220" t="s">
        <v>14</v>
      </c>
      <c r="AC220" t="s">
        <v>16</v>
      </c>
      <c r="AD220" t="s">
        <v>2087</v>
      </c>
      <c r="AE220" t="s">
        <v>2096</v>
      </c>
    </row>
    <row r="221" spans="1:31">
      <c r="A221" t="s">
        <v>607</v>
      </c>
      <c r="B221" s="1">
        <v>45220</v>
      </c>
      <c r="C221" t="s">
        <v>183</v>
      </c>
      <c r="D221">
        <v>2023</v>
      </c>
      <c r="E221" t="s">
        <v>184</v>
      </c>
      <c r="F221" t="s">
        <v>608</v>
      </c>
      <c r="G221" t="s">
        <v>135</v>
      </c>
      <c r="H221" t="s">
        <v>136</v>
      </c>
      <c r="I221" t="s">
        <v>115</v>
      </c>
      <c r="J221" t="s">
        <v>119</v>
      </c>
      <c r="K221" t="s">
        <v>209</v>
      </c>
      <c r="L221" t="s">
        <v>157</v>
      </c>
      <c r="M221">
        <v>1</v>
      </c>
      <c r="N221">
        <v>89.62</v>
      </c>
      <c r="O221">
        <v>89.62</v>
      </c>
      <c r="P221">
        <v>15</v>
      </c>
      <c r="Q221">
        <v>13.44</v>
      </c>
      <c r="R221">
        <v>76.180000000000007</v>
      </c>
      <c r="S221">
        <v>38.130000000000003</v>
      </c>
      <c r="T221">
        <v>38.049999999999997</v>
      </c>
      <c r="U221" t="s">
        <v>180</v>
      </c>
      <c r="V221" t="s">
        <v>159</v>
      </c>
      <c r="W221" t="s">
        <v>2099</v>
      </c>
      <c r="X221" t="s">
        <v>2086</v>
      </c>
      <c r="Y221">
        <v>12</v>
      </c>
      <c r="Z221">
        <v>43.01</v>
      </c>
      <c r="AA221">
        <v>42.73</v>
      </c>
      <c r="AB221" t="s">
        <v>115</v>
      </c>
      <c r="AC221" t="s">
        <v>16</v>
      </c>
      <c r="AD221" t="s">
        <v>2087</v>
      </c>
      <c r="AE221" t="s">
        <v>2096</v>
      </c>
    </row>
    <row r="222" spans="1:31">
      <c r="A222" t="s">
        <v>1875</v>
      </c>
      <c r="B222" s="1">
        <v>45220</v>
      </c>
      <c r="C222" t="s">
        <v>183</v>
      </c>
      <c r="D222">
        <v>2023</v>
      </c>
      <c r="E222" t="s">
        <v>184</v>
      </c>
      <c r="F222" t="s">
        <v>1876</v>
      </c>
      <c r="G222" t="s">
        <v>76</v>
      </c>
      <c r="H222" t="s">
        <v>77</v>
      </c>
      <c r="I222" t="s">
        <v>66</v>
      </c>
      <c r="J222" t="s">
        <v>67</v>
      </c>
      <c r="K222" t="s">
        <v>164</v>
      </c>
      <c r="L222" t="s">
        <v>174</v>
      </c>
      <c r="M222">
        <v>4</v>
      </c>
      <c r="N222">
        <v>118.07</v>
      </c>
      <c r="O222">
        <v>472.28</v>
      </c>
      <c r="P222">
        <v>0</v>
      </c>
      <c r="Q222">
        <v>0</v>
      </c>
      <c r="R222">
        <v>472.28</v>
      </c>
      <c r="S222">
        <v>158.80000000000001</v>
      </c>
      <c r="T222">
        <v>313.48</v>
      </c>
      <c r="U222" t="s">
        <v>190</v>
      </c>
      <c r="V222" t="s">
        <v>159</v>
      </c>
      <c r="W222" t="s">
        <v>2090</v>
      </c>
      <c r="X222" t="s">
        <v>2108</v>
      </c>
      <c r="Y222">
        <v>24</v>
      </c>
      <c r="Z222">
        <v>380.97</v>
      </c>
      <c r="AA222">
        <v>72.25</v>
      </c>
      <c r="AB222" t="s">
        <v>14</v>
      </c>
      <c r="AC222" t="s">
        <v>16</v>
      </c>
      <c r="AD222" t="s">
        <v>2095</v>
      </c>
      <c r="AE222" t="s">
        <v>2121</v>
      </c>
    </row>
    <row r="223" spans="1:31">
      <c r="A223" t="s">
        <v>1101</v>
      </c>
      <c r="B223" s="1">
        <v>45220</v>
      </c>
      <c r="C223" t="s">
        <v>183</v>
      </c>
      <c r="D223">
        <v>2023</v>
      </c>
      <c r="E223" t="s">
        <v>184</v>
      </c>
      <c r="F223" t="s">
        <v>1102</v>
      </c>
      <c r="G223" t="s">
        <v>86</v>
      </c>
      <c r="H223" t="s">
        <v>87</v>
      </c>
      <c r="I223" t="s">
        <v>66</v>
      </c>
      <c r="J223" t="s">
        <v>67</v>
      </c>
      <c r="K223" t="s">
        <v>209</v>
      </c>
      <c r="L223" t="s">
        <v>179</v>
      </c>
      <c r="M223">
        <v>4</v>
      </c>
      <c r="N223">
        <v>124.77</v>
      </c>
      <c r="O223">
        <v>499.08</v>
      </c>
      <c r="P223">
        <v>20</v>
      </c>
      <c r="Q223">
        <v>99.82</v>
      </c>
      <c r="R223">
        <v>399.26</v>
      </c>
      <c r="S223">
        <v>278.56</v>
      </c>
      <c r="T223">
        <v>120.7</v>
      </c>
      <c r="U223" t="s">
        <v>180</v>
      </c>
      <c r="V223" t="s">
        <v>186</v>
      </c>
      <c r="W223" t="s">
        <v>2085</v>
      </c>
      <c r="X223" t="s">
        <v>2108</v>
      </c>
      <c r="Y223">
        <v>278</v>
      </c>
      <c r="Z223">
        <v>2823.74</v>
      </c>
      <c r="AA223">
        <v>161.13</v>
      </c>
      <c r="AB223" t="s">
        <v>41</v>
      </c>
      <c r="AC223" t="s">
        <v>20</v>
      </c>
      <c r="AD223" t="s">
        <v>2087</v>
      </c>
      <c r="AE223" t="s">
        <v>2088</v>
      </c>
    </row>
    <row r="224" spans="1:31">
      <c r="A224" t="s">
        <v>545</v>
      </c>
      <c r="B224" s="1">
        <v>45219</v>
      </c>
      <c r="C224" t="s">
        <v>183</v>
      </c>
      <c r="D224">
        <v>2023</v>
      </c>
      <c r="E224" t="s">
        <v>184</v>
      </c>
      <c r="F224" t="s">
        <v>546</v>
      </c>
      <c r="G224" t="s">
        <v>117</v>
      </c>
      <c r="H224" t="s">
        <v>118</v>
      </c>
      <c r="I224" t="s">
        <v>115</v>
      </c>
      <c r="J224" t="s">
        <v>119</v>
      </c>
      <c r="K224" t="s">
        <v>209</v>
      </c>
      <c r="L224" t="s">
        <v>204</v>
      </c>
      <c r="M224">
        <v>2</v>
      </c>
      <c r="N224">
        <v>93.41</v>
      </c>
      <c r="O224">
        <v>186.82</v>
      </c>
      <c r="P224">
        <v>20</v>
      </c>
      <c r="Q224">
        <v>37.36</v>
      </c>
      <c r="R224">
        <v>149.46</v>
      </c>
      <c r="S224">
        <v>128.1</v>
      </c>
      <c r="T224">
        <v>21.36</v>
      </c>
      <c r="U224" t="s">
        <v>166</v>
      </c>
      <c r="V224" t="s">
        <v>159</v>
      </c>
      <c r="W224" t="s">
        <v>2093</v>
      </c>
      <c r="X224" t="s">
        <v>2100</v>
      </c>
      <c r="Y224">
        <v>313</v>
      </c>
      <c r="Z224">
        <v>139.79</v>
      </c>
      <c r="AA224">
        <v>32.25</v>
      </c>
      <c r="AB224" t="s">
        <v>14</v>
      </c>
      <c r="AC224" t="s">
        <v>16</v>
      </c>
      <c r="AD224" t="s">
        <v>2087</v>
      </c>
      <c r="AE224" t="s">
        <v>2109</v>
      </c>
    </row>
    <row r="225" spans="1:31">
      <c r="A225" t="s">
        <v>1728</v>
      </c>
      <c r="B225" s="1">
        <v>45219</v>
      </c>
      <c r="C225" t="s">
        <v>183</v>
      </c>
      <c r="D225">
        <v>2023</v>
      </c>
      <c r="E225" t="s">
        <v>184</v>
      </c>
      <c r="F225" t="s">
        <v>1710</v>
      </c>
      <c r="G225" t="s">
        <v>39</v>
      </c>
      <c r="H225" t="s">
        <v>40</v>
      </c>
      <c r="I225" t="s">
        <v>41</v>
      </c>
      <c r="J225" t="s">
        <v>42</v>
      </c>
      <c r="K225" t="s">
        <v>209</v>
      </c>
      <c r="L225" t="s">
        <v>204</v>
      </c>
      <c r="M225">
        <v>4</v>
      </c>
      <c r="N225">
        <v>35.11</v>
      </c>
      <c r="O225">
        <v>140.44</v>
      </c>
      <c r="P225">
        <v>20</v>
      </c>
      <c r="Q225">
        <v>28.09</v>
      </c>
      <c r="R225">
        <v>112.35</v>
      </c>
      <c r="S225">
        <v>99.48</v>
      </c>
      <c r="T225">
        <v>12.87</v>
      </c>
      <c r="U225" t="s">
        <v>180</v>
      </c>
      <c r="V225" t="s">
        <v>159</v>
      </c>
      <c r="W225" t="s">
        <v>2090</v>
      </c>
      <c r="X225" t="s">
        <v>2100</v>
      </c>
      <c r="Y225">
        <v>307</v>
      </c>
      <c r="Z225">
        <v>353.11</v>
      </c>
      <c r="AA225">
        <v>115.99</v>
      </c>
      <c r="AB225" t="s">
        <v>14</v>
      </c>
      <c r="AC225" t="s">
        <v>20</v>
      </c>
      <c r="AD225" t="s">
        <v>2087</v>
      </c>
      <c r="AE225" t="s">
        <v>2121</v>
      </c>
    </row>
    <row r="226" spans="1:31">
      <c r="A226" t="s">
        <v>1438</v>
      </c>
      <c r="B226" s="1">
        <v>45219</v>
      </c>
      <c r="C226" t="s">
        <v>183</v>
      </c>
      <c r="D226">
        <v>2023</v>
      </c>
      <c r="E226" t="s">
        <v>184</v>
      </c>
      <c r="F226" t="s">
        <v>1310</v>
      </c>
      <c r="G226" t="s">
        <v>92</v>
      </c>
      <c r="H226" t="s">
        <v>93</v>
      </c>
      <c r="I226" t="s">
        <v>90</v>
      </c>
      <c r="J226" t="s">
        <v>94</v>
      </c>
      <c r="K226" t="s">
        <v>156</v>
      </c>
      <c r="L226" t="s">
        <v>157</v>
      </c>
      <c r="M226">
        <v>4</v>
      </c>
      <c r="N226">
        <v>230.34</v>
      </c>
      <c r="O226">
        <v>921.36</v>
      </c>
      <c r="P226">
        <v>15</v>
      </c>
      <c r="Q226">
        <v>138.19999999999999</v>
      </c>
      <c r="R226">
        <v>783.16</v>
      </c>
      <c r="S226">
        <v>298.72000000000003</v>
      </c>
      <c r="T226">
        <v>484.44</v>
      </c>
      <c r="U226" t="s">
        <v>158</v>
      </c>
      <c r="V226" t="s">
        <v>159</v>
      </c>
      <c r="W226" t="s">
        <v>2097</v>
      </c>
      <c r="X226" t="s">
        <v>2086</v>
      </c>
      <c r="Y226">
        <v>98</v>
      </c>
      <c r="Z226">
        <v>552.4</v>
      </c>
      <c r="AA226">
        <v>79.52</v>
      </c>
      <c r="AB226" t="s">
        <v>66</v>
      </c>
      <c r="AC226" t="s">
        <v>16</v>
      </c>
      <c r="AD226" t="s">
        <v>2087</v>
      </c>
      <c r="AE226" t="s">
        <v>2107</v>
      </c>
    </row>
    <row r="227" spans="1:31">
      <c r="A227" t="s">
        <v>1658</v>
      </c>
      <c r="B227" s="1">
        <v>45219</v>
      </c>
      <c r="C227" t="s">
        <v>183</v>
      </c>
      <c r="D227">
        <v>2023</v>
      </c>
      <c r="E227" t="s">
        <v>184</v>
      </c>
      <c r="F227" t="s">
        <v>1659</v>
      </c>
      <c r="G227" t="s">
        <v>21</v>
      </c>
      <c r="H227" t="s">
        <v>22</v>
      </c>
      <c r="I227" t="s">
        <v>14</v>
      </c>
      <c r="J227" t="s">
        <v>15</v>
      </c>
      <c r="K227" t="s">
        <v>178</v>
      </c>
      <c r="L227" t="s">
        <v>179</v>
      </c>
      <c r="M227">
        <v>1</v>
      </c>
      <c r="N227">
        <v>65.430000000000007</v>
      </c>
      <c r="O227">
        <v>65.430000000000007</v>
      </c>
      <c r="P227">
        <v>0</v>
      </c>
      <c r="Q227">
        <v>0</v>
      </c>
      <c r="R227">
        <v>65.430000000000007</v>
      </c>
      <c r="S227">
        <v>38.69</v>
      </c>
      <c r="T227">
        <v>26.74</v>
      </c>
      <c r="U227" t="s">
        <v>180</v>
      </c>
      <c r="V227" t="s">
        <v>159</v>
      </c>
      <c r="W227" t="s">
        <v>2090</v>
      </c>
      <c r="X227" t="s">
        <v>2086</v>
      </c>
      <c r="Y227">
        <v>331</v>
      </c>
      <c r="Z227">
        <v>264.3</v>
      </c>
      <c r="AA227">
        <v>73.36</v>
      </c>
      <c r="AB227" t="s">
        <v>66</v>
      </c>
      <c r="AC227" t="s">
        <v>16</v>
      </c>
      <c r="AD227" t="s">
        <v>2087</v>
      </c>
      <c r="AE227" t="s">
        <v>2109</v>
      </c>
    </row>
    <row r="228" spans="1:31">
      <c r="A228" t="s">
        <v>683</v>
      </c>
      <c r="B228" s="1">
        <v>45218</v>
      </c>
      <c r="C228" t="s">
        <v>183</v>
      </c>
      <c r="D228">
        <v>2023</v>
      </c>
      <c r="E228" t="s">
        <v>184</v>
      </c>
      <c r="F228" t="s">
        <v>684</v>
      </c>
      <c r="G228" t="s">
        <v>68</v>
      </c>
      <c r="H228" t="s">
        <v>69</v>
      </c>
      <c r="I228" t="s">
        <v>66</v>
      </c>
      <c r="J228" t="s">
        <v>70</v>
      </c>
      <c r="K228" t="s">
        <v>156</v>
      </c>
      <c r="L228" t="s">
        <v>204</v>
      </c>
      <c r="M228">
        <v>2</v>
      </c>
      <c r="N228">
        <v>98.51</v>
      </c>
      <c r="O228">
        <v>197.02</v>
      </c>
      <c r="P228">
        <v>5</v>
      </c>
      <c r="Q228">
        <v>9.85</v>
      </c>
      <c r="R228">
        <v>187.17</v>
      </c>
      <c r="S228">
        <v>110.34</v>
      </c>
      <c r="T228">
        <v>76.83</v>
      </c>
      <c r="U228" t="s">
        <v>166</v>
      </c>
      <c r="V228" t="s">
        <v>159</v>
      </c>
      <c r="W228" t="s">
        <v>2085</v>
      </c>
      <c r="X228" t="s">
        <v>2108</v>
      </c>
      <c r="Y228">
        <v>208</v>
      </c>
      <c r="Z228">
        <v>895.34</v>
      </c>
      <c r="AA228">
        <v>199.74</v>
      </c>
      <c r="AB228" t="s">
        <v>115</v>
      </c>
      <c r="AC228" t="s">
        <v>20</v>
      </c>
      <c r="AD228" t="s">
        <v>2087</v>
      </c>
      <c r="AE228" t="s">
        <v>2109</v>
      </c>
    </row>
    <row r="229" spans="1:31">
      <c r="A229" t="s">
        <v>847</v>
      </c>
      <c r="B229" s="1">
        <v>45218</v>
      </c>
      <c r="C229" t="s">
        <v>183</v>
      </c>
      <c r="D229">
        <v>2023</v>
      </c>
      <c r="E229" t="s">
        <v>184</v>
      </c>
      <c r="F229" t="s">
        <v>848</v>
      </c>
      <c r="G229" t="s">
        <v>64</v>
      </c>
      <c r="H229" t="s">
        <v>65</v>
      </c>
      <c r="I229" t="s">
        <v>66</v>
      </c>
      <c r="J229" t="s">
        <v>67</v>
      </c>
      <c r="K229" t="s">
        <v>178</v>
      </c>
      <c r="L229" t="s">
        <v>232</v>
      </c>
      <c r="M229">
        <v>2</v>
      </c>
      <c r="N229">
        <v>24.9</v>
      </c>
      <c r="O229">
        <v>49.8</v>
      </c>
      <c r="P229">
        <v>5</v>
      </c>
      <c r="Q229">
        <v>2.4900000000000002</v>
      </c>
      <c r="R229">
        <v>47.31</v>
      </c>
      <c r="S229">
        <v>43.04</v>
      </c>
      <c r="T229">
        <v>4.2699999999999996</v>
      </c>
      <c r="U229" t="s">
        <v>190</v>
      </c>
      <c r="V229" t="s">
        <v>186</v>
      </c>
      <c r="W229" t="s">
        <v>2090</v>
      </c>
      <c r="X229" t="s">
        <v>2111</v>
      </c>
      <c r="Y229">
        <v>5</v>
      </c>
      <c r="Z229">
        <v>323.27999999999997</v>
      </c>
      <c r="AA229">
        <v>59.51</v>
      </c>
      <c r="AB229" t="s">
        <v>90</v>
      </c>
      <c r="AC229" t="s">
        <v>16</v>
      </c>
      <c r="AD229" t="s">
        <v>2087</v>
      </c>
      <c r="AE229" t="s">
        <v>2107</v>
      </c>
    </row>
    <row r="230" spans="1:31">
      <c r="A230" t="s">
        <v>1089</v>
      </c>
      <c r="B230" s="1">
        <v>45218</v>
      </c>
      <c r="C230" t="s">
        <v>183</v>
      </c>
      <c r="D230">
        <v>2023</v>
      </c>
      <c r="E230" t="s">
        <v>184</v>
      </c>
      <c r="F230" t="s">
        <v>1090</v>
      </c>
      <c r="G230" t="s">
        <v>80</v>
      </c>
      <c r="H230" t="s">
        <v>81</v>
      </c>
      <c r="I230" t="s">
        <v>66</v>
      </c>
      <c r="J230" t="s">
        <v>70</v>
      </c>
      <c r="K230" t="s">
        <v>164</v>
      </c>
      <c r="L230" t="s">
        <v>157</v>
      </c>
      <c r="M230">
        <v>4</v>
      </c>
      <c r="N230">
        <v>106.06</v>
      </c>
      <c r="O230">
        <v>424.24</v>
      </c>
      <c r="P230">
        <v>20</v>
      </c>
      <c r="Q230">
        <v>84.85</v>
      </c>
      <c r="R230">
        <v>339.39</v>
      </c>
      <c r="S230">
        <v>133.68</v>
      </c>
      <c r="T230">
        <v>205.71</v>
      </c>
      <c r="U230" t="s">
        <v>166</v>
      </c>
      <c r="V230" t="s">
        <v>186</v>
      </c>
      <c r="W230" t="s">
        <v>2085</v>
      </c>
      <c r="X230" t="s">
        <v>2108</v>
      </c>
      <c r="Y230">
        <v>221</v>
      </c>
      <c r="Z230">
        <v>2713.05</v>
      </c>
      <c r="AA230">
        <v>286.62</v>
      </c>
      <c r="AB230" t="s">
        <v>115</v>
      </c>
      <c r="AC230" t="s">
        <v>20</v>
      </c>
      <c r="AD230" t="s">
        <v>2095</v>
      </c>
      <c r="AE230" t="s">
        <v>2107</v>
      </c>
    </row>
    <row r="231" spans="1:31">
      <c r="A231" t="s">
        <v>1381</v>
      </c>
      <c r="B231" s="1">
        <v>45217</v>
      </c>
      <c r="C231" t="s">
        <v>183</v>
      </c>
      <c r="D231">
        <v>2023</v>
      </c>
      <c r="E231" t="s">
        <v>184</v>
      </c>
      <c r="F231" t="s">
        <v>1382</v>
      </c>
      <c r="G231" t="s">
        <v>60</v>
      </c>
      <c r="H231" t="s">
        <v>61</v>
      </c>
      <c r="I231" t="s">
        <v>41</v>
      </c>
      <c r="J231" t="s">
        <v>59</v>
      </c>
      <c r="K231" t="s">
        <v>178</v>
      </c>
      <c r="L231" t="s">
        <v>194</v>
      </c>
      <c r="M231">
        <v>4</v>
      </c>
      <c r="N231">
        <v>103.56</v>
      </c>
      <c r="O231">
        <v>414.24</v>
      </c>
      <c r="P231">
        <v>0</v>
      </c>
      <c r="Q231">
        <v>0</v>
      </c>
      <c r="R231">
        <v>414.24</v>
      </c>
      <c r="S231">
        <v>178.32</v>
      </c>
      <c r="T231">
        <v>235.92</v>
      </c>
      <c r="U231" t="s">
        <v>180</v>
      </c>
      <c r="V231" t="s">
        <v>159</v>
      </c>
      <c r="W231" t="s">
        <v>2093</v>
      </c>
      <c r="X231" t="s">
        <v>2108</v>
      </c>
      <c r="Y231">
        <v>172</v>
      </c>
      <c r="Z231">
        <v>177.7</v>
      </c>
      <c r="AA231">
        <v>39.51</v>
      </c>
      <c r="AB231" t="s">
        <v>115</v>
      </c>
      <c r="AC231" t="s">
        <v>20</v>
      </c>
      <c r="AD231" t="s">
        <v>2087</v>
      </c>
      <c r="AE231" t="s">
        <v>2107</v>
      </c>
    </row>
    <row r="232" spans="1:31">
      <c r="A232" t="s">
        <v>867</v>
      </c>
      <c r="B232" s="1">
        <v>45217</v>
      </c>
      <c r="C232" t="s">
        <v>183</v>
      </c>
      <c r="D232">
        <v>2023</v>
      </c>
      <c r="E232" t="s">
        <v>184</v>
      </c>
      <c r="F232" t="s">
        <v>868</v>
      </c>
      <c r="G232" t="s">
        <v>73</v>
      </c>
      <c r="H232" t="s">
        <v>74</v>
      </c>
      <c r="I232" t="s">
        <v>66</v>
      </c>
      <c r="J232" t="s">
        <v>75</v>
      </c>
      <c r="K232" t="s">
        <v>178</v>
      </c>
      <c r="L232" t="s">
        <v>157</v>
      </c>
      <c r="M232">
        <v>1</v>
      </c>
      <c r="N232">
        <v>53.95</v>
      </c>
      <c r="O232">
        <v>53.95</v>
      </c>
      <c r="P232">
        <v>5</v>
      </c>
      <c r="Q232">
        <v>2.7</v>
      </c>
      <c r="R232">
        <v>51.25</v>
      </c>
      <c r="S232">
        <v>35.200000000000003</v>
      </c>
      <c r="T232">
        <v>16.05</v>
      </c>
      <c r="U232" t="s">
        <v>195</v>
      </c>
      <c r="V232" t="s">
        <v>159</v>
      </c>
      <c r="W232" t="s">
        <v>2090</v>
      </c>
      <c r="X232" t="s">
        <v>2091</v>
      </c>
      <c r="Y232">
        <v>244</v>
      </c>
      <c r="Z232">
        <v>165.36</v>
      </c>
      <c r="AA232">
        <v>84.21</v>
      </c>
      <c r="AB232" t="s">
        <v>14</v>
      </c>
      <c r="AC232" t="s">
        <v>20</v>
      </c>
      <c r="AD232" t="s">
        <v>2106</v>
      </c>
      <c r="AE232" t="s">
        <v>2107</v>
      </c>
    </row>
    <row r="233" spans="1:31">
      <c r="A233" t="s">
        <v>1938</v>
      </c>
      <c r="B233" s="1">
        <v>45217</v>
      </c>
      <c r="C233" t="s">
        <v>183</v>
      </c>
      <c r="D233">
        <v>2023</v>
      </c>
      <c r="E233" t="s">
        <v>184</v>
      </c>
      <c r="F233" t="s">
        <v>1939</v>
      </c>
      <c r="G233" t="s">
        <v>28</v>
      </c>
      <c r="H233" t="s">
        <v>29</v>
      </c>
      <c r="I233" t="s">
        <v>14</v>
      </c>
      <c r="J233" t="s">
        <v>19</v>
      </c>
      <c r="K233" t="s">
        <v>209</v>
      </c>
      <c r="L233" t="s">
        <v>165</v>
      </c>
      <c r="M233">
        <v>3</v>
      </c>
      <c r="N233">
        <v>26.46</v>
      </c>
      <c r="O233">
        <v>79.38</v>
      </c>
      <c r="P233">
        <v>0</v>
      </c>
      <c r="Q233">
        <v>0</v>
      </c>
      <c r="R233">
        <v>79.38</v>
      </c>
      <c r="S233">
        <v>58.26</v>
      </c>
      <c r="T233">
        <v>21.12</v>
      </c>
      <c r="U233" t="s">
        <v>166</v>
      </c>
      <c r="V233" t="s">
        <v>186</v>
      </c>
      <c r="W233" t="s">
        <v>2113</v>
      </c>
      <c r="X233" t="s">
        <v>2086</v>
      </c>
      <c r="Y233">
        <v>235</v>
      </c>
      <c r="Z233">
        <v>199.49</v>
      </c>
      <c r="AA233">
        <v>78.569999999999993</v>
      </c>
      <c r="AB233" t="s">
        <v>14</v>
      </c>
      <c r="AC233" t="s">
        <v>16</v>
      </c>
      <c r="AD233" t="s">
        <v>2095</v>
      </c>
      <c r="AE233" t="s">
        <v>2109</v>
      </c>
    </row>
    <row r="234" spans="1:31">
      <c r="A234" t="s">
        <v>1767</v>
      </c>
      <c r="B234" s="1">
        <v>45216</v>
      </c>
      <c r="C234" t="s">
        <v>183</v>
      </c>
      <c r="D234">
        <v>2023</v>
      </c>
      <c r="E234" t="s">
        <v>184</v>
      </c>
      <c r="F234" t="s">
        <v>1768</v>
      </c>
      <c r="G234" t="s">
        <v>60</v>
      </c>
      <c r="H234" t="s">
        <v>61</v>
      </c>
      <c r="I234" t="s">
        <v>41</v>
      </c>
      <c r="J234" t="s">
        <v>59</v>
      </c>
      <c r="K234" t="s">
        <v>164</v>
      </c>
      <c r="L234" t="s">
        <v>194</v>
      </c>
      <c r="M234">
        <v>2</v>
      </c>
      <c r="N234">
        <v>103.56</v>
      </c>
      <c r="O234">
        <v>207.12</v>
      </c>
      <c r="P234">
        <v>20</v>
      </c>
      <c r="Q234">
        <v>41.42</v>
      </c>
      <c r="R234">
        <v>165.7</v>
      </c>
      <c r="S234">
        <v>89.16</v>
      </c>
      <c r="T234">
        <v>76.540000000000006</v>
      </c>
      <c r="U234" t="s">
        <v>158</v>
      </c>
      <c r="V234" t="s">
        <v>186</v>
      </c>
      <c r="W234" t="s">
        <v>2085</v>
      </c>
      <c r="X234" t="s">
        <v>2111</v>
      </c>
      <c r="Y234">
        <v>64</v>
      </c>
      <c r="Z234">
        <v>2381.6</v>
      </c>
      <c r="AA234">
        <v>290.58</v>
      </c>
      <c r="AB234" t="s">
        <v>90</v>
      </c>
      <c r="AC234" t="s">
        <v>16</v>
      </c>
      <c r="AD234" t="s">
        <v>2106</v>
      </c>
      <c r="AE234" t="s">
        <v>2107</v>
      </c>
    </row>
    <row r="235" spans="1:31">
      <c r="A235" t="s">
        <v>922</v>
      </c>
      <c r="B235" s="1">
        <v>45216</v>
      </c>
      <c r="C235" t="s">
        <v>183</v>
      </c>
      <c r="D235">
        <v>2023</v>
      </c>
      <c r="E235" t="s">
        <v>184</v>
      </c>
      <c r="F235" t="s">
        <v>923</v>
      </c>
      <c r="G235" t="s">
        <v>101</v>
      </c>
      <c r="H235" t="s">
        <v>102</v>
      </c>
      <c r="I235" t="s">
        <v>90</v>
      </c>
      <c r="J235" t="s">
        <v>100</v>
      </c>
      <c r="K235" t="s">
        <v>178</v>
      </c>
      <c r="L235" t="s">
        <v>204</v>
      </c>
      <c r="M235">
        <v>4</v>
      </c>
      <c r="N235">
        <v>196.28</v>
      </c>
      <c r="O235">
        <v>785.12</v>
      </c>
      <c r="P235">
        <v>0</v>
      </c>
      <c r="Q235">
        <v>0</v>
      </c>
      <c r="R235">
        <v>785.12</v>
      </c>
      <c r="S235">
        <v>286.92</v>
      </c>
      <c r="T235">
        <v>498.2</v>
      </c>
      <c r="U235" t="s">
        <v>195</v>
      </c>
      <c r="V235" t="s">
        <v>159</v>
      </c>
      <c r="W235" t="s">
        <v>2085</v>
      </c>
      <c r="X235" t="s">
        <v>2108</v>
      </c>
      <c r="Y235">
        <v>152</v>
      </c>
      <c r="Z235">
        <v>897.09</v>
      </c>
      <c r="AA235">
        <v>283.29000000000002</v>
      </c>
      <c r="AB235" t="s">
        <v>14</v>
      </c>
      <c r="AC235" t="s">
        <v>16</v>
      </c>
      <c r="AD235" t="s">
        <v>2106</v>
      </c>
      <c r="AE235" t="s">
        <v>2107</v>
      </c>
    </row>
    <row r="236" spans="1:31">
      <c r="A236" t="s">
        <v>1211</v>
      </c>
      <c r="B236" s="1">
        <v>45216</v>
      </c>
      <c r="C236" t="s">
        <v>183</v>
      </c>
      <c r="D236">
        <v>2023</v>
      </c>
      <c r="E236" t="s">
        <v>184</v>
      </c>
      <c r="F236" t="s">
        <v>1212</v>
      </c>
      <c r="G236" t="s">
        <v>84</v>
      </c>
      <c r="H236" t="s">
        <v>85</v>
      </c>
      <c r="I236" t="s">
        <v>66</v>
      </c>
      <c r="J236" t="s">
        <v>67</v>
      </c>
      <c r="K236" t="s">
        <v>156</v>
      </c>
      <c r="L236" t="s">
        <v>165</v>
      </c>
      <c r="M236">
        <v>2</v>
      </c>
      <c r="N236">
        <v>174.23</v>
      </c>
      <c r="O236">
        <v>348.46</v>
      </c>
      <c r="P236">
        <v>0</v>
      </c>
      <c r="Q236">
        <v>0</v>
      </c>
      <c r="R236">
        <v>348.46</v>
      </c>
      <c r="S236">
        <v>147.9</v>
      </c>
      <c r="T236">
        <v>200.56</v>
      </c>
      <c r="U236" t="s">
        <v>180</v>
      </c>
      <c r="V236" t="s">
        <v>159</v>
      </c>
      <c r="W236" t="s">
        <v>2093</v>
      </c>
      <c r="X236" t="s">
        <v>2111</v>
      </c>
      <c r="Y236">
        <v>87</v>
      </c>
      <c r="Z236">
        <v>112.29</v>
      </c>
      <c r="AA236">
        <v>67.45</v>
      </c>
      <c r="AB236" t="s">
        <v>41</v>
      </c>
      <c r="AC236" t="s">
        <v>16</v>
      </c>
      <c r="AD236" t="s">
        <v>2095</v>
      </c>
      <c r="AE236" t="s">
        <v>2109</v>
      </c>
    </row>
    <row r="237" spans="1:31">
      <c r="A237" t="s">
        <v>1503</v>
      </c>
      <c r="B237" s="1">
        <v>45216</v>
      </c>
      <c r="C237" t="s">
        <v>183</v>
      </c>
      <c r="D237">
        <v>2023</v>
      </c>
      <c r="E237" t="s">
        <v>184</v>
      </c>
      <c r="F237" t="s">
        <v>1504</v>
      </c>
      <c r="G237" t="s">
        <v>21</v>
      </c>
      <c r="H237" t="s">
        <v>22</v>
      </c>
      <c r="I237" t="s">
        <v>14</v>
      </c>
      <c r="J237" t="s">
        <v>15</v>
      </c>
      <c r="K237" t="s">
        <v>156</v>
      </c>
      <c r="L237" t="s">
        <v>157</v>
      </c>
      <c r="M237">
        <v>2</v>
      </c>
      <c r="N237">
        <v>65.430000000000007</v>
      </c>
      <c r="O237">
        <v>130.86000000000001</v>
      </c>
      <c r="P237">
        <v>0</v>
      </c>
      <c r="Q237">
        <v>0</v>
      </c>
      <c r="R237">
        <v>130.86000000000001</v>
      </c>
      <c r="S237">
        <v>77.38</v>
      </c>
      <c r="T237">
        <v>53.48</v>
      </c>
      <c r="U237" t="s">
        <v>190</v>
      </c>
      <c r="V237" t="s">
        <v>159</v>
      </c>
      <c r="W237" t="s">
        <v>2090</v>
      </c>
      <c r="X237" t="s">
        <v>2111</v>
      </c>
      <c r="Y237">
        <v>171</v>
      </c>
      <c r="Z237">
        <v>82.12</v>
      </c>
      <c r="AA237">
        <v>42.29</v>
      </c>
      <c r="AB237" t="s">
        <v>90</v>
      </c>
      <c r="AC237" t="s">
        <v>20</v>
      </c>
      <c r="AD237" t="s">
        <v>2095</v>
      </c>
      <c r="AE237" t="s">
        <v>2107</v>
      </c>
    </row>
    <row r="238" spans="1:31">
      <c r="A238" t="s">
        <v>431</v>
      </c>
      <c r="B238" s="1">
        <v>45215</v>
      </c>
      <c r="C238" t="s">
        <v>183</v>
      </c>
      <c r="D238">
        <v>2023</v>
      </c>
      <c r="E238" t="s">
        <v>184</v>
      </c>
      <c r="F238" t="s">
        <v>432</v>
      </c>
      <c r="G238" t="s">
        <v>135</v>
      </c>
      <c r="H238" t="s">
        <v>136</v>
      </c>
      <c r="I238" t="s">
        <v>115</v>
      </c>
      <c r="J238" t="s">
        <v>119</v>
      </c>
      <c r="K238" t="s">
        <v>164</v>
      </c>
      <c r="L238" t="s">
        <v>165</v>
      </c>
      <c r="M238">
        <v>4</v>
      </c>
      <c r="N238">
        <v>89.62</v>
      </c>
      <c r="O238">
        <v>358.48</v>
      </c>
      <c r="P238">
        <v>5</v>
      </c>
      <c r="Q238">
        <v>17.920000000000002</v>
      </c>
      <c r="R238">
        <v>340.56</v>
      </c>
      <c r="S238">
        <v>152.52000000000001</v>
      </c>
      <c r="T238">
        <v>188.04</v>
      </c>
      <c r="U238" t="s">
        <v>166</v>
      </c>
      <c r="V238" t="s">
        <v>181</v>
      </c>
      <c r="W238" t="s">
        <v>2113</v>
      </c>
      <c r="X238" t="s">
        <v>2100</v>
      </c>
      <c r="Y238">
        <v>331</v>
      </c>
      <c r="Z238">
        <v>468.92</v>
      </c>
      <c r="AA238">
        <v>51.27</v>
      </c>
      <c r="AB238" t="s">
        <v>90</v>
      </c>
      <c r="AC238" t="s">
        <v>16</v>
      </c>
      <c r="AD238" t="s">
        <v>2095</v>
      </c>
      <c r="AE238" t="s">
        <v>2109</v>
      </c>
    </row>
    <row r="239" spans="1:31">
      <c r="A239" t="s">
        <v>990</v>
      </c>
      <c r="B239" s="1">
        <v>45215</v>
      </c>
      <c r="C239" t="s">
        <v>183</v>
      </c>
      <c r="D239">
        <v>2023</v>
      </c>
      <c r="E239" t="s">
        <v>184</v>
      </c>
      <c r="F239" t="s">
        <v>991</v>
      </c>
      <c r="G239" t="s">
        <v>133</v>
      </c>
      <c r="H239" t="s">
        <v>134</v>
      </c>
      <c r="I239" t="s">
        <v>115</v>
      </c>
      <c r="J239" t="s">
        <v>119</v>
      </c>
      <c r="K239" t="s">
        <v>209</v>
      </c>
      <c r="L239" t="s">
        <v>179</v>
      </c>
      <c r="M239">
        <v>1</v>
      </c>
      <c r="N239">
        <v>78.84</v>
      </c>
      <c r="O239">
        <v>78.84</v>
      </c>
      <c r="P239">
        <v>0</v>
      </c>
      <c r="Q239">
        <v>0</v>
      </c>
      <c r="R239">
        <v>78.84</v>
      </c>
      <c r="S239">
        <v>47.68</v>
      </c>
      <c r="T239">
        <v>31.16</v>
      </c>
      <c r="U239" t="s">
        <v>195</v>
      </c>
      <c r="V239" t="s">
        <v>181</v>
      </c>
      <c r="W239" t="s">
        <v>2099</v>
      </c>
      <c r="X239" t="s">
        <v>2086</v>
      </c>
      <c r="Y239">
        <v>338</v>
      </c>
      <c r="Z239">
        <v>60.33</v>
      </c>
      <c r="AA239">
        <v>95.51</v>
      </c>
      <c r="AB239" t="s">
        <v>66</v>
      </c>
      <c r="AC239" t="s">
        <v>16</v>
      </c>
      <c r="AD239" t="s">
        <v>2106</v>
      </c>
      <c r="AE239" t="s">
        <v>2121</v>
      </c>
    </row>
    <row r="240" spans="1:31">
      <c r="A240" t="s">
        <v>709</v>
      </c>
      <c r="B240" s="1">
        <v>45215</v>
      </c>
      <c r="C240" t="s">
        <v>183</v>
      </c>
      <c r="D240">
        <v>2023</v>
      </c>
      <c r="E240" t="s">
        <v>184</v>
      </c>
      <c r="F240" t="s">
        <v>710</v>
      </c>
      <c r="G240" t="s">
        <v>122</v>
      </c>
      <c r="H240" t="s">
        <v>123</v>
      </c>
      <c r="I240" t="s">
        <v>115</v>
      </c>
      <c r="J240" t="s">
        <v>124</v>
      </c>
      <c r="K240" t="s">
        <v>209</v>
      </c>
      <c r="L240" t="s">
        <v>157</v>
      </c>
      <c r="M240">
        <v>3</v>
      </c>
      <c r="N240">
        <v>93.88</v>
      </c>
      <c r="O240">
        <v>281.64</v>
      </c>
      <c r="P240">
        <v>10</v>
      </c>
      <c r="Q240">
        <v>28.16</v>
      </c>
      <c r="R240">
        <v>253.48</v>
      </c>
      <c r="S240">
        <v>159.33000000000001</v>
      </c>
      <c r="T240">
        <v>94.15</v>
      </c>
      <c r="U240" t="s">
        <v>195</v>
      </c>
      <c r="V240" t="s">
        <v>159</v>
      </c>
      <c r="W240" t="s">
        <v>2085</v>
      </c>
      <c r="X240" t="s">
        <v>2100</v>
      </c>
      <c r="Y240">
        <v>195</v>
      </c>
      <c r="Z240">
        <v>1987.23</v>
      </c>
      <c r="AA240">
        <v>244.8</v>
      </c>
      <c r="AB240" t="s">
        <v>115</v>
      </c>
      <c r="AC240" t="s">
        <v>16</v>
      </c>
      <c r="AD240" t="s">
        <v>2087</v>
      </c>
      <c r="AE240" t="s">
        <v>2096</v>
      </c>
    </row>
    <row r="241" spans="1:31">
      <c r="A241" t="s">
        <v>1862</v>
      </c>
      <c r="B241" s="1">
        <v>45214</v>
      </c>
      <c r="C241" t="s">
        <v>183</v>
      </c>
      <c r="D241">
        <v>2023</v>
      </c>
      <c r="E241" t="s">
        <v>184</v>
      </c>
      <c r="F241" t="s">
        <v>1863</v>
      </c>
      <c r="G241" t="s">
        <v>122</v>
      </c>
      <c r="H241" t="s">
        <v>123</v>
      </c>
      <c r="I241" t="s">
        <v>115</v>
      </c>
      <c r="J241" t="s">
        <v>124</v>
      </c>
      <c r="K241" t="s">
        <v>156</v>
      </c>
      <c r="L241" t="s">
        <v>232</v>
      </c>
      <c r="M241">
        <v>4</v>
      </c>
      <c r="N241">
        <v>93.88</v>
      </c>
      <c r="O241">
        <v>375.52</v>
      </c>
      <c r="P241">
        <v>5</v>
      </c>
      <c r="Q241">
        <v>18.78</v>
      </c>
      <c r="R241">
        <v>356.74</v>
      </c>
      <c r="S241">
        <v>212.44</v>
      </c>
      <c r="T241">
        <v>144.30000000000001</v>
      </c>
      <c r="U241" t="s">
        <v>158</v>
      </c>
      <c r="V241" t="s">
        <v>186</v>
      </c>
      <c r="W241" t="s">
        <v>2085</v>
      </c>
      <c r="X241" t="s">
        <v>2108</v>
      </c>
      <c r="Y241">
        <v>158</v>
      </c>
      <c r="Z241">
        <v>1949.06</v>
      </c>
      <c r="AA241">
        <v>286.26</v>
      </c>
      <c r="AB241" t="s">
        <v>14</v>
      </c>
      <c r="AC241" t="s">
        <v>20</v>
      </c>
      <c r="AD241" t="s">
        <v>2095</v>
      </c>
      <c r="AE241" t="s">
        <v>2121</v>
      </c>
    </row>
    <row r="242" spans="1:31">
      <c r="A242" t="s">
        <v>2034</v>
      </c>
      <c r="B242" s="1">
        <v>45214</v>
      </c>
      <c r="C242" t="s">
        <v>183</v>
      </c>
      <c r="D242">
        <v>2023</v>
      </c>
      <c r="E242" t="s">
        <v>184</v>
      </c>
      <c r="F242" t="s">
        <v>2035</v>
      </c>
      <c r="G242" t="s">
        <v>111</v>
      </c>
      <c r="H242" t="s">
        <v>112</v>
      </c>
      <c r="I242" t="s">
        <v>90</v>
      </c>
      <c r="J242" t="s">
        <v>97</v>
      </c>
      <c r="K242" t="s">
        <v>164</v>
      </c>
      <c r="L242" t="s">
        <v>194</v>
      </c>
      <c r="M242">
        <v>2</v>
      </c>
      <c r="N242">
        <v>189.99</v>
      </c>
      <c r="O242">
        <v>379.98</v>
      </c>
      <c r="P242">
        <v>0</v>
      </c>
      <c r="Q242">
        <v>0</v>
      </c>
      <c r="R242">
        <v>379.98</v>
      </c>
      <c r="S242">
        <v>127.02</v>
      </c>
      <c r="T242">
        <v>252.96</v>
      </c>
      <c r="U242" t="s">
        <v>195</v>
      </c>
      <c r="V242" t="s">
        <v>159</v>
      </c>
      <c r="W242" t="s">
        <v>2097</v>
      </c>
      <c r="X242" t="s">
        <v>2091</v>
      </c>
      <c r="Y242">
        <v>63</v>
      </c>
      <c r="Z242">
        <v>537.61</v>
      </c>
      <c r="AA242">
        <v>87.56</v>
      </c>
      <c r="AB242" t="s">
        <v>66</v>
      </c>
      <c r="AC242" t="s">
        <v>16</v>
      </c>
      <c r="AD242" t="s">
        <v>2106</v>
      </c>
      <c r="AE242" t="s">
        <v>2096</v>
      </c>
    </row>
    <row r="243" spans="1:31">
      <c r="A243" t="s">
        <v>2040</v>
      </c>
      <c r="B243" s="1">
        <v>45214</v>
      </c>
      <c r="C243" t="s">
        <v>183</v>
      </c>
      <c r="D243">
        <v>2023</v>
      </c>
      <c r="E243" t="s">
        <v>184</v>
      </c>
      <c r="F243" t="s">
        <v>2041</v>
      </c>
      <c r="G243" t="s">
        <v>30</v>
      </c>
      <c r="H243" t="s">
        <v>31</v>
      </c>
      <c r="I243" t="s">
        <v>14</v>
      </c>
      <c r="J243" t="s">
        <v>32</v>
      </c>
      <c r="K243" t="s">
        <v>209</v>
      </c>
      <c r="L243" t="s">
        <v>157</v>
      </c>
      <c r="M243">
        <v>1</v>
      </c>
      <c r="N243">
        <v>113.18</v>
      </c>
      <c r="O243">
        <v>113.18</v>
      </c>
      <c r="P243">
        <v>20</v>
      </c>
      <c r="Q243">
        <v>22.64</v>
      </c>
      <c r="R243">
        <v>90.54</v>
      </c>
      <c r="S243">
        <v>39.01</v>
      </c>
      <c r="T243">
        <v>51.53</v>
      </c>
      <c r="U243" t="s">
        <v>158</v>
      </c>
      <c r="V243" t="s">
        <v>159</v>
      </c>
      <c r="W243" t="s">
        <v>2090</v>
      </c>
      <c r="X243" t="s">
        <v>2111</v>
      </c>
      <c r="Y243">
        <v>57</v>
      </c>
      <c r="Z243">
        <v>107.91</v>
      </c>
      <c r="AA243">
        <v>48.51</v>
      </c>
      <c r="AB243" t="s">
        <v>14</v>
      </c>
      <c r="AC243" t="s">
        <v>20</v>
      </c>
      <c r="AD243" t="s">
        <v>2106</v>
      </c>
      <c r="AE243" t="s">
        <v>2109</v>
      </c>
    </row>
    <row r="244" spans="1:31">
      <c r="A244" t="s">
        <v>400</v>
      </c>
      <c r="B244" s="1">
        <v>45214</v>
      </c>
      <c r="C244" t="s">
        <v>183</v>
      </c>
      <c r="D244">
        <v>2023</v>
      </c>
      <c r="E244" t="s">
        <v>184</v>
      </c>
      <c r="F244" t="s">
        <v>401</v>
      </c>
      <c r="G244" t="s">
        <v>50</v>
      </c>
      <c r="H244" t="s">
        <v>51</v>
      </c>
      <c r="I244" t="s">
        <v>41</v>
      </c>
      <c r="J244" t="s">
        <v>52</v>
      </c>
      <c r="K244" t="s">
        <v>209</v>
      </c>
      <c r="L244" t="s">
        <v>232</v>
      </c>
      <c r="M244">
        <v>4</v>
      </c>
      <c r="N244">
        <v>143.80000000000001</v>
      </c>
      <c r="O244">
        <v>575.20000000000005</v>
      </c>
      <c r="P244">
        <v>20</v>
      </c>
      <c r="Q244">
        <v>115.04</v>
      </c>
      <c r="R244">
        <v>460.16</v>
      </c>
      <c r="S244">
        <v>248.6</v>
      </c>
      <c r="T244">
        <v>211.56</v>
      </c>
      <c r="U244" t="s">
        <v>195</v>
      </c>
      <c r="V244" t="s">
        <v>159</v>
      </c>
      <c r="W244" t="s">
        <v>2097</v>
      </c>
      <c r="X244" t="s">
        <v>2094</v>
      </c>
      <c r="Y244">
        <v>61</v>
      </c>
      <c r="Z244">
        <v>263.14999999999998</v>
      </c>
      <c r="AA244">
        <v>95.34</v>
      </c>
      <c r="AB244" t="s">
        <v>14</v>
      </c>
      <c r="AC244" t="s">
        <v>20</v>
      </c>
      <c r="AD244" t="s">
        <v>2106</v>
      </c>
      <c r="AE244" t="s">
        <v>2109</v>
      </c>
    </row>
    <row r="245" spans="1:31">
      <c r="A245" t="s">
        <v>1348</v>
      </c>
      <c r="B245" s="1">
        <v>45214</v>
      </c>
      <c r="C245" t="s">
        <v>183</v>
      </c>
      <c r="D245">
        <v>2023</v>
      </c>
      <c r="E245" t="s">
        <v>184</v>
      </c>
      <c r="F245" t="s">
        <v>716</v>
      </c>
      <c r="G245" t="s">
        <v>73</v>
      </c>
      <c r="H245" t="s">
        <v>74</v>
      </c>
      <c r="I245" t="s">
        <v>66</v>
      </c>
      <c r="J245" t="s">
        <v>75</v>
      </c>
      <c r="K245" t="s">
        <v>164</v>
      </c>
      <c r="L245" t="s">
        <v>157</v>
      </c>
      <c r="M245">
        <v>2</v>
      </c>
      <c r="N245">
        <v>53.95</v>
      </c>
      <c r="O245">
        <v>107.9</v>
      </c>
      <c r="P245">
        <v>5</v>
      </c>
      <c r="Q245">
        <v>5.39</v>
      </c>
      <c r="R245">
        <v>102.51</v>
      </c>
      <c r="S245">
        <v>70.400000000000006</v>
      </c>
      <c r="T245">
        <v>32.11</v>
      </c>
      <c r="U245" t="s">
        <v>190</v>
      </c>
      <c r="V245" t="s">
        <v>186</v>
      </c>
      <c r="W245" t="s">
        <v>2099</v>
      </c>
      <c r="X245" t="s">
        <v>2108</v>
      </c>
      <c r="Y245">
        <v>61</v>
      </c>
      <c r="Z245">
        <v>77.47</v>
      </c>
      <c r="AA245">
        <v>43.36</v>
      </c>
      <c r="AB245" t="s">
        <v>115</v>
      </c>
      <c r="AC245" t="s">
        <v>20</v>
      </c>
      <c r="AD245" t="s">
        <v>2095</v>
      </c>
      <c r="AE245" t="s">
        <v>2107</v>
      </c>
    </row>
    <row r="246" spans="1:31">
      <c r="A246" t="s">
        <v>1897</v>
      </c>
      <c r="B246" s="1">
        <v>45213</v>
      </c>
      <c r="C246" t="s">
        <v>183</v>
      </c>
      <c r="D246">
        <v>2023</v>
      </c>
      <c r="E246" t="s">
        <v>184</v>
      </c>
      <c r="F246" t="s">
        <v>1197</v>
      </c>
      <c r="G246" t="s">
        <v>62</v>
      </c>
      <c r="H246" t="s">
        <v>63</v>
      </c>
      <c r="I246" t="s">
        <v>41</v>
      </c>
      <c r="J246" t="s">
        <v>45</v>
      </c>
      <c r="K246" t="s">
        <v>164</v>
      </c>
      <c r="L246" t="s">
        <v>165</v>
      </c>
      <c r="M246">
        <v>4</v>
      </c>
      <c r="N246">
        <v>160.35</v>
      </c>
      <c r="O246">
        <v>641.4</v>
      </c>
      <c r="P246">
        <v>5</v>
      </c>
      <c r="Q246">
        <v>32.07</v>
      </c>
      <c r="R246">
        <v>609.33000000000004</v>
      </c>
      <c r="S246">
        <v>289.88</v>
      </c>
      <c r="T246">
        <v>319.45</v>
      </c>
      <c r="U246" t="s">
        <v>158</v>
      </c>
      <c r="V246" t="s">
        <v>159</v>
      </c>
      <c r="W246" t="s">
        <v>2093</v>
      </c>
      <c r="X246" t="s">
        <v>2111</v>
      </c>
      <c r="Y246">
        <v>66</v>
      </c>
      <c r="Z246">
        <v>84.52</v>
      </c>
      <c r="AA246">
        <v>44.48</v>
      </c>
      <c r="AB246" t="s">
        <v>90</v>
      </c>
      <c r="AC246" t="s">
        <v>20</v>
      </c>
      <c r="AD246" t="s">
        <v>2095</v>
      </c>
      <c r="AE246" t="s">
        <v>2121</v>
      </c>
    </row>
    <row r="247" spans="1:31">
      <c r="A247" t="s">
        <v>1276</v>
      </c>
      <c r="B247" s="1">
        <v>45213</v>
      </c>
      <c r="C247" t="s">
        <v>183</v>
      </c>
      <c r="D247">
        <v>2023</v>
      </c>
      <c r="E247" t="s">
        <v>184</v>
      </c>
      <c r="F247" t="s">
        <v>1277</v>
      </c>
      <c r="G247" t="s">
        <v>103</v>
      </c>
      <c r="H247" t="s">
        <v>104</v>
      </c>
      <c r="I247" t="s">
        <v>90</v>
      </c>
      <c r="J247" t="s">
        <v>94</v>
      </c>
      <c r="K247" t="s">
        <v>178</v>
      </c>
      <c r="L247" t="s">
        <v>194</v>
      </c>
      <c r="M247">
        <v>3</v>
      </c>
      <c r="N247">
        <v>98.58</v>
      </c>
      <c r="O247">
        <v>295.74</v>
      </c>
      <c r="P247">
        <v>15</v>
      </c>
      <c r="Q247">
        <v>44.36</v>
      </c>
      <c r="R247">
        <v>251.38</v>
      </c>
      <c r="S247">
        <v>157.71</v>
      </c>
      <c r="T247">
        <v>93.67</v>
      </c>
      <c r="U247" t="s">
        <v>195</v>
      </c>
      <c r="V247" t="s">
        <v>159</v>
      </c>
      <c r="W247" t="s">
        <v>2093</v>
      </c>
      <c r="X247" t="s">
        <v>2100</v>
      </c>
      <c r="Y247">
        <v>244</v>
      </c>
      <c r="Z247">
        <v>36.76</v>
      </c>
      <c r="AA247">
        <v>23.23</v>
      </c>
      <c r="AB247" t="s">
        <v>14</v>
      </c>
      <c r="AC247" t="s">
        <v>16</v>
      </c>
      <c r="AD247" t="s">
        <v>2087</v>
      </c>
      <c r="AE247" t="s">
        <v>2121</v>
      </c>
    </row>
    <row r="248" spans="1:31">
      <c r="A248" t="s">
        <v>1034</v>
      </c>
      <c r="B248" s="1">
        <v>45213</v>
      </c>
      <c r="C248" t="s">
        <v>183</v>
      </c>
      <c r="D248">
        <v>2023</v>
      </c>
      <c r="E248" t="s">
        <v>184</v>
      </c>
      <c r="F248" t="s">
        <v>1035</v>
      </c>
      <c r="G248" t="s">
        <v>35</v>
      </c>
      <c r="H248" t="s">
        <v>36</v>
      </c>
      <c r="I248" t="s">
        <v>14</v>
      </c>
      <c r="J248" t="s">
        <v>19</v>
      </c>
      <c r="K248" t="s">
        <v>156</v>
      </c>
      <c r="L248" t="s">
        <v>165</v>
      </c>
      <c r="M248">
        <v>3</v>
      </c>
      <c r="N248">
        <v>81.599999999999994</v>
      </c>
      <c r="O248">
        <v>244.79999999999998</v>
      </c>
      <c r="P248">
        <v>15</v>
      </c>
      <c r="Q248">
        <v>36.72</v>
      </c>
      <c r="R248">
        <v>208.08</v>
      </c>
      <c r="S248">
        <v>87.96</v>
      </c>
      <c r="T248">
        <v>120.12</v>
      </c>
      <c r="U248" t="s">
        <v>195</v>
      </c>
      <c r="V248" t="s">
        <v>159</v>
      </c>
      <c r="W248" t="s">
        <v>2093</v>
      </c>
      <c r="X248" t="s">
        <v>2091</v>
      </c>
      <c r="Y248">
        <v>136</v>
      </c>
      <c r="Z248">
        <v>185.03</v>
      </c>
      <c r="AA248">
        <v>68.36</v>
      </c>
      <c r="AB248" t="s">
        <v>41</v>
      </c>
      <c r="AC248" t="s">
        <v>16</v>
      </c>
      <c r="AD248" t="s">
        <v>2087</v>
      </c>
      <c r="AE248" t="s">
        <v>2121</v>
      </c>
    </row>
    <row r="249" spans="1:31">
      <c r="A249" t="s">
        <v>2036</v>
      </c>
      <c r="B249" s="1">
        <v>45212</v>
      </c>
      <c r="C249" t="s">
        <v>183</v>
      </c>
      <c r="D249">
        <v>2023</v>
      </c>
      <c r="E249" t="s">
        <v>184</v>
      </c>
      <c r="F249" t="s">
        <v>2037</v>
      </c>
      <c r="G249" t="s">
        <v>135</v>
      </c>
      <c r="H249" t="s">
        <v>136</v>
      </c>
      <c r="I249" t="s">
        <v>115</v>
      </c>
      <c r="J249" t="s">
        <v>119</v>
      </c>
      <c r="K249" t="s">
        <v>156</v>
      </c>
      <c r="L249" t="s">
        <v>179</v>
      </c>
      <c r="M249">
        <v>1</v>
      </c>
      <c r="N249">
        <v>89.62</v>
      </c>
      <c r="O249">
        <v>89.62</v>
      </c>
      <c r="P249">
        <v>20</v>
      </c>
      <c r="Q249">
        <v>17.920000000000002</v>
      </c>
      <c r="R249">
        <v>71.7</v>
      </c>
      <c r="S249">
        <v>38.130000000000003</v>
      </c>
      <c r="T249">
        <v>33.57</v>
      </c>
      <c r="U249" t="s">
        <v>166</v>
      </c>
      <c r="V249" t="s">
        <v>181</v>
      </c>
      <c r="W249" t="s">
        <v>2093</v>
      </c>
      <c r="X249" t="s">
        <v>2108</v>
      </c>
      <c r="Y249">
        <v>95</v>
      </c>
      <c r="Z249">
        <v>160.77000000000001</v>
      </c>
      <c r="AA249">
        <v>33.06</v>
      </c>
      <c r="AB249" t="s">
        <v>14</v>
      </c>
      <c r="AC249" t="s">
        <v>16</v>
      </c>
      <c r="AD249" t="s">
        <v>2095</v>
      </c>
      <c r="AE249" t="s">
        <v>2096</v>
      </c>
    </row>
    <row r="250" spans="1:31">
      <c r="A250" t="s">
        <v>1934</v>
      </c>
      <c r="B250" s="1">
        <v>45212</v>
      </c>
      <c r="C250" t="s">
        <v>183</v>
      </c>
      <c r="D250">
        <v>2023</v>
      </c>
      <c r="E250" t="s">
        <v>184</v>
      </c>
      <c r="F250" t="s">
        <v>1935</v>
      </c>
      <c r="G250" t="s">
        <v>50</v>
      </c>
      <c r="H250" t="s">
        <v>51</v>
      </c>
      <c r="I250" t="s">
        <v>41</v>
      </c>
      <c r="J250" t="s">
        <v>52</v>
      </c>
      <c r="K250" t="s">
        <v>156</v>
      </c>
      <c r="L250" t="s">
        <v>174</v>
      </c>
      <c r="M250">
        <v>1</v>
      </c>
      <c r="N250">
        <v>143.80000000000001</v>
      </c>
      <c r="O250">
        <v>143.80000000000001</v>
      </c>
      <c r="P250">
        <v>0</v>
      </c>
      <c r="Q250">
        <v>0</v>
      </c>
      <c r="R250">
        <v>143.80000000000001</v>
      </c>
      <c r="S250">
        <v>62.15</v>
      </c>
      <c r="T250">
        <v>81.650000000000006</v>
      </c>
      <c r="U250" t="s">
        <v>180</v>
      </c>
      <c r="V250" t="s">
        <v>159</v>
      </c>
      <c r="W250" t="s">
        <v>2113</v>
      </c>
      <c r="X250" t="s">
        <v>2108</v>
      </c>
      <c r="Y250">
        <v>337</v>
      </c>
      <c r="Z250">
        <v>396.58</v>
      </c>
      <c r="AA250">
        <v>71.27</v>
      </c>
      <c r="AB250" t="s">
        <v>41</v>
      </c>
      <c r="AC250" t="s">
        <v>20</v>
      </c>
      <c r="AD250" t="s">
        <v>2106</v>
      </c>
      <c r="AE250" t="s">
        <v>2107</v>
      </c>
    </row>
    <row r="251" spans="1:31">
      <c r="A251" t="s">
        <v>1697</v>
      </c>
      <c r="B251" s="1">
        <v>45212</v>
      </c>
      <c r="C251" t="s">
        <v>183</v>
      </c>
      <c r="D251">
        <v>2023</v>
      </c>
      <c r="E251" t="s">
        <v>184</v>
      </c>
      <c r="F251" t="s">
        <v>1698</v>
      </c>
      <c r="G251" t="s">
        <v>71</v>
      </c>
      <c r="H251" t="s">
        <v>72</v>
      </c>
      <c r="I251" t="s">
        <v>66</v>
      </c>
      <c r="J251" t="s">
        <v>70</v>
      </c>
      <c r="K251" t="s">
        <v>156</v>
      </c>
      <c r="L251" t="s">
        <v>174</v>
      </c>
      <c r="M251">
        <v>4</v>
      </c>
      <c r="N251">
        <v>26.7</v>
      </c>
      <c r="O251">
        <v>106.8</v>
      </c>
      <c r="P251">
        <v>0</v>
      </c>
      <c r="Q251">
        <v>0</v>
      </c>
      <c r="R251">
        <v>106.8</v>
      </c>
      <c r="S251">
        <v>49.08</v>
      </c>
      <c r="T251">
        <v>57.72</v>
      </c>
      <c r="U251" t="s">
        <v>166</v>
      </c>
      <c r="V251" t="s">
        <v>159</v>
      </c>
      <c r="W251" t="s">
        <v>2113</v>
      </c>
      <c r="X251" t="s">
        <v>2094</v>
      </c>
      <c r="Y251">
        <v>319</v>
      </c>
      <c r="Z251">
        <v>383.61</v>
      </c>
      <c r="AA251">
        <v>64.430000000000007</v>
      </c>
      <c r="AB251" t="s">
        <v>66</v>
      </c>
      <c r="AC251" t="s">
        <v>20</v>
      </c>
      <c r="AD251" t="s">
        <v>2087</v>
      </c>
      <c r="AE251" t="s">
        <v>2096</v>
      </c>
    </row>
    <row r="252" spans="1:31">
      <c r="A252" t="s">
        <v>2031</v>
      </c>
      <c r="B252" s="1">
        <v>45212</v>
      </c>
      <c r="C252" t="s">
        <v>183</v>
      </c>
      <c r="D252">
        <v>2023</v>
      </c>
      <c r="E252" t="s">
        <v>184</v>
      </c>
      <c r="F252" t="s">
        <v>662</v>
      </c>
      <c r="G252" t="s">
        <v>62</v>
      </c>
      <c r="H252" t="s">
        <v>63</v>
      </c>
      <c r="I252" t="s">
        <v>41</v>
      </c>
      <c r="J252" t="s">
        <v>45</v>
      </c>
      <c r="K252" t="s">
        <v>209</v>
      </c>
      <c r="L252" t="s">
        <v>194</v>
      </c>
      <c r="M252">
        <v>2</v>
      </c>
      <c r="N252">
        <v>160.35</v>
      </c>
      <c r="O252">
        <v>320.7</v>
      </c>
      <c r="P252">
        <v>0</v>
      </c>
      <c r="Q252">
        <v>0</v>
      </c>
      <c r="R252">
        <v>320.7</v>
      </c>
      <c r="S252">
        <v>144.94</v>
      </c>
      <c r="T252">
        <v>175.76</v>
      </c>
      <c r="U252" t="s">
        <v>195</v>
      </c>
      <c r="V252" t="s">
        <v>159</v>
      </c>
      <c r="W252" t="s">
        <v>2090</v>
      </c>
      <c r="X252" t="s">
        <v>2108</v>
      </c>
      <c r="Y252">
        <v>110</v>
      </c>
      <c r="Z252">
        <v>171.84</v>
      </c>
      <c r="AA252">
        <v>110.03</v>
      </c>
      <c r="AB252" t="s">
        <v>66</v>
      </c>
      <c r="AC252" t="s">
        <v>16</v>
      </c>
      <c r="AD252" t="s">
        <v>2106</v>
      </c>
      <c r="AE252" t="s">
        <v>2096</v>
      </c>
    </row>
    <row r="253" spans="1:31">
      <c r="A253" t="s">
        <v>1096</v>
      </c>
      <c r="B253" s="1">
        <v>45212</v>
      </c>
      <c r="C253" t="s">
        <v>183</v>
      </c>
      <c r="D253">
        <v>2023</v>
      </c>
      <c r="E253" t="s">
        <v>184</v>
      </c>
      <c r="F253" t="s">
        <v>1097</v>
      </c>
      <c r="G253" t="s">
        <v>71</v>
      </c>
      <c r="H253" t="s">
        <v>72</v>
      </c>
      <c r="I253" t="s">
        <v>66</v>
      </c>
      <c r="J253" t="s">
        <v>70</v>
      </c>
      <c r="K253" t="s">
        <v>209</v>
      </c>
      <c r="L253" t="s">
        <v>174</v>
      </c>
      <c r="M253">
        <v>4</v>
      </c>
      <c r="N253">
        <v>26.7</v>
      </c>
      <c r="O253">
        <v>106.8</v>
      </c>
      <c r="P253">
        <v>0</v>
      </c>
      <c r="Q253">
        <v>0</v>
      </c>
      <c r="R253">
        <v>106.8</v>
      </c>
      <c r="S253">
        <v>49.08</v>
      </c>
      <c r="T253">
        <v>57.72</v>
      </c>
      <c r="U253" t="s">
        <v>190</v>
      </c>
      <c r="V253" t="s">
        <v>181</v>
      </c>
      <c r="W253" t="s">
        <v>2090</v>
      </c>
      <c r="X253" t="s">
        <v>2108</v>
      </c>
      <c r="Y253">
        <v>140</v>
      </c>
      <c r="Z253">
        <v>307.99</v>
      </c>
      <c r="AA253">
        <v>117.3</v>
      </c>
      <c r="AB253" t="s">
        <v>14</v>
      </c>
      <c r="AC253" t="s">
        <v>16</v>
      </c>
      <c r="AD253" t="s">
        <v>2106</v>
      </c>
      <c r="AE253" t="s">
        <v>2088</v>
      </c>
    </row>
    <row r="254" spans="1:31">
      <c r="A254" t="s">
        <v>1398</v>
      </c>
      <c r="B254" s="1">
        <v>45212</v>
      </c>
      <c r="C254" t="s">
        <v>183</v>
      </c>
      <c r="D254">
        <v>2023</v>
      </c>
      <c r="E254" t="s">
        <v>184</v>
      </c>
      <c r="F254" t="s">
        <v>1399</v>
      </c>
      <c r="G254" t="s">
        <v>113</v>
      </c>
      <c r="H254" t="s">
        <v>114</v>
      </c>
      <c r="I254" t="s">
        <v>115</v>
      </c>
      <c r="J254" t="s">
        <v>116</v>
      </c>
      <c r="K254" t="s">
        <v>164</v>
      </c>
      <c r="L254" t="s">
        <v>179</v>
      </c>
      <c r="M254">
        <v>1</v>
      </c>
      <c r="N254">
        <v>18.7</v>
      </c>
      <c r="O254">
        <v>18.7</v>
      </c>
      <c r="P254">
        <v>0</v>
      </c>
      <c r="Q254">
        <v>0</v>
      </c>
      <c r="R254">
        <v>18.7</v>
      </c>
      <c r="S254">
        <v>6.86</v>
      </c>
      <c r="T254">
        <v>11.84</v>
      </c>
      <c r="U254" t="s">
        <v>195</v>
      </c>
      <c r="V254" t="s">
        <v>159</v>
      </c>
      <c r="W254" t="s">
        <v>2099</v>
      </c>
      <c r="X254" t="s">
        <v>2091</v>
      </c>
      <c r="Y254">
        <v>341</v>
      </c>
      <c r="Z254">
        <v>52.79</v>
      </c>
      <c r="AA254">
        <v>55.67</v>
      </c>
      <c r="AB254" t="s">
        <v>14</v>
      </c>
      <c r="AC254" t="s">
        <v>20</v>
      </c>
      <c r="AD254" t="s">
        <v>2106</v>
      </c>
      <c r="AE254" t="s">
        <v>2107</v>
      </c>
    </row>
    <row r="255" spans="1:31">
      <c r="A255" t="s">
        <v>398</v>
      </c>
      <c r="B255" s="1">
        <v>45211</v>
      </c>
      <c r="C255" t="s">
        <v>183</v>
      </c>
      <c r="D255">
        <v>2023</v>
      </c>
      <c r="E255" t="s">
        <v>184</v>
      </c>
      <c r="F255" t="s">
        <v>399</v>
      </c>
      <c r="G255" t="s">
        <v>30</v>
      </c>
      <c r="H255" t="s">
        <v>31</v>
      </c>
      <c r="I255" t="s">
        <v>14</v>
      </c>
      <c r="J255" t="s">
        <v>32</v>
      </c>
      <c r="K255" t="s">
        <v>209</v>
      </c>
      <c r="L255" t="s">
        <v>179</v>
      </c>
      <c r="M255">
        <v>3</v>
      </c>
      <c r="N255">
        <v>113.18</v>
      </c>
      <c r="O255">
        <v>339.54</v>
      </c>
      <c r="P255">
        <v>20</v>
      </c>
      <c r="Q255">
        <v>67.91</v>
      </c>
      <c r="R255">
        <v>271.63</v>
      </c>
      <c r="S255">
        <v>117.03</v>
      </c>
      <c r="T255">
        <v>154.6</v>
      </c>
      <c r="U255" t="s">
        <v>195</v>
      </c>
      <c r="V255" t="s">
        <v>181</v>
      </c>
      <c r="W255" t="s">
        <v>2090</v>
      </c>
      <c r="X255" t="s">
        <v>2094</v>
      </c>
      <c r="Y255">
        <v>164</v>
      </c>
      <c r="Z255">
        <v>119.78</v>
      </c>
      <c r="AA255">
        <v>40.299999999999997</v>
      </c>
      <c r="AB255" t="s">
        <v>41</v>
      </c>
      <c r="AC255" t="s">
        <v>16</v>
      </c>
      <c r="AD255" t="s">
        <v>2106</v>
      </c>
      <c r="AE255" t="s">
        <v>2109</v>
      </c>
    </row>
    <row r="256" spans="1:31">
      <c r="A256" t="s">
        <v>1180</v>
      </c>
      <c r="B256" s="1">
        <v>45210</v>
      </c>
      <c r="C256" t="s">
        <v>183</v>
      </c>
      <c r="D256">
        <v>2023</v>
      </c>
      <c r="E256" t="s">
        <v>184</v>
      </c>
      <c r="F256" t="s">
        <v>1181</v>
      </c>
      <c r="G256" t="s">
        <v>122</v>
      </c>
      <c r="H256" t="s">
        <v>123</v>
      </c>
      <c r="I256" t="s">
        <v>115</v>
      </c>
      <c r="J256" t="s">
        <v>124</v>
      </c>
      <c r="K256" t="s">
        <v>156</v>
      </c>
      <c r="L256" t="s">
        <v>174</v>
      </c>
      <c r="M256">
        <v>3</v>
      </c>
      <c r="N256">
        <v>93.88</v>
      </c>
      <c r="O256">
        <v>281.64</v>
      </c>
      <c r="P256">
        <v>0</v>
      </c>
      <c r="Q256">
        <v>0</v>
      </c>
      <c r="R256">
        <v>281.64</v>
      </c>
      <c r="S256">
        <v>159.33000000000001</v>
      </c>
      <c r="T256">
        <v>122.31</v>
      </c>
      <c r="U256" t="s">
        <v>158</v>
      </c>
      <c r="V256" t="s">
        <v>159</v>
      </c>
      <c r="W256" t="s">
        <v>2099</v>
      </c>
      <c r="X256" t="s">
        <v>2100</v>
      </c>
      <c r="Y256">
        <v>20</v>
      </c>
      <c r="Z256">
        <v>94.29</v>
      </c>
      <c r="AA256">
        <v>96.48</v>
      </c>
      <c r="AB256" t="s">
        <v>90</v>
      </c>
      <c r="AC256" t="s">
        <v>16</v>
      </c>
      <c r="AD256" t="s">
        <v>2087</v>
      </c>
      <c r="AE256" t="s">
        <v>2109</v>
      </c>
    </row>
    <row r="257" spans="1:31">
      <c r="A257" t="s">
        <v>439</v>
      </c>
      <c r="B257" s="1">
        <v>45210</v>
      </c>
      <c r="C257" t="s">
        <v>183</v>
      </c>
      <c r="D257">
        <v>2023</v>
      </c>
      <c r="E257" t="s">
        <v>184</v>
      </c>
      <c r="F257" t="s">
        <v>440</v>
      </c>
      <c r="G257" t="s">
        <v>76</v>
      </c>
      <c r="H257" t="s">
        <v>77</v>
      </c>
      <c r="I257" t="s">
        <v>66</v>
      </c>
      <c r="J257" t="s">
        <v>67</v>
      </c>
      <c r="K257" t="s">
        <v>209</v>
      </c>
      <c r="L257" t="s">
        <v>204</v>
      </c>
      <c r="M257">
        <v>4</v>
      </c>
      <c r="N257">
        <v>118.07</v>
      </c>
      <c r="O257">
        <v>472.28</v>
      </c>
      <c r="P257">
        <v>10</v>
      </c>
      <c r="Q257">
        <v>47.23</v>
      </c>
      <c r="R257">
        <v>425.05</v>
      </c>
      <c r="S257">
        <v>158.80000000000001</v>
      </c>
      <c r="T257">
        <v>266.25</v>
      </c>
      <c r="U257" t="s">
        <v>166</v>
      </c>
      <c r="V257" t="s">
        <v>159</v>
      </c>
      <c r="W257" t="s">
        <v>2090</v>
      </c>
      <c r="X257" t="s">
        <v>2094</v>
      </c>
      <c r="Y257">
        <v>175</v>
      </c>
      <c r="Z257">
        <v>359.98</v>
      </c>
      <c r="AA257">
        <v>42.22</v>
      </c>
      <c r="AB257" t="s">
        <v>115</v>
      </c>
      <c r="AC257" t="s">
        <v>16</v>
      </c>
      <c r="AD257" t="s">
        <v>2106</v>
      </c>
      <c r="AE257" t="s">
        <v>2109</v>
      </c>
    </row>
    <row r="258" spans="1:31">
      <c r="A258" t="s">
        <v>1720</v>
      </c>
      <c r="B258" s="1">
        <v>45210</v>
      </c>
      <c r="C258" t="s">
        <v>183</v>
      </c>
      <c r="D258">
        <v>2023</v>
      </c>
      <c r="E258" t="s">
        <v>184</v>
      </c>
      <c r="F258" t="s">
        <v>1261</v>
      </c>
      <c r="G258" t="s">
        <v>39</v>
      </c>
      <c r="H258" t="s">
        <v>40</v>
      </c>
      <c r="I258" t="s">
        <v>41</v>
      </c>
      <c r="J258" t="s">
        <v>42</v>
      </c>
      <c r="K258" t="s">
        <v>156</v>
      </c>
      <c r="L258" t="s">
        <v>174</v>
      </c>
      <c r="M258">
        <v>2</v>
      </c>
      <c r="N258">
        <v>35.11</v>
      </c>
      <c r="O258">
        <v>70.22</v>
      </c>
      <c r="P258">
        <v>10</v>
      </c>
      <c r="Q258">
        <v>7.02</v>
      </c>
      <c r="R258">
        <v>63.2</v>
      </c>
      <c r="S258">
        <v>49.74</v>
      </c>
      <c r="T258">
        <v>13.46</v>
      </c>
      <c r="U258" t="s">
        <v>180</v>
      </c>
      <c r="V258" t="s">
        <v>181</v>
      </c>
      <c r="W258" t="s">
        <v>2093</v>
      </c>
      <c r="X258" t="s">
        <v>2086</v>
      </c>
      <c r="Y258">
        <v>40</v>
      </c>
      <c r="Z258">
        <v>88.78</v>
      </c>
      <c r="AA258">
        <v>52.28</v>
      </c>
      <c r="AB258" t="s">
        <v>90</v>
      </c>
      <c r="AC258" t="s">
        <v>16</v>
      </c>
      <c r="AD258" t="s">
        <v>2095</v>
      </c>
      <c r="AE258" t="s">
        <v>2121</v>
      </c>
    </row>
    <row r="259" spans="1:31">
      <c r="A259" t="s">
        <v>368</v>
      </c>
      <c r="B259" s="1">
        <v>45210</v>
      </c>
      <c r="C259" t="s">
        <v>183</v>
      </c>
      <c r="D259">
        <v>2023</v>
      </c>
      <c r="E259" t="s">
        <v>184</v>
      </c>
      <c r="F259" t="s">
        <v>369</v>
      </c>
      <c r="G259" t="s">
        <v>35</v>
      </c>
      <c r="H259" t="s">
        <v>36</v>
      </c>
      <c r="I259" t="s">
        <v>14</v>
      </c>
      <c r="J259" t="s">
        <v>19</v>
      </c>
      <c r="K259" t="s">
        <v>156</v>
      </c>
      <c r="L259" t="s">
        <v>179</v>
      </c>
      <c r="M259">
        <v>2</v>
      </c>
      <c r="N259">
        <v>81.599999999999994</v>
      </c>
      <c r="O259">
        <v>163.19999999999999</v>
      </c>
      <c r="P259">
        <v>0</v>
      </c>
      <c r="Q259">
        <v>0</v>
      </c>
      <c r="R259">
        <v>163.19999999999999</v>
      </c>
      <c r="S259">
        <v>58.64</v>
      </c>
      <c r="T259">
        <v>104.56</v>
      </c>
      <c r="U259" t="s">
        <v>190</v>
      </c>
      <c r="V259" t="s">
        <v>159</v>
      </c>
      <c r="W259" t="s">
        <v>2090</v>
      </c>
      <c r="X259" t="s">
        <v>2111</v>
      </c>
      <c r="Y259">
        <v>18</v>
      </c>
      <c r="Z259">
        <v>228.56</v>
      </c>
      <c r="AA259">
        <v>56.39</v>
      </c>
      <c r="AB259" t="s">
        <v>14</v>
      </c>
      <c r="AC259" t="s">
        <v>20</v>
      </c>
      <c r="AD259" t="s">
        <v>2095</v>
      </c>
      <c r="AE259" t="s">
        <v>2096</v>
      </c>
    </row>
    <row r="260" spans="1:31">
      <c r="A260" t="s">
        <v>566</v>
      </c>
      <c r="B260" s="1">
        <v>45210</v>
      </c>
      <c r="C260" t="s">
        <v>183</v>
      </c>
      <c r="D260">
        <v>2023</v>
      </c>
      <c r="E260" t="s">
        <v>184</v>
      </c>
      <c r="F260" t="s">
        <v>567</v>
      </c>
      <c r="G260" t="s">
        <v>103</v>
      </c>
      <c r="H260" t="s">
        <v>104</v>
      </c>
      <c r="I260" t="s">
        <v>90</v>
      </c>
      <c r="J260" t="s">
        <v>94</v>
      </c>
      <c r="K260" t="s">
        <v>209</v>
      </c>
      <c r="L260" t="s">
        <v>204</v>
      </c>
      <c r="M260">
        <v>2</v>
      </c>
      <c r="N260">
        <v>98.58</v>
      </c>
      <c r="O260">
        <v>197.16</v>
      </c>
      <c r="P260">
        <v>0</v>
      </c>
      <c r="Q260">
        <v>0</v>
      </c>
      <c r="R260">
        <v>197.16</v>
      </c>
      <c r="S260">
        <v>105.14</v>
      </c>
      <c r="T260">
        <v>92.02</v>
      </c>
      <c r="U260" t="s">
        <v>166</v>
      </c>
      <c r="V260" t="s">
        <v>186</v>
      </c>
      <c r="W260" t="s">
        <v>2093</v>
      </c>
      <c r="X260" t="s">
        <v>2108</v>
      </c>
      <c r="Y260">
        <v>278</v>
      </c>
      <c r="Z260">
        <v>187.23</v>
      </c>
      <c r="AA260">
        <v>70.55</v>
      </c>
      <c r="AB260" t="s">
        <v>115</v>
      </c>
      <c r="AC260" t="s">
        <v>20</v>
      </c>
      <c r="AD260" t="s">
        <v>2095</v>
      </c>
      <c r="AE260" t="s">
        <v>2109</v>
      </c>
    </row>
    <row r="261" spans="1:31">
      <c r="A261" t="s">
        <v>1127</v>
      </c>
      <c r="B261" s="1">
        <v>45210</v>
      </c>
      <c r="C261" t="s">
        <v>183</v>
      </c>
      <c r="D261">
        <v>2023</v>
      </c>
      <c r="E261" t="s">
        <v>184</v>
      </c>
      <c r="F261" t="s">
        <v>1128</v>
      </c>
      <c r="G261" t="s">
        <v>125</v>
      </c>
      <c r="H261" t="s">
        <v>126</v>
      </c>
      <c r="I261" t="s">
        <v>115</v>
      </c>
      <c r="J261" t="s">
        <v>116</v>
      </c>
      <c r="K261" t="s">
        <v>156</v>
      </c>
      <c r="L261" t="s">
        <v>157</v>
      </c>
      <c r="M261">
        <v>3</v>
      </c>
      <c r="N261">
        <v>144.94999999999999</v>
      </c>
      <c r="O261">
        <v>434.84999999999997</v>
      </c>
      <c r="P261">
        <v>15</v>
      </c>
      <c r="Q261">
        <v>65.23</v>
      </c>
      <c r="R261">
        <v>369.62</v>
      </c>
      <c r="S261">
        <v>231.57</v>
      </c>
      <c r="T261">
        <v>138.05000000000001</v>
      </c>
      <c r="U261" t="s">
        <v>190</v>
      </c>
      <c r="V261" t="s">
        <v>181</v>
      </c>
      <c r="W261" t="s">
        <v>2099</v>
      </c>
      <c r="X261" t="s">
        <v>2108</v>
      </c>
      <c r="Y261">
        <v>49</v>
      </c>
      <c r="Z261">
        <v>70.03</v>
      </c>
      <c r="AA261">
        <v>44.87</v>
      </c>
      <c r="AB261" t="s">
        <v>41</v>
      </c>
      <c r="AC261" t="s">
        <v>20</v>
      </c>
      <c r="AD261" t="s">
        <v>2106</v>
      </c>
      <c r="AE261" t="s">
        <v>2088</v>
      </c>
    </row>
    <row r="262" spans="1:31">
      <c r="A262" t="s">
        <v>1289</v>
      </c>
      <c r="B262" s="1">
        <v>45210</v>
      </c>
      <c r="C262" t="s">
        <v>183</v>
      </c>
      <c r="D262">
        <v>2023</v>
      </c>
      <c r="E262" t="s">
        <v>184</v>
      </c>
      <c r="F262" t="s">
        <v>1290</v>
      </c>
      <c r="G262" t="s">
        <v>78</v>
      </c>
      <c r="H262" t="s">
        <v>79</v>
      </c>
      <c r="I262" t="s">
        <v>66</v>
      </c>
      <c r="J262" t="s">
        <v>70</v>
      </c>
      <c r="K262" t="s">
        <v>156</v>
      </c>
      <c r="L262" t="s">
        <v>204</v>
      </c>
      <c r="M262">
        <v>3</v>
      </c>
      <c r="N262">
        <v>218.05</v>
      </c>
      <c r="O262">
        <v>654.15000000000009</v>
      </c>
      <c r="P262">
        <v>0</v>
      </c>
      <c r="Q262">
        <v>0</v>
      </c>
      <c r="R262">
        <v>654.15</v>
      </c>
      <c r="S262">
        <v>223.44</v>
      </c>
      <c r="T262">
        <v>430.71</v>
      </c>
      <c r="U262" t="s">
        <v>195</v>
      </c>
      <c r="V262" t="s">
        <v>159</v>
      </c>
      <c r="W262" t="s">
        <v>2093</v>
      </c>
      <c r="X262" t="s">
        <v>2111</v>
      </c>
      <c r="Y262">
        <v>55</v>
      </c>
      <c r="Z262">
        <v>106.46</v>
      </c>
      <c r="AA262">
        <v>36.47</v>
      </c>
      <c r="AB262" t="s">
        <v>115</v>
      </c>
      <c r="AC262" t="s">
        <v>16</v>
      </c>
      <c r="AD262" t="s">
        <v>2095</v>
      </c>
      <c r="AE262" t="s">
        <v>2121</v>
      </c>
    </row>
    <row r="263" spans="1:31">
      <c r="A263" t="s">
        <v>529</v>
      </c>
      <c r="B263" s="1">
        <v>45209</v>
      </c>
      <c r="C263" t="s">
        <v>183</v>
      </c>
      <c r="D263">
        <v>2023</v>
      </c>
      <c r="E263" t="s">
        <v>184</v>
      </c>
      <c r="F263" t="s">
        <v>530</v>
      </c>
      <c r="G263" t="s">
        <v>105</v>
      </c>
      <c r="H263" t="s">
        <v>106</v>
      </c>
      <c r="I263" t="s">
        <v>90</v>
      </c>
      <c r="J263" t="s">
        <v>91</v>
      </c>
      <c r="K263" t="s">
        <v>209</v>
      </c>
      <c r="L263" t="s">
        <v>174</v>
      </c>
      <c r="M263">
        <v>3</v>
      </c>
      <c r="N263">
        <v>36.35</v>
      </c>
      <c r="O263">
        <v>109.05000000000001</v>
      </c>
      <c r="P263">
        <v>5</v>
      </c>
      <c r="Q263">
        <v>5.45</v>
      </c>
      <c r="R263">
        <v>103.6</v>
      </c>
      <c r="S263">
        <v>90.06</v>
      </c>
      <c r="T263">
        <v>13.54</v>
      </c>
      <c r="U263" t="s">
        <v>195</v>
      </c>
      <c r="V263" t="s">
        <v>186</v>
      </c>
      <c r="W263" t="s">
        <v>2099</v>
      </c>
      <c r="X263" t="s">
        <v>2086</v>
      </c>
      <c r="Y263">
        <v>215</v>
      </c>
      <c r="Z263">
        <v>139.76</v>
      </c>
      <c r="AA263">
        <v>28.29</v>
      </c>
      <c r="AB263" t="s">
        <v>115</v>
      </c>
      <c r="AC263" t="s">
        <v>16</v>
      </c>
      <c r="AD263" t="s">
        <v>2087</v>
      </c>
      <c r="AE263" t="s">
        <v>2096</v>
      </c>
    </row>
    <row r="264" spans="1:31">
      <c r="A264" t="s">
        <v>1011</v>
      </c>
      <c r="B264" s="1">
        <v>45209</v>
      </c>
      <c r="C264" t="s">
        <v>183</v>
      </c>
      <c r="D264">
        <v>2023</v>
      </c>
      <c r="E264" t="s">
        <v>184</v>
      </c>
      <c r="F264" t="s">
        <v>1012</v>
      </c>
      <c r="G264" t="s">
        <v>43</v>
      </c>
      <c r="H264" t="s">
        <v>44</v>
      </c>
      <c r="I264" t="s">
        <v>41</v>
      </c>
      <c r="J264" t="s">
        <v>45</v>
      </c>
      <c r="K264" t="s">
        <v>178</v>
      </c>
      <c r="L264" t="s">
        <v>157</v>
      </c>
      <c r="M264">
        <v>4</v>
      </c>
      <c r="N264">
        <v>67.56</v>
      </c>
      <c r="O264">
        <v>270.24</v>
      </c>
      <c r="P264">
        <v>10</v>
      </c>
      <c r="Q264">
        <v>27.02</v>
      </c>
      <c r="R264">
        <v>243.22</v>
      </c>
      <c r="S264">
        <v>172.84</v>
      </c>
      <c r="T264">
        <v>70.38</v>
      </c>
      <c r="U264" t="s">
        <v>195</v>
      </c>
      <c r="V264" t="s">
        <v>159</v>
      </c>
      <c r="W264" t="s">
        <v>2099</v>
      </c>
      <c r="X264" t="s">
        <v>2091</v>
      </c>
      <c r="Y264">
        <v>228</v>
      </c>
      <c r="Z264">
        <v>107.43</v>
      </c>
      <c r="AA264">
        <v>90.59</v>
      </c>
      <c r="AB264" t="s">
        <v>66</v>
      </c>
      <c r="AC264" t="s">
        <v>20</v>
      </c>
      <c r="AD264" t="s">
        <v>2087</v>
      </c>
      <c r="AE264" t="s">
        <v>2107</v>
      </c>
    </row>
    <row r="265" spans="1:31">
      <c r="A265" t="s">
        <v>703</v>
      </c>
      <c r="B265" s="1">
        <v>45209</v>
      </c>
      <c r="C265" t="s">
        <v>183</v>
      </c>
      <c r="D265">
        <v>2023</v>
      </c>
      <c r="E265" t="s">
        <v>184</v>
      </c>
      <c r="F265" t="s">
        <v>704</v>
      </c>
      <c r="G265" t="s">
        <v>78</v>
      </c>
      <c r="H265" t="s">
        <v>79</v>
      </c>
      <c r="I265" t="s">
        <v>66</v>
      </c>
      <c r="J265" t="s">
        <v>70</v>
      </c>
      <c r="K265" t="s">
        <v>209</v>
      </c>
      <c r="L265" t="s">
        <v>165</v>
      </c>
      <c r="M265">
        <v>4</v>
      </c>
      <c r="N265">
        <v>218.05</v>
      </c>
      <c r="O265">
        <v>872.2</v>
      </c>
      <c r="P265">
        <v>5</v>
      </c>
      <c r="Q265">
        <v>43.61</v>
      </c>
      <c r="R265">
        <v>828.59</v>
      </c>
      <c r="S265">
        <v>297.92</v>
      </c>
      <c r="T265">
        <v>530.66999999999996</v>
      </c>
      <c r="U265" t="s">
        <v>158</v>
      </c>
      <c r="V265" t="s">
        <v>159</v>
      </c>
      <c r="W265" t="s">
        <v>2097</v>
      </c>
      <c r="X265" t="s">
        <v>2108</v>
      </c>
      <c r="Y265">
        <v>356</v>
      </c>
      <c r="Z265">
        <v>388.37</v>
      </c>
      <c r="AA265">
        <v>87.29</v>
      </c>
      <c r="AB265" t="s">
        <v>115</v>
      </c>
      <c r="AC265" t="s">
        <v>16</v>
      </c>
      <c r="AD265" t="s">
        <v>2087</v>
      </c>
      <c r="AE265" t="s">
        <v>2109</v>
      </c>
    </row>
    <row r="266" spans="1:31">
      <c r="A266" t="s">
        <v>1769</v>
      </c>
      <c r="B266" s="1">
        <v>45209</v>
      </c>
      <c r="C266" t="s">
        <v>183</v>
      </c>
      <c r="D266">
        <v>2023</v>
      </c>
      <c r="E266" t="s">
        <v>184</v>
      </c>
      <c r="F266" t="s">
        <v>1548</v>
      </c>
      <c r="G266" t="s">
        <v>21</v>
      </c>
      <c r="H266" t="s">
        <v>22</v>
      </c>
      <c r="I266" t="s">
        <v>14</v>
      </c>
      <c r="J266" t="s">
        <v>15</v>
      </c>
      <c r="K266" t="s">
        <v>178</v>
      </c>
      <c r="L266" t="s">
        <v>174</v>
      </c>
      <c r="M266">
        <v>2</v>
      </c>
      <c r="N266">
        <v>65.430000000000007</v>
      </c>
      <c r="O266">
        <v>130.86000000000001</v>
      </c>
      <c r="P266">
        <v>15</v>
      </c>
      <c r="Q266">
        <v>19.63</v>
      </c>
      <c r="R266">
        <v>111.23</v>
      </c>
      <c r="S266">
        <v>77.38</v>
      </c>
      <c r="T266">
        <v>33.85</v>
      </c>
      <c r="U266" t="s">
        <v>180</v>
      </c>
      <c r="V266" t="s">
        <v>181</v>
      </c>
      <c r="W266" t="s">
        <v>2099</v>
      </c>
      <c r="X266" t="s">
        <v>2086</v>
      </c>
      <c r="Y266">
        <v>232</v>
      </c>
      <c r="Z266">
        <v>62.62</v>
      </c>
      <c r="AA266">
        <v>63.73</v>
      </c>
      <c r="AB266" t="s">
        <v>115</v>
      </c>
      <c r="AC266" t="s">
        <v>16</v>
      </c>
      <c r="AD266" t="s">
        <v>2106</v>
      </c>
      <c r="AE266" t="s">
        <v>2096</v>
      </c>
    </row>
    <row r="267" spans="1:31">
      <c r="A267" t="s">
        <v>247</v>
      </c>
      <c r="B267" s="1">
        <v>45208</v>
      </c>
      <c r="C267" t="s">
        <v>183</v>
      </c>
      <c r="D267">
        <v>2023</v>
      </c>
      <c r="E267" t="s">
        <v>184</v>
      </c>
      <c r="F267" t="s">
        <v>248</v>
      </c>
      <c r="G267" t="s">
        <v>88</v>
      </c>
      <c r="H267" t="s">
        <v>89</v>
      </c>
      <c r="I267" t="s">
        <v>90</v>
      </c>
      <c r="J267" t="s">
        <v>91</v>
      </c>
      <c r="K267" t="s">
        <v>178</v>
      </c>
      <c r="L267" t="s">
        <v>165</v>
      </c>
      <c r="M267">
        <v>3</v>
      </c>
      <c r="N267">
        <v>54.64</v>
      </c>
      <c r="O267">
        <v>163.92000000000002</v>
      </c>
      <c r="P267">
        <v>5</v>
      </c>
      <c r="Q267">
        <v>8.1999999999999993</v>
      </c>
      <c r="R267">
        <v>155.72</v>
      </c>
      <c r="S267">
        <v>60.96</v>
      </c>
      <c r="T267">
        <v>94.76</v>
      </c>
      <c r="U267" t="s">
        <v>180</v>
      </c>
      <c r="V267" t="s">
        <v>159</v>
      </c>
      <c r="W267" t="s">
        <v>2097</v>
      </c>
      <c r="X267" t="s">
        <v>2111</v>
      </c>
      <c r="Y267">
        <v>84</v>
      </c>
      <c r="Z267">
        <v>734.02</v>
      </c>
      <c r="AA267">
        <v>124.69</v>
      </c>
      <c r="AB267" t="s">
        <v>14</v>
      </c>
      <c r="AC267" t="s">
        <v>16</v>
      </c>
      <c r="AD267" t="s">
        <v>2095</v>
      </c>
      <c r="AE267" t="s">
        <v>2121</v>
      </c>
    </row>
    <row r="268" spans="1:31">
      <c r="A268" t="s">
        <v>747</v>
      </c>
      <c r="B268" s="1">
        <v>45208</v>
      </c>
      <c r="C268" t="s">
        <v>183</v>
      </c>
      <c r="D268">
        <v>2023</v>
      </c>
      <c r="E268" t="s">
        <v>184</v>
      </c>
      <c r="F268" t="s">
        <v>748</v>
      </c>
      <c r="G268" t="s">
        <v>101</v>
      </c>
      <c r="H268" t="s">
        <v>102</v>
      </c>
      <c r="I268" t="s">
        <v>90</v>
      </c>
      <c r="J268" t="s">
        <v>100</v>
      </c>
      <c r="K268" t="s">
        <v>164</v>
      </c>
      <c r="L268" t="s">
        <v>165</v>
      </c>
      <c r="M268">
        <v>2</v>
      </c>
      <c r="N268">
        <v>196.28</v>
      </c>
      <c r="O268">
        <v>392.56</v>
      </c>
      <c r="P268">
        <v>15</v>
      </c>
      <c r="Q268">
        <v>58.88</v>
      </c>
      <c r="R268">
        <v>333.68</v>
      </c>
      <c r="S268">
        <v>143.46</v>
      </c>
      <c r="T268">
        <v>190.22</v>
      </c>
      <c r="U268" t="s">
        <v>190</v>
      </c>
      <c r="V268" t="s">
        <v>186</v>
      </c>
      <c r="W268" t="s">
        <v>2090</v>
      </c>
      <c r="X268" t="s">
        <v>2086</v>
      </c>
      <c r="Y268">
        <v>193</v>
      </c>
      <c r="Z268">
        <v>165.07</v>
      </c>
      <c r="AA268">
        <v>78.87</v>
      </c>
      <c r="AB268" t="s">
        <v>90</v>
      </c>
      <c r="AC268" t="s">
        <v>16</v>
      </c>
      <c r="AD268" t="s">
        <v>2087</v>
      </c>
      <c r="AE268" t="s">
        <v>2121</v>
      </c>
    </row>
    <row r="269" spans="1:31">
      <c r="A269" t="s">
        <v>182</v>
      </c>
      <c r="B269" s="1">
        <v>45207</v>
      </c>
      <c r="C269" t="s">
        <v>183</v>
      </c>
      <c r="D269">
        <v>2023</v>
      </c>
      <c r="E269" t="s">
        <v>184</v>
      </c>
      <c r="F269" t="s">
        <v>185</v>
      </c>
      <c r="G269" t="s">
        <v>129</v>
      </c>
      <c r="H269" t="s">
        <v>130</v>
      </c>
      <c r="I269" t="s">
        <v>115</v>
      </c>
      <c r="J269" t="s">
        <v>124</v>
      </c>
      <c r="K269" t="s">
        <v>156</v>
      </c>
      <c r="L269" t="s">
        <v>165</v>
      </c>
      <c r="M269">
        <v>4</v>
      </c>
      <c r="N269">
        <v>99.34</v>
      </c>
      <c r="O269">
        <v>397.36</v>
      </c>
      <c r="P269">
        <v>20</v>
      </c>
      <c r="Q269">
        <v>79.47</v>
      </c>
      <c r="R269">
        <v>317.89</v>
      </c>
      <c r="S269">
        <v>149.4</v>
      </c>
      <c r="T269">
        <v>168.49</v>
      </c>
      <c r="U269" t="s">
        <v>180</v>
      </c>
      <c r="V269" t="s">
        <v>186</v>
      </c>
      <c r="W269" t="s">
        <v>2093</v>
      </c>
      <c r="X269" t="s">
        <v>2091</v>
      </c>
      <c r="Y269">
        <v>302</v>
      </c>
      <c r="Z269">
        <v>185.9</v>
      </c>
      <c r="AA269">
        <v>52.89</v>
      </c>
      <c r="AB269" t="s">
        <v>90</v>
      </c>
      <c r="AC269" t="s">
        <v>16</v>
      </c>
      <c r="AD269" t="s">
        <v>2106</v>
      </c>
      <c r="AE269" t="s">
        <v>2107</v>
      </c>
    </row>
    <row r="270" spans="1:31">
      <c r="A270" t="s">
        <v>1887</v>
      </c>
      <c r="B270" s="1">
        <v>45207</v>
      </c>
      <c r="C270" t="s">
        <v>183</v>
      </c>
      <c r="D270">
        <v>2023</v>
      </c>
      <c r="E270" t="s">
        <v>184</v>
      </c>
      <c r="F270" t="s">
        <v>1888</v>
      </c>
      <c r="G270" t="s">
        <v>55</v>
      </c>
      <c r="H270" t="s">
        <v>56</v>
      </c>
      <c r="I270" t="s">
        <v>41</v>
      </c>
      <c r="J270" t="s">
        <v>45</v>
      </c>
      <c r="K270" t="s">
        <v>209</v>
      </c>
      <c r="L270" t="s">
        <v>165</v>
      </c>
      <c r="M270">
        <v>4</v>
      </c>
      <c r="N270">
        <v>205.4</v>
      </c>
      <c r="O270">
        <v>821.6</v>
      </c>
      <c r="P270">
        <v>15</v>
      </c>
      <c r="Q270">
        <v>123.24</v>
      </c>
      <c r="R270">
        <v>698.36</v>
      </c>
      <c r="S270">
        <v>283.60000000000002</v>
      </c>
      <c r="T270">
        <v>414.76</v>
      </c>
      <c r="U270" t="s">
        <v>166</v>
      </c>
      <c r="V270" t="s">
        <v>159</v>
      </c>
      <c r="W270" t="s">
        <v>2090</v>
      </c>
      <c r="X270" t="s">
        <v>2100</v>
      </c>
      <c r="Y270">
        <v>245</v>
      </c>
      <c r="Z270">
        <v>256.75</v>
      </c>
      <c r="AA270">
        <v>102.37</v>
      </c>
      <c r="AB270" t="s">
        <v>115</v>
      </c>
      <c r="AC270" t="s">
        <v>20</v>
      </c>
      <c r="AD270" t="s">
        <v>2087</v>
      </c>
      <c r="AE270" t="s">
        <v>2107</v>
      </c>
    </row>
    <row r="271" spans="1:31">
      <c r="A271" t="s">
        <v>1182</v>
      </c>
      <c r="B271" s="1">
        <v>45207</v>
      </c>
      <c r="C271" t="s">
        <v>183</v>
      </c>
      <c r="D271">
        <v>2023</v>
      </c>
      <c r="E271" t="s">
        <v>184</v>
      </c>
      <c r="F271" t="s">
        <v>1183</v>
      </c>
      <c r="G271" t="s">
        <v>105</v>
      </c>
      <c r="H271" t="s">
        <v>106</v>
      </c>
      <c r="I271" t="s">
        <v>90</v>
      </c>
      <c r="J271" t="s">
        <v>91</v>
      </c>
      <c r="K271" t="s">
        <v>209</v>
      </c>
      <c r="L271" t="s">
        <v>194</v>
      </c>
      <c r="M271">
        <v>4</v>
      </c>
      <c r="N271">
        <v>36.35</v>
      </c>
      <c r="O271">
        <v>145.4</v>
      </c>
      <c r="P271">
        <v>10</v>
      </c>
      <c r="Q271">
        <v>14.54</v>
      </c>
      <c r="R271">
        <v>130.86000000000001</v>
      </c>
      <c r="S271">
        <v>120.08</v>
      </c>
      <c r="T271">
        <v>10.78</v>
      </c>
      <c r="U271" t="s">
        <v>190</v>
      </c>
      <c r="V271" t="s">
        <v>159</v>
      </c>
      <c r="W271" t="s">
        <v>2113</v>
      </c>
      <c r="X271" t="s">
        <v>2094</v>
      </c>
      <c r="Y271">
        <v>351</v>
      </c>
      <c r="Z271">
        <v>502.05</v>
      </c>
      <c r="AA271">
        <v>79.22</v>
      </c>
      <c r="AB271" t="s">
        <v>41</v>
      </c>
      <c r="AC271" t="s">
        <v>16</v>
      </c>
      <c r="AD271" t="s">
        <v>2087</v>
      </c>
      <c r="AE271" t="s">
        <v>2107</v>
      </c>
    </row>
    <row r="272" spans="1:31">
      <c r="A272" t="s">
        <v>687</v>
      </c>
      <c r="B272" s="1">
        <v>45206</v>
      </c>
      <c r="C272" t="s">
        <v>183</v>
      </c>
      <c r="D272">
        <v>2023</v>
      </c>
      <c r="E272" t="s">
        <v>184</v>
      </c>
      <c r="F272" t="s">
        <v>688</v>
      </c>
      <c r="G272" t="s">
        <v>39</v>
      </c>
      <c r="H272" t="s">
        <v>40</v>
      </c>
      <c r="I272" t="s">
        <v>41</v>
      </c>
      <c r="J272" t="s">
        <v>42</v>
      </c>
      <c r="K272" t="s">
        <v>156</v>
      </c>
      <c r="L272" t="s">
        <v>232</v>
      </c>
      <c r="M272">
        <v>2</v>
      </c>
      <c r="N272">
        <v>35.11</v>
      </c>
      <c r="O272">
        <v>70.22</v>
      </c>
      <c r="P272">
        <v>15</v>
      </c>
      <c r="Q272">
        <v>10.53</v>
      </c>
      <c r="R272">
        <v>59.69</v>
      </c>
      <c r="S272">
        <v>49.74</v>
      </c>
      <c r="T272">
        <v>9.9499999999999993</v>
      </c>
      <c r="U272" t="s">
        <v>158</v>
      </c>
      <c r="V272" t="s">
        <v>181</v>
      </c>
      <c r="W272" t="s">
        <v>2090</v>
      </c>
      <c r="X272" t="s">
        <v>2086</v>
      </c>
      <c r="Y272">
        <v>74</v>
      </c>
      <c r="Z272">
        <v>229.88</v>
      </c>
      <c r="AA272">
        <v>100.55</v>
      </c>
      <c r="AB272" t="s">
        <v>90</v>
      </c>
      <c r="AC272" t="s">
        <v>16</v>
      </c>
      <c r="AD272" t="s">
        <v>2087</v>
      </c>
      <c r="AE272" t="s">
        <v>2109</v>
      </c>
    </row>
    <row r="273" spans="1:31">
      <c r="A273" t="s">
        <v>491</v>
      </c>
      <c r="B273" s="1">
        <v>45206</v>
      </c>
      <c r="C273" t="s">
        <v>183</v>
      </c>
      <c r="D273">
        <v>2023</v>
      </c>
      <c r="E273" t="s">
        <v>184</v>
      </c>
      <c r="F273" t="s">
        <v>492</v>
      </c>
      <c r="G273" t="s">
        <v>35</v>
      </c>
      <c r="H273" t="s">
        <v>36</v>
      </c>
      <c r="I273" t="s">
        <v>14</v>
      </c>
      <c r="J273" t="s">
        <v>19</v>
      </c>
      <c r="K273" t="s">
        <v>156</v>
      </c>
      <c r="L273" t="s">
        <v>179</v>
      </c>
      <c r="M273">
        <v>1</v>
      </c>
      <c r="N273">
        <v>81.599999999999994</v>
      </c>
      <c r="O273">
        <v>81.599999999999994</v>
      </c>
      <c r="P273">
        <v>0</v>
      </c>
      <c r="Q273">
        <v>0</v>
      </c>
      <c r="R273">
        <v>81.599999999999994</v>
      </c>
      <c r="S273">
        <v>29.32</v>
      </c>
      <c r="T273">
        <v>52.28</v>
      </c>
      <c r="U273" t="s">
        <v>180</v>
      </c>
      <c r="V273" t="s">
        <v>186</v>
      </c>
      <c r="W273" t="s">
        <v>2097</v>
      </c>
      <c r="X273" t="s">
        <v>2094</v>
      </c>
      <c r="Y273">
        <v>64</v>
      </c>
      <c r="Z273">
        <v>440.69</v>
      </c>
      <c r="AA273">
        <v>105.25</v>
      </c>
      <c r="AB273" t="s">
        <v>41</v>
      </c>
      <c r="AC273" t="s">
        <v>20</v>
      </c>
      <c r="AD273" t="s">
        <v>2095</v>
      </c>
      <c r="AE273" t="s">
        <v>2107</v>
      </c>
    </row>
    <row r="274" spans="1:31">
      <c r="A274" t="s">
        <v>1766</v>
      </c>
      <c r="B274" s="1">
        <v>45206</v>
      </c>
      <c r="C274" t="s">
        <v>183</v>
      </c>
      <c r="D274">
        <v>2023</v>
      </c>
      <c r="E274" t="s">
        <v>184</v>
      </c>
      <c r="F274" t="s">
        <v>1273</v>
      </c>
      <c r="G274" t="s">
        <v>64</v>
      </c>
      <c r="H274" t="s">
        <v>65</v>
      </c>
      <c r="I274" t="s">
        <v>66</v>
      </c>
      <c r="J274" t="s">
        <v>67</v>
      </c>
      <c r="K274" t="s">
        <v>178</v>
      </c>
      <c r="L274" t="s">
        <v>165</v>
      </c>
      <c r="M274">
        <v>2</v>
      </c>
      <c r="N274">
        <v>24.9</v>
      </c>
      <c r="O274">
        <v>49.8</v>
      </c>
      <c r="P274">
        <v>0</v>
      </c>
      <c r="Q274">
        <v>0</v>
      </c>
      <c r="R274">
        <v>49.8</v>
      </c>
      <c r="S274">
        <v>43.04</v>
      </c>
      <c r="T274">
        <v>6.76</v>
      </c>
      <c r="U274" t="s">
        <v>195</v>
      </c>
      <c r="V274" t="s">
        <v>186</v>
      </c>
      <c r="W274" t="s">
        <v>2090</v>
      </c>
      <c r="X274" t="s">
        <v>2094</v>
      </c>
      <c r="Y274">
        <v>193</v>
      </c>
      <c r="Z274">
        <v>229.14</v>
      </c>
      <c r="AA274">
        <v>107.63</v>
      </c>
      <c r="AB274" t="s">
        <v>66</v>
      </c>
      <c r="AC274" t="s">
        <v>16</v>
      </c>
      <c r="AD274" t="s">
        <v>2087</v>
      </c>
      <c r="AE274" t="s">
        <v>2096</v>
      </c>
    </row>
    <row r="275" spans="1:31">
      <c r="A275" t="s">
        <v>1611</v>
      </c>
      <c r="B275" s="1">
        <v>45206</v>
      </c>
      <c r="C275" t="s">
        <v>183</v>
      </c>
      <c r="D275">
        <v>2023</v>
      </c>
      <c r="E275" t="s">
        <v>184</v>
      </c>
      <c r="F275" t="s">
        <v>1612</v>
      </c>
      <c r="G275" t="s">
        <v>127</v>
      </c>
      <c r="H275" t="s">
        <v>128</v>
      </c>
      <c r="I275" t="s">
        <v>115</v>
      </c>
      <c r="J275" t="s">
        <v>124</v>
      </c>
      <c r="K275" t="s">
        <v>178</v>
      </c>
      <c r="L275" t="s">
        <v>174</v>
      </c>
      <c r="M275">
        <v>3</v>
      </c>
      <c r="N275">
        <v>94.76</v>
      </c>
      <c r="O275">
        <v>284.28000000000003</v>
      </c>
      <c r="P275">
        <v>5</v>
      </c>
      <c r="Q275">
        <v>14.21</v>
      </c>
      <c r="R275">
        <v>270.07</v>
      </c>
      <c r="S275">
        <v>236.46</v>
      </c>
      <c r="T275">
        <v>33.61</v>
      </c>
      <c r="U275" t="s">
        <v>158</v>
      </c>
      <c r="V275" t="s">
        <v>181</v>
      </c>
      <c r="W275" t="s">
        <v>2085</v>
      </c>
      <c r="X275" t="s">
        <v>2086</v>
      </c>
      <c r="Y275">
        <v>35</v>
      </c>
      <c r="Z275">
        <v>1327.44</v>
      </c>
      <c r="AA275">
        <v>202.3</v>
      </c>
      <c r="AB275" t="s">
        <v>90</v>
      </c>
      <c r="AC275" t="s">
        <v>16</v>
      </c>
      <c r="AD275" t="s">
        <v>2087</v>
      </c>
      <c r="AE275" t="s">
        <v>2107</v>
      </c>
    </row>
    <row r="276" spans="1:31">
      <c r="A276" t="s">
        <v>920</v>
      </c>
      <c r="B276" s="1">
        <v>45205</v>
      </c>
      <c r="C276" t="s">
        <v>183</v>
      </c>
      <c r="D276">
        <v>2023</v>
      </c>
      <c r="E276" t="s">
        <v>184</v>
      </c>
      <c r="F276" t="s">
        <v>921</v>
      </c>
      <c r="G276" t="s">
        <v>117</v>
      </c>
      <c r="H276" t="s">
        <v>118</v>
      </c>
      <c r="I276" t="s">
        <v>115</v>
      </c>
      <c r="J276" t="s">
        <v>119</v>
      </c>
      <c r="K276" t="s">
        <v>209</v>
      </c>
      <c r="L276" t="s">
        <v>204</v>
      </c>
      <c r="M276">
        <v>2</v>
      </c>
      <c r="N276">
        <v>93.41</v>
      </c>
      <c r="O276">
        <v>186.82</v>
      </c>
      <c r="P276">
        <v>15</v>
      </c>
      <c r="Q276">
        <v>28.02</v>
      </c>
      <c r="R276">
        <v>158.80000000000001</v>
      </c>
      <c r="S276">
        <v>128.1</v>
      </c>
      <c r="T276">
        <v>30.7</v>
      </c>
      <c r="U276" t="s">
        <v>195</v>
      </c>
      <c r="V276" t="s">
        <v>186</v>
      </c>
      <c r="W276" t="s">
        <v>2093</v>
      </c>
      <c r="X276" t="s">
        <v>2094</v>
      </c>
      <c r="Y276">
        <v>76</v>
      </c>
      <c r="Z276">
        <v>40.18</v>
      </c>
      <c r="AA276">
        <v>60.5</v>
      </c>
      <c r="AB276" t="s">
        <v>115</v>
      </c>
      <c r="AC276" t="s">
        <v>16</v>
      </c>
      <c r="AD276" t="s">
        <v>2087</v>
      </c>
      <c r="AE276" t="s">
        <v>2121</v>
      </c>
    </row>
    <row r="277" spans="1:31">
      <c r="A277" t="s">
        <v>1153</v>
      </c>
      <c r="B277" s="1">
        <v>45205</v>
      </c>
      <c r="C277" t="s">
        <v>183</v>
      </c>
      <c r="D277">
        <v>2023</v>
      </c>
      <c r="E277" t="s">
        <v>184</v>
      </c>
      <c r="F277" t="s">
        <v>1154</v>
      </c>
      <c r="G277" t="s">
        <v>95</v>
      </c>
      <c r="H277" t="s">
        <v>96</v>
      </c>
      <c r="I277" t="s">
        <v>90</v>
      </c>
      <c r="J277" t="s">
        <v>97</v>
      </c>
      <c r="K277" t="s">
        <v>164</v>
      </c>
      <c r="L277" t="s">
        <v>174</v>
      </c>
      <c r="M277">
        <v>2</v>
      </c>
      <c r="N277">
        <v>177.41</v>
      </c>
      <c r="O277">
        <v>354.82</v>
      </c>
      <c r="P277">
        <v>5</v>
      </c>
      <c r="Q277">
        <v>17.739999999999998</v>
      </c>
      <c r="R277">
        <v>337.08</v>
      </c>
      <c r="S277">
        <v>149.97999999999999</v>
      </c>
      <c r="T277">
        <v>187.1</v>
      </c>
      <c r="U277" t="s">
        <v>195</v>
      </c>
      <c r="V277" t="s">
        <v>159</v>
      </c>
      <c r="W277" t="s">
        <v>2099</v>
      </c>
      <c r="X277" t="s">
        <v>2108</v>
      </c>
      <c r="Y277">
        <v>327</v>
      </c>
      <c r="Z277">
        <v>20.170000000000002</v>
      </c>
      <c r="AA277">
        <v>35.67</v>
      </c>
      <c r="AB277" t="s">
        <v>115</v>
      </c>
      <c r="AC277" t="s">
        <v>16</v>
      </c>
      <c r="AD277" t="s">
        <v>2095</v>
      </c>
      <c r="AE277" t="s">
        <v>2109</v>
      </c>
    </row>
    <row r="278" spans="1:31">
      <c r="A278" t="s">
        <v>795</v>
      </c>
      <c r="B278" s="1">
        <v>45205</v>
      </c>
      <c r="C278" t="s">
        <v>183</v>
      </c>
      <c r="D278">
        <v>2023</v>
      </c>
      <c r="E278" t="s">
        <v>184</v>
      </c>
      <c r="F278" t="s">
        <v>796</v>
      </c>
      <c r="G278" t="s">
        <v>105</v>
      </c>
      <c r="H278" t="s">
        <v>106</v>
      </c>
      <c r="I278" t="s">
        <v>90</v>
      </c>
      <c r="J278" t="s">
        <v>91</v>
      </c>
      <c r="K278" t="s">
        <v>178</v>
      </c>
      <c r="L278" t="s">
        <v>232</v>
      </c>
      <c r="M278">
        <v>1</v>
      </c>
      <c r="N278">
        <v>36.35</v>
      </c>
      <c r="O278">
        <v>36.35</v>
      </c>
      <c r="P278">
        <v>0</v>
      </c>
      <c r="Q278">
        <v>0</v>
      </c>
      <c r="R278">
        <v>36.35</v>
      </c>
      <c r="S278">
        <v>30.02</v>
      </c>
      <c r="T278">
        <v>6.33</v>
      </c>
      <c r="U278" t="s">
        <v>158</v>
      </c>
      <c r="V278" t="s">
        <v>186</v>
      </c>
      <c r="W278" t="s">
        <v>2085</v>
      </c>
      <c r="X278" t="s">
        <v>2100</v>
      </c>
      <c r="Y278">
        <v>203</v>
      </c>
      <c r="Z278">
        <v>2151.81</v>
      </c>
      <c r="AA278">
        <v>197.16</v>
      </c>
      <c r="AB278" t="s">
        <v>66</v>
      </c>
      <c r="AC278" t="s">
        <v>20</v>
      </c>
      <c r="AD278" t="s">
        <v>2095</v>
      </c>
      <c r="AE278" t="s">
        <v>2121</v>
      </c>
    </row>
    <row r="279" spans="1:31">
      <c r="A279" t="s">
        <v>198</v>
      </c>
      <c r="B279" s="1">
        <v>45204</v>
      </c>
      <c r="C279" t="s">
        <v>183</v>
      </c>
      <c r="D279">
        <v>2023</v>
      </c>
      <c r="E279" t="s">
        <v>184</v>
      </c>
      <c r="F279" t="s">
        <v>199</v>
      </c>
      <c r="G279" t="s">
        <v>80</v>
      </c>
      <c r="H279" t="s">
        <v>81</v>
      </c>
      <c r="I279" t="s">
        <v>66</v>
      </c>
      <c r="J279" t="s">
        <v>70</v>
      </c>
      <c r="K279" t="s">
        <v>164</v>
      </c>
      <c r="L279" t="s">
        <v>174</v>
      </c>
      <c r="M279">
        <v>4</v>
      </c>
      <c r="N279">
        <v>106.06</v>
      </c>
      <c r="O279">
        <v>424.24</v>
      </c>
      <c r="P279">
        <v>0</v>
      </c>
      <c r="Q279">
        <v>0</v>
      </c>
      <c r="R279">
        <v>424.24</v>
      </c>
      <c r="S279">
        <v>133.68</v>
      </c>
      <c r="T279">
        <v>290.56</v>
      </c>
      <c r="U279" t="s">
        <v>190</v>
      </c>
      <c r="V279" t="s">
        <v>186</v>
      </c>
      <c r="W279" t="s">
        <v>2093</v>
      </c>
      <c r="X279" t="s">
        <v>2111</v>
      </c>
      <c r="Y279">
        <v>37</v>
      </c>
      <c r="Z279">
        <v>86.3</v>
      </c>
      <c r="AA279">
        <v>79.75</v>
      </c>
      <c r="AB279" t="s">
        <v>41</v>
      </c>
      <c r="AC279" t="s">
        <v>20</v>
      </c>
      <c r="AD279" t="s">
        <v>2106</v>
      </c>
      <c r="AE279" t="s">
        <v>2109</v>
      </c>
    </row>
    <row r="280" spans="1:31">
      <c r="A280" t="s">
        <v>1470</v>
      </c>
      <c r="B280" s="1">
        <v>45204</v>
      </c>
      <c r="C280" t="s">
        <v>183</v>
      </c>
      <c r="D280">
        <v>2023</v>
      </c>
      <c r="E280" t="s">
        <v>184</v>
      </c>
      <c r="F280" t="s">
        <v>1471</v>
      </c>
      <c r="G280" t="s">
        <v>117</v>
      </c>
      <c r="H280" t="s">
        <v>118</v>
      </c>
      <c r="I280" t="s">
        <v>115</v>
      </c>
      <c r="J280" t="s">
        <v>119</v>
      </c>
      <c r="K280" t="s">
        <v>156</v>
      </c>
      <c r="L280" t="s">
        <v>179</v>
      </c>
      <c r="M280">
        <v>2</v>
      </c>
      <c r="N280">
        <v>93.41</v>
      </c>
      <c r="O280">
        <v>186.82</v>
      </c>
      <c r="P280">
        <v>10</v>
      </c>
      <c r="Q280">
        <v>18.68</v>
      </c>
      <c r="R280">
        <v>168.14</v>
      </c>
      <c r="S280">
        <v>128.1</v>
      </c>
      <c r="T280">
        <v>40.04</v>
      </c>
      <c r="U280" t="s">
        <v>190</v>
      </c>
      <c r="V280" t="s">
        <v>159</v>
      </c>
      <c r="W280" t="s">
        <v>2093</v>
      </c>
      <c r="X280" t="s">
        <v>2094</v>
      </c>
      <c r="Y280">
        <v>7</v>
      </c>
      <c r="Z280">
        <v>181.6</v>
      </c>
      <c r="AA280">
        <v>57.62</v>
      </c>
      <c r="AB280" t="s">
        <v>14</v>
      </c>
      <c r="AC280" t="s">
        <v>20</v>
      </c>
      <c r="AD280" t="s">
        <v>2095</v>
      </c>
      <c r="AE280" t="s">
        <v>2109</v>
      </c>
    </row>
    <row r="281" spans="1:31">
      <c r="A281" t="s">
        <v>318</v>
      </c>
      <c r="B281" s="1">
        <v>45204</v>
      </c>
      <c r="C281" t="s">
        <v>183</v>
      </c>
      <c r="D281">
        <v>2023</v>
      </c>
      <c r="E281" t="s">
        <v>184</v>
      </c>
      <c r="F281" t="s">
        <v>319</v>
      </c>
      <c r="G281" t="s">
        <v>64</v>
      </c>
      <c r="H281" t="s">
        <v>65</v>
      </c>
      <c r="I281" t="s">
        <v>66</v>
      </c>
      <c r="J281" t="s">
        <v>67</v>
      </c>
      <c r="K281" t="s">
        <v>209</v>
      </c>
      <c r="L281" t="s">
        <v>157</v>
      </c>
      <c r="M281">
        <v>4</v>
      </c>
      <c r="N281">
        <v>24.9</v>
      </c>
      <c r="O281">
        <v>99.6</v>
      </c>
      <c r="P281">
        <v>20</v>
      </c>
      <c r="Q281">
        <v>19.920000000000002</v>
      </c>
      <c r="R281">
        <v>79.680000000000007</v>
      </c>
      <c r="S281">
        <v>86.08</v>
      </c>
      <c r="T281">
        <v>-6.4</v>
      </c>
      <c r="U281" t="s">
        <v>195</v>
      </c>
      <c r="V281" t="s">
        <v>159</v>
      </c>
      <c r="W281" t="s">
        <v>2090</v>
      </c>
      <c r="X281" t="s">
        <v>2094</v>
      </c>
      <c r="Y281">
        <v>300</v>
      </c>
      <c r="Z281">
        <v>362.25</v>
      </c>
      <c r="AA281">
        <v>72.209999999999994</v>
      </c>
      <c r="AB281" t="s">
        <v>14</v>
      </c>
      <c r="AC281" t="s">
        <v>20</v>
      </c>
      <c r="AD281" t="s">
        <v>2106</v>
      </c>
      <c r="AE281" t="s">
        <v>2107</v>
      </c>
    </row>
    <row r="282" spans="1:31">
      <c r="A282" t="s">
        <v>2067</v>
      </c>
      <c r="B282" s="1">
        <v>45203</v>
      </c>
      <c r="C282" t="s">
        <v>183</v>
      </c>
      <c r="D282">
        <v>2023</v>
      </c>
      <c r="E282" t="s">
        <v>184</v>
      </c>
      <c r="F282" t="s">
        <v>2068</v>
      </c>
      <c r="G282" t="s">
        <v>17</v>
      </c>
      <c r="H282" t="s">
        <v>18</v>
      </c>
      <c r="I282" t="s">
        <v>14</v>
      </c>
      <c r="J282" t="s">
        <v>19</v>
      </c>
      <c r="K282" t="s">
        <v>178</v>
      </c>
      <c r="L282" t="s">
        <v>157</v>
      </c>
      <c r="M282">
        <v>1</v>
      </c>
      <c r="N282">
        <v>53.26</v>
      </c>
      <c r="O282">
        <v>53.26</v>
      </c>
      <c r="P282">
        <v>20</v>
      </c>
      <c r="Q282">
        <v>10.65</v>
      </c>
      <c r="R282">
        <v>42.61</v>
      </c>
      <c r="S282">
        <v>36.64</v>
      </c>
      <c r="T282">
        <v>5.97</v>
      </c>
      <c r="U282" t="s">
        <v>195</v>
      </c>
      <c r="V282" t="s">
        <v>186</v>
      </c>
      <c r="W282" t="s">
        <v>2099</v>
      </c>
      <c r="X282" t="s">
        <v>2111</v>
      </c>
      <c r="Y282">
        <v>3</v>
      </c>
      <c r="Z282">
        <v>80.8</v>
      </c>
      <c r="AA282">
        <v>74.58</v>
      </c>
      <c r="AB282" t="s">
        <v>66</v>
      </c>
      <c r="AC282" t="s">
        <v>20</v>
      </c>
      <c r="AD282" t="s">
        <v>2106</v>
      </c>
      <c r="AE282" t="s">
        <v>2109</v>
      </c>
    </row>
    <row r="283" spans="1:31">
      <c r="A283" t="s">
        <v>344</v>
      </c>
      <c r="B283" s="1">
        <v>45203</v>
      </c>
      <c r="C283" t="s">
        <v>183</v>
      </c>
      <c r="D283">
        <v>2023</v>
      </c>
      <c r="E283" t="s">
        <v>184</v>
      </c>
      <c r="F283" t="s">
        <v>345</v>
      </c>
      <c r="G283" t="s">
        <v>46</v>
      </c>
      <c r="H283" t="s">
        <v>47</v>
      </c>
      <c r="I283" t="s">
        <v>41</v>
      </c>
      <c r="J283" t="s">
        <v>45</v>
      </c>
      <c r="K283" t="s">
        <v>178</v>
      </c>
      <c r="L283" t="s">
        <v>232</v>
      </c>
      <c r="M283">
        <v>2</v>
      </c>
      <c r="N283">
        <v>16.95</v>
      </c>
      <c r="O283">
        <v>33.9</v>
      </c>
      <c r="P283">
        <v>20</v>
      </c>
      <c r="Q283">
        <v>6.78</v>
      </c>
      <c r="R283">
        <v>27.12</v>
      </c>
      <c r="S283">
        <v>19.52</v>
      </c>
      <c r="T283">
        <v>7.6</v>
      </c>
      <c r="U283" t="s">
        <v>166</v>
      </c>
      <c r="V283" t="s">
        <v>159</v>
      </c>
      <c r="W283" t="s">
        <v>2085</v>
      </c>
      <c r="X283" t="s">
        <v>2108</v>
      </c>
      <c r="Y283">
        <v>54</v>
      </c>
      <c r="Z283">
        <v>1491.12</v>
      </c>
      <c r="AA283">
        <v>204.64</v>
      </c>
      <c r="AB283" t="s">
        <v>14</v>
      </c>
      <c r="AC283" t="s">
        <v>20</v>
      </c>
      <c r="AD283" t="s">
        <v>2095</v>
      </c>
      <c r="AE283" t="s">
        <v>2121</v>
      </c>
    </row>
    <row r="284" spans="1:31">
      <c r="A284" t="s">
        <v>1299</v>
      </c>
      <c r="B284" s="1">
        <v>45203</v>
      </c>
      <c r="C284" t="s">
        <v>183</v>
      </c>
      <c r="D284">
        <v>2023</v>
      </c>
      <c r="E284" t="s">
        <v>184</v>
      </c>
      <c r="F284" t="s">
        <v>1300</v>
      </c>
      <c r="G284" t="s">
        <v>23</v>
      </c>
      <c r="H284" t="s">
        <v>24</v>
      </c>
      <c r="I284" t="s">
        <v>14</v>
      </c>
      <c r="J284" t="s">
        <v>19</v>
      </c>
      <c r="K284" t="s">
        <v>178</v>
      </c>
      <c r="L284" t="s">
        <v>204</v>
      </c>
      <c r="M284">
        <v>4</v>
      </c>
      <c r="N284">
        <v>154.03</v>
      </c>
      <c r="O284">
        <v>616.12</v>
      </c>
      <c r="P284">
        <v>5</v>
      </c>
      <c r="Q284">
        <v>30.81</v>
      </c>
      <c r="R284">
        <v>585.30999999999995</v>
      </c>
      <c r="S284">
        <v>307.16000000000003</v>
      </c>
      <c r="T284">
        <v>278.14999999999998</v>
      </c>
      <c r="U284" t="s">
        <v>190</v>
      </c>
      <c r="V284" t="s">
        <v>186</v>
      </c>
      <c r="W284" t="s">
        <v>2099</v>
      </c>
      <c r="X284" t="s">
        <v>2100</v>
      </c>
      <c r="Y284">
        <v>273</v>
      </c>
      <c r="Z284">
        <v>110.18</v>
      </c>
      <c r="AA284">
        <v>27.56</v>
      </c>
      <c r="AB284" t="s">
        <v>90</v>
      </c>
      <c r="AC284" t="s">
        <v>20</v>
      </c>
      <c r="AD284" t="s">
        <v>2106</v>
      </c>
      <c r="AE284" t="s">
        <v>2088</v>
      </c>
    </row>
    <row r="285" spans="1:31">
      <c r="A285" t="s">
        <v>1337</v>
      </c>
      <c r="B285" s="1">
        <v>45203</v>
      </c>
      <c r="C285" t="s">
        <v>183</v>
      </c>
      <c r="D285">
        <v>2023</v>
      </c>
      <c r="E285" t="s">
        <v>184</v>
      </c>
      <c r="F285" t="s">
        <v>1338</v>
      </c>
      <c r="G285" t="s">
        <v>64</v>
      </c>
      <c r="H285" t="s">
        <v>65</v>
      </c>
      <c r="I285" t="s">
        <v>66</v>
      </c>
      <c r="J285" t="s">
        <v>67</v>
      </c>
      <c r="K285" t="s">
        <v>178</v>
      </c>
      <c r="L285" t="s">
        <v>232</v>
      </c>
      <c r="M285">
        <v>4</v>
      </c>
      <c r="N285">
        <v>24.9</v>
      </c>
      <c r="O285">
        <v>99.6</v>
      </c>
      <c r="P285">
        <v>5</v>
      </c>
      <c r="Q285">
        <v>4.9800000000000004</v>
      </c>
      <c r="R285">
        <v>94.62</v>
      </c>
      <c r="S285">
        <v>86.08</v>
      </c>
      <c r="T285">
        <v>8.5399999999999991</v>
      </c>
      <c r="U285" t="s">
        <v>180</v>
      </c>
      <c r="V285" t="s">
        <v>159</v>
      </c>
      <c r="W285" t="s">
        <v>2097</v>
      </c>
      <c r="X285" t="s">
        <v>2094</v>
      </c>
      <c r="Y285">
        <v>61</v>
      </c>
      <c r="Z285">
        <v>698.7</v>
      </c>
      <c r="AA285">
        <v>54.58</v>
      </c>
      <c r="AB285" t="s">
        <v>14</v>
      </c>
      <c r="AC285" t="s">
        <v>20</v>
      </c>
      <c r="AD285" t="s">
        <v>2106</v>
      </c>
      <c r="AE285" t="s">
        <v>2088</v>
      </c>
    </row>
    <row r="286" spans="1:31">
      <c r="A286" t="s">
        <v>1699</v>
      </c>
      <c r="B286" s="1">
        <v>45203</v>
      </c>
      <c r="C286" t="s">
        <v>183</v>
      </c>
      <c r="D286">
        <v>2023</v>
      </c>
      <c r="E286" t="s">
        <v>184</v>
      </c>
      <c r="F286" t="s">
        <v>1700</v>
      </c>
      <c r="G286" t="s">
        <v>111</v>
      </c>
      <c r="H286" t="s">
        <v>112</v>
      </c>
      <c r="I286" t="s">
        <v>90</v>
      </c>
      <c r="J286" t="s">
        <v>97</v>
      </c>
      <c r="K286" t="s">
        <v>156</v>
      </c>
      <c r="L286" t="s">
        <v>204</v>
      </c>
      <c r="M286">
        <v>3</v>
      </c>
      <c r="N286">
        <v>189.99</v>
      </c>
      <c r="O286">
        <v>569.97</v>
      </c>
      <c r="P286">
        <v>20</v>
      </c>
      <c r="Q286">
        <v>113.99</v>
      </c>
      <c r="R286">
        <v>455.98</v>
      </c>
      <c r="S286">
        <v>190.53</v>
      </c>
      <c r="T286">
        <v>265.45</v>
      </c>
      <c r="U286" t="s">
        <v>190</v>
      </c>
      <c r="V286" t="s">
        <v>159</v>
      </c>
      <c r="W286" t="s">
        <v>2093</v>
      </c>
      <c r="X286" t="s">
        <v>2111</v>
      </c>
      <c r="Y286">
        <v>231</v>
      </c>
      <c r="Z286">
        <v>118.17</v>
      </c>
      <c r="AA286">
        <v>64.19</v>
      </c>
      <c r="AB286" t="s">
        <v>115</v>
      </c>
      <c r="AC286" t="s">
        <v>20</v>
      </c>
      <c r="AD286" t="s">
        <v>2095</v>
      </c>
      <c r="AE286" t="s">
        <v>2121</v>
      </c>
    </row>
    <row r="287" spans="1:31">
      <c r="A287" t="s">
        <v>628</v>
      </c>
      <c r="B287" s="1">
        <v>45202</v>
      </c>
      <c r="C287" t="s">
        <v>183</v>
      </c>
      <c r="D287">
        <v>2023</v>
      </c>
      <c r="E287" t="s">
        <v>184</v>
      </c>
      <c r="F287" t="s">
        <v>629</v>
      </c>
      <c r="G287" t="s">
        <v>80</v>
      </c>
      <c r="H287" t="s">
        <v>81</v>
      </c>
      <c r="I287" t="s">
        <v>66</v>
      </c>
      <c r="J287" t="s">
        <v>70</v>
      </c>
      <c r="K287" t="s">
        <v>156</v>
      </c>
      <c r="L287" t="s">
        <v>179</v>
      </c>
      <c r="M287">
        <v>4</v>
      </c>
      <c r="N287">
        <v>106.06</v>
      </c>
      <c r="O287">
        <v>424.24</v>
      </c>
      <c r="P287">
        <v>20</v>
      </c>
      <c r="Q287">
        <v>84.85</v>
      </c>
      <c r="R287">
        <v>339.39</v>
      </c>
      <c r="S287">
        <v>133.68</v>
      </c>
      <c r="T287">
        <v>205.71</v>
      </c>
      <c r="U287" t="s">
        <v>190</v>
      </c>
      <c r="V287" t="s">
        <v>181</v>
      </c>
      <c r="W287" t="s">
        <v>2093</v>
      </c>
      <c r="X287" t="s">
        <v>2111</v>
      </c>
      <c r="Y287">
        <v>52</v>
      </c>
      <c r="Z287">
        <v>144.37</v>
      </c>
      <c r="AA287">
        <v>58.32</v>
      </c>
      <c r="AB287" t="s">
        <v>14</v>
      </c>
      <c r="AC287" t="s">
        <v>20</v>
      </c>
      <c r="AD287" t="s">
        <v>2106</v>
      </c>
      <c r="AE287" t="s">
        <v>2121</v>
      </c>
    </row>
    <row r="288" spans="1:31">
      <c r="A288" t="s">
        <v>1449</v>
      </c>
      <c r="B288" s="1">
        <v>45202</v>
      </c>
      <c r="C288" t="s">
        <v>183</v>
      </c>
      <c r="D288">
        <v>2023</v>
      </c>
      <c r="E288" t="s">
        <v>184</v>
      </c>
      <c r="F288" t="s">
        <v>1450</v>
      </c>
      <c r="G288" t="s">
        <v>17</v>
      </c>
      <c r="H288" t="s">
        <v>18</v>
      </c>
      <c r="I288" t="s">
        <v>14</v>
      </c>
      <c r="J288" t="s">
        <v>19</v>
      </c>
      <c r="K288" t="s">
        <v>156</v>
      </c>
      <c r="L288" t="s">
        <v>232</v>
      </c>
      <c r="M288">
        <v>3</v>
      </c>
      <c r="N288">
        <v>53.26</v>
      </c>
      <c r="O288">
        <v>159.78</v>
      </c>
      <c r="P288">
        <v>0</v>
      </c>
      <c r="Q288">
        <v>0</v>
      </c>
      <c r="R288">
        <v>159.78</v>
      </c>
      <c r="S288">
        <v>109.92</v>
      </c>
      <c r="T288">
        <v>49.86</v>
      </c>
      <c r="U288" t="s">
        <v>166</v>
      </c>
      <c r="V288" t="s">
        <v>159</v>
      </c>
      <c r="W288" t="s">
        <v>2099</v>
      </c>
      <c r="X288" t="s">
        <v>2111</v>
      </c>
      <c r="Y288">
        <v>97</v>
      </c>
      <c r="Z288">
        <v>122.77</v>
      </c>
      <c r="AA288">
        <v>62.57</v>
      </c>
      <c r="AB288" t="s">
        <v>90</v>
      </c>
      <c r="AC288" t="s">
        <v>20</v>
      </c>
      <c r="AD288" t="s">
        <v>2095</v>
      </c>
      <c r="AE288" t="s">
        <v>2107</v>
      </c>
    </row>
    <row r="289" spans="1:31">
      <c r="A289" t="s">
        <v>599</v>
      </c>
      <c r="B289" s="1">
        <v>45202</v>
      </c>
      <c r="C289" t="s">
        <v>183</v>
      </c>
      <c r="D289">
        <v>2023</v>
      </c>
      <c r="E289" t="s">
        <v>184</v>
      </c>
      <c r="F289" t="s">
        <v>600</v>
      </c>
      <c r="G289" t="s">
        <v>48</v>
      </c>
      <c r="H289" t="s">
        <v>49</v>
      </c>
      <c r="I289" t="s">
        <v>41</v>
      </c>
      <c r="J289" t="s">
        <v>42</v>
      </c>
      <c r="K289" t="s">
        <v>178</v>
      </c>
      <c r="L289" t="s">
        <v>157</v>
      </c>
      <c r="M289">
        <v>2</v>
      </c>
      <c r="N289">
        <v>84.95</v>
      </c>
      <c r="O289">
        <v>169.9</v>
      </c>
      <c r="P289">
        <v>20</v>
      </c>
      <c r="Q289">
        <v>33.979999999999997</v>
      </c>
      <c r="R289">
        <v>135.91999999999999</v>
      </c>
      <c r="S289">
        <v>106.14</v>
      </c>
      <c r="T289">
        <v>29.78</v>
      </c>
      <c r="U289" t="s">
        <v>158</v>
      </c>
      <c r="V289" t="s">
        <v>181</v>
      </c>
      <c r="W289" t="s">
        <v>2093</v>
      </c>
      <c r="X289" t="s">
        <v>2094</v>
      </c>
      <c r="Y289">
        <v>29</v>
      </c>
      <c r="Z289">
        <v>68.97</v>
      </c>
      <c r="AA289">
        <v>69.69</v>
      </c>
      <c r="AB289" t="s">
        <v>90</v>
      </c>
      <c r="AC289" t="s">
        <v>16</v>
      </c>
      <c r="AD289" t="s">
        <v>2087</v>
      </c>
      <c r="AE289" t="s">
        <v>2109</v>
      </c>
    </row>
    <row r="290" spans="1:31">
      <c r="A290" t="s">
        <v>562</v>
      </c>
      <c r="B290" s="1">
        <v>45201</v>
      </c>
      <c r="C290" t="s">
        <v>183</v>
      </c>
      <c r="D290">
        <v>2023</v>
      </c>
      <c r="E290" t="s">
        <v>184</v>
      </c>
      <c r="F290" t="s">
        <v>563</v>
      </c>
      <c r="G290" t="s">
        <v>109</v>
      </c>
      <c r="H290" t="s">
        <v>110</v>
      </c>
      <c r="I290" t="s">
        <v>90</v>
      </c>
      <c r="J290" t="s">
        <v>100</v>
      </c>
      <c r="K290" t="s">
        <v>209</v>
      </c>
      <c r="L290" t="s">
        <v>204</v>
      </c>
      <c r="M290">
        <v>4</v>
      </c>
      <c r="N290">
        <v>77.67</v>
      </c>
      <c r="O290">
        <v>310.68</v>
      </c>
      <c r="P290">
        <v>0</v>
      </c>
      <c r="Q290">
        <v>0</v>
      </c>
      <c r="R290">
        <v>310.68</v>
      </c>
      <c r="S290">
        <v>112.48</v>
      </c>
      <c r="T290">
        <v>198.2</v>
      </c>
      <c r="U290" t="s">
        <v>190</v>
      </c>
      <c r="V290" t="s">
        <v>159</v>
      </c>
      <c r="W290" t="s">
        <v>2093</v>
      </c>
      <c r="X290" t="s">
        <v>2108</v>
      </c>
      <c r="Y290">
        <v>343</v>
      </c>
      <c r="Z290">
        <v>109.32</v>
      </c>
      <c r="AA290">
        <v>41.69</v>
      </c>
      <c r="AB290" t="s">
        <v>41</v>
      </c>
      <c r="AC290" t="s">
        <v>16</v>
      </c>
      <c r="AD290" t="s">
        <v>2087</v>
      </c>
      <c r="AE290" t="s">
        <v>2109</v>
      </c>
    </row>
    <row r="291" spans="1:31">
      <c r="A291" t="s">
        <v>1287</v>
      </c>
      <c r="B291" s="1">
        <v>45201</v>
      </c>
      <c r="C291" t="s">
        <v>183</v>
      </c>
      <c r="D291">
        <v>2023</v>
      </c>
      <c r="E291" t="s">
        <v>184</v>
      </c>
      <c r="F291" t="s">
        <v>1288</v>
      </c>
      <c r="G291" t="s">
        <v>80</v>
      </c>
      <c r="H291" t="s">
        <v>81</v>
      </c>
      <c r="I291" t="s">
        <v>66</v>
      </c>
      <c r="J291" t="s">
        <v>70</v>
      </c>
      <c r="K291" t="s">
        <v>178</v>
      </c>
      <c r="L291" t="s">
        <v>157</v>
      </c>
      <c r="M291">
        <v>3</v>
      </c>
      <c r="N291">
        <v>106.06</v>
      </c>
      <c r="O291">
        <v>318.18</v>
      </c>
      <c r="P291">
        <v>10</v>
      </c>
      <c r="Q291">
        <v>31.82</v>
      </c>
      <c r="R291">
        <v>286.36</v>
      </c>
      <c r="S291">
        <v>100.26</v>
      </c>
      <c r="T291">
        <v>186.1</v>
      </c>
      <c r="U291" t="s">
        <v>195</v>
      </c>
      <c r="V291" t="s">
        <v>159</v>
      </c>
      <c r="W291" t="s">
        <v>2090</v>
      </c>
      <c r="X291" t="s">
        <v>2086</v>
      </c>
      <c r="Y291">
        <v>28</v>
      </c>
      <c r="Z291">
        <v>211.55</v>
      </c>
      <c r="AA291">
        <v>109.17</v>
      </c>
      <c r="AB291" t="s">
        <v>14</v>
      </c>
      <c r="AC291" t="s">
        <v>16</v>
      </c>
      <c r="AD291" t="s">
        <v>2087</v>
      </c>
      <c r="AE291" t="s">
        <v>2109</v>
      </c>
    </row>
    <row r="292" spans="1:31">
      <c r="A292" t="s">
        <v>1543</v>
      </c>
      <c r="B292" s="1">
        <v>45201</v>
      </c>
      <c r="C292" t="s">
        <v>183</v>
      </c>
      <c r="D292">
        <v>2023</v>
      </c>
      <c r="E292" t="s">
        <v>184</v>
      </c>
      <c r="F292" t="s">
        <v>1544</v>
      </c>
      <c r="G292" t="s">
        <v>105</v>
      </c>
      <c r="H292" t="s">
        <v>106</v>
      </c>
      <c r="I292" t="s">
        <v>90</v>
      </c>
      <c r="J292" t="s">
        <v>91</v>
      </c>
      <c r="K292" t="s">
        <v>156</v>
      </c>
      <c r="L292" t="s">
        <v>232</v>
      </c>
      <c r="M292">
        <v>3</v>
      </c>
      <c r="N292">
        <v>36.35</v>
      </c>
      <c r="O292">
        <v>109.05000000000001</v>
      </c>
      <c r="P292">
        <v>10</v>
      </c>
      <c r="Q292">
        <v>10.9</v>
      </c>
      <c r="R292">
        <v>98.15</v>
      </c>
      <c r="S292">
        <v>90.06</v>
      </c>
      <c r="T292">
        <v>8.09</v>
      </c>
      <c r="U292" t="s">
        <v>195</v>
      </c>
      <c r="V292" t="s">
        <v>159</v>
      </c>
      <c r="W292" t="s">
        <v>2099</v>
      </c>
      <c r="X292" t="s">
        <v>2111</v>
      </c>
      <c r="Y292">
        <v>129</v>
      </c>
      <c r="Z292">
        <v>41.43</v>
      </c>
      <c r="AA292">
        <v>36.590000000000003</v>
      </c>
      <c r="AB292" t="s">
        <v>14</v>
      </c>
      <c r="AC292" t="s">
        <v>20</v>
      </c>
      <c r="AD292" t="s">
        <v>2106</v>
      </c>
      <c r="AE292" t="s">
        <v>2109</v>
      </c>
    </row>
    <row r="293" spans="1:31">
      <c r="A293" t="s">
        <v>1879</v>
      </c>
      <c r="B293" s="1">
        <v>45201</v>
      </c>
      <c r="C293" t="s">
        <v>183</v>
      </c>
      <c r="D293">
        <v>2023</v>
      </c>
      <c r="E293" t="s">
        <v>184</v>
      </c>
      <c r="F293" t="s">
        <v>1880</v>
      </c>
      <c r="G293" t="s">
        <v>113</v>
      </c>
      <c r="H293" t="s">
        <v>114</v>
      </c>
      <c r="I293" t="s">
        <v>115</v>
      </c>
      <c r="J293" t="s">
        <v>116</v>
      </c>
      <c r="K293" t="s">
        <v>178</v>
      </c>
      <c r="L293" t="s">
        <v>194</v>
      </c>
      <c r="M293">
        <v>1</v>
      </c>
      <c r="N293">
        <v>18.7</v>
      </c>
      <c r="O293">
        <v>18.7</v>
      </c>
      <c r="P293">
        <v>20</v>
      </c>
      <c r="Q293">
        <v>3.74</v>
      </c>
      <c r="R293">
        <v>14.96</v>
      </c>
      <c r="S293">
        <v>6.86</v>
      </c>
      <c r="T293">
        <v>8.1</v>
      </c>
      <c r="U293" t="s">
        <v>158</v>
      </c>
      <c r="V293" t="s">
        <v>159</v>
      </c>
      <c r="W293" t="s">
        <v>2085</v>
      </c>
      <c r="X293" t="s">
        <v>2111</v>
      </c>
      <c r="Y293">
        <v>327</v>
      </c>
      <c r="Z293">
        <v>2285.94</v>
      </c>
      <c r="AA293">
        <v>202.46</v>
      </c>
      <c r="AB293" t="s">
        <v>90</v>
      </c>
      <c r="AC293" t="s">
        <v>20</v>
      </c>
      <c r="AD293" t="s">
        <v>2087</v>
      </c>
      <c r="AE293" t="s">
        <v>2107</v>
      </c>
    </row>
    <row r="294" spans="1:31">
      <c r="A294" t="s">
        <v>632</v>
      </c>
      <c r="B294" s="1">
        <v>45201</v>
      </c>
      <c r="C294" t="s">
        <v>183</v>
      </c>
      <c r="D294">
        <v>2023</v>
      </c>
      <c r="E294" t="s">
        <v>184</v>
      </c>
      <c r="F294" t="s">
        <v>633</v>
      </c>
      <c r="G294" t="s">
        <v>103</v>
      </c>
      <c r="H294" t="s">
        <v>104</v>
      </c>
      <c r="I294" t="s">
        <v>90</v>
      </c>
      <c r="J294" t="s">
        <v>94</v>
      </c>
      <c r="K294" t="s">
        <v>156</v>
      </c>
      <c r="L294" t="s">
        <v>194</v>
      </c>
      <c r="M294">
        <v>2</v>
      </c>
      <c r="N294">
        <v>98.58</v>
      </c>
      <c r="O294">
        <v>197.16</v>
      </c>
      <c r="P294">
        <v>10</v>
      </c>
      <c r="Q294">
        <v>19.72</v>
      </c>
      <c r="R294">
        <v>177.44</v>
      </c>
      <c r="S294">
        <v>105.14</v>
      </c>
      <c r="T294">
        <v>72.3</v>
      </c>
      <c r="U294" t="s">
        <v>166</v>
      </c>
      <c r="V294" t="s">
        <v>186</v>
      </c>
      <c r="W294" t="s">
        <v>2090</v>
      </c>
      <c r="X294" t="s">
        <v>2094</v>
      </c>
      <c r="Y294">
        <v>267</v>
      </c>
      <c r="Z294">
        <v>165.12</v>
      </c>
      <c r="AA294">
        <v>75.959999999999994</v>
      </c>
      <c r="AB294" t="s">
        <v>41</v>
      </c>
      <c r="AC294" t="s">
        <v>16</v>
      </c>
      <c r="AD294" t="s">
        <v>2095</v>
      </c>
      <c r="AE294" t="s">
        <v>2107</v>
      </c>
    </row>
    <row r="295" spans="1:31">
      <c r="A295" t="s">
        <v>2002</v>
      </c>
      <c r="B295" s="1">
        <v>45200</v>
      </c>
      <c r="C295" t="s">
        <v>183</v>
      </c>
      <c r="D295">
        <v>2023</v>
      </c>
      <c r="E295" t="s">
        <v>184</v>
      </c>
      <c r="F295" t="s">
        <v>2003</v>
      </c>
      <c r="G295" t="s">
        <v>122</v>
      </c>
      <c r="H295" t="s">
        <v>123</v>
      </c>
      <c r="I295" t="s">
        <v>115</v>
      </c>
      <c r="J295" t="s">
        <v>124</v>
      </c>
      <c r="K295" t="s">
        <v>209</v>
      </c>
      <c r="L295" t="s">
        <v>204</v>
      </c>
      <c r="M295">
        <v>1</v>
      </c>
      <c r="N295">
        <v>93.88</v>
      </c>
      <c r="O295">
        <v>93.88</v>
      </c>
      <c r="P295">
        <v>5</v>
      </c>
      <c r="Q295">
        <v>4.6900000000000004</v>
      </c>
      <c r="R295">
        <v>89.19</v>
      </c>
      <c r="S295">
        <v>53.11</v>
      </c>
      <c r="T295">
        <v>36.08</v>
      </c>
      <c r="U295" t="s">
        <v>158</v>
      </c>
      <c r="V295" t="s">
        <v>159</v>
      </c>
      <c r="W295" t="s">
        <v>2113</v>
      </c>
      <c r="X295" t="s">
        <v>2100</v>
      </c>
      <c r="Y295">
        <v>276</v>
      </c>
      <c r="Z295">
        <v>295.55</v>
      </c>
      <c r="AA295">
        <v>71.17</v>
      </c>
      <c r="AB295" t="s">
        <v>41</v>
      </c>
      <c r="AC295" t="s">
        <v>16</v>
      </c>
      <c r="AD295" t="s">
        <v>2106</v>
      </c>
      <c r="AE295" t="s">
        <v>2109</v>
      </c>
    </row>
    <row r="296" spans="1:31">
      <c r="A296" t="s">
        <v>1673</v>
      </c>
      <c r="B296" s="1">
        <v>45200</v>
      </c>
      <c r="C296" t="s">
        <v>183</v>
      </c>
      <c r="D296">
        <v>2023</v>
      </c>
      <c r="E296" t="s">
        <v>184</v>
      </c>
      <c r="F296" t="s">
        <v>1674</v>
      </c>
      <c r="G296" t="s">
        <v>117</v>
      </c>
      <c r="H296" t="s">
        <v>118</v>
      </c>
      <c r="I296" t="s">
        <v>115</v>
      </c>
      <c r="J296" t="s">
        <v>119</v>
      </c>
      <c r="K296" t="s">
        <v>164</v>
      </c>
      <c r="L296" t="s">
        <v>174</v>
      </c>
      <c r="M296">
        <v>3</v>
      </c>
      <c r="N296">
        <v>93.41</v>
      </c>
      <c r="O296">
        <v>280.23</v>
      </c>
      <c r="P296">
        <v>5</v>
      </c>
      <c r="Q296">
        <v>14.01</v>
      </c>
      <c r="R296">
        <v>266.22000000000003</v>
      </c>
      <c r="S296">
        <v>192.15</v>
      </c>
      <c r="T296">
        <v>74.069999999999993</v>
      </c>
      <c r="U296" t="s">
        <v>158</v>
      </c>
      <c r="V296" t="s">
        <v>159</v>
      </c>
      <c r="W296" t="s">
        <v>2099</v>
      </c>
      <c r="X296" t="s">
        <v>2111</v>
      </c>
      <c r="Y296">
        <v>321</v>
      </c>
      <c r="Z296">
        <v>58.23</v>
      </c>
      <c r="AA296">
        <v>80.8</v>
      </c>
      <c r="AB296" t="s">
        <v>115</v>
      </c>
      <c r="AC296" t="s">
        <v>20</v>
      </c>
      <c r="AD296" t="s">
        <v>2095</v>
      </c>
      <c r="AE296" t="s">
        <v>2109</v>
      </c>
    </row>
    <row r="297" spans="1:31">
      <c r="A297" t="s">
        <v>1806</v>
      </c>
      <c r="B297" s="1">
        <v>45200</v>
      </c>
      <c r="C297" t="s">
        <v>183</v>
      </c>
      <c r="D297">
        <v>2023</v>
      </c>
      <c r="E297" t="s">
        <v>184</v>
      </c>
      <c r="F297" t="s">
        <v>305</v>
      </c>
      <c r="G297" t="s">
        <v>122</v>
      </c>
      <c r="H297" t="s">
        <v>123</v>
      </c>
      <c r="I297" t="s">
        <v>115</v>
      </c>
      <c r="J297" t="s">
        <v>124</v>
      </c>
      <c r="K297" t="s">
        <v>178</v>
      </c>
      <c r="L297" t="s">
        <v>179</v>
      </c>
      <c r="M297">
        <v>3</v>
      </c>
      <c r="N297">
        <v>93.88</v>
      </c>
      <c r="O297">
        <v>281.64</v>
      </c>
      <c r="P297">
        <v>0</v>
      </c>
      <c r="Q297">
        <v>0</v>
      </c>
      <c r="R297">
        <v>281.64</v>
      </c>
      <c r="S297">
        <v>159.33000000000001</v>
      </c>
      <c r="T297">
        <v>122.31</v>
      </c>
      <c r="U297" t="s">
        <v>190</v>
      </c>
      <c r="V297" t="s">
        <v>159</v>
      </c>
      <c r="W297" t="s">
        <v>2097</v>
      </c>
      <c r="X297" t="s">
        <v>2094</v>
      </c>
      <c r="Y297">
        <v>112</v>
      </c>
      <c r="Z297">
        <v>717.31</v>
      </c>
      <c r="AA297">
        <v>57.3</v>
      </c>
      <c r="AB297" t="s">
        <v>115</v>
      </c>
      <c r="AC297" t="s">
        <v>20</v>
      </c>
      <c r="AD297" t="s">
        <v>2087</v>
      </c>
      <c r="AE297" t="s">
        <v>2109</v>
      </c>
    </row>
    <row r="298" spans="1:31">
      <c r="A298" t="s">
        <v>1061</v>
      </c>
      <c r="B298" s="1">
        <v>45200</v>
      </c>
      <c r="C298" t="s">
        <v>183</v>
      </c>
      <c r="D298">
        <v>2023</v>
      </c>
      <c r="E298" t="s">
        <v>184</v>
      </c>
      <c r="F298" t="s">
        <v>1062</v>
      </c>
      <c r="G298" t="s">
        <v>76</v>
      </c>
      <c r="H298" t="s">
        <v>77</v>
      </c>
      <c r="I298" t="s">
        <v>66</v>
      </c>
      <c r="J298" t="s">
        <v>67</v>
      </c>
      <c r="K298" t="s">
        <v>209</v>
      </c>
      <c r="L298" t="s">
        <v>232</v>
      </c>
      <c r="M298">
        <v>3</v>
      </c>
      <c r="N298">
        <v>118.07</v>
      </c>
      <c r="O298">
        <v>354.21</v>
      </c>
      <c r="P298">
        <v>20</v>
      </c>
      <c r="Q298">
        <v>70.84</v>
      </c>
      <c r="R298">
        <v>283.37</v>
      </c>
      <c r="S298">
        <v>119.1</v>
      </c>
      <c r="T298">
        <v>164.27</v>
      </c>
      <c r="U298" t="s">
        <v>158</v>
      </c>
      <c r="V298" t="s">
        <v>159</v>
      </c>
      <c r="W298" t="s">
        <v>2085</v>
      </c>
      <c r="X298" t="s">
        <v>2100</v>
      </c>
      <c r="Y298">
        <v>97</v>
      </c>
      <c r="Z298">
        <v>1827.35</v>
      </c>
      <c r="AA298">
        <v>153.13999999999999</v>
      </c>
      <c r="AB298" t="s">
        <v>90</v>
      </c>
      <c r="AC298" t="s">
        <v>16</v>
      </c>
      <c r="AD298" t="s">
        <v>2087</v>
      </c>
      <c r="AE298" t="s">
        <v>2088</v>
      </c>
    </row>
    <row r="299" spans="1:31">
      <c r="A299" t="s">
        <v>1133</v>
      </c>
      <c r="B299" s="1">
        <v>45200</v>
      </c>
      <c r="C299" t="s">
        <v>183</v>
      </c>
      <c r="D299">
        <v>2023</v>
      </c>
      <c r="E299" t="s">
        <v>184</v>
      </c>
      <c r="F299" t="s">
        <v>1134</v>
      </c>
      <c r="G299" t="s">
        <v>105</v>
      </c>
      <c r="H299" t="s">
        <v>106</v>
      </c>
      <c r="I299" t="s">
        <v>90</v>
      </c>
      <c r="J299" t="s">
        <v>91</v>
      </c>
      <c r="K299" t="s">
        <v>164</v>
      </c>
      <c r="L299" t="s">
        <v>179</v>
      </c>
      <c r="M299">
        <v>4</v>
      </c>
      <c r="N299">
        <v>36.35</v>
      </c>
      <c r="O299">
        <v>145.4</v>
      </c>
      <c r="P299">
        <v>15</v>
      </c>
      <c r="Q299">
        <v>21.81</v>
      </c>
      <c r="R299">
        <v>123.59</v>
      </c>
      <c r="S299">
        <v>120.08</v>
      </c>
      <c r="T299">
        <v>3.51</v>
      </c>
      <c r="U299" t="s">
        <v>158</v>
      </c>
      <c r="V299" t="s">
        <v>181</v>
      </c>
      <c r="W299" t="s">
        <v>2085</v>
      </c>
      <c r="X299" t="s">
        <v>2086</v>
      </c>
      <c r="Y299">
        <v>214</v>
      </c>
      <c r="Z299">
        <v>1180.3699999999999</v>
      </c>
      <c r="AA299">
        <v>115.25</v>
      </c>
      <c r="AB299" t="s">
        <v>14</v>
      </c>
      <c r="AC299" t="s">
        <v>20</v>
      </c>
      <c r="AD299" t="s">
        <v>2087</v>
      </c>
      <c r="AE299" t="s">
        <v>2109</v>
      </c>
    </row>
    <row r="300" spans="1:31">
      <c r="A300" t="s">
        <v>225</v>
      </c>
      <c r="B300" s="1">
        <v>45199</v>
      </c>
      <c r="C300" t="s">
        <v>226</v>
      </c>
      <c r="D300">
        <v>2023</v>
      </c>
      <c r="E300" t="s">
        <v>169</v>
      </c>
      <c r="F300" t="s">
        <v>227</v>
      </c>
      <c r="G300" t="s">
        <v>33</v>
      </c>
      <c r="H300" t="s">
        <v>34</v>
      </c>
      <c r="I300" t="s">
        <v>14</v>
      </c>
      <c r="J300" t="s">
        <v>27</v>
      </c>
      <c r="K300" t="s">
        <v>178</v>
      </c>
      <c r="L300" t="s">
        <v>174</v>
      </c>
      <c r="M300">
        <v>1</v>
      </c>
      <c r="N300">
        <v>124.26</v>
      </c>
      <c r="O300">
        <v>124.26</v>
      </c>
      <c r="P300">
        <v>0</v>
      </c>
      <c r="Q300">
        <v>0</v>
      </c>
      <c r="R300">
        <v>124.26</v>
      </c>
      <c r="S300">
        <v>52.62</v>
      </c>
      <c r="T300">
        <v>71.64</v>
      </c>
      <c r="U300" t="s">
        <v>166</v>
      </c>
      <c r="V300" t="s">
        <v>159</v>
      </c>
      <c r="W300" t="s">
        <v>2113</v>
      </c>
      <c r="X300" t="s">
        <v>2111</v>
      </c>
      <c r="Y300">
        <v>45</v>
      </c>
      <c r="Z300">
        <v>131.9</v>
      </c>
      <c r="AA300">
        <v>55.36</v>
      </c>
      <c r="AB300" t="s">
        <v>90</v>
      </c>
      <c r="AC300" t="s">
        <v>16</v>
      </c>
      <c r="AD300" t="s">
        <v>2095</v>
      </c>
      <c r="AE300" t="s">
        <v>2096</v>
      </c>
    </row>
    <row r="301" spans="1:31">
      <c r="A301" t="s">
        <v>834</v>
      </c>
      <c r="B301" s="1">
        <v>45198</v>
      </c>
      <c r="C301" t="s">
        <v>226</v>
      </c>
      <c r="D301">
        <v>2023</v>
      </c>
      <c r="E301" t="s">
        <v>169</v>
      </c>
      <c r="F301" t="s">
        <v>835</v>
      </c>
      <c r="G301" t="s">
        <v>117</v>
      </c>
      <c r="H301" t="s">
        <v>118</v>
      </c>
      <c r="I301" t="s">
        <v>115</v>
      </c>
      <c r="J301" t="s">
        <v>119</v>
      </c>
      <c r="K301" t="s">
        <v>209</v>
      </c>
      <c r="L301" t="s">
        <v>232</v>
      </c>
      <c r="M301">
        <v>2</v>
      </c>
      <c r="N301">
        <v>93.41</v>
      </c>
      <c r="O301">
        <v>186.82</v>
      </c>
      <c r="P301">
        <v>0</v>
      </c>
      <c r="Q301">
        <v>0</v>
      </c>
      <c r="R301">
        <v>186.82</v>
      </c>
      <c r="S301">
        <v>128.1</v>
      </c>
      <c r="T301">
        <v>58.72</v>
      </c>
      <c r="U301" t="s">
        <v>190</v>
      </c>
      <c r="V301" t="s">
        <v>186</v>
      </c>
      <c r="W301" t="s">
        <v>2097</v>
      </c>
      <c r="X301" t="s">
        <v>2108</v>
      </c>
      <c r="Y301">
        <v>116</v>
      </c>
      <c r="Z301">
        <v>331.02</v>
      </c>
      <c r="AA301">
        <v>123.23</v>
      </c>
      <c r="AB301" t="s">
        <v>14</v>
      </c>
      <c r="AC301" t="s">
        <v>20</v>
      </c>
      <c r="AD301" t="s">
        <v>2106</v>
      </c>
      <c r="AE301" t="s">
        <v>2096</v>
      </c>
    </row>
    <row r="302" spans="1:31">
      <c r="A302" t="s">
        <v>1383</v>
      </c>
      <c r="B302" s="1">
        <v>45198</v>
      </c>
      <c r="C302" t="s">
        <v>226</v>
      </c>
      <c r="D302">
        <v>2023</v>
      </c>
      <c r="E302" t="s">
        <v>169</v>
      </c>
      <c r="F302" t="s">
        <v>1384</v>
      </c>
      <c r="G302" t="s">
        <v>109</v>
      </c>
      <c r="H302" t="s">
        <v>110</v>
      </c>
      <c r="I302" t="s">
        <v>90</v>
      </c>
      <c r="J302" t="s">
        <v>100</v>
      </c>
      <c r="K302" t="s">
        <v>164</v>
      </c>
      <c r="L302" t="s">
        <v>194</v>
      </c>
      <c r="M302">
        <v>2</v>
      </c>
      <c r="N302">
        <v>77.67</v>
      </c>
      <c r="O302">
        <v>155.34</v>
      </c>
      <c r="P302">
        <v>0</v>
      </c>
      <c r="Q302">
        <v>0</v>
      </c>
      <c r="R302">
        <v>155.34</v>
      </c>
      <c r="S302">
        <v>56.24</v>
      </c>
      <c r="T302">
        <v>99.1</v>
      </c>
      <c r="U302" t="s">
        <v>195</v>
      </c>
      <c r="V302" t="s">
        <v>181</v>
      </c>
      <c r="W302" t="s">
        <v>2113</v>
      </c>
      <c r="X302" t="s">
        <v>2111</v>
      </c>
      <c r="Y302">
        <v>175</v>
      </c>
      <c r="Z302">
        <v>422.89</v>
      </c>
      <c r="AA302">
        <v>78.55</v>
      </c>
      <c r="AB302" t="s">
        <v>66</v>
      </c>
      <c r="AC302" t="s">
        <v>16</v>
      </c>
      <c r="AD302" t="s">
        <v>2106</v>
      </c>
      <c r="AE302" t="s">
        <v>2096</v>
      </c>
    </row>
    <row r="303" spans="1:31">
      <c r="A303" t="s">
        <v>1335</v>
      </c>
      <c r="B303" s="1">
        <v>45196</v>
      </c>
      <c r="C303" t="s">
        <v>226</v>
      </c>
      <c r="D303">
        <v>2023</v>
      </c>
      <c r="E303" t="s">
        <v>169</v>
      </c>
      <c r="F303" t="s">
        <v>1336</v>
      </c>
      <c r="G303" t="s">
        <v>113</v>
      </c>
      <c r="H303" t="s">
        <v>114</v>
      </c>
      <c r="I303" t="s">
        <v>115</v>
      </c>
      <c r="J303" t="s">
        <v>116</v>
      </c>
      <c r="K303" t="s">
        <v>156</v>
      </c>
      <c r="L303" t="s">
        <v>174</v>
      </c>
      <c r="M303">
        <v>2</v>
      </c>
      <c r="N303">
        <v>18.7</v>
      </c>
      <c r="O303">
        <v>37.4</v>
      </c>
      <c r="P303">
        <v>0</v>
      </c>
      <c r="Q303">
        <v>0</v>
      </c>
      <c r="R303">
        <v>37.4</v>
      </c>
      <c r="S303">
        <v>13.72</v>
      </c>
      <c r="T303">
        <v>23.68</v>
      </c>
      <c r="U303" t="s">
        <v>158</v>
      </c>
      <c r="V303" t="s">
        <v>159</v>
      </c>
      <c r="W303" t="s">
        <v>2097</v>
      </c>
      <c r="X303" t="s">
        <v>2094</v>
      </c>
      <c r="Y303">
        <v>101</v>
      </c>
      <c r="Z303">
        <v>483.53</v>
      </c>
      <c r="AA303">
        <v>125.1</v>
      </c>
      <c r="AB303" t="s">
        <v>90</v>
      </c>
      <c r="AC303" t="s">
        <v>16</v>
      </c>
      <c r="AD303" t="s">
        <v>2106</v>
      </c>
      <c r="AE303" t="s">
        <v>2088</v>
      </c>
    </row>
    <row r="304" spans="1:31">
      <c r="A304" t="s">
        <v>697</v>
      </c>
      <c r="B304" s="1">
        <v>45195</v>
      </c>
      <c r="C304" t="s">
        <v>226</v>
      </c>
      <c r="D304">
        <v>2023</v>
      </c>
      <c r="E304" t="s">
        <v>169</v>
      </c>
      <c r="F304" t="s">
        <v>698</v>
      </c>
      <c r="G304" t="s">
        <v>43</v>
      </c>
      <c r="H304" t="s">
        <v>44</v>
      </c>
      <c r="I304" t="s">
        <v>41</v>
      </c>
      <c r="J304" t="s">
        <v>45</v>
      </c>
      <c r="K304" t="s">
        <v>156</v>
      </c>
      <c r="L304" t="s">
        <v>157</v>
      </c>
      <c r="M304">
        <v>1</v>
      </c>
      <c r="N304">
        <v>67.56</v>
      </c>
      <c r="O304">
        <v>67.56</v>
      </c>
      <c r="P304">
        <v>0</v>
      </c>
      <c r="Q304">
        <v>0</v>
      </c>
      <c r="R304">
        <v>67.56</v>
      </c>
      <c r="S304">
        <v>43.21</v>
      </c>
      <c r="T304">
        <v>24.35</v>
      </c>
      <c r="U304" t="s">
        <v>166</v>
      </c>
      <c r="V304" t="s">
        <v>181</v>
      </c>
      <c r="W304" t="s">
        <v>2113</v>
      </c>
      <c r="X304" t="s">
        <v>2094</v>
      </c>
      <c r="Y304">
        <v>300</v>
      </c>
      <c r="Z304">
        <v>462.38</v>
      </c>
      <c r="AA304">
        <v>70.36</v>
      </c>
      <c r="AB304" t="s">
        <v>115</v>
      </c>
      <c r="AC304" t="s">
        <v>16</v>
      </c>
      <c r="AD304" t="s">
        <v>2095</v>
      </c>
      <c r="AE304" t="s">
        <v>2121</v>
      </c>
    </row>
    <row r="305" spans="1:31">
      <c r="A305" t="s">
        <v>230</v>
      </c>
      <c r="B305" s="1">
        <v>45194</v>
      </c>
      <c r="C305" t="s">
        <v>226</v>
      </c>
      <c r="D305">
        <v>2023</v>
      </c>
      <c r="E305" t="s">
        <v>169</v>
      </c>
      <c r="F305" t="s">
        <v>231</v>
      </c>
      <c r="G305" t="s">
        <v>82</v>
      </c>
      <c r="H305" t="s">
        <v>83</v>
      </c>
      <c r="I305" t="s">
        <v>66</v>
      </c>
      <c r="J305" t="s">
        <v>67</v>
      </c>
      <c r="K305" t="s">
        <v>178</v>
      </c>
      <c r="L305" t="s">
        <v>232</v>
      </c>
      <c r="M305">
        <v>2</v>
      </c>
      <c r="N305">
        <v>34.479999999999997</v>
      </c>
      <c r="O305">
        <v>68.959999999999994</v>
      </c>
      <c r="P305">
        <v>15</v>
      </c>
      <c r="Q305">
        <v>10.34</v>
      </c>
      <c r="R305">
        <v>58.62</v>
      </c>
      <c r="S305">
        <v>38.479999999999997</v>
      </c>
      <c r="T305">
        <v>20.14</v>
      </c>
      <c r="U305" t="s">
        <v>166</v>
      </c>
      <c r="V305" t="s">
        <v>186</v>
      </c>
      <c r="W305" t="s">
        <v>2085</v>
      </c>
      <c r="X305" t="s">
        <v>2091</v>
      </c>
      <c r="Y305">
        <v>133</v>
      </c>
      <c r="Z305">
        <v>1564.81</v>
      </c>
      <c r="AA305">
        <v>242.28</v>
      </c>
      <c r="AB305" t="s">
        <v>115</v>
      </c>
      <c r="AC305" t="s">
        <v>16</v>
      </c>
      <c r="AD305" t="s">
        <v>2087</v>
      </c>
      <c r="AE305" t="s">
        <v>2107</v>
      </c>
    </row>
    <row r="306" spans="1:31">
      <c r="A306" t="s">
        <v>1071</v>
      </c>
      <c r="B306" s="1">
        <v>45194</v>
      </c>
      <c r="C306" t="s">
        <v>226</v>
      </c>
      <c r="D306">
        <v>2023</v>
      </c>
      <c r="E306" t="s">
        <v>169</v>
      </c>
      <c r="F306" t="s">
        <v>1072</v>
      </c>
      <c r="G306" t="s">
        <v>46</v>
      </c>
      <c r="H306" t="s">
        <v>47</v>
      </c>
      <c r="I306" t="s">
        <v>41</v>
      </c>
      <c r="J306" t="s">
        <v>45</v>
      </c>
      <c r="K306" t="s">
        <v>156</v>
      </c>
      <c r="L306" t="s">
        <v>194</v>
      </c>
      <c r="M306">
        <v>3</v>
      </c>
      <c r="N306">
        <v>16.95</v>
      </c>
      <c r="O306">
        <v>50.849999999999994</v>
      </c>
      <c r="P306">
        <v>20</v>
      </c>
      <c r="Q306">
        <v>10.17</v>
      </c>
      <c r="R306">
        <v>40.68</v>
      </c>
      <c r="S306">
        <v>29.28</v>
      </c>
      <c r="T306">
        <v>11.4</v>
      </c>
      <c r="U306" t="s">
        <v>180</v>
      </c>
      <c r="V306" t="s">
        <v>159</v>
      </c>
      <c r="W306" t="s">
        <v>2097</v>
      </c>
      <c r="X306" t="s">
        <v>2108</v>
      </c>
      <c r="Y306">
        <v>74</v>
      </c>
      <c r="Z306">
        <v>171.19</v>
      </c>
      <c r="AA306">
        <v>142.30000000000001</v>
      </c>
      <c r="AB306" t="s">
        <v>115</v>
      </c>
      <c r="AC306" t="s">
        <v>20</v>
      </c>
      <c r="AD306" t="s">
        <v>2087</v>
      </c>
      <c r="AE306" t="s">
        <v>2088</v>
      </c>
    </row>
    <row r="307" spans="1:31">
      <c r="A307" t="s">
        <v>1252</v>
      </c>
      <c r="B307" s="1">
        <v>45194</v>
      </c>
      <c r="C307" t="s">
        <v>226</v>
      </c>
      <c r="D307">
        <v>2023</v>
      </c>
      <c r="E307" t="s">
        <v>169</v>
      </c>
      <c r="F307" t="s">
        <v>1253</v>
      </c>
      <c r="G307" t="s">
        <v>127</v>
      </c>
      <c r="H307" t="s">
        <v>128</v>
      </c>
      <c r="I307" t="s">
        <v>115</v>
      </c>
      <c r="J307" t="s">
        <v>124</v>
      </c>
      <c r="K307" t="s">
        <v>209</v>
      </c>
      <c r="L307" t="s">
        <v>204</v>
      </c>
      <c r="M307">
        <v>1</v>
      </c>
      <c r="N307">
        <v>94.76</v>
      </c>
      <c r="O307">
        <v>94.76</v>
      </c>
      <c r="P307">
        <v>10</v>
      </c>
      <c r="Q307">
        <v>9.48</v>
      </c>
      <c r="R307">
        <v>85.28</v>
      </c>
      <c r="S307">
        <v>78.819999999999993</v>
      </c>
      <c r="T307">
        <v>6.46</v>
      </c>
      <c r="U307" t="s">
        <v>190</v>
      </c>
      <c r="V307" t="s">
        <v>159</v>
      </c>
      <c r="W307" t="s">
        <v>2090</v>
      </c>
      <c r="X307" t="s">
        <v>2086</v>
      </c>
      <c r="Y307">
        <v>327</v>
      </c>
      <c r="Z307">
        <v>170.45</v>
      </c>
      <c r="AA307">
        <v>66.7</v>
      </c>
      <c r="AB307" t="s">
        <v>14</v>
      </c>
      <c r="AC307" t="s">
        <v>20</v>
      </c>
      <c r="AD307" t="s">
        <v>2095</v>
      </c>
      <c r="AE307" t="s">
        <v>2088</v>
      </c>
    </row>
    <row r="308" spans="1:31">
      <c r="A308" t="s">
        <v>1067</v>
      </c>
      <c r="B308" s="1">
        <v>45193</v>
      </c>
      <c r="C308" t="s">
        <v>226</v>
      </c>
      <c r="D308">
        <v>2023</v>
      </c>
      <c r="E308" t="s">
        <v>169</v>
      </c>
      <c r="F308" t="s">
        <v>1068</v>
      </c>
      <c r="G308" t="s">
        <v>80</v>
      </c>
      <c r="H308" t="s">
        <v>81</v>
      </c>
      <c r="I308" t="s">
        <v>66</v>
      </c>
      <c r="J308" t="s">
        <v>70</v>
      </c>
      <c r="K308" t="s">
        <v>156</v>
      </c>
      <c r="L308" t="s">
        <v>204</v>
      </c>
      <c r="M308">
        <v>1</v>
      </c>
      <c r="N308">
        <v>106.06</v>
      </c>
      <c r="O308">
        <v>106.06</v>
      </c>
      <c r="P308">
        <v>15</v>
      </c>
      <c r="Q308">
        <v>15.91</v>
      </c>
      <c r="R308">
        <v>90.15</v>
      </c>
      <c r="S308">
        <v>33.42</v>
      </c>
      <c r="T308">
        <v>56.73</v>
      </c>
      <c r="U308" t="s">
        <v>158</v>
      </c>
      <c r="V308" t="s">
        <v>181</v>
      </c>
      <c r="W308" t="s">
        <v>2090</v>
      </c>
      <c r="X308" t="s">
        <v>2108</v>
      </c>
      <c r="Y308">
        <v>22</v>
      </c>
      <c r="Z308">
        <v>161.19999999999999</v>
      </c>
      <c r="AA308">
        <v>52.32</v>
      </c>
      <c r="AB308" t="s">
        <v>115</v>
      </c>
      <c r="AC308" t="s">
        <v>16</v>
      </c>
      <c r="AD308" t="s">
        <v>2106</v>
      </c>
      <c r="AE308" t="s">
        <v>2107</v>
      </c>
    </row>
    <row r="309" spans="1:31">
      <c r="A309" t="s">
        <v>731</v>
      </c>
      <c r="B309" s="1">
        <v>45193</v>
      </c>
      <c r="C309" t="s">
        <v>226</v>
      </c>
      <c r="D309">
        <v>2023</v>
      </c>
      <c r="E309" t="s">
        <v>169</v>
      </c>
      <c r="F309" t="s">
        <v>732</v>
      </c>
      <c r="G309" t="s">
        <v>129</v>
      </c>
      <c r="H309" t="s">
        <v>130</v>
      </c>
      <c r="I309" t="s">
        <v>115</v>
      </c>
      <c r="J309" t="s">
        <v>124</v>
      </c>
      <c r="K309" t="s">
        <v>164</v>
      </c>
      <c r="L309" t="s">
        <v>157</v>
      </c>
      <c r="M309">
        <v>2</v>
      </c>
      <c r="N309">
        <v>99.34</v>
      </c>
      <c r="O309">
        <v>198.68</v>
      </c>
      <c r="P309">
        <v>10</v>
      </c>
      <c r="Q309">
        <v>19.87</v>
      </c>
      <c r="R309">
        <v>178.81</v>
      </c>
      <c r="S309">
        <v>74.7</v>
      </c>
      <c r="T309">
        <v>104.11</v>
      </c>
      <c r="U309" t="s">
        <v>190</v>
      </c>
      <c r="V309" t="s">
        <v>159</v>
      </c>
      <c r="W309" t="s">
        <v>2113</v>
      </c>
      <c r="X309" t="s">
        <v>2091</v>
      </c>
      <c r="Y309">
        <v>331</v>
      </c>
      <c r="Z309">
        <v>214.54</v>
      </c>
      <c r="AA309">
        <v>45.58</v>
      </c>
      <c r="AB309" t="s">
        <v>14</v>
      </c>
      <c r="AC309" t="s">
        <v>20</v>
      </c>
      <c r="AD309" t="s">
        <v>2095</v>
      </c>
      <c r="AE309" t="s">
        <v>2107</v>
      </c>
    </row>
    <row r="310" spans="1:31">
      <c r="A310" t="s">
        <v>1056</v>
      </c>
      <c r="B310" s="1">
        <v>45193</v>
      </c>
      <c r="C310" t="s">
        <v>226</v>
      </c>
      <c r="D310">
        <v>2023</v>
      </c>
      <c r="E310" t="s">
        <v>169</v>
      </c>
      <c r="F310" t="s">
        <v>1057</v>
      </c>
      <c r="G310" t="s">
        <v>62</v>
      </c>
      <c r="H310" t="s">
        <v>63</v>
      </c>
      <c r="I310" t="s">
        <v>41</v>
      </c>
      <c r="J310" t="s">
        <v>45</v>
      </c>
      <c r="K310" t="s">
        <v>178</v>
      </c>
      <c r="L310" t="s">
        <v>204</v>
      </c>
      <c r="M310">
        <v>3</v>
      </c>
      <c r="N310">
        <v>160.35</v>
      </c>
      <c r="O310">
        <v>481.04999999999995</v>
      </c>
      <c r="P310">
        <v>5</v>
      </c>
      <c r="Q310">
        <v>24.05</v>
      </c>
      <c r="R310">
        <v>457</v>
      </c>
      <c r="S310">
        <v>217.41</v>
      </c>
      <c r="T310">
        <v>239.59</v>
      </c>
      <c r="U310" t="s">
        <v>190</v>
      </c>
      <c r="V310" t="s">
        <v>159</v>
      </c>
      <c r="W310" t="s">
        <v>2113</v>
      </c>
      <c r="X310" t="s">
        <v>2086</v>
      </c>
      <c r="Y310">
        <v>120</v>
      </c>
      <c r="Z310">
        <v>200.23</v>
      </c>
      <c r="AA310">
        <v>47.34</v>
      </c>
      <c r="AB310" t="s">
        <v>66</v>
      </c>
      <c r="AC310" t="s">
        <v>16</v>
      </c>
      <c r="AD310" t="s">
        <v>2106</v>
      </c>
      <c r="AE310" t="s">
        <v>2109</v>
      </c>
    </row>
    <row r="311" spans="1:31">
      <c r="A311" t="s">
        <v>889</v>
      </c>
      <c r="B311" s="1">
        <v>45193</v>
      </c>
      <c r="C311" t="s">
        <v>226</v>
      </c>
      <c r="D311">
        <v>2023</v>
      </c>
      <c r="E311" t="s">
        <v>169</v>
      </c>
      <c r="F311" t="s">
        <v>890</v>
      </c>
      <c r="G311" t="s">
        <v>21</v>
      </c>
      <c r="H311" t="s">
        <v>22</v>
      </c>
      <c r="I311" t="s">
        <v>14</v>
      </c>
      <c r="J311" t="s">
        <v>15</v>
      </c>
      <c r="K311" t="s">
        <v>178</v>
      </c>
      <c r="L311" t="s">
        <v>204</v>
      </c>
      <c r="M311">
        <v>2</v>
      </c>
      <c r="N311">
        <v>65.430000000000007</v>
      </c>
      <c r="O311">
        <v>130.86000000000001</v>
      </c>
      <c r="P311">
        <v>20</v>
      </c>
      <c r="Q311">
        <v>26.17</v>
      </c>
      <c r="R311">
        <v>104.69</v>
      </c>
      <c r="S311">
        <v>77.38</v>
      </c>
      <c r="T311">
        <v>27.31</v>
      </c>
      <c r="U311" t="s">
        <v>158</v>
      </c>
      <c r="V311" t="s">
        <v>181</v>
      </c>
      <c r="W311" t="s">
        <v>2113</v>
      </c>
      <c r="X311" t="s">
        <v>2094</v>
      </c>
      <c r="Y311">
        <v>295</v>
      </c>
      <c r="Z311">
        <v>586.23</v>
      </c>
      <c r="AA311">
        <v>66.150000000000006</v>
      </c>
      <c r="AB311" t="s">
        <v>14</v>
      </c>
      <c r="AC311" t="s">
        <v>20</v>
      </c>
      <c r="AD311" t="s">
        <v>2087</v>
      </c>
      <c r="AE311" t="s">
        <v>2109</v>
      </c>
    </row>
    <row r="312" spans="1:31">
      <c r="A312" t="s">
        <v>283</v>
      </c>
      <c r="B312" s="1">
        <v>45192</v>
      </c>
      <c r="C312" t="s">
        <v>226</v>
      </c>
      <c r="D312">
        <v>2023</v>
      </c>
      <c r="E312" t="s">
        <v>169</v>
      </c>
      <c r="F312" t="s">
        <v>284</v>
      </c>
      <c r="G312" t="s">
        <v>21</v>
      </c>
      <c r="H312" t="s">
        <v>22</v>
      </c>
      <c r="I312" t="s">
        <v>14</v>
      </c>
      <c r="J312" t="s">
        <v>15</v>
      </c>
      <c r="K312" t="s">
        <v>164</v>
      </c>
      <c r="L312" t="s">
        <v>194</v>
      </c>
      <c r="M312">
        <v>2</v>
      </c>
      <c r="N312">
        <v>65.430000000000007</v>
      </c>
      <c r="O312">
        <v>130.86000000000001</v>
      </c>
      <c r="P312">
        <v>5</v>
      </c>
      <c r="Q312">
        <v>6.54</v>
      </c>
      <c r="R312">
        <v>124.32</v>
      </c>
      <c r="S312">
        <v>77.38</v>
      </c>
      <c r="T312">
        <v>46.94</v>
      </c>
      <c r="U312" t="s">
        <v>190</v>
      </c>
      <c r="V312" t="s">
        <v>181</v>
      </c>
      <c r="W312" t="s">
        <v>2099</v>
      </c>
      <c r="X312" t="s">
        <v>2086</v>
      </c>
      <c r="Y312">
        <v>260</v>
      </c>
      <c r="Z312">
        <v>83.75</v>
      </c>
      <c r="AA312">
        <v>83.57</v>
      </c>
      <c r="AB312" t="s">
        <v>41</v>
      </c>
      <c r="AC312" t="s">
        <v>16</v>
      </c>
      <c r="AD312" t="s">
        <v>2106</v>
      </c>
      <c r="AE312" t="s">
        <v>2107</v>
      </c>
    </row>
    <row r="313" spans="1:31">
      <c r="A313" t="s">
        <v>759</v>
      </c>
      <c r="B313" s="1">
        <v>45192</v>
      </c>
      <c r="C313" t="s">
        <v>226</v>
      </c>
      <c r="D313">
        <v>2023</v>
      </c>
      <c r="E313" t="s">
        <v>169</v>
      </c>
      <c r="F313" t="s">
        <v>264</v>
      </c>
      <c r="G313" t="s">
        <v>55</v>
      </c>
      <c r="H313" t="s">
        <v>56</v>
      </c>
      <c r="I313" t="s">
        <v>41</v>
      </c>
      <c r="J313" t="s">
        <v>45</v>
      </c>
      <c r="K313" t="s">
        <v>156</v>
      </c>
      <c r="L313" t="s">
        <v>204</v>
      </c>
      <c r="M313">
        <v>2</v>
      </c>
      <c r="N313">
        <v>205.4</v>
      </c>
      <c r="O313">
        <v>410.8</v>
      </c>
      <c r="P313">
        <v>10</v>
      </c>
      <c r="Q313">
        <v>41.08</v>
      </c>
      <c r="R313">
        <v>369.72</v>
      </c>
      <c r="S313">
        <v>141.80000000000001</v>
      </c>
      <c r="T313">
        <v>227.92</v>
      </c>
      <c r="U313" t="s">
        <v>195</v>
      </c>
      <c r="V313" t="s">
        <v>186</v>
      </c>
      <c r="W313" t="s">
        <v>2093</v>
      </c>
      <c r="X313" t="s">
        <v>2091</v>
      </c>
      <c r="Y313">
        <v>278</v>
      </c>
      <c r="Z313">
        <v>123.85</v>
      </c>
      <c r="AA313">
        <v>57.38</v>
      </c>
      <c r="AB313" t="s">
        <v>90</v>
      </c>
      <c r="AC313" t="s">
        <v>16</v>
      </c>
      <c r="AD313" t="s">
        <v>2106</v>
      </c>
      <c r="AE313" t="s">
        <v>2088</v>
      </c>
    </row>
    <row r="314" spans="1:31">
      <c r="A314" t="s">
        <v>861</v>
      </c>
      <c r="B314" s="1">
        <v>45191</v>
      </c>
      <c r="C314" t="s">
        <v>226</v>
      </c>
      <c r="D314">
        <v>2023</v>
      </c>
      <c r="E314" t="s">
        <v>169</v>
      </c>
      <c r="F314" t="s">
        <v>862</v>
      </c>
      <c r="G314" t="s">
        <v>92</v>
      </c>
      <c r="H314" t="s">
        <v>93</v>
      </c>
      <c r="I314" t="s">
        <v>90</v>
      </c>
      <c r="J314" t="s">
        <v>94</v>
      </c>
      <c r="K314" t="s">
        <v>178</v>
      </c>
      <c r="L314" t="s">
        <v>157</v>
      </c>
      <c r="M314">
        <v>3</v>
      </c>
      <c r="N314">
        <v>230.34</v>
      </c>
      <c r="O314">
        <v>691.02</v>
      </c>
      <c r="P314">
        <v>10</v>
      </c>
      <c r="Q314">
        <v>69.099999999999994</v>
      </c>
      <c r="R314">
        <v>621.91999999999996</v>
      </c>
      <c r="S314">
        <v>224.04</v>
      </c>
      <c r="T314">
        <v>397.88</v>
      </c>
      <c r="U314" t="s">
        <v>195</v>
      </c>
      <c r="V314" t="s">
        <v>159</v>
      </c>
      <c r="W314" t="s">
        <v>2113</v>
      </c>
      <c r="X314" t="s">
        <v>2108</v>
      </c>
      <c r="Y314">
        <v>175</v>
      </c>
      <c r="Z314">
        <v>220.22</v>
      </c>
      <c r="AA314">
        <v>43.37</v>
      </c>
      <c r="AB314" t="s">
        <v>115</v>
      </c>
      <c r="AC314" t="s">
        <v>16</v>
      </c>
      <c r="AD314" t="s">
        <v>2095</v>
      </c>
      <c r="AE314" t="s">
        <v>2088</v>
      </c>
    </row>
    <row r="315" spans="1:31">
      <c r="A315" t="s">
        <v>1221</v>
      </c>
      <c r="B315" s="1">
        <v>45191</v>
      </c>
      <c r="C315" t="s">
        <v>226</v>
      </c>
      <c r="D315">
        <v>2023</v>
      </c>
      <c r="E315" t="s">
        <v>169</v>
      </c>
      <c r="F315" t="s">
        <v>1222</v>
      </c>
      <c r="G315" t="s">
        <v>55</v>
      </c>
      <c r="H315" t="s">
        <v>56</v>
      </c>
      <c r="I315" t="s">
        <v>41</v>
      </c>
      <c r="J315" t="s">
        <v>45</v>
      </c>
      <c r="K315" t="s">
        <v>178</v>
      </c>
      <c r="L315" t="s">
        <v>179</v>
      </c>
      <c r="M315">
        <v>4</v>
      </c>
      <c r="N315">
        <v>205.4</v>
      </c>
      <c r="O315">
        <v>821.6</v>
      </c>
      <c r="P315">
        <v>0</v>
      </c>
      <c r="Q315">
        <v>0</v>
      </c>
      <c r="R315">
        <v>821.6</v>
      </c>
      <c r="S315">
        <v>283.60000000000002</v>
      </c>
      <c r="T315">
        <v>538</v>
      </c>
      <c r="U315" t="s">
        <v>195</v>
      </c>
      <c r="V315" t="s">
        <v>186</v>
      </c>
      <c r="W315" t="s">
        <v>2113</v>
      </c>
      <c r="X315" t="s">
        <v>2091</v>
      </c>
      <c r="Y315">
        <v>256</v>
      </c>
      <c r="Z315">
        <v>284.45999999999998</v>
      </c>
      <c r="AA315">
        <v>33.07</v>
      </c>
      <c r="AB315" t="s">
        <v>41</v>
      </c>
      <c r="AC315" t="s">
        <v>20</v>
      </c>
      <c r="AD315" t="s">
        <v>2087</v>
      </c>
      <c r="AE315" t="s">
        <v>2121</v>
      </c>
    </row>
    <row r="316" spans="1:31">
      <c r="A316" t="s">
        <v>1161</v>
      </c>
      <c r="B316" s="1">
        <v>45191</v>
      </c>
      <c r="C316" t="s">
        <v>226</v>
      </c>
      <c r="D316">
        <v>2023</v>
      </c>
      <c r="E316" t="s">
        <v>169</v>
      </c>
      <c r="F316" t="s">
        <v>1162</v>
      </c>
      <c r="G316" t="s">
        <v>129</v>
      </c>
      <c r="H316" t="s">
        <v>130</v>
      </c>
      <c r="I316" t="s">
        <v>115</v>
      </c>
      <c r="J316" t="s">
        <v>124</v>
      </c>
      <c r="K316" t="s">
        <v>178</v>
      </c>
      <c r="L316" t="s">
        <v>232</v>
      </c>
      <c r="M316">
        <v>3</v>
      </c>
      <c r="N316">
        <v>99.34</v>
      </c>
      <c r="O316">
        <v>298.02</v>
      </c>
      <c r="P316">
        <v>0</v>
      </c>
      <c r="Q316">
        <v>0</v>
      </c>
      <c r="R316">
        <v>298.02</v>
      </c>
      <c r="S316">
        <v>112.05</v>
      </c>
      <c r="T316">
        <v>185.97</v>
      </c>
      <c r="U316" t="s">
        <v>166</v>
      </c>
      <c r="V316" t="s">
        <v>186</v>
      </c>
      <c r="W316" t="s">
        <v>2093</v>
      </c>
      <c r="X316" t="s">
        <v>2086</v>
      </c>
      <c r="Y316">
        <v>96</v>
      </c>
      <c r="Z316">
        <v>104.6</v>
      </c>
      <c r="AA316">
        <v>27.6</v>
      </c>
      <c r="AB316" t="s">
        <v>90</v>
      </c>
      <c r="AC316" t="s">
        <v>16</v>
      </c>
      <c r="AD316" t="s">
        <v>2087</v>
      </c>
      <c r="AE316" t="s">
        <v>2121</v>
      </c>
    </row>
    <row r="317" spans="1:31">
      <c r="A317" t="s">
        <v>1233</v>
      </c>
      <c r="B317" s="1">
        <v>45191</v>
      </c>
      <c r="C317" t="s">
        <v>226</v>
      </c>
      <c r="D317">
        <v>2023</v>
      </c>
      <c r="E317" t="s">
        <v>169</v>
      </c>
      <c r="F317" t="s">
        <v>1234</v>
      </c>
      <c r="G317" t="s">
        <v>39</v>
      </c>
      <c r="H317" t="s">
        <v>40</v>
      </c>
      <c r="I317" t="s">
        <v>41</v>
      </c>
      <c r="J317" t="s">
        <v>42</v>
      </c>
      <c r="K317" t="s">
        <v>164</v>
      </c>
      <c r="L317" t="s">
        <v>232</v>
      </c>
      <c r="M317">
        <v>3</v>
      </c>
      <c r="N317">
        <v>35.11</v>
      </c>
      <c r="O317">
        <v>105.33</v>
      </c>
      <c r="P317">
        <v>0</v>
      </c>
      <c r="Q317">
        <v>0</v>
      </c>
      <c r="R317">
        <v>105.33</v>
      </c>
      <c r="S317">
        <v>74.61</v>
      </c>
      <c r="T317">
        <v>30.72</v>
      </c>
      <c r="U317" t="s">
        <v>166</v>
      </c>
      <c r="V317" t="s">
        <v>159</v>
      </c>
      <c r="W317" t="s">
        <v>2093</v>
      </c>
      <c r="X317" t="s">
        <v>2100</v>
      </c>
      <c r="Y317">
        <v>137</v>
      </c>
      <c r="Z317">
        <v>151.86000000000001</v>
      </c>
      <c r="AA317">
        <v>58.68</v>
      </c>
      <c r="AB317" t="s">
        <v>66</v>
      </c>
      <c r="AC317" t="s">
        <v>20</v>
      </c>
      <c r="AD317" t="s">
        <v>2087</v>
      </c>
      <c r="AE317" t="s">
        <v>2121</v>
      </c>
    </row>
    <row r="318" spans="1:31">
      <c r="A318" t="s">
        <v>1494</v>
      </c>
      <c r="B318" s="1">
        <v>45191</v>
      </c>
      <c r="C318" t="s">
        <v>226</v>
      </c>
      <c r="D318">
        <v>2023</v>
      </c>
      <c r="E318" t="s">
        <v>169</v>
      </c>
      <c r="F318" t="s">
        <v>1495</v>
      </c>
      <c r="G318" t="s">
        <v>60</v>
      </c>
      <c r="H318" t="s">
        <v>61</v>
      </c>
      <c r="I318" t="s">
        <v>41</v>
      </c>
      <c r="J318" t="s">
        <v>59</v>
      </c>
      <c r="K318" t="s">
        <v>156</v>
      </c>
      <c r="L318" t="s">
        <v>204</v>
      </c>
      <c r="M318">
        <v>1</v>
      </c>
      <c r="N318">
        <v>103.56</v>
      </c>
      <c r="O318">
        <v>103.56</v>
      </c>
      <c r="P318">
        <v>15</v>
      </c>
      <c r="Q318">
        <v>15.53</v>
      </c>
      <c r="R318">
        <v>88.03</v>
      </c>
      <c r="S318">
        <v>44.58</v>
      </c>
      <c r="T318">
        <v>43.45</v>
      </c>
      <c r="U318" t="s">
        <v>180</v>
      </c>
      <c r="V318" t="s">
        <v>159</v>
      </c>
      <c r="W318" t="s">
        <v>2097</v>
      </c>
      <c r="X318" t="s">
        <v>2086</v>
      </c>
      <c r="Y318">
        <v>350</v>
      </c>
      <c r="Z318">
        <v>435.65</v>
      </c>
      <c r="AA318">
        <v>116.94</v>
      </c>
      <c r="AB318" t="s">
        <v>14</v>
      </c>
      <c r="AC318" t="s">
        <v>20</v>
      </c>
      <c r="AD318" t="s">
        <v>2095</v>
      </c>
      <c r="AE318" t="s">
        <v>2109</v>
      </c>
    </row>
    <row r="319" spans="1:31">
      <c r="A319" t="s">
        <v>574</v>
      </c>
      <c r="B319" s="1">
        <v>45190</v>
      </c>
      <c r="C319" t="s">
        <v>226</v>
      </c>
      <c r="D319">
        <v>2023</v>
      </c>
      <c r="E319" t="s">
        <v>169</v>
      </c>
      <c r="F319" t="s">
        <v>575</v>
      </c>
      <c r="G319" t="s">
        <v>86</v>
      </c>
      <c r="H319" t="s">
        <v>87</v>
      </c>
      <c r="I319" t="s">
        <v>66</v>
      </c>
      <c r="J319" t="s">
        <v>67</v>
      </c>
      <c r="K319" t="s">
        <v>178</v>
      </c>
      <c r="L319" t="s">
        <v>232</v>
      </c>
      <c r="M319">
        <v>2</v>
      </c>
      <c r="N319">
        <v>124.77</v>
      </c>
      <c r="O319">
        <v>249.54</v>
      </c>
      <c r="P319">
        <v>10</v>
      </c>
      <c r="Q319">
        <v>24.95</v>
      </c>
      <c r="R319">
        <v>224.59</v>
      </c>
      <c r="S319">
        <v>139.28</v>
      </c>
      <c r="T319">
        <v>85.31</v>
      </c>
      <c r="U319" t="s">
        <v>195</v>
      </c>
      <c r="V319" t="s">
        <v>159</v>
      </c>
      <c r="W319" t="s">
        <v>2093</v>
      </c>
      <c r="X319" t="s">
        <v>2094</v>
      </c>
      <c r="Y319">
        <v>91</v>
      </c>
      <c r="Z319">
        <v>111.45</v>
      </c>
      <c r="AA319">
        <v>73.91</v>
      </c>
      <c r="AB319" t="s">
        <v>41</v>
      </c>
      <c r="AC319" t="s">
        <v>16</v>
      </c>
      <c r="AD319" t="s">
        <v>2087</v>
      </c>
      <c r="AE319" t="s">
        <v>2107</v>
      </c>
    </row>
    <row r="320" spans="1:31">
      <c r="A320" t="s">
        <v>1797</v>
      </c>
      <c r="B320" s="1">
        <v>45189</v>
      </c>
      <c r="C320" t="s">
        <v>226</v>
      </c>
      <c r="D320">
        <v>2023</v>
      </c>
      <c r="E320" t="s">
        <v>169</v>
      </c>
      <c r="F320" t="s">
        <v>490</v>
      </c>
      <c r="G320" t="s">
        <v>125</v>
      </c>
      <c r="H320" t="s">
        <v>126</v>
      </c>
      <c r="I320" t="s">
        <v>115</v>
      </c>
      <c r="J320" t="s">
        <v>116</v>
      </c>
      <c r="K320" t="s">
        <v>209</v>
      </c>
      <c r="L320" t="s">
        <v>179</v>
      </c>
      <c r="M320">
        <v>1</v>
      </c>
      <c r="N320">
        <v>144.94999999999999</v>
      </c>
      <c r="O320">
        <v>144.94999999999999</v>
      </c>
      <c r="P320">
        <v>0</v>
      </c>
      <c r="Q320">
        <v>0</v>
      </c>
      <c r="R320">
        <v>144.94999999999999</v>
      </c>
      <c r="S320">
        <v>77.19</v>
      </c>
      <c r="T320">
        <v>67.760000000000005</v>
      </c>
      <c r="U320" t="s">
        <v>195</v>
      </c>
      <c r="V320" t="s">
        <v>159</v>
      </c>
      <c r="W320" t="s">
        <v>2093</v>
      </c>
      <c r="X320" t="s">
        <v>2091</v>
      </c>
      <c r="Y320">
        <v>38</v>
      </c>
      <c r="Z320">
        <v>83.04</v>
      </c>
      <c r="AA320">
        <v>77.05</v>
      </c>
      <c r="AB320" t="s">
        <v>115</v>
      </c>
      <c r="AC320" t="s">
        <v>16</v>
      </c>
      <c r="AD320" t="s">
        <v>2087</v>
      </c>
      <c r="AE320" t="s">
        <v>2109</v>
      </c>
    </row>
    <row r="321" spans="1:31">
      <c r="A321" t="s">
        <v>1993</v>
      </c>
      <c r="B321" s="1">
        <v>45189</v>
      </c>
      <c r="C321" t="s">
        <v>226</v>
      </c>
      <c r="D321">
        <v>2023</v>
      </c>
      <c r="E321" t="s">
        <v>169</v>
      </c>
      <c r="F321" t="s">
        <v>1994</v>
      </c>
      <c r="G321" t="s">
        <v>103</v>
      </c>
      <c r="H321" t="s">
        <v>104</v>
      </c>
      <c r="I321" t="s">
        <v>90</v>
      </c>
      <c r="J321" t="s">
        <v>94</v>
      </c>
      <c r="K321" t="s">
        <v>164</v>
      </c>
      <c r="L321" t="s">
        <v>204</v>
      </c>
      <c r="M321">
        <v>1</v>
      </c>
      <c r="N321">
        <v>98.58</v>
      </c>
      <c r="O321">
        <v>98.58</v>
      </c>
      <c r="P321">
        <v>0</v>
      </c>
      <c r="Q321">
        <v>0</v>
      </c>
      <c r="R321">
        <v>98.58</v>
      </c>
      <c r="S321">
        <v>52.57</v>
      </c>
      <c r="T321">
        <v>46.01</v>
      </c>
      <c r="U321" t="s">
        <v>158</v>
      </c>
      <c r="V321" t="s">
        <v>186</v>
      </c>
      <c r="W321" t="s">
        <v>2085</v>
      </c>
      <c r="X321" t="s">
        <v>2086</v>
      </c>
      <c r="Y321">
        <v>160</v>
      </c>
      <c r="Z321">
        <v>1436.57</v>
      </c>
      <c r="AA321">
        <v>272.98</v>
      </c>
      <c r="AB321" t="s">
        <v>90</v>
      </c>
      <c r="AC321" t="s">
        <v>16</v>
      </c>
      <c r="AD321" t="s">
        <v>2095</v>
      </c>
      <c r="AE321" t="s">
        <v>2121</v>
      </c>
    </row>
    <row r="322" spans="1:31">
      <c r="A322" t="s">
        <v>1184</v>
      </c>
      <c r="B322" s="1">
        <v>45189</v>
      </c>
      <c r="C322" t="s">
        <v>226</v>
      </c>
      <c r="D322">
        <v>2023</v>
      </c>
      <c r="E322" t="s">
        <v>169</v>
      </c>
      <c r="F322" t="s">
        <v>1185</v>
      </c>
      <c r="G322" t="s">
        <v>48</v>
      </c>
      <c r="H322" t="s">
        <v>49</v>
      </c>
      <c r="I322" t="s">
        <v>41</v>
      </c>
      <c r="J322" t="s">
        <v>42</v>
      </c>
      <c r="K322" t="s">
        <v>156</v>
      </c>
      <c r="L322" t="s">
        <v>157</v>
      </c>
      <c r="M322">
        <v>4</v>
      </c>
      <c r="N322">
        <v>84.95</v>
      </c>
      <c r="O322">
        <v>339.8</v>
      </c>
      <c r="P322">
        <v>15</v>
      </c>
      <c r="Q322">
        <v>50.97</v>
      </c>
      <c r="R322">
        <v>288.83</v>
      </c>
      <c r="S322">
        <v>212.28</v>
      </c>
      <c r="T322">
        <v>76.55</v>
      </c>
      <c r="U322" t="s">
        <v>190</v>
      </c>
      <c r="V322" t="s">
        <v>181</v>
      </c>
      <c r="W322" t="s">
        <v>2090</v>
      </c>
      <c r="X322" t="s">
        <v>2094</v>
      </c>
      <c r="Y322">
        <v>7</v>
      </c>
      <c r="Z322">
        <v>130.65</v>
      </c>
      <c r="AA322">
        <v>84.19</v>
      </c>
      <c r="AB322" t="s">
        <v>41</v>
      </c>
      <c r="AC322" t="s">
        <v>16</v>
      </c>
      <c r="AD322" t="s">
        <v>2106</v>
      </c>
      <c r="AE322" t="s">
        <v>2096</v>
      </c>
    </row>
    <row r="323" spans="1:31">
      <c r="A323" t="s">
        <v>1077</v>
      </c>
      <c r="B323" s="1">
        <v>45188</v>
      </c>
      <c r="C323" t="s">
        <v>226</v>
      </c>
      <c r="D323">
        <v>2023</v>
      </c>
      <c r="E323" t="s">
        <v>169</v>
      </c>
      <c r="F323" t="s">
        <v>1078</v>
      </c>
      <c r="G323" t="s">
        <v>37</v>
      </c>
      <c r="H323" t="s">
        <v>38</v>
      </c>
      <c r="I323" t="s">
        <v>14</v>
      </c>
      <c r="J323" t="s">
        <v>27</v>
      </c>
      <c r="K323" t="s">
        <v>209</v>
      </c>
      <c r="L323" t="s">
        <v>194</v>
      </c>
      <c r="M323">
        <v>1</v>
      </c>
      <c r="N323">
        <v>133.99</v>
      </c>
      <c r="O323">
        <v>133.99</v>
      </c>
      <c r="P323">
        <v>20</v>
      </c>
      <c r="Q323">
        <v>26.8</v>
      </c>
      <c r="R323">
        <v>107.19</v>
      </c>
      <c r="S323">
        <v>73.489999999999995</v>
      </c>
      <c r="T323">
        <v>33.700000000000003</v>
      </c>
      <c r="U323" t="s">
        <v>190</v>
      </c>
      <c r="V323" t="s">
        <v>186</v>
      </c>
      <c r="W323" t="s">
        <v>2097</v>
      </c>
      <c r="X323" t="s">
        <v>2111</v>
      </c>
      <c r="Y323">
        <v>267</v>
      </c>
      <c r="Z323">
        <v>632.4</v>
      </c>
      <c r="AA323">
        <v>93.41</v>
      </c>
      <c r="AB323" t="s">
        <v>115</v>
      </c>
      <c r="AC323" t="s">
        <v>16</v>
      </c>
      <c r="AD323" t="s">
        <v>2106</v>
      </c>
      <c r="AE323" t="s">
        <v>2107</v>
      </c>
    </row>
    <row r="324" spans="1:31">
      <c r="A324" t="s">
        <v>1501</v>
      </c>
      <c r="B324" s="1">
        <v>45188</v>
      </c>
      <c r="C324" t="s">
        <v>226</v>
      </c>
      <c r="D324">
        <v>2023</v>
      </c>
      <c r="E324" t="s">
        <v>169</v>
      </c>
      <c r="F324" t="s">
        <v>1502</v>
      </c>
      <c r="G324" t="s">
        <v>28</v>
      </c>
      <c r="H324" t="s">
        <v>29</v>
      </c>
      <c r="I324" t="s">
        <v>14</v>
      </c>
      <c r="J324" t="s">
        <v>19</v>
      </c>
      <c r="K324" t="s">
        <v>156</v>
      </c>
      <c r="L324" t="s">
        <v>204</v>
      </c>
      <c r="M324">
        <v>4</v>
      </c>
      <c r="N324">
        <v>26.46</v>
      </c>
      <c r="O324">
        <v>105.84</v>
      </c>
      <c r="P324">
        <v>15</v>
      </c>
      <c r="Q324">
        <v>15.88</v>
      </c>
      <c r="R324">
        <v>89.96</v>
      </c>
      <c r="S324">
        <v>77.680000000000007</v>
      </c>
      <c r="T324">
        <v>12.28</v>
      </c>
      <c r="U324" t="s">
        <v>166</v>
      </c>
      <c r="V324" t="s">
        <v>186</v>
      </c>
      <c r="W324" t="s">
        <v>2099</v>
      </c>
      <c r="X324" t="s">
        <v>2091</v>
      </c>
      <c r="Y324">
        <v>272</v>
      </c>
      <c r="Z324">
        <v>144.63999999999999</v>
      </c>
      <c r="AA324">
        <v>29.74</v>
      </c>
      <c r="AB324" t="s">
        <v>115</v>
      </c>
      <c r="AC324" t="s">
        <v>16</v>
      </c>
      <c r="AD324" t="s">
        <v>2095</v>
      </c>
      <c r="AE324" t="s">
        <v>2107</v>
      </c>
    </row>
    <row r="325" spans="1:31">
      <c r="A325" t="s">
        <v>1207</v>
      </c>
      <c r="B325" s="1">
        <v>45188</v>
      </c>
      <c r="C325" t="s">
        <v>226</v>
      </c>
      <c r="D325">
        <v>2023</v>
      </c>
      <c r="E325" t="s">
        <v>169</v>
      </c>
      <c r="F325" t="s">
        <v>1208</v>
      </c>
      <c r="G325" t="s">
        <v>35</v>
      </c>
      <c r="H325" t="s">
        <v>36</v>
      </c>
      <c r="I325" t="s">
        <v>14</v>
      </c>
      <c r="J325" t="s">
        <v>19</v>
      </c>
      <c r="K325" t="s">
        <v>164</v>
      </c>
      <c r="L325" t="s">
        <v>194</v>
      </c>
      <c r="M325">
        <v>4</v>
      </c>
      <c r="N325">
        <v>81.599999999999994</v>
      </c>
      <c r="O325">
        <v>326.39999999999998</v>
      </c>
      <c r="P325">
        <v>10</v>
      </c>
      <c r="Q325">
        <v>32.64</v>
      </c>
      <c r="R325">
        <v>293.76</v>
      </c>
      <c r="S325">
        <v>117.28</v>
      </c>
      <c r="T325">
        <v>176.48</v>
      </c>
      <c r="U325" t="s">
        <v>166</v>
      </c>
      <c r="V325" t="s">
        <v>159</v>
      </c>
      <c r="W325" t="s">
        <v>2097</v>
      </c>
      <c r="X325" t="s">
        <v>2086</v>
      </c>
      <c r="Y325">
        <v>355</v>
      </c>
      <c r="Z325">
        <v>626.66999999999996</v>
      </c>
      <c r="AA325">
        <v>144</v>
      </c>
      <c r="AB325" t="s">
        <v>14</v>
      </c>
      <c r="AC325" t="s">
        <v>20</v>
      </c>
      <c r="AD325" t="s">
        <v>2087</v>
      </c>
      <c r="AE325" t="s">
        <v>2107</v>
      </c>
    </row>
    <row r="326" spans="1:31">
      <c r="A326" t="s">
        <v>1297</v>
      </c>
      <c r="B326" s="1">
        <v>45188</v>
      </c>
      <c r="C326" t="s">
        <v>226</v>
      </c>
      <c r="D326">
        <v>2023</v>
      </c>
      <c r="E326" t="s">
        <v>169</v>
      </c>
      <c r="F326" t="s">
        <v>1298</v>
      </c>
      <c r="G326" t="s">
        <v>92</v>
      </c>
      <c r="H326" t="s">
        <v>93</v>
      </c>
      <c r="I326" t="s">
        <v>90</v>
      </c>
      <c r="J326" t="s">
        <v>94</v>
      </c>
      <c r="K326" t="s">
        <v>164</v>
      </c>
      <c r="L326" t="s">
        <v>157</v>
      </c>
      <c r="M326">
        <v>2</v>
      </c>
      <c r="N326">
        <v>230.34</v>
      </c>
      <c r="O326">
        <v>460.68</v>
      </c>
      <c r="P326">
        <v>20</v>
      </c>
      <c r="Q326">
        <v>92.14</v>
      </c>
      <c r="R326">
        <v>368.54</v>
      </c>
      <c r="S326">
        <v>149.36000000000001</v>
      </c>
      <c r="T326">
        <v>219.18</v>
      </c>
      <c r="U326" t="s">
        <v>166</v>
      </c>
      <c r="V326" t="s">
        <v>159</v>
      </c>
      <c r="W326" t="s">
        <v>2085</v>
      </c>
      <c r="X326" t="s">
        <v>2108</v>
      </c>
      <c r="Y326">
        <v>331</v>
      </c>
      <c r="Z326">
        <v>1233.99</v>
      </c>
      <c r="AA326">
        <v>181.66</v>
      </c>
      <c r="AB326" t="s">
        <v>14</v>
      </c>
      <c r="AC326" t="s">
        <v>20</v>
      </c>
      <c r="AD326" t="s">
        <v>2087</v>
      </c>
      <c r="AE326" t="s">
        <v>2096</v>
      </c>
    </row>
    <row r="327" spans="1:31">
      <c r="A327" t="s">
        <v>427</v>
      </c>
      <c r="B327" s="1">
        <v>45188</v>
      </c>
      <c r="C327" t="s">
        <v>226</v>
      </c>
      <c r="D327">
        <v>2023</v>
      </c>
      <c r="E327" t="s">
        <v>169</v>
      </c>
      <c r="F327" t="s">
        <v>428</v>
      </c>
      <c r="G327" t="s">
        <v>25</v>
      </c>
      <c r="H327" t="s">
        <v>26</v>
      </c>
      <c r="I327" t="s">
        <v>14</v>
      </c>
      <c r="J327" t="s">
        <v>27</v>
      </c>
      <c r="K327" t="s">
        <v>178</v>
      </c>
      <c r="L327" t="s">
        <v>194</v>
      </c>
      <c r="M327">
        <v>1</v>
      </c>
      <c r="N327">
        <v>18.39</v>
      </c>
      <c r="O327">
        <v>18.39</v>
      </c>
      <c r="P327">
        <v>10</v>
      </c>
      <c r="Q327">
        <v>1.84</v>
      </c>
      <c r="R327">
        <v>16.55</v>
      </c>
      <c r="S327">
        <v>8.26</v>
      </c>
      <c r="T327">
        <v>8.2899999999999991</v>
      </c>
      <c r="U327" t="s">
        <v>190</v>
      </c>
      <c r="V327" t="s">
        <v>159</v>
      </c>
      <c r="W327" t="s">
        <v>2090</v>
      </c>
      <c r="X327" t="s">
        <v>2086</v>
      </c>
      <c r="Y327">
        <v>322</v>
      </c>
      <c r="Z327">
        <v>172.76</v>
      </c>
      <c r="AA327">
        <v>63.37</v>
      </c>
      <c r="AB327" t="s">
        <v>41</v>
      </c>
      <c r="AC327" t="s">
        <v>20</v>
      </c>
      <c r="AD327" t="s">
        <v>2106</v>
      </c>
      <c r="AE327" t="s">
        <v>2109</v>
      </c>
    </row>
    <row r="328" spans="1:31">
      <c r="A328" t="s">
        <v>869</v>
      </c>
      <c r="B328" s="1">
        <v>45187</v>
      </c>
      <c r="C328" t="s">
        <v>226</v>
      </c>
      <c r="D328">
        <v>2023</v>
      </c>
      <c r="E328" t="s">
        <v>169</v>
      </c>
      <c r="F328" t="s">
        <v>870</v>
      </c>
      <c r="G328" t="s">
        <v>105</v>
      </c>
      <c r="H328" t="s">
        <v>106</v>
      </c>
      <c r="I328" t="s">
        <v>90</v>
      </c>
      <c r="J328" t="s">
        <v>91</v>
      </c>
      <c r="K328" t="s">
        <v>209</v>
      </c>
      <c r="L328" t="s">
        <v>179</v>
      </c>
      <c r="M328">
        <v>1</v>
      </c>
      <c r="N328">
        <v>36.35</v>
      </c>
      <c r="O328">
        <v>36.35</v>
      </c>
      <c r="P328">
        <v>0</v>
      </c>
      <c r="Q328">
        <v>0</v>
      </c>
      <c r="R328">
        <v>36.35</v>
      </c>
      <c r="S328">
        <v>30.02</v>
      </c>
      <c r="T328">
        <v>6.33</v>
      </c>
      <c r="U328" t="s">
        <v>158</v>
      </c>
      <c r="V328" t="s">
        <v>159</v>
      </c>
      <c r="W328" t="s">
        <v>2090</v>
      </c>
      <c r="X328" t="s">
        <v>2108</v>
      </c>
      <c r="Y328">
        <v>289</v>
      </c>
      <c r="Z328">
        <v>227.5</v>
      </c>
      <c r="AA328">
        <v>75.989999999999995</v>
      </c>
      <c r="AB328" t="s">
        <v>66</v>
      </c>
      <c r="AC328" t="s">
        <v>16</v>
      </c>
      <c r="AD328" t="s">
        <v>2106</v>
      </c>
      <c r="AE328" t="s">
        <v>2109</v>
      </c>
    </row>
    <row r="329" spans="1:31">
      <c r="A329" t="s">
        <v>753</v>
      </c>
      <c r="B329" s="1">
        <v>45186</v>
      </c>
      <c r="C329" t="s">
        <v>226</v>
      </c>
      <c r="D329">
        <v>2023</v>
      </c>
      <c r="E329" t="s">
        <v>169</v>
      </c>
      <c r="F329" t="s">
        <v>754</v>
      </c>
      <c r="G329" t="s">
        <v>88</v>
      </c>
      <c r="H329" t="s">
        <v>89</v>
      </c>
      <c r="I329" t="s">
        <v>90</v>
      </c>
      <c r="J329" t="s">
        <v>91</v>
      </c>
      <c r="K329" t="s">
        <v>164</v>
      </c>
      <c r="L329" t="s">
        <v>232</v>
      </c>
      <c r="M329">
        <v>4</v>
      </c>
      <c r="N329">
        <v>54.64</v>
      </c>
      <c r="O329">
        <v>218.56</v>
      </c>
      <c r="P329">
        <v>10</v>
      </c>
      <c r="Q329">
        <v>21.86</v>
      </c>
      <c r="R329">
        <v>196.7</v>
      </c>
      <c r="S329">
        <v>81.28</v>
      </c>
      <c r="T329">
        <v>115.42</v>
      </c>
      <c r="U329" t="s">
        <v>158</v>
      </c>
      <c r="V329" t="s">
        <v>159</v>
      </c>
      <c r="W329" t="s">
        <v>2093</v>
      </c>
      <c r="X329" t="s">
        <v>2094</v>
      </c>
      <c r="Y329">
        <v>300</v>
      </c>
      <c r="Z329">
        <v>155.75</v>
      </c>
      <c r="AA329">
        <v>45.71</v>
      </c>
      <c r="AB329" t="s">
        <v>41</v>
      </c>
      <c r="AC329" t="s">
        <v>16</v>
      </c>
      <c r="AD329" t="s">
        <v>2087</v>
      </c>
      <c r="AE329" t="s">
        <v>2096</v>
      </c>
    </row>
    <row r="330" spans="1:31">
      <c r="A330" t="s">
        <v>435</v>
      </c>
      <c r="B330" s="1">
        <v>45186</v>
      </c>
      <c r="C330" t="s">
        <v>226</v>
      </c>
      <c r="D330">
        <v>2023</v>
      </c>
      <c r="E330" t="s">
        <v>169</v>
      </c>
      <c r="F330" t="s">
        <v>436</v>
      </c>
      <c r="G330" t="s">
        <v>107</v>
      </c>
      <c r="H330" t="s">
        <v>108</v>
      </c>
      <c r="I330" t="s">
        <v>90</v>
      </c>
      <c r="J330" t="s">
        <v>100</v>
      </c>
      <c r="K330" t="s">
        <v>178</v>
      </c>
      <c r="L330" t="s">
        <v>204</v>
      </c>
      <c r="M330">
        <v>1</v>
      </c>
      <c r="N330">
        <v>26.61</v>
      </c>
      <c r="O330">
        <v>26.61</v>
      </c>
      <c r="P330">
        <v>0</v>
      </c>
      <c r="Q330">
        <v>0</v>
      </c>
      <c r="R330">
        <v>26.61</v>
      </c>
      <c r="S330">
        <v>10.64</v>
      </c>
      <c r="T330">
        <v>15.97</v>
      </c>
      <c r="U330" t="s">
        <v>180</v>
      </c>
      <c r="V330" t="s">
        <v>159</v>
      </c>
      <c r="W330" t="s">
        <v>2113</v>
      </c>
      <c r="X330" t="s">
        <v>2086</v>
      </c>
      <c r="Y330">
        <v>187</v>
      </c>
      <c r="Z330">
        <v>448.88</v>
      </c>
      <c r="AA330">
        <v>59.44</v>
      </c>
      <c r="AB330" t="s">
        <v>115</v>
      </c>
      <c r="AC330" t="s">
        <v>16</v>
      </c>
      <c r="AD330" t="s">
        <v>2095</v>
      </c>
      <c r="AE330" t="s">
        <v>2107</v>
      </c>
    </row>
    <row r="331" spans="1:31">
      <c r="A331" t="s">
        <v>1826</v>
      </c>
      <c r="B331" s="1">
        <v>45185</v>
      </c>
      <c r="C331" t="s">
        <v>226</v>
      </c>
      <c r="D331">
        <v>2023</v>
      </c>
      <c r="E331" t="s">
        <v>169</v>
      </c>
      <c r="F331" t="s">
        <v>1827</v>
      </c>
      <c r="G331" t="s">
        <v>12</v>
      </c>
      <c r="H331" t="s">
        <v>13</v>
      </c>
      <c r="I331" t="s">
        <v>14</v>
      </c>
      <c r="J331" t="s">
        <v>15</v>
      </c>
      <c r="K331" t="s">
        <v>164</v>
      </c>
      <c r="L331" t="s">
        <v>194</v>
      </c>
      <c r="M331">
        <v>1</v>
      </c>
      <c r="N331">
        <v>76.53</v>
      </c>
      <c r="O331">
        <v>76.53</v>
      </c>
      <c r="P331">
        <v>0</v>
      </c>
      <c r="Q331">
        <v>0</v>
      </c>
      <c r="R331">
        <v>76.53</v>
      </c>
      <c r="S331">
        <v>52.96</v>
      </c>
      <c r="T331">
        <v>23.57</v>
      </c>
      <c r="U331" t="s">
        <v>166</v>
      </c>
      <c r="V331" t="s">
        <v>159</v>
      </c>
      <c r="W331" t="s">
        <v>2099</v>
      </c>
      <c r="X331" t="s">
        <v>2091</v>
      </c>
      <c r="Y331">
        <v>327</v>
      </c>
      <c r="Z331">
        <v>40.29</v>
      </c>
      <c r="AA331">
        <v>63.46</v>
      </c>
      <c r="AB331" t="s">
        <v>90</v>
      </c>
      <c r="AC331" t="s">
        <v>16</v>
      </c>
      <c r="AD331" t="s">
        <v>2095</v>
      </c>
      <c r="AE331" t="s">
        <v>2088</v>
      </c>
    </row>
    <row r="332" spans="1:31">
      <c r="A332" t="s">
        <v>1175</v>
      </c>
      <c r="B332" s="1">
        <v>45184</v>
      </c>
      <c r="C332" t="s">
        <v>226</v>
      </c>
      <c r="D332">
        <v>2023</v>
      </c>
      <c r="E332" t="s">
        <v>169</v>
      </c>
      <c r="F332" t="s">
        <v>1176</v>
      </c>
      <c r="G332" t="s">
        <v>125</v>
      </c>
      <c r="H332" t="s">
        <v>126</v>
      </c>
      <c r="I332" t="s">
        <v>115</v>
      </c>
      <c r="J332" t="s">
        <v>116</v>
      </c>
      <c r="K332" t="s">
        <v>178</v>
      </c>
      <c r="L332" t="s">
        <v>179</v>
      </c>
      <c r="M332">
        <v>1</v>
      </c>
      <c r="N332">
        <v>144.94999999999999</v>
      </c>
      <c r="O332">
        <v>144.94999999999999</v>
      </c>
      <c r="P332">
        <v>0</v>
      </c>
      <c r="Q332">
        <v>0</v>
      </c>
      <c r="R332">
        <v>144.94999999999999</v>
      </c>
      <c r="S332">
        <v>77.19</v>
      </c>
      <c r="T332">
        <v>67.760000000000005</v>
      </c>
      <c r="U332" t="s">
        <v>195</v>
      </c>
      <c r="V332" t="s">
        <v>181</v>
      </c>
      <c r="W332" t="s">
        <v>2090</v>
      </c>
      <c r="X332" t="s">
        <v>2111</v>
      </c>
      <c r="Y332">
        <v>250</v>
      </c>
      <c r="Z332">
        <v>392.29</v>
      </c>
      <c r="AA332">
        <v>65.45</v>
      </c>
      <c r="AB332" t="s">
        <v>66</v>
      </c>
      <c r="AC332" t="s">
        <v>16</v>
      </c>
      <c r="AD332" t="s">
        <v>2095</v>
      </c>
      <c r="AE332" t="s">
        <v>2088</v>
      </c>
    </row>
    <row r="333" spans="1:31">
      <c r="A333" t="s">
        <v>1430</v>
      </c>
      <c r="B333" s="1">
        <v>45184</v>
      </c>
      <c r="C333" t="s">
        <v>226</v>
      </c>
      <c r="D333">
        <v>2023</v>
      </c>
      <c r="E333" t="s">
        <v>169</v>
      </c>
      <c r="F333" t="s">
        <v>1431</v>
      </c>
      <c r="G333" t="s">
        <v>64</v>
      </c>
      <c r="H333" t="s">
        <v>65</v>
      </c>
      <c r="I333" t="s">
        <v>66</v>
      </c>
      <c r="J333" t="s">
        <v>67</v>
      </c>
      <c r="K333" t="s">
        <v>156</v>
      </c>
      <c r="L333" t="s">
        <v>157</v>
      </c>
      <c r="M333">
        <v>2</v>
      </c>
      <c r="N333">
        <v>24.9</v>
      </c>
      <c r="O333">
        <v>49.8</v>
      </c>
      <c r="P333">
        <v>0</v>
      </c>
      <c r="Q333">
        <v>0</v>
      </c>
      <c r="R333">
        <v>49.8</v>
      </c>
      <c r="S333">
        <v>43.04</v>
      </c>
      <c r="T333">
        <v>6.76</v>
      </c>
      <c r="U333" t="s">
        <v>158</v>
      </c>
      <c r="V333" t="s">
        <v>186</v>
      </c>
      <c r="W333" t="s">
        <v>2090</v>
      </c>
      <c r="X333" t="s">
        <v>2094</v>
      </c>
      <c r="Y333">
        <v>57</v>
      </c>
      <c r="Z333">
        <v>364.91</v>
      </c>
      <c r="AA333">
        <v>97.47</v>
      </c>
      <c r="AB333" t="s">
        <v>14</v>
      </c>
      <c r="AC333" t="s">
        <v>16</v>
      </c>
      <c r="AD333" t="s">
        <v>2106</v>
      </c>
      <c r="AE333" t="s">
        <v>2088</v>
      </c>
    </row>
    <row r="334" spans="1:31">
      <c r="A334" t="s">
        <v>875</v>
      </c>
      <c r="B334" s="1">
        <v>45184</v>
      </c>
      <c r="C334" t="s">
        <v>226</v>
      </c>
      <c r="D334">
        <v>2023</v>
      </c>
      <c r="E334" t="s">
        <v>169</v>
      </c>
      <c r="F334" t="s">
        <v>876</v>
      </c>
      <c r="G334" t="s">
        <v>25</v>
      </c>
      <c r="H334" t="s">
        <v>26</v>
      </c>
      <c r="I334" t="s">
        <v>14</v>
      </c>
      <c r="J334" t="s">
        <v>27</v>
      </c>
      <c r="K334" t="s">
        <v>209</v>
      </c>
      <c r="L334" t="s">
        <v>157</v>
      </c>
      <c r="M334">
        <v>3</v>
      </c>
      <c r="N334">
        <v>18.39</v>
      </c>
      <c r="O334">
        <v>55.17</v>
      </c>
      <c r="P334">
        <v>0</v>
      </c>
      <c r="Q334">
        <v>0</v>
      </c>
      <c r="R334">
        <v>55.17</v>
      </c>
      <c r="S334">
        <v>24.78</v>
      </c>
      <c r="T334">
        <v>30.39</v>
      </c>
      <c r="U334" t="s">
        <v>190</v>
      </c>
      <c r="V334" t="s">
        <v>181</v>
      </c>
      <c r="W334" t="s">
        <v>2099</v>
      </c>
      <c r="X334" t="s">
        <v>2091</v>
      </c>
      <c r="Y334">
        <v>197</v>
      </c>
      <c r="Z334">
        <v>107.99</v>
      </c>
      <c r="AA334">
        <v>73.41</v>
      </c>
      <c r="AB334" t="s">
        <v>115</v>
      </c>
      <c r="AC334" t="s">
        <v>16</v>
      </c>
      <c r="AD334" t="s">
        <v>2106</v>
      </c>
      <c r="AE334" t="s">
        <v>2107</v>
      </c>
    </row>
    <row r="335" spans="1:31">
      <c r="A335" t="s">
        <v>2032</v>
      </c>
      <c r="B335" s="1">
        <v>45184</v>
      </c>
      <c r="C335" t="s">
        <v>226</v>
      </c>
      <c r="D335">
        <v>2023</v>
      </c>
      <c r="E335" t="s">
        <v>169</v>
      </c>
      <c r="F335" t="s">
        <v>2033</v>
      </c>
      <c r="G335" t="s">
        <v>122</v>
      </c>
      <c r="H335" t="s">
        <v>123</v>
      </c>
      <c r="I335" t="s">
        <v>115</v>
      </c>
      <c r="J335" t="s">
        <v>124</v>
      </c>
      <c r="K335" t="s">
        <v>209</v>
      </c>
      <c r="L335" t="s">
        <v>194</v>
      </c>
      <c r="M335">
        <v>2</v>
      </c>
      <c r="N335">
        <v>93.88</v>
      </c>
      <c r="O335">
        <v>187.76</v>
      </c>
      <c r="P335">
        <v>0</v>
      </c>
      <c r="Q335">
        <v>0</v>
      </c>
      <c r="R335">
        <v>187.76</v>
      </c>
      <c r="S335">
        <v>106.22</v>
      </c>
      <c r="T335">
        <v>81.540000000000006</v>
      </c>
      <c r="U335" t="s">
        <v>180</v>
      </c>
      <c r="V335" t="s">
        <v>159</v>
      </c>
      <c r="W335" t="s">
        <v>2090</v>
      </c>
      <c r="X335" t="s">
        <v>2111</v>
      </c>
      <c r="Y335">
        <v>240</v>
      </c>
      <c r="Z335">
        <v>390.31</v>
      </c>
      <c r="AA335">
        <v>90.16</v>
      </c>
      <c r="AB335" t="s">
        <v>14</v>
      </c>
      <c r="AC335" t="s">
        <v>16</v>
      </c>
      <c r="AD335" t="s">
        <v>2087</v>
      </c>
      <c r="AE335" t="s">
        <v>2088</v>
      </c>
    </row>
    <row r="336" spans="1:31">
      <c r="A336" t="s">
        <v>1054</v>
      </c>
      <c r="B336" s="1">
        <v>45184</v>
      </c>
      <c r="C336" t="s">
        <v>226</v>
      </c>
      <c r="D336">
        <v>2023</v>
      </c>
      <c r="E336" t="s">
        <v>169</v>
      </c>
      <c r="F336" t="s">
        <v>1055</v>
      </c>
      <c r="G336" t="s">
        <v>35</v>
      </c>
      <c r="H336" t="s">
        <v>36</v>
      </c>
      <c r="I336" t="s">
        <v>14</v>
      </c>
      <c r="J336" t="s">
        <v>19</v>
      </c>
      <c r="K336" t="s">
        <v>178</v>
      </c>
      <c r="L336" t="s">
        <v>157</v>
      </c>
      <c r="M336">
        <v>1</v>
      </c>
      <c r="N336">
        <v>81.599999999999994</v>
      </c>
      <c r="O336">
        <v>81.599999999999994</v>
      </c>
      <c r="P336">
        <v>5</v>
      </c>
      <c r="Q336">
        <v>4.08</v>
      </c>
      <c r="R336">
        <v>77.52</v>
      </c>
      <c r="S336">
        <v>29.32</v>
      </c>
      <c r="T336">
        <v>48.2</v>
      </c>
      <c r="U336" t="s">
        <v>158</v>
      </c>
      <c r="V336" t="s">
        <v>159</v>
      </c>
      <c r="W336" t="s">
        <v>2085</v>
      </c>
      <c r="X336" t="s">
        <v>2100</v>
      </c>
      <c r="Y336">
        <v>60</v>
      </c>
      <c r="Z336">
        <v>2828.35</v>
      </c>
      <c r="AA336">
        <v>171.09</v>
      </c>
      <c r="AB336" t="s">
        <v>66</v>
      </c>
      <c r="AC336" t="s">
        <v>16</v>
      </c>
      <c r="AD336" t="s">
        <v>2106</v>
      </c>
      <c r="AE336" t="s">
        <v>2121</v>
      </c>
    </row>
    <row r="337" spans="1:31">
      <c r="A337" t="s">
        <v>586</v>
      </c>
      <c r="B337" s="1">
        <v>45183</v>
      </c>
      <c r="C337" t="s">
        <v>226</v>
      </c>
      <c r="D337">
        <v>2023</v>
      </c>
      <c r="E337" t="s">
        <v>169</v>
      </c>
      <c r="F337" t="s">
        <v>587</v>
      </c>
      <c r="G337" t="s">
        <v>125</v>
      </c>
      <c r="H337" t="s">
        <v>126</v>
      </c>
      <c r="I337" t="s">
        <v>115</v>
      </c>
      <c r="J337" t="s">
        <v>116</v>
      </c>
      <c r="K337" t="s">
        <v>164</v>
      </c>
      <c r="L337" t="s">
        <v>179</v>
      </c>
      <c r="M337">
        <v>2</v>
      </c>
      <c r="N337">
        <v>144.94999999999999</v>
      </c>
      <c r="O337">
        <v>289.89999999999998</v>
      </c>
      <c r="P337">
        <v>5</v>
      </c>
      <c r="Q337">
        <v>14.49</v>
      </c>
      <c r="R337">
        <v>275.41000000000003</v>
      </c>
      <c r="S337">
        <v>154.38</v>
      </c>
      <c r="T337">
        <v>121.03</v>
      </c>
      <c r="U337" t="s">
        <v>158</v>
      </c>
      <c r="V337" t="s">
        <v>159</v>
      </c>
      <c r="W337" t="s">
        <v>2090</v>
      </c>
      <c r="X337" t="s">
        <v>2094</v>
      </c>
      <c r="Y337">
        <v>177</v>
      </c>
      <c r="Z337">
        <v>384.23</v>
      </c>
      <c r="AA337">
        <v>111.43</v>
      </c>
      <c r="AB337" t="s">
        <v>41</v>
      </c>
      <c r="AC337" t="s">
        <v>20</v>
      </c>
      <c r="AD337" t="s">
        <v>2095</v>
      </c>
      <c r="AE337" t="s">
        <v>2109</v>
      </c>
    </row>
    <row r="338" spans="1:31">
      <c r="A338" t="s">
        <v>1960</v>
      </c>
      <c r="B338" s="1">
        <v>45182</v>
      </c>
      <c r="C338" t="s">
        <v>226</v>
      </c>
      <c r="D338">
        <v>2023</v>
      </c>
      <c r="E338" t="s">
        <v>169</v>
      </c>
      <c r="F338" t="s">
        <v>1961</v>
      </c>
      <c r="G338" t="s">
        <v>64</v>
      </c>
      <c r="H338" t="s">
        <v>65</v>
      </c>
      <c r="I338" t="s">
        <v>66</v>
      </c>
      <c r="J338" t="s">
        <v>67</v>
      </c>
      <c r="K338" t="s">
        <v>178</v>
      </c>
      <c r="L338" t="s">
        <v>165</v>
      </c>
      <c r="M338">
        <v>1</v>
      </c>
      <c r="N338">
        <v>24.9</v>
      </c>
      <c r="O338">
        <v>24.9</v>
      </c>
      <c r="P338">
        <v>0</v>
      </c>
      <c r="Q338">
        <v>0</v>
      </c>
      <c r="R338">
        <v>24.9</v>
      </c>
      <c r="S338">
        <v>21.52</v>
      </c>
      <c r="T338">
        <v>3.38</v>
      </c>
      <c r="U338" t="s">
        <v>195</v>
      </c>
      <c r="V338" t="s">
        <v>186</v>
      </c>
      <c r="W338" t="s">
        <v>2093</v>
      </c>
      <c r="X338" t="s">
        <v>2108</v>
      </c>
      <c r="Y338">
        <v>248</v>
      </c>
      <c r="Z338">
        <v>45.54</v>
      </c>
      <c r="AA338">
        <v>25.08</v>
      </c>
      <c r="AB338" t="s">
        <v>90</v>
      </c>
      <c r="AC338" t="s">
        <v>20</v>
      </c>
      <c r="AD338" t="s">
        <v>2087</v>
      </c>
      <c r="AE338" t="s">
        <v>2121</v>
      </c>
    </row>
    <row r="339" spans="1:31">
      <c r="A339" t="s">
        <v>845</v>
      </c>
      <c r="B339" s="1">
        <v>45182</v>
      </c>
      <c r="C339" t="s">
        <v>226</v>
      </c>
      <c r="D339">
        <v>2023</v>
      </c>
      <c r="E339" t="s">
        <v>169</v>
      </c>
      <c r="F339" t="s">
        <v>846</v>
      </c>
      <c r="G339" t="s">
        <v>76</v>
      </c>
      <c r="H339" t="s">
        <v>77</v>
      </c>
      <c r="I339" t="s">
        <v>66</v>
      </c>
      <c r="J339" t="s">
        <v>67</v>
      </c>
      <c r="K339" t="s">
        <v>209</v>
      </c>
      <c r="L339" t="s">
        <v>232</v>
      </c>
      <c r="M339">
        <v>1</v>
      </c>
      <c r="N339">
        <v>118.07</v>
      </c>
      <c r="O339">
        <v>118.07</v>
      </c>
      <c r="P339">
        <v>0</v>
      </c>
      <c r="Q339">
        <v>0</v>
      </c>
      <c r="R339">
        <v>118.07</v>
      </c>
      <c r="S339">
        <v>39.700000000000003</v>
      </c>
      <c r="T339">
        <v>78.37</v>
      </c>
      <c r="U339" t="s">
        <v>158</v>
      </c>
      <c r="V339" t="s">
        <v>159</v>
      </c>
      <c r="W339" t="s">
        <v>2085</v>
      </c>
      <c r="X339" t="s">
        <v>2108</v>
      </c>
      <c r="Y339">
        <v>318</v>
      </c>
      <c r="Z339">
        <v>2350.9699999999998</v>
      </c>
      <c r="AA339">
        <v>159.57</v>
      </c>
      <c r="AB339" t="s">
        <v>14</v>
      </c>
      <c r="AC339" t="s">
        <v>16</v>
      </c>
      <c r="AD339" t="s">
        <v>2095</v>
      </c>
      <c r="AE339" t="s">
        <v>2107</v>
      </c>
    </row>
    <row r="340" spans="1:31">
      <c r="A340" t="s">
        <v>1311</v>
      </c>
      <c r="B340" s="1">
        <v>45182</v>
      </c>
      <c r="C340" t="s">
        <v>226</v>
      </c>
      <c r="D340">
        <v>2023</v>
      </c>
      <c r="E340" t="s">
        <v>169</v>
      </c>
      <c r="F340" t="s">
        <v>1312</v>
      </c>
      <c r="G340" t="s">
        <v>12</v>
      </c>
      <c r="H340" t="s">
        <v>13</v>
      </c>
      <c r="I340" t="s">
        <v>14</v>
      </c>
      <c r="J340" t="s">
        <v>15</v>
      </c>
      <c r="K340" t="s">
        <v>178</v>
      </c>
      <c r="L340" t="s">
        <v>179</v>
      </c>
      <c r="M340">
        <v>2</v>
      </c>
      <c r="N340">
        <v>76.53</v>
      </c>
      <c r="O340">
        <v>153.06</v>
      </c>
      <c r="P340">
        <v>5</v>
      </c>
      <c r="Q340">
        <v>7.65</v>
      </c>
      <c r="R340">
        <v>145.41</v>
      </c>
      <c r="S340">
        <v>105.92</v>
      </c>
      <c r="T340">
        <v>39.49</v>
      </c>
      <c r="U340" t="s">
        <v>180</v>
      </c>
      <c r="V340" t="s">
        <v>159</v>
      </c>
      <c r="W340" t="s">
        <v>2099</v>
      </c>
      <c r="X340" t="s">
        <v>2091</v>
      </c>
      <c r="Y340">
        <v>178</v>
      </c>
      <c r="Z340">
        <v>106.93</v>
      </c>
      <c r="AA340">
        <v>25.24</v>
      </c>
      <c r="AB340" t="s">
        <v>41</v>
      </c>
      <c r="AC340" t="s">
        <v>16</v>
      </c>
      <c r="AD340" t="s">
        <v>2095</v>
      </c>
      <c r="AE340" t="s">
        <v>2121</v>
      </c>
    </row>
    <row r="341" spans="1:31">
      <c r="A341" t="s">
        <v>1073</v>
      </c>
      <c r="B341" s="1">
        <v>45181</v>
      </c>
      <c r="C341" t="s">
        <v>226</v>
      </c>
      <c r="D341">
        <v>2023</v>
      </c>
      <c r="E341" t="s">
        <v>169</v>
      </c>
      <c r="F341" t="s">
        <v>1074</v>
      </c>
      <c r="G341" t="s">
        <v>39</v>
      </c>
      <c r="H341" t="s">
        <v>40</v>
      </c>
      <c r="I341" t="s">
        <v>41</v>
      </c>
      <c r="J341" t="s">
        <v>42</v>
      </c>
      <c r="K341" t="s">
        <v>156</v>
      </c>
      <c r="L341" t="s">
        <v>165</v>
      </c>
      <c r="M341">
        <v>1</v>
      </c>
      <c r="N341">
        <v>35.11</v>
      </c>
      <c r="O341">
        <v>35.11</v>
      </c>
      <c r="P341">
        <v>10</v>
      </c>
      <c r="Q341">
        <v>3.51</v>
      </c>
      <c r="R341">
        <v>31.6</v>
      </c>
      <c r="S341">
        <v>24.87</v>
      </c>
      <c r="T341">
        <v>6.73</v>
      </c>
      <c r="U341" t="s">
        <v>180</v>
      </c>
      <c r="V341" t="s">
        <v>159</v>
      </c>
      <c r="W341" t="s">
        <v>2093</v>
      </c>
      <c r="X341" t="s">
        <v>2094</v>
      </c>
      <c r="Y341">
        <v>28</v>
      </c>
      <c r="Z341">
        <v>186.91</v>
      </c>
      <c r="AA341">
        <v>41.95</v>
      </c>
      <c r="AB341" t="s">
        <v>115</v>
      </c>
      <c r="AC341" t="s">
        <v>16</v>
      </c>
      <c r="AD341" t="s">
        <v>2095</v>
      </c>
      <c r="AE341" t="s">
        <v>2107</v>
      </c>
    </row>
    <row r="342" spans="1:31">
      <c r="A342" t="s">
        <v>1549</v>
      </c>
      <c r="B342" s="1">
        <v>45181</v>
      </c>
      <c r="C342" t="s">
        <v>226</v>
      </c>
      <c r="D342">
        <v>2023</v>
      </c>
      <c r="E342" t="s">
        <v>169</v>
      </c>
      <c r="F342" t="s">
        <v>1550</v>
      </c>
      <c r="G342" t="s">
        <v>57</v>
      </c>
      <c r="H342" t="s">
        <v>58</v>
      </c>
      <c r="I342" t="s">
        <v>41</v>
      </c>
      <c r="J342" t="s">
        <v>59</v>
      </c>
      <c r="K342" t="s">
        <v>156</v>
      </c>
      <c r="L342" t="s">
        <v>194</v>
      </c>
      <c r="M342">
        <v>4</v>
      </c>
      <c r="N342">
        <v>56.33</v>
      </c>
      <c r="O342">
        <v>225.32</v>
      </c>
      <c r="P342">
        <v>0</v>
      </c>
      <c r="Q342">
        <v>0</v>
      </c>
      <c r="R342">
        <v>225.32</v>
      </c>
      <c r="S342">
        <v>165.8</v>
      </c>
      <c r="T342">
        <v>59.52</v>
      </c>
      <c r="U342" t="s">
        <v>180</v>
      </c>
      <c r="V342" t="s">
        <v>159</v>
      </c>
      <c r="W342" t="s">
        <v>2099</v>
      </c>
      <c r="X342" t="s">
        <v>2108</v>
      </c>
      <c r="Y342">
        <v>140</v>
      </c>
      <c r="Z342">
        <v>87.44</v>
      </c>
      <c r="AA342">
        <v>34.5</v>
      </c>
      <c r="AB342" t="s">
        <v>115</v>
      </c>
      <c r="AC342" t="s">
        <v>16</v>
      </c>
      <c r="AD342" t="s">
        <v>2095</v>
      </c>
      <c r="AE342" t="s">
        <v>2107</v>
      </c>
    </row>
    <row r="343" spans="1:31">
      <c r="A343" t="s">
        <v>1725</v>
      </c>
      <c r="B343" s="1">
        <v>45180</v>
      </c>
      <c r="C343" t="s">
        <v>226</v>
      </c>
      <c r="D343">
        <v>2023</v>
      </c>
      <c r="E343" t="s">
        <v>169</v>
      </c>
      <c r="F343" t="s">
        <v>652</v>
      </c>
      <c r="G343" t="s">
        <v>88</v>
      </c>
      <c r="H343" t="s">
        <v>89</v>
      </c>
      <c r="I343" t="s">
        <v>90</v>
      </c>
      <c r="J343" t="s">
        <v>91</v>
      </c>
      <c r="K343" t="s">
        <v>209</v>
      </c>
      <c r="L343" t="s">
        <v>232</v>
      </c>
      <c r="M343">
        <v>1</v>
      </c>
      <c r="N343">
        <v>54.64</v>
      </c>
      <c r="O343">
        <v>54.64</v>
      </c>
      <c r="P343">
        <v>5</v>
      </c>
      <c r="Q343">
        <v>2.73</v>
      </c>
      <c r="R343">
        <v>51.91</v>
      </c>
      <c r="S343">
        <v>20.32</v>
      </c>
      <c r="T343">
        <v>31.59</v>
      </c>
      <c r="U343" t="s">
        <v>158</v>
      </c>
      <c r="V343" t="s">
        <v>186</v>
      </c>
      <c r="W343" t="s">
        <v>2097</v>
      </c>
      <c r="X343" t="s">
        <v>2100</v>
      </c>
      <c r="Y343">
        <v>280</v>
      </c>
      <c r="Z343">
        <v>581.91999999999996</v>
      </c>
      <c r="AA343">
        <v>114.51</v>
      </c>
      <c r="AB343" t="s">
        <v>41</v>
      </c>
      <c r="AC343" t="s">
        <v>16</v>
      </c>
      <c r="AD343" t="s">
        <v>2095</v>
      </c>
      <c r="AE343" t="s">
        <v>2109</v>
      </c>
    </row>
    <row r="344" spans="1:31">
      <c r="A344" t="s">
        <v>661</v>
      </c>
      <c r="B344" s="1">
        <v>45180</v>
      </c>
      <c r="C344" t="s">
        <v>226</v>
      </c>
      <c r="D344">
        <v>2023</v>
      </c>
      <c r="E344" t="s">
        <v>169</v>
      </c>
      <c r="F344" t="s">
        <v>662</v>
      </c>
      <c r="G344" t="s">
        <v>113</v>
      </c>
      <c r="H344" t="s">
        <v>114</v>
      </c>
      <c r="I344" t="s">
        <v>115</v>
      </c>
      <c r="J344" t="s">
        <v>116</v>
      </c>
      <c r="K344" t="s">
        <v>178</v>
      </c>
      <c r="L344" t="s">
        <v>165</v>
      </c>
      <c r="M344">
        <v>4</v>
      </c>
      <c r="N344">
        <v>18.7</v>
      </c>
      <c r="O344">
        <v>74.8</v>
      </c>
      <c r="P344">
        <v>10</v>
      </c>
      <c r="Q344">
        <v>7.48</v>
      </c>
      <c r="R344">
        <v>67.319999999999993</v>
      </c>
      <c r="S344">
        <v>27.44</v>
      </c>
      <c r="T344">
        <v>39.880000000000003</v>
      </c>
      <c r="U344" t="s">
        <v>180</v>
      </c>
      <c r="V344" t="s">
        <v>181</v>
      </c>
      <c r="W344" t="s">
        <v>2090</v>
      </c>
      <c r="X344" t="s">
        <v>2108</v>
      </c>
      <c r="Y344">
        <v>110</v>
      </c>
      <c r="Z344">
        <v>171.84</v>
      </c>
      <c r="AA344">
        <v>110.03</v>
      </c>
      <c r="AB344" t="s">
        <v>66</v>
      </c>
      <c r="AC344" t="s">
        <v>16</v>
      </c>
      <c r="AD344" t="s">
        <v>2106</v>
      </c>
      <c r="AE344" t="s">
        <v>2096</v>
      </c>
    </row>
    <row r="345" spans="1:31">
      <c r="A345" t="s">
        <v>609</v>
      </c>
      <c r="B345" s="1">
        <v>45180</v>
      </c>
      <c r="C345" t="s">
        <v>226</v>
      </c>
      <c r="D345">
        <v>2023</v>
      </c>
      <c r="E345" t="s">
        <v>169</v>
      </c>
      <c r="F345" t="s">
        <v>610</v>
      </c>
      <c r="G345" t="s">
        <v>21</v>
      </c>
      <c r="H345" t="s">
        <v>22</v>
      </c>
      <c r="I345" t="s">
        <v>14</v>
      </c>
      <c r="J345" t="s">
        <v>15</v>
      </c>
      <c r="K345" t="s">
        <v>178</v>
      </c>
      <c r="L345" t="s">
        <v>174</v>
      </c>
      <c r="M345">
        <v>4</v>
      </c>
      <c r="N345">
        <v>65.430000000000007</v>
      </c>
      <c r="O345">
        <v>261.72000000000003</v>
      </c>
      <c r="P345">
        <v>20</v>
      </c>
      <c r="Q345">
        <v>52.34</v>
      </c>
      <c r="R345">
        <v>209.38</v>
      </c>
      <c r="S345">
        <v>154.76</v>
      </c>
      <c r="T345">
        <v>54.62</v>
      </c>
      <c r="U345" t="s">
        <v>158</v>
      </c>
      <c r="V345" t="s">
        <v>159</v>
      </c>
      <c r="W345" t="s">
        <v>2085</v>
      </c>
      <c r="X345" t="s">
        <v>2100</v>
      </c>
      <c r="Y345">
        <v>358</v>
      </c>
      <c r="Z345">
        <v>1262.45</v>
      </c>
      <c r="AA345">
        <v>122.15</v>
      </c>
      <c r="AB345" t="s">
        <v>14</v>
      </c>
      <c r="AC345" t="s">
        <v>16</v>
      </c>
      <c r="AD345" t="s">
        <v>2095</v>
      </c>
      <c r="AE345" t="s">
        <v>2107</v>
      </c>
    </row>
    <row r="346" spans="1:31">
      <c r="A346" t="s">
        <v>1942</v>
      </c>
      <c r="B346" s="1">
        <v>45180</v>
      </c>
      <c r="C346" t="s">
        <v>226</v>
      </c>
      <c r="D346">
        <v>2023</v>
      </c>
      <c r="E346" t="s">
        <v>169</v>
      </c>
      <c r="F346" t="s">
        <v>1943</v>
      </c>
      <c r="G346" t="s">
        <v>57</v>
      </c>
      <c r="H346" t="s">
        <v>58</v>
      </c>
      <c r="I346" t="s">
        <v>41</v>
      </c>
      <c r="J346" t="s">
        <v>59</v>
      </c>
      <c r="K346" t="s">
        <v>156</v>
      </c>
      <c r="L346" t="s">
        <v>204</v>
      </c>
      <c r="M346">
        <v>3</v>
      </c>
      <c r="N346">
        <v>56.33</v>
      </c>
      <c r="O346">
        <v>168.99</v>
      </c>
      <c r="P346">
        <v>15</v>
      </c>
      <c r="Q346">
        <v>25.35</v>
      </c>
      <c r="R346">
        <v>143.63999999999999</v>
      </c>
      <c r="S346">
        <v>124.35</v>
      </c>
      <c r="T346">
        <v>19.29</v>
      </c>
      <c r="U346" t="s">
        <v>190</v>
      </c>
      <c r="V346" t="s">
        <v>181</v>
      </c>
      <c r="W346" t="s">
        <v>2113</v>
      </c>
      <c r="X346" t="s">
        <v>2111</v>
      </c>
      <c r="Y346">
        <v>215</v>
      </c>
      <c r="Z346">
        <v>306.01</v>
      </c>
      <c r="AA346">
        <v>53.65</v>
      </c>
      <c r="AB346" t="s">
        <v>41</v>
      </c>
      <c r="AC346" t="s">
        <v>16</v>
      </c>
      <c r="AD346" t="s">
        <v>2106</v>
      </c>
      <c r="AE346" t="s">
        <v>2096</v>
      </c>
    </row>
    <row r="347" spans="1:31">
      <c r="A347" t="s">
        <v>1269</v>
      </c>
      <c r="B347" s="1">
        <v>45180</v>
      </c>
      <c r="C347" t="s">
        <v>226</v>
      </c>
      <c r="D347">
        <v>2023</v>
      </c>
      <c r="E347" t="s">
        <v>169</v>
      </c>
      <c r="F347" t="s">
        <v>800</v>
      </c>
      <c r="G347" t="s">
        <v>135</v>
      </c>
      <c r="H347" t="s">
        <v>136</v>
      </c>
      <c r="I347" t="s">
        <v>115</v>
      </c>
      <c r="J347" t="s">
        <v>119</v>
      </c>
      <c r="K347" t="s">
        <v>209</v>
      </c>
      <c r="L347" t="s">
        <v>157</v>
      </c>
      <c r="M347">
        <v>2</v>
      </c>
      <c r="N347">
        <v>89.62</v>
      </c>
      <c r="O347">
        <v>179.24</v>
      </c>
      <c r="P347">
        <v>15</v>
      </c>
      <c r="Q347">
        <v>26.89</v>
      </c>
      <c r="R347">
        <v>152.35</v>
      </c>
      <c r="S347">
        <v>76.260000000000005</v>
      </c>
      <c r="T347">
        <v>76.09</v>
      </c>
      <c r="U347" t="s">
        <v>166</v>
      </c>
      <c r="V347" t="s">
        <v>159</v>
      </c>
      <c r="W347" t="s">
        <v>2099</v>
      </c>
      <c r="X347" t="s">
        <v>2111</v>
      </c>
      <c r="Y347">
        <v>17</v>
      </c>
      <c r="Z347">
        <v>50.88</v>
      </c>
      <c r="AA347">
        <v>65.23</v>
      </c>
      <c r="AB347" t="s">
        <v>90</v>
      </c>
      <c r="AC347" t="s">
        <v>16</v>
      </c>
      <c r="AD347" t="s">
        <v>2106</v>
      </c>
      <c r="AE347" t="s">
        <v>2096</v>
      </c>
    </row>
    <row r="348" spans="1:31">
      <c r="A348" t="s">
        <v>931</v>
      </c>
      <c r="B348" s="1">
        <v>45179</v>
      </c>
      <c r="C348" t="s">
        <v>226</v>
      </c>
      <c r="D348">
        <v>2023</v>
      </c>
      <c r="E348" t="s">
        <v>169</v>
      </c>
      <c r="F348" t="s">
        <v>932</v>
      </c>
      <c r="G348" t="s">
        <v>105</v>
      </c>
      <c r="H348" t="s">
        <v>106</v>
      </c>
      <c r="I348" t="s">
        <v>90</v>
      </c>
      <c r="J348" t="s">
        <v>91</v>
      </c>
      <c r="K348" t="s">
        <v>178</v>
      </c>
      <c r="L348" t="s">
        <v>157</v>
      </c>
      <c r="M348">
        <v>2</v>
      </c>
      <c r="N348">
        <v>36.35</v>
      </c>
      <c r="O348">
        <v>72.7</v>
      </c>
      <c r="P348">
        <v>20</v>
      </c>
      <c r="Q348">
        <v>14.54</v>
      </c>
      <c r="R348">
        <v>58.16</v>
      </c>
      <c r="S348">
        <v>60.04</v>
      </c>
      <c r="T348">
        <v>-1.88</v>
      </c>
      <c r="U348" t="s">
        <v>180</v>
      </c>
      <c r="V348" t="s">
        <v>159</v>
      </c>
      <c r="W348" t="s">
        <v>2099</v>
      </c>
      <c r="X348" t="s">
        <v>2100</v>
      </c>
      <c r="Y348">
        <v>28</v>
      </c>
      <c r="Z348">
        <v>85.01</v>
      </c>
      <c r="AA348">
        <v>36.770000000000003</v>
      </c>
      <c r="AB348" t="s">
        <v>41</v>
      </c>
      <c r="AC348" t="s">
        <v>20</v>
      </c>
      <c r="AD348" t="s">
        <v>2087</v>
      </c>
      <c r="AE348" t="s">
        <v>2096</v>
      </c>
    </row>
    <row r="349" spans="1:31">
      <c r="A349" t="s">
        <v>1508</v>
      </c>
      <c r="B349" s="1">
        <v>45179</v>
      </c>
      <c r="C349" t="s">
        <v>226</v>
      </c>
      <c r="D349">
        <v>2023</v>
      </c>
      <c r="E349" t="s">
        <v>169</v>
      </c>
      <c r="F349" t="s">
        <v>1509</v>
      </c>
      <c r="G349" t="s">
        <v>92</v>
      </c>
      <c r="H349" t="s">
        <v>93</v>
      </c>
      <c r="I349" t="s">
        <v>90</v>
      </c>
      <c r="J349" t="s">
        <v>94</v>
      </c>
      <c r="K349" t="s">
        <v>156</v>
      </c>
      <c r="L349" t="s">
        <v>232</v>
      </c>
      <c r="M349">
        <v>1</v>
      </c>
      <c r="N349">
        <v>230.34</v>
      </c>
      <c r="O349">
        <v>230.34</v>
      </c>
      <c r="P349">
        <v>10</v>
      </c>
      <c r="Q349">
        <v>23.03</v>
      </c>
      <c r="R349">
        <v>207.31</v>
      </c>
      <c r="S349">
        <v>74.680000000000007</v>
      </c>
      <c r="T349">
        <v>132.63</v>
      </c>
      <c r="U349" t="s">
        <v>180</v>
      </c>
      <c r="V349" t="s">
        <v>186</v>
      </c>
      <c r="W349" t="s">
        <v>2099</v>
      </c>
      <c r="X349" t="s">
        <v>2108</v>
      </c>
      <c r="Y349">
        <v>361</v>
      </c>
      <c r="Z349">
        <v>98.47</v>
      </c>
      <c r="AA349">
        <v>47.76</v>
      </c>
      <c r="AB349" t="s">
        <v>90</v>
      </c>
      <c r="AC349" t="s">
        <v>16</v>
      </c>
      <c r="AD349" t="s">
        <v>2095</v>
      </c>
      <c r="AE349" t="s">
        <v>2107</v>
      </c>
    </row>
    <row r="350" spans="1:31">
      <c r="A350" t="s">
        <v>1838</v>
      </c>
      <c r="B350" s="1">
        <v>45178</v>
      </c>
      <c r="C350" t="s">
        <v>226</v>
      </c>
      <c r="D350">
        <v>2023</v>
      </c>
      <c r="E350" t="s">
        <v>169</v>
      </c>
      <c r="F350" t="s">
        <v>1517</v>
      </c>
      <c r="G350" t="s">
        <v>43</v>
      </c>
      <c r="H350" t="s">
        <v>44</v>
      </c>
      <c r="I350" t="s">
        <v>41</v>
      </c>
      <c r="J350" t="s">
        <v>45</v>
      </c>
      <c r="K350" t="s">
        <v>209</v>
      </c>
      <c r="L350" t="s">
        <v>204</v>
      </c>
      <c r="M350">
        <v>1</v>
      </c>
      <c r="N350">
        <v>67.56</v>
      </c>
      <c r="O350">
        <v>67.56</v>
      </c>
      <c r="P350">
        <v>15</v>
      </c>
      <c r="Q350">
        <v>10.130000000000001</v>
      </c>
      <c r="R350">
        <v>57.43</v>
      </c>
      <c r="S350">
        <v>43.21</v>
      </c>
      <c r="T350">
        <v>14.22</v>
      </c>
      <c r="U350" t="s">
        <v>180</v>
      </c>
      <c r="V350" t="s">
        <v>181</v>
      </c>
      <c r="W350" t="s">
        <v>2085</v>
      </c>
      <c r="X350" t="s">
        <v>2111</v>
      </c>
      <c r="Y350">
        <v>199</v>
      </c>
      <c r="Z350">
        <v>1151.46</v>
      </c>
      <c r="AA350">
        <v>294.14999999999998</v>
      </c>
      <c r="AB350" t="s">
        <v>66</v>
      </c>
      <c r="AC350" t="s">
        <v>16</v>
      </c>
      <c r="AD350" t="s">
        <v>2087</v>
      </c>
      <c r="AE350" t="s">
        <v>2121</v>
      </c>
    </row>
    <row r="351" spans="1:31">
      <c r="A351" t="s">
        <v>998</v>
      </c>
      <c r="B351" s="1">
        <v>45178</v>
      </c>
      <c r="C351" t="s">
        <v>226</v>
      </c>
      <c r="D351">
        <v>2023</v>
      </c>
      <c r="E351" t="s">
        <v>169</v>
      </c>
      <c r="F351" t="s">
        <v>999</v>
      </c>
      <c r="G351" t="s">
        <v>62</v>
      </c>
      <c r="H351" t="s">
        <v>63</v>
      </c>
      <c r="I351" t="s">
        <v>41</v>
      </c>
      <c r="J351" t="s">
        <v>45</v>
      </c>
      <c r="K351" t="s">
        <v>209</v>
      </c>
      <c r="L351" t="s">
        <v>179</v>
      </c>
      <c r="M351">
        <v>3</v>
      </c>
      <c r="N351">
        <v>160.35</v>
      </c>
      <c r="O351">
        <v>481.04999999999995</v>
      </c>
      <c r="P351">
        <v>0</v>
      </c>
      <c r="Q351">
        <v>0</v>
      </c>
      <c r="R351">
        <v>481.05</v>
      </c>
      <c r="S351">
        <v>217.41</v>
      </c>
      <c r="T351">
        <v>263.64</v>
      </c>
      <c r="U351" t="s">
        <v>190</v>
      </c>
      <c r="V351" t="s">
        <v>159</v>
      </c>
      <c r="W351" t="s">
        <v>2093</v>
      </c>
      <c r="X351" t="s">
        <v>2086</v>
      </c>
      <c r="Y351">
        <v>239</v>
      </c>
      <c r="Z351">
        <v>140.29</v>
      </c>
      <c r="AA351">
        <v>79.92</v>
      </c>
      <c r="AB351" t="s">
        <v>115</v>
      </c>
      <c r="AC351" t="s">
        <v>20</v>
      </c>
      <c r="AD351" t="s">
        <v>2095</v>
      </c>
      <c r="AE351" t="s">
        <v>2096</v>
      </c>
    </row>
    <row r="352" spans="1:31">
      <c r="A352" t="s">
        <v>887</v>
      </c>
      <c r="B352" s="1">
        <v>45178</v>
      </c>
      <c r="C352" t="s">
        <v>226</v>
      </c>
      <c r="D352">
        <v>2023</v>
      </c>
      <c r="E352" t="s">
        <v>169</v>
      </c>
      <c r="F352" t="s">
        <v>888</v>
      </c>
      <c r="G352" t="s">
        <v>48</v>
      </c>
      <c r="H352" t="s">
        <v>49</v>
      </c>
      <c r="I352" t="s">
        <v>41</v>
      </c>
      <c r="J352" t="s">
        <v>42</v>
      </c>
      <c r="K352" t="s">
        <v>209</v>
      </c>
      <c r="L352" t="s">
        <v>157</v>
      </c>
      <c r="M352">
        <v>2</v>
      </c>
      <c r="N352">
        <v>84.95</v>
      </c>
      <c r="O352">
        <v>169.9</v>
      </c>
      <c r="P352">
        <v>5</v>
      </c>
      <c r="Q352">
        <v>8.49</v>
      </c>
      <c r="R352">
        <v>161.41</v>
      </c>
      <c r="S352">
        <v>106.14</v>
      </c>
      <c r="T352">
        <v>55.27</v>
      </c>
      <c r="U352" t="s">
        <v>195</v>
      </c>
      <c r="V352" t="s">
        <v>159</v>
      </c>
      <c r="W352" t="s">
        <v>2097</v>
      </c>
      <c r="X352" t="s">
        <v>2111</v>
      </c>
      <c r="Y352">
        <v>329</v>
      </c>
      <c r="Z352">
        <v>408</v>
      </c>
      <c r="AA352">
        <v>108.04</v>
      </c>
      <c r="AB352" t="s">
        <v>14</v>
      </c>
      <c r="AC352" t="s">
        <v>16</v>
      </c>
      <c r="AD352" t="s">
        <v>2106</v>
      </c>
      <c r="AE352" t="s">
        <v>2088</v>
      </c>
    </row>
    <row r="353" spans="1:31">
      <c r="A353" t="s">
        <v>228</v>
      </c>
      <c r="B353" s="1">
        <v>45177</v>
      </c>
      <c r="C353" t="s">
        <v>226</v>
      </c>
      <c r="D353">
        <v>2023</v>
      </c>
      <c r="E353" t="s">
        <v>169</v>
      </c>
      <c r="F353" t="s">
        <v>229</v>
      </c>
      <c r="G353" t="s">
        <v>12</v>
      </c>
      <c r="H353" t="s">
        <v>13</v>
      </c>
      <c r="I353" t="s">
        <v>14</v>
      </c>
      <c r="J353" t="s">
        <v>15</v>
      </c>
      <c r="K353" t="s">
        <v>164</v>
      </c>
      <c r="L353" t="s">
        <v>194</v>
      </c>
      <c r="M353">
        <v>4</v>
      </c>
      <c r="N353">
        <v>76.53</v>
      </c>
      <c r="O353">
        <v>306.12</v>
      </c>
      <c r="P353">
        <v>20</v>
      </c>
      <c r="Q353">
        <v>61.22</v>
      </c>
      <c r="R353">
        <v>244.9</v>
      </c>
      <c r="S353">
        <v>211.84</v>
      </c>
      <c r="T353">
        <v>33.06</v>
      </c>
      <c r="U353" t="s">
        <v>180</v>
      </c>
      <c r="V353" t="s">
        <v>159</v>
      </c>
      <c r="W353" t="s">
        <v>2093</v>
      </c>
      <c r="X353" t="s">
        <v>2094</v>
      </c>
      <c r="Y353">
        <v>142</v>
      </c>
      <c r="Z353">
        <v>93.62</v>
      </c>
      <c r="AA353">
        <v>48.38</v>
      </c>
      <c r="AB353" t="s">
        <v>41</v>
      </c>
      <c r="AC353" t="s">
        <v>16</v>
      </c>
      <c r="AD353" t="s">
        <v>2106</v>
      </c>
      <c r="AE353" t="s">
        <v>2088</v>
      </c>
    </row>
    <row r="354" spans="1:31">
      <c r="A354" t="s">
        <v>2016</v>
      </c>
      <c r="B354" s="1">
        <v>45176</v>
      </c>
      <c r="C354" t="s">
        <v>226</v>
      </c>
      <c r="D354">
        <v>2023</v>
      </c>
      <c r="E354" t="s">
        <v>169</v>
      </c>
      <c r="F354" t="s">
        <v>2017</v>
      </c>
      <c r="G354" t="s">
        <v>109</v>
      </c>
      <c r="H354" t="s">
        <v>110</v>
      </c>
      <c r="I354" t="s">
        <v>90</v>
      </c>
      <c r="J354" t="s">
        <v>100</v>
      </c>
      <c r="K354" t="s">
        <v>164</v>
      </c>
      <c r="L354" t="s">
        <v>232</v>
      </c>
      <c r="M354">
        <v>3</v>
      </c>
      <c r="N354">
        <v>77.67</v>
      </c>
      <c r="O354">
        <v>233.01</v>
      </c>
      <c r="P354">
        <v>0</v>
      </c>
      <c r="Q354">
        <v>0</v>
      </c>
      <c r="R354">
        <v>233.01</v>
      </c>
      <c r="S354">
        <v>84.36</v>
      </c>
      <c r="T354">
        <v>148.65</v>
      </c>
      <c r="U354" t="s">
        <v>166</v>
      </c>
      <c r="V354" t="s">
        <v>181</v>
      </c>
      <c r="W354" t="s">
        <v>2090</v>
      </c>
      <c r="X354" t="s">
        <v>2108</v>
      </c>
      <c r="Y354">
        <v>63</v>
      </c>
      <c r="Z354">
        <v>393.97</v>
      </c>
      <c r="AA354">
        <v>42.45</v>
      </c>
      <c r="AB354" t="s">
        <v>66</v>
      </c>
      <c r="AC354" t="s">
        <v>16</v>
      </c>
      <c r="AD354" t="s">
        <v>2087</v>
      </c>
      <c r="AE354" t="s">
        <v>2109</v>
      </c>
    </row>
    <row r="355" spans="1:31">
      <c r="A355" t="s">
        <v>1213</v>
      </c>
      <c r="B355" s="1">
        <v>45176</v>
      </c>
      <c r="C355" t="s">
        <v>226</v>
      </c>
      <c r="D355">
        <v>2023</v>
      </c>
      <c r="E355" t="s">
        <v>169</v>
      </c>
      <c r="F355" t="s">
        <v>1214</v>
      </c>
      <c r="G355" t="s">
        <v>21</v>
      </c>
      <c r="H355" t="s">
        <v>22</v>
      </c>
      <c r="I355" t="s">
        <v>14</v>
      </c>
      <c r="J355" t="s">
        <v>15</v>
      </c>
      <c r="K355" t="s">
        <v>209</v>
      </c>
      <c r="L355" t="s">
        <v>194</v>
      </c>
      <c r="M355">
        <v>2</v>
      </c>
      <c r="N355">
        <v>65.430000000000007</v>
      </c>
      <c r="O355">
        <v>130.86000000000001</v>
      </c>
      <c r="P355">
        <v>20</v>
      </c>
      <c r="Q355">
        <v>26.17</v>
      </c>
      <c r="R355">
        <v>104.69</v>
      </c>
      <c r="S355">
        <v>77.38</v>
      </c>
      <c r="T355">
        <v>27.31</v>
      </c>
      <c r="U355" t="s">
        <v>195</v>
      </c>
      <c r="V355" t="s">
        <v>159</v>
      </c>
      <c r="W355" t="s">
        <v>2113</v>
      </c>
      <c r="X355" t="s">
        <v>2100</v>
      </c>
      <c r="Y355">
        <v>288</v>
      </c>
      <c r="Z355">
        <v>399.95</v>
      </c>
      <c r="AA355">
        <v>51.17</v>
      </c>
      <c r="AB355" t="s">
        <v>90</v>
      </c>
      <c r="AC355" t="s">
        <v>20</v>
      </c>
      <c r="AD355" t="s">
        <v>2106</v>
      </c>
      <c r="AE355" t="s">
        <v>2096</v>
      </c>
    </row>
    <row r="356" spans="1:31">
      <c r="A356" t="s">
        <v>693</v>
      </c>
      <c r="B356" s="1">
        <v>45176</v>
      </c>
      <c r="C356" t="s">
        <v>226</v>
      </c>
      <c r="D356">
        <v>2023</v>
      </c>
      <c r="E356" t="s">
        <v>169</v>
      </c>
      <c r="F356" t="s">
        <v>694</v>
      </c>
      <c r="G356" t="s">
        <v>113</v>
      </c>
      <c r="H356" t="s">
        <v>114</v>
      </c>
      <c r="I356" t="s">
        <v>115</v>
      </c>
      <c r="J356" t="s">
        <v>116</v>
      </c>
      <c r="K356" t="s">
        <v>209</v>
      </c>
      <c r="L356" t="s">
        <v>232</v>
      </c>
      <c r="M356">
        <v>4</v>
      </c>
      <c r="N356">
        <v>18.7</v>
      </c>
      <c r="O356">
        <v>74.8</v>
      </c>
      <c r="P356">
        <v>15</v>
      </c>
      <c r="Q356">
        <v>11.22</v>
      </c>
      <c r="R356">
        <v>63.58</v>
      </c>
      <c r="S356">
        <v>27.44</v>
      </c>
      <c r="T356">
        <v>36.14</v>
      </c>
      <c r="U356" t="s">
        <v>166</v>
      </c>
      <c r="V356" t="s">
        <v>186</v>
      </c>
      <c r="W356" t="s">
        <v>2097</v>
      </c>
      <c r="X356" t="s">
        <v>2086</v>
      </c>
      <c r="Y356">
        <v>294</v>
      </c>
      <c r="Z356">
        <v>442.48</v>
      </c>
      <c r="AA356">
        <v>105.84</v>
      </c>
      <c r="AB356" t="s">
        <v>41</v>
      </c>
      <c r="AC356" t="s">
        <v>16</v>
      </c>
      <c r="AD356" t="s">
        <v>2106</v>
      </c>
      <c r="AE356" t="s">
        <v>2121</v>
      </c>
    </row>
    <row r="357" spans="1:31">
      <c r="A357" t="s">
        <v>787</v>
      </c>
      <c r="B357" s="1">
        <v>45175</v>
      </c>
      <c r="C357" t="s">
        <v>226</v>
      </c>
      <c r="D357">
        <v>2023</v>
      </c>
      <c r="E357" t="s">
        <v>169</v>
      </c>
      <c r="F357" t="s">
        <v>788</v>
      </c>
      <c r="G357" t="s">
        <v>23</v>
      </c>
      <c r="H357" t="s">
        <v>24</v>
      </c>
      <c r="I357" t="s">
        <v>14</v>
      </c>
      <c r="J357" t="s">
        <v>19</v>
      </c>
      <c r="K357" t="s">
        <v>156</v>
      </c>
      <c r="L357" t="s">
        <v>179</v>
      </c>
      <c r="M357">
        <v>3</v>
      </c>
      <c r="N357">
        <v>154.03</v>
      </c>
      <c r="O357">
        <v>462.09000000000003</v>
      </c>
      <c r="P357">
        <v>0</v>
      </c>
      <c r="Q357">
        <v>0</v>
      </c>
      <c r="R357">
        <v>462.09</v>
      </c>
      <c r="S357">
        <v>230.37</v>
      </c>
      <c r="T357">
        <v>231.72</v>
      </c>
      <c r="U357" t="s">
        <v>180</v>
      </c>
      <c r="V357" t="s">
        <v>181</v>
      </c>
      <c r="W357" t="s">
        <v>2097</v>
      </c>
      <c r="X357" t="s">
        <v>2111</v>
      </c>
      <c r="Y357">
        <v>160</v>
      </c>
      <c r="Z357">
        <v>687.27</v>
      </c>
      <c r="AA357">
        <v>87.18</v>
      </c>
      <c r="AB357" t="s">
        <v>41</v>
      </c>
      <c r="AC357" t="s">
        <v>16</v>
      </c>
      <c r="AD357" t="s">
        <v>2106</v>
      </c>
      <c r="AE357" t="s">
        <v>2121</v>
      </c>
    </row>
    <row r="358" spans="1:31">
      <c r="A358" t="s">
        <v>1807</v>
      </c>
      <c r="B358" s="1">
        <v>45175</v>
      </c>
      <c r="C358" t="s">
        <v>226</v>
      </c>
      <c r="D358">
        <v>2023</v>
      </c>
      <c r="E358" t="s">
        <v>169</v>
      </c>
      <c r="F358" t="s">
        <v>1808</v>
      </c>
      <c r="G358" t="s">
        <v>35</v>
      </c>
      <c r="H358" t="s">
        <v>36</v>
      </c>
      <c r="I358" t="s">
        <v>14</v>
      </c>
      <c r="J358" t="s">
        <v>19</v>
      </c>
      <c r="K358" t="s">
        <v>178</v>
      </c>
      <c r="L358" t="s">
        <v>157</v>
      </c>
      <c r="M358">
        <v>3</v>
      </c>
      <c r="N358">
        <v>81.599999999999994</v>
      </c>
      <c r="O358">
        <v>244.79999999999998</v>
      </c>
      <c r="P358">
        <v>0</v>
      </c>
      <c r="Q358">
        <v>0</v>
      </c>
      <c r="R358">
        <v>244.8</v>
      </c>
      <c r="S358">
        <v>87.96</v>
      </c>
      <c r="T358">
        <v>156.84</v>
      </c>
      <c r="U358" t="s">
        <v>158</v>
      </c>
      <c r="V358" t="s">
        <v>159</v>
      </c>
      <c r="W358" t="s">
        <v>2113</v>
      </c>
      <c r="X358" t="s">
        <v>2094</v>
      </c>
      <c r="Y358">
        <v>151</v>
      </c>
      <c r="Z358">
        <v>579.29</v>
      </c>
      <c r="AA358">
        <v>58.93</v>
      </c>
      <c r="AB358" t="s">
        <v>90</v>
      </c>
      <c r="AC358" t="s">
        <v>20</v>
      </c>
      <c r="AD358" t="s">
        <v>2087</v>
      </c>
      <c r="AE358" t="s">
        <v>2096</v>
      </c>
    </row>
    <row r="359" spans="1:31">
      <c r="A359" t="s">
        <v>819</v>
      </c>
      <c r="B359" s="1">
        <v>45175</v>
      </c>
      <c r="C359" t="s">
        <v>226</v>
      </c>
      <c r="D359">
        <v>2023</v>
      </c>
      <c r="E359" t="s">
        <v>169</v>
      </c>
      <c r="F359" t="s">
        <v>820</v>
      </c>
      <c r="G359" t="s">
        <v>103</v>
      </c>
      <c r="H359" t="s">
        <v>104</v>
      </c>
      <c r="I359" t="s">
        <v>90</v>
      </c>
      <c r="J359" t="s">
        <v>94</v>
      </c>
      <c r="K359" t="s">
        <v>178</v>
      </c>
      <c r="L359" t="s">
        <v>165</v>
      </c>
      <c r="M359">
        <v>2</v>
      </c>
      <c r="N359">
        <v>98.58</v>
      </c>
      <c r="O359">
        <v>197.16</v>
      </c>
      <c r="P359">
        <v>10</v>
      </c>
      <c r="Q359">
        <v>19.72</v>
      </c>
      <c r="R359">
        <v>177.44</v>
      </c>
      <c r="S359">
        <v>105.14</v>
      </c>
      <c r="T359">
        <v>72.3</v>
      </c>
      <c r="U359" t="s">
        <v>158</v>
      </c>
      <c r="V359" t="s">
        <v>159</v>
      </c>
      <c r="W359" t="s">
        <v>2099</v>
      </c>
      <c r="X359" t="s">
        <v>2108</v>
      </c>
      <c r="Y359">
        <v>148</v>
      </c>
      <c r="Z359">
        <v>36.11</v>
      </c>
      <c r="AA359">
        <v>95.99</v>
      </c>
      <c r="AB359" t="s">
        <v>115</v>
      </c>
      <c r="AC359" t="s">
        <v>16</v>
      </c>
      <c r="AD359" t="s">
        <v>2095</v>
      </c>
      <c r="AE359" t="s">
        <v>2096</v>
      </c>
    </row>
    <row r="360" spans="1:31">
      <c r="A360" t="s">
        <v>1392</v>
      </c>
      <c r="B360" s="1">
        <v>45175</v>
      </c>
      <c r="C360" t="s">
        <v>226</v>
      </c>
      <c r="D360">
        <v>2023</v>
      </c>
      <c r="E360" t="s">
        <v>169</v>
      </c>
      <c r="F360" t="s">
        <v>1393</v>
      </c>
      <c r="G360" t="s">
        <v>21</v>
      </c>
      <c r="H360" t="s">
        <v>22</v>
      </c>
      <c r="I360" t="s">
        <v>14</v>
      </c>
      <c r="J360" t="s">
        <v>15</v>
      </c>
      <c r="K360" t="s">
        <v>209</v>
      </c>
      <c r="L360" t="s">
        <v>174</v>
      </c>
      <c r="M360">
        <v>2</v>
      </c>
      <c r="N360">
        <v>65.430000000000007</v>
      </c>
      <c r="O360">
        <v>130.86000000000001</v>
      </c>
      <c r="P360">
        <v>0</v>
      </c>
      <c r="Q360">
        <v>0</v>
      </c>
      <c r="R360">
        <v>130.86000000000001</v>
      </c>
      <c r="S360">
        <v>77.38</v>
      </c>
      <c r="T360">
        <v>53.48</v>
      </c>
      <c r="U360" t="s">
        <v>166</v>
      </c>
      <c r="V360" t="s">
        <v>186</v>
      </c>
      <c r="W360" t="s">
        <v>2093</v>
      </c>
      <c r="X360" t="s">
        <v>2091</v>
      </c>
      <c r="Y360">
        <v>328</v>
      </c>
      <c r="Z360">
        <v>48.45</v>
      </c>
      <c r="AA360">
        <v>65.87</v>
      </c>
      <c r="AB360" t="s">
        <v>90</v>
      </c>
      <c r="AC360" t="s">
        <v>16</v>
      </c>
      <c r="AD360" t="s">
        <v>2087</v>
      </c>
      <c r="AE360" t="s">
        <v>2107</v>
      </c>
    </row>
    <row r="361" spans="1:31">
      <c r="A361" t="s">
        <v>1900</v>
      </c>
      <c r="B361" s="1">
        <v>45175</v>
      </c>
      <c r="C361" t="s">
        <v>226</v>
      </c>
      <c r="D361">
        <v>2023</v>
      </c>
      <c r="E361" t="s">
        <v>169</v>
      </c>
      <c r="F361" t="s">
        <v>1901</v>
      </c>
      <c r="G361" t="s">
        <v>117</v>
      </c>
      <c r="H361" t="s">
        <v>118</v>
      </c>
      <c r="I361" t="s">
        <v>115</v>
      </c>
      <c r="J361" t="s">
        <v>119</v>
      </c>
      <c r="K361" t="s">
        <v>209</v>
      </c>
      <c r="L361" t="s">
        <v>174</v>
      </c>
      <c r="M361">
        <v>1</v>
      </c>
      <c r="N361">
        <v>93.41</v>
      </c>
      <c r="O361">
        <v>93.41</v>
      </c>
      <c r="P361">
        <v>15</v>
      </c>
      <c r="Q361">
        <v>14.01</v>
      </c>
      <c r="R361">
        <v>79.400000000000006</v>
      </c>
      <c r="S361">
        <v>64.05</v>
      </c>
      <c r="T361">
        <v>15.35</v>
      </c>
      <c r="U361" t="s">
        <v>158</v>
      </c>
      <c r="V361" t="s">
        <v>159</v>
      </c>
      <c r="W361" t="s">
        <v>2097</v>
      </c>
      <c r="X361" t="s">
        <v>2108</v>
      </c>
      <c r="Y361">
        <v>242</v>
      </c>
      <c r="Z361">
        <v>566.5</v>
      </c>
      <c r="AA361">
        <v>124.28</v>
      </c>
      <c r="AB361" t="s">
        <v>14</v>
      </c>
      <c r="AC361" t="s">
        <v>20</v>
      </c>
      <c r="AD361" t="s">
        <v>2095</v>
      </c>
      <c r="AE361" t="s">
        <v>2088</v>
      </c>
    </row>
    <row r="362" spans="1:31">
      <c r="A362" t="s">
        <v>1192</v>
      </c>
      <c r="B362" s="1">
        <v>45175</v>
      </c>
      <c r="C362" t="s">
        <v>226</v>
      </c>
      <c r="D362">
        <v>2023</v>
      </c>
      <c r="E362" t="s">
        <v>169</v>
      </c>
      <c r="F362" t="s">
        <v>1193</v>
      </c>
      <c r="G362" t="s">
        <v>25</v>
      </c>
      <c r="H362" t="s">
        <v>26</v>
      </c>
      <c r="I362" t="s">
        <v>14</v>
      </c>
      <c r="J362" t="s">
        <v>27</v>
      </c>
      <c r="K362" t="s">
        <v>178</v>
      </c>
      <c r="L362" t="s">
        <v>232</v>
      </c>
      <c r="M362">
        <v>2</v>
      </c>
      <c r="N362">
        <v>18.39</v>
      </c>
      <c r="O362">
        <v>36.78</v>
      </c>
      <c r="P362">
        <v>0</v>
      </c>
      <c r="Q362">
        <v>0</v>
      </c>
      <c r="R362">
        <v>36.78</v>
      </c>
      <c r="S362">
        <v>16.52</v>
      </c>
      <c r="T362">
        <v>20.260000000000002</v>
      </c>
      <c r="U362" t="s">
        <v>195</v>
      </c>
      <c r="V362" t="s">
        <v>181</v>
      </c>
      <c r="W362" t="s">
        <v>2097</v>
      </c>
      <c r="X362" t="s">
        <v>2094</v>
      </c>
      <c r="Y362">
        <v>289</v>
      </c>
      <c r="Z362">
        <v>232.43</v>
      </c>
      <c r="AA362">
        <v>115.37</v>
      </c>
      <c r="AB362" t="s">
        <v>14</v>
      </c>
      <c r="AC362" t="s">
        <v>16</v>
      </c>
      <c r="AD362" t="s">
        <v>2087</v>
      </c>
      <c r="AE362" t="s">
        <v>2088</v>
      </c>
    </row>
    <row r="363" spans="1:31">
      <c r="A363" t="s">
        <v>1553</v>
      </c>
      <c r="B363" s="1">
        <v>45174</v>
      </c>
      <c r="C363" t="s">
        <v>226</v>
      </c>
      <c r="D363">
        <v>2023</v>
      </c>
      <c r="E363" t="s">
        <v>169</v>
      </c>
      <c r="F363" t="s">
        <v>1554</v>
      </c>
      <c r="G363" t="s">
        <v>84</v>
      </c>
      <c r="H363" t="s">
        <v>85</v>
      </c>
      <c r="I363" t="s">
        <v>66</v>
      </c>
      <c r="J363" t="s">
        <v>67</v>
      </c>
      <c r="K363" t="s">
        <v>156</v>
      </c>
      <c r="L363" t="s">
        <v>157</v>
      </c>
      <c r="M363">
        <v>1</v>
      </c>
      <c r="N363">
        <v>174.23</v>
      </c>
      <c r="O363">
        <v>174.23</v>
      </c>
      <c r="P363">
        <v>20</v>
      </c>
      <c r="Q363">
        <v>34.85</v>
      </c>
      <c r="R363">
        <v>139.38</v>
      </c>
      <c r="S363">
        <v>73.95</v>
      </c>
      <c r="T363">
        <v>65.430000000000007</v>
      </c>
      <c r="U363" t="s">
        <v>195</v>
      </c>
      <c r="V363" t="s">
        <v>186</v>
      </c>
      <c r="W363" t="s">
        <v>2097</v>
      </c>
      <c r="X363" t="s">
        <v>2091</v>
      </c>
      <c r="Y363">
        <v>308</v>
      </c>
      <c r="Z363">
        <v>351.42</v>
      </c>
      <c r="AA363">
        <v>147.32</v>
      </c>
      <c r="AB363" t="s">
        <v>14</v>
      </c>
      <c r="AC363" t="s">
        <v>16</v>
      </c>
      <c r="AD363" t="s">
        <v>2095</v>
      </c>
      <c r="AE363" t="s">
        <v>2121</v>
      </c>
    </row>
    <row r="364" spans="1:31">
      <c r="A364" t="s">
        <v>1295</v>
      </c>
      <c r="B364" s="1">
        <v>45173</v>
      </c>
      <c r="C364" t="s">
        <v>226</v>
      </c>
      <c r="D364">
        <v>2023</v>
      </c>
      <c r="E364" t="s">
        <v>169</v>
      </c>
      <c r="F364" t="s">
        <v>1296</v>
      </c>
      <c r="G364" t="s">
        <v>12</v>
      </c>
      <c r="H364" t="s">
        <v>13</v>
      </c>
      <c r="I364" t="s">
        <v>14</v>
      </c>
      <c r="J364" t="s">
        <v>15</v>
      </c>
      <c r="K364" t="s">
        <v>178</v>
      </c>
      <c r="L364" t="s">
        <v>204</v>
      </c>
      <c r="M364">
        <v>1</v>
      </c>
      <c r="N364">
        <v>76.53</v>
      </c>
      <c r="O364">
        <v>76.53</v>
      </c>
      <c r="P364">
        <v>20</v>
      </c>
      <c r="Q364">
        <v>15.31</v>
      </c>
      <c r="R364">
        <v>61.22</v>
      </c>
      <c r="S364">
        <v>52.96</v>
      </c>
      <c r="T364">
        <v>8.26</v>
      </c>
      <c r="U364" t="s">
        <v>166</v>
      </c>
      <c r="V364" t="s">
        <v>159</v>
      </c>
      <c r="W364" t="s">
        <v>2085</v>
      </c>
      <c r="X364" t="s">
        <v>2100</v>
      </c>
      <c r="Y364">
        <v>331</v>
      </c>
      <c r="Z364">
        <v>2245.98</v>
      </c>
      <c r="AA364">
        <v>294.51</v>
      </c>
      <c r="AB364" t="s">
        <v>115</v>
      </c>
      <c r="AC364" t="s">
        <v>16</v>
      </c>
      <c r="AD364" t="s">
        <v>2087</v>
      </c>
      <c r="AE364" t="s">
        <v>2107</v>
      </c>
    </row>
    <row r="365" spans="1:31">
      <c r="A365" t="s">
        <v>346</v>
      </c>
      <c r="B365" s="1">
        <v>45173</v>
      </c>
      <c r="C365" t="s">
        <v>226</v>
      </c>
      <c r="D365">
        <v>2023</v>
      </c>
      <c r="E365" t="s">
        <v>169</v>
      </c>
      <c r="F365" t="s">
        <v>347</v>
      </c>
      <c r="G365" t="s">
        <v>39</v>
      </c>
      <c r="H365" t="s">
        <v>40</v>
      </c>
      <c r="I365" t="s">
        <v>41</v>
      </c>
      <c r="J365" t="s">
        <v>42</v>
      </c>
      <c r="K365" t="s">
        <v>178</v>
      </c>
      <c r="L365" t="s">
        <v>165</v>
      </c>
      <c r="M365">
        <v>3</v>
      </c>
      <c r="N365">
        <v>35.11</v>
      </c>
      <c r="O365">
        <v>105.33</v>
      </c>
      <c r="P365">
        <v>20</v>
      </c>
      <c r="Q365">
        <v>21.07</v>
      </c>
      <c r="R365">
        <v>84.26</v>
      </c>
      <c r="S365">
        <v>74.61</v>
      </c>
      <c r="T365">
        <v>9.65</v>
      </c>
      <c r="U365" t="s">
        <v>195</v>
      </c>
      <c r="V365" t="s">
        <v>159</v>
      </c>
      <c r="W365" t="s">
        <v>2113</v>
      </c>
      <c r="X365" t="s">
        <v>2086</v>
      </c>
      <c r="Y365">
        <v>249</v>
      </c>
      <c r="Z365">
        <v>512.01</v>
      </c>
      <c r="AA365">
        <v>54.94</v>
      </c>
      <c r="AB365" t="s">
        <v>41</v>
      </c>
      <c r="AC365" t="s">
        <v>20</v>
      </c>
      <c r="AD365" t="s">
        <v>2095</v>
      </c>
      <c r="AE365" t="s">
        <v>2088</v>
      </c>
    </row>
    <row r="366" spans="1:31">
      <c r="A366" t="s">
        <v>1245</v>
      </c>
      <c r="B366" s="1">
        <v>45173</v>
      </c>
      <c r="C366" t="s">
        <v>226</v>
      </c>
      <c r="D366">
        <v>2023</v>
      </c>
      <c r="E366" t="s">
        <v>169</v>
      </c>
      <c r="F366" t="s">
        <v>1246</v>
      </c>
      <c r="G366" t="s">
        <v>133</v>
      </c>
      <c r="H366" t="s">
        <v>134</v>
      </c>
      <c r="I366" t="s">
        <v>115</v>
      </c>
      <c r="J366" t="s">
        <v>119</v>
      </c>
      <c r="K366" t="s">
        <v>156</v>
      </c>
      <c r="L366" t="s">
        <v>232</v>
      </c>
      <c r="M366">
        <v>1</v>
      </c>
      <c r="N366">
        <v>78.84</v>
      </c>
      <c r="O366">
        <v>78.84</v>
      </c>
      <c r="P366">
        <v>0</v>
      </c>
      <c r="Q366">
        <v>0</v>
      </c>
      <c r="R366">
        <v>78.84</v>
      </c>
      <c r="S366">
        <v>47.68</v>
      </c>
      <c r="T366">
        <v>31.16</v>
      </c>
      <c r="U366" t="s">
        <v>166</v>
      </c>
      <c r="V366" t="s">
        <v>159</v>
      </c>
      <c r="W366" t="s">
        <v>2085</v>
      </c>
      <c r="X366" t="s">
        <v>2086</v>
      </c>
      <c r="Y366">
        <v>243</v>
      </c>
      <c r="Z366">
        <v>2402.06</v>
      </c>
      <c r="AA366">
        <v>265.19</v>
      </c>
      <c r="AB366" t="s">
        <v>90</v>
      </c>
      <c r="AC366" t="s">
        <v>16</v>
      </c>
      <c r="AD366" t="s">
        <v>2095</v>
      </c>
      <c r="AE366" t="s">
        <v>2109</v>
      </c>
    </row>
    <row r="367" spans="1:31">
      <c r="A367" t="s">
        <v>1368</v>
      </c>
      <c r="B367" s="1">
        <v>45173</v>
      </c>
      <c r="C367" t="s">
        <v>226</v>
      </c>
      <c r="D367">
        <v>2023</v>
      </c>
      <c r="E367" t="s">
        <v>169</v>
      </c>
      <c r="F367" t="s">
        <v>1369</v>
      </c>
      <c r="G367" t="s">
        <v>131</v>
      </c>
      <c r="H367" t="s">
        <v>132</v>
      </c>
      <c r="I367" t="s">
        <v>115</v>
      </c>
      <c r="J367" t="s">
        <v>119</v>
      </c>
      <c r="K367" t="s">
        <v>178</v>
      </c>
      <c r="L367" t="s">
        <v>157</v>
      </c>
      <c r="M367">
        <v>1</v>
      </c>
      <c r="N367">
        <v>75.69</v>
      </c>
      <c r="O367">
        <v>75.69</v>
      </c>
      <c r="P367">
        <v>0</v>
      </c>
      <c r="Q367">
        <v>0</v>
      </c>
      <c r="R367">
        <v>75.69</v>
      </c>
      <c r="S367">
        <v>35.630000000000003</v>
      </c>
      <c r="T367">
        <v>40.06</v>
      </c>
      <c r="U367" t="s">
        <v>195</v>
      </c>
      <c r="V367" t="s">
        <v>159</v>
      </c>
      <c r="W367" t="s">
        <v>2093</v>
      </c>
      <c r="X367" t="s">
        <v>2091</v>
      </c>
      <c r="Y367">
        <v>42</v>
      </c>
      <c r="Z367">
        <v>110</v>
      </c>
      <c r="AA367">
        <v>46.74</v>
      </c>
      <c r="AB367" t="s">
        <v>41</v>
      </c>
      <c r="AC367" t="s">
        <v>16</v>
      </c>
      <c r="AD367" t="s">
        <v>2087</v>
      </c>
      <c r="AE367" t="s">
        <v>2088</v>
      </c>
    </row>
    <row r="368" spans="1:31">
      <c r="A368" t="s">
        <v>1796</v>
      </c>
      <c r="B368" s="1">
        <v>45173</v>
      </c>
      <c r="C368" t="s">
        <v>226</v>
      </c>
      <c r="D368">
        <v>2023</v>
      </c>
      <c r="E368" t="s">
        <v>169</v>
      </c>
      <c r="F368" t="s">
        <v>794</v>
      </c>
      <c r="G368" t="s">
        <v>25</v>
      </c>
      <c r="H368" t="s">
        <v>26</v>
      </c>
      <c r="I368" t="s">
        <v>14</v>
      </c>
      <c r="J368" t="s">
        <v>27</v>
      </c>
      <c r="K368" t="s">
        <v>164</v>
      </c>
      <c r="L368" t="s">
        <v>179</v>
      </c>
      <c r="M368">
        <v>3</v>
      </c>
      <c r="N368">
        <v>18.39</v>
      </c>
      <c r="O368">
        <v>55.17</v>
      </c>
      <c r="P368">
        <v>10</v>
      </c>
      <c r="Q368">
        <v>5.52</v>
      </c>
      <c r="R368">
        <v>49.65</v>
      </c>
      <c r="S368">
        <v>24.78</v>
      </c>
      <c r="T368">
        <v>24.87</v>
      </c>
      <c r="U368" t="s">
        <v>195</v>
      </c>
      <c r="V368" t="s">
        <v>186</v>
      </c>
      <c r="W368" t="s">
        <v>2093</v>
      </c>
      <c r="X368" t="s">
        <v>2094</v>
      </c>
      <c r="Y368">
        <v>118</v>
      </c>
      <c r="Z368">
        <v>71</v>
      </c>
      <c r="AA368">
        <v>80</v>
      </c>
      <c r="AB368" t="s">
        <v>115</v>
      </c>
      <c r="AC368" t="s">
        <v>20</v>
      </c>
      <c r="AD368" t="s">
        <v>2106</v>
      </c>
      <c r="AE368" t="s">
        <v>2096</v>
      </c>
    </row>
    <row r="369" spans="1:31">
      <c r="A369" t="s">
        <v>1811</v>
      </c>
      <c r="B369" s="1">
        <v>45172</v>
      </c>
      <c r="C369" t="s">
        <v>226</v>
      </c>
      <c r="D369">
        <v>2023</v>
      </c>
      <c r="E369" t="s">
        <v>169</v>
      </c>
      <c r="F369" t="s">
        <v>1812</v>
      </c>
      <c r="G369" t="s">
        <v>33</v>
      </c>
      <c r="H369" t="s">
        <v>34</v>
      </c>
      <c r="I369" t="s">
        <v>14</v>
      </c>
      <c r="J369" t="s">
        <v>27</v>
      </c>
      <c r="K369" t="s">
        <v>178</v>
      </c>
      <c r="L369" t="s">
        <v>165</v>
      </c>
      <c r="M369">
        <v>2</v>
      </c>
      <c r="N369">
        <v>124.26</v>
      </c>
      <c r="O369">
        <v>248.52</v>
      </c>
      <c r="P369">
        <v>0</v>
      </c>
      <c r="Q369">
        <v>0</v>
      </c>
      <c r="R369">
        <v>248.52</v>
      </c>
      <c r="S369">
        <v>105.24</v>
      </c>
      <c r="T369">
        <v>143.28</v>
      </c>
      <c r="U369" t="s">
        <v>195</v>
      </c>
      <c r="V369" t="s">
        <v>159</v>
      </c>
      <c r="W369" t="s">
        <v>2097</v>
      </c>
      <c r="X369" t="s">
        <v>2091</v>
      </c>
      <c r="Y369">
        <v>59</v>
      </c>
      <c r="Z369">
        <v>653.55999999999995</v>
      </c>
      <c r="AA369">
        <v>61.44</v>
      </c>
      <c r="AB369" t="s">
        <v>90</v>
      </c>
      <c r="AC369" t="s">
        <v>20</v>
      </c>
      <c r="AD369" t="s">
        <v>2087</v>
      </c>
      <c r="AE369" t="s">
        <v>2096</v>
      </c>
    </row>
    <row r="370" spans="1:31">
      <c r="A370" t="s">
        <v>996</v>
      </c>
      <c r="B370" s="1">
        <v>45170</v>
      </c>
      <c r="C370" t="s">
        <v>226</v>
      </c>
      <c r="D370">
        <v>2023</v>
      </c>
      <c r="E370" t="s">
        <v>169</v>
      </c>
      <c r="F370" t="s">
        <v>997</v>
      </c>
      <c r="G370" t="s">
        <v>125</v>
      </c>
      <c r="H370" t="s">
        <v>126</v>
      </c>
      <c r="I370" t="s">
        <v>115</v>
      </c>
      <c r="J370" t="s">
        <v>116</v>
      </c>
      <c r="K370" t="s">
        <v>178</v>
      </c>
      <c r="L370" t="s">
        <v>194</v>
      </c>
      <c r="M370">
        <v>2</v>
      </c>
      <c r="N370">
        <v>144.94999999999999</v>
      </c>
      <c r="O370">
        <v>289.89999999999998</v>
      </c>
      <c r="P370">
        <v>0</v>
      </c>
      <c r="Q370">
        <v>0</v>
      </c>
      <c r="R370">
        <v>289.89999999999998</v>
      </c>
      <c r="S370">
        <v>154.38</v>
      </c>
      <c r="T370">
        <v>135.52000000000001</v>
      </c>
      <c r="U370" t="s">
        <v>158</v>
      </c>
      <c r="V370" t="s">
        <v>159</v>
      </c>
      <c r="W370" t="s">
        <v>2090</v>
      </c>
      <c r="X370" t="s">
        <v>2100</v>
      </c>
      <c r="Y370">
        <v>105</v>
      </c>
      <c r="Z370">
        <v>175.14</v>
      </c>
      <c r="AA370">
        <v>50.31</v>
      </c>
      <c r="AB370" t="s">
        <v>66</v>
      </c>
      <c r="AC370" t="s">
        <v>20</v>
      </c>
      <c r="AD370" t="s">
        <v>2106</v>
      </c>
      <c r="AE370" t="s">
        <v>2096</v>
      </c>
    </row>
    <row r="371" spans="1:31">
      <c r="A371" t="s">
        <v>1579</v>
      </c>
      <c r="B371" s="1">
        <v>45170</v>
      </c>
      <c r="C371" t="s">
        <v>226</v>
      </c>
      <c r="D371">
        <v>2023</v>
      </c>
      <c r="E371" t="s">
        <v>169</v>
      </c>
      <c r="F371" t="s">
        <v>1580</v>
      </c>
      <c r="G371" t="s">
        <v>92</v>
      </c>
      <c r="H371" t="s">
        <v>93</v>
      </c>
      <c r="I371" t="s">
        <v>90</v>
      </c>
      <c r="J371" t="s">
        <v>94</v>
      </c>
      <c r="K371" t="s">
        <v>178</v>
      </c>
      <c r="L371" t="s">
        <v>204</v>
      </c>
      <c r="M371">
        <v>1</v>
      </c>
      <c r="N371">
        <v>230.34</v>
      </c>
      <c r="O371">
        <v>230.34</v>
      </c>
      <c r="P371">
        <v>0</v>
      </c>
      <c r="Q371">
        <v>0</v>
      </c>
      <c r="R371">
        <v>230.34</v>
      </c>
      <c r="S371">
        <v>74.680000000000007</v>
      </c>
      <c r="T371">
        <v>155.66</v>
      </c>
      <c r="U371" t="s">
        <v>180</v>
      </c>
      <c r="V371" t="s">
        <v>159</v>
      </c>
      <c r="W371" t="s">
        <v>2090</v>
      </c>
      <c r="X371" t="s">
        <v>2091</v>
      </c>
      <c r="Y371">
        <v>333</v>
      </c>
      <c r="Z371">
        <v>256.63</v>
      </c>
      <c r="AA371">
        <v>47.31</v>
      </c>
      <c r="AB371" t="s">
        <v>115</v>
      </c>
      <c r="AC371" t="s">
        <v>16</v>
      </c>
      <c r="AD371" t="s">
        <v>2095</v>
      </c>
      <c r="AE371" t="s">
        <v>2107</v>
      </c>
    </row>
    <row r="372" spans="1:31">
      <c r="A372" t="s">
        <v>242</v>
      </c>
      <c r="B372" s="1">
        <v>45170</v>
      </c>
      <c r="C372" t="s">
        <v>226</v>
      </c>
      <c r="D372">
        <v>2023</v>
      </c>
      <c r="E372" t="s">
        <v>169</v>
      </c>
      <c r="F372" t="s">
        <v>243</v>
      </c>
      <c r="G372" t="s">
        <v>92</v>
      </c>
      <c r="H372" t="s">
        <v>93</v>
      </c>
      <c r="I372" t="s">
        <v>90</v>
      </c>
      <c r="J372" t="s">
        <v>94</v>
      </c>
      <c r="K372" t="s">
        <v>164</v>
      </c>
      <c r="L372" t="s">
        <v>204</v>
      </c>
      <c r="M372">
        <v>2</v>
      </c>
      <c r="N372">
        <v>230.34</v>
      </c>
      <c r="O372">
        <v>460.68</v>
      </c>
      <c r="P372">
        <v>15</v>
      </c>
      <c r="Q372">
        <v>69.099999999999994</v>
      </c>
      <c r="R372">
        <v>391.58</v>
      </c>
      <c r="S372">
        <v>149.36000000000001</v>
      </c>
      <c r="T372">
        <v>242.22</v>
      </c>
      <c r="U372" t="s">
        <v>158</v>
      </c>
      <c r="V372" t="s">
        <v>159</v>
      </c>
      <c r="W372" t="s">
        <v>2093</v>
      </c>
      <c r="X372" t="s">
        <v>2091</v>
      </c>
      <c r="Y372">
        <v>300</v>
      </c>
      <c r="Z372">
        <v>64.66</v>
      </c>
      <c r="AA372">
        <v>67.040000000000006</v>
      </c>
      <c r="AB372" t="s">
        <v>14</v>
      </c>
      <c r="AC372" t="s">
        <v>20</v>
      </c>
      <c r="AD372" t="s">
        <v>2087</v>
      </c>
      <c r="AE372" t="s">
        <v>2109</v>
      </c>
    </row>
    <row r="373" spans="1:31">
      <c r="A373" t="s">
        <v>1633</v>
      </c>
      <c r="B373" s="1">
        <v>45170</v>
      </c>
      <c r="C373" t="s">
        <v>226</v>
      </c>
      <c r="D373">
        <v>2023</v>
      </c>
      <c r="E373" t="s">
        <v>169</v>
      </c>
      <c r="F373" t="s">
        <v>1634</v>
      </c>
      <c r="G373" t="s">
        <v>78</v>
      </c>
      <c r="H373" t="s">
        <v>79</v>
      </c>
      <c r="I373" t="s">
        <v>66</v>
      </c>
      <c r="J373" t="s">
        <v>70</v>
      </c>
      <c r="K373" t="s">
        <v>156</v>
      </c>
      <c r="L373" t="s">
        <v>204</v>
      </c>
      <c r="M373">
        <v>4</v>
      </c>
      <c r="N373">
        <v>218.05</v>
      </c>
      <c r="O373">
        <v>872.2</v>
      </c>
      <c r="P373">
        <v>0</v>
      </c>
      <c r="Q373">
        <v>0</v>
      </c>
      <c r="R373">
        <v>872.2</v>
      </c>
      <c r="S373">
        <v>297.92</v>
      </c>
      <c r="T373">
        <v>574.28</v>
      </c>
      <c r="U373" t="s">
        <v>180</v>
      </c>
      <c r="V373" t="s">
        <v>186</v>
      </c>
      <c r="W373" t="s">
        <v>2093</v>
      </c>
      <c r="X373" t="s">
        <v>2094</v>
      </c>
      <c r="Y373">
        <v>322</v>
      </c>
      <c r="Z373">
        <v>131.35</v>
      </c>
      <c r="AA373">
        <v>43.71</v>
      </c>
      <c r="AB373" t="s">
        <v>90</v>
      </c>
      <c r="AC373" t="s">
        <v>16</v>
      </c>
      <c r="AD373" t="s">
        <v>2106</v>
      </c>
      <c r="AE373" t="s">
        <v>2121</v>
      </c>
    </row>
    <row r="374" spans="1:31">
      <c r="A374" t="s">
        <v>1845</v>
      </c>
      <c r="B374" s="1">
        <v>45170</v>
      </c>
      <c r="C374" t="s">
        <v>226</v>
      </c>
      <c r="D374">
        <v>2023</v>
      </c>
      <c r="E374" t="s">
        <v>169</v>
      </c>
      <c r="F374" t="s">
        <v>1846</v>
      </c>
      <c r="G374" t="s">
        <v>57</v>
      </c>
      <c r="H374" t="s">
        <v>58</v>
      </c>
      <c r="I374" t="s">
        <v>41</v>
      </c>
      <c r="J374" t="s">
        <v>59</v>
      </c>
      <c r="K374" t="s">
        <v>164</v>
      </c>
      <c r="L374" t="s">
        <v>204</v>
      </c>
      <c r="M374">
        <v>4</v>
      </c>
      <c r="N374">
        <v>56.33</v>
      </c>
      <c r="O374">
        <v>225.32</v>
      </c>
      <c r="P374">
        <v>0</v>
      </c>
      <c r="Q374">
        <v>0</v>
      </c>
      <c r="R374">
        <v>225.32</v>
      </c>
      <c r="S374">
        <v>165.8</v>
      </c>
      <c r="T374">
        <v>59.52</v>
      </c>
      <c r="U374" t="s">
        <v>166</v>
      </c>
      <c r="V374" t="s">
        <v>159</v>
      </c>
      <c r="W374" t="s">
        <v>2113</v>
      </c>
      <c r="X374" t="s">
        <v>2094</v>
      </c>
      <c r="Y374">
        <v>222</v>
      </c>
      <c r="Z374">
        <v>476.51</v>
      </c>
      <c r="AA374">
        <v>47.33</v>
      </c>
      <c r="AB374" t="s">
        <v>14</v>
      </c>
      <c r="AC374" t="s">
        <v>20</v>
      </c>
      <c r="AD374" t="s">
        <v>2106</v>
      </c>
      <c r="AE374" t="s">
        <v>2107</v>
      </c>
    </row>
    <row r="375" spans="1:31">
      <c r="A375" t="s">
        <v>1721</v>
      </c>
      <c r="B375" s="1">
        <v>45169</v>
      </c>
      <c r="C375" t="s">
        <v>176</v>
      </c>
      <c r="D375">
        <v>2023</v>
      </c>
      <c r="E375" t="s">
        <v>169</v>
      </c>
      <c r="F375" t="s">
        <v>1006</v>
      </c>
      <c r="G375" t="s">
        <v>92</v>
      </c>
      <c r="H375" t="s">
        <v>93</v>
      </c>
      <c r="I375" t="s">
        <v>90</v>
      </c>
      <c r="J375" t="s">
        <v>94</v>
      </c>
      <c r="K375" t="s">
        <v>164</v>
      </c>
      <c r="L375" t="s">
        <v>194</v>
      </c>
      <c r="M375">
        <v>2</v>
      </c>
      <c r="N375">
        <v>230.34</v>
      </c>
      <c r="O375">
        <v>460.68</v>
      </c>
      <c r="P375">
        <v>10</v>
      </c>
      <c r="Q375">
        <v>46.07</v>
      </c>
      <c r="R375">
        <v>414.61</v>
      </c>
      <c r="S375">
        <v>149.36000000000001</v>
      </c>
      <c r="T375">
        <v>265.25</v>
      </c>
      <c r="U375" t="s">
        <v>158</v>
      </c>
      <c r="V375" t="s">
        <v>186</v>
      </c>
      <c r="W375" t="s">
        <v>2099</v>
      </c>
      <c r="X375" t="s">
        <v>2100</v>
      </c>
      <c r="Y375">
        <v>253</v>
      </c>
      <c r="Z375">
        <v>128.9</v>
      </c>
      <c r="AA375">
        <v>96.06</v>
      </c>
      <c r="AB375" t="s">
        <v>41</v>
      </c>
      <c r="AC375" t="s">
        <v>16</v>
      </c>
      <c r="AD375" t="s">
        <v>2087</v>
      </c>
      <c r="AE375" t="s">
        <v>2121</v>
      </c>
    </row>
    <row r="376" spans="1:31">
      <c r="A376" t="s">
        <v>580</v>
      </c>
      <c r="B376" s="1">
        <v>45169</v>
      </c>
      <c r="C376" t="s">
        <v>176</v>
      </c>
      <c r="D376">
        <v>2023</v>
      </c>
      <c r="E376" t="s">
        <v>169</v>
      </c>
      <c r="F376" t="s">
        <v>581</v>
      </c>
      <c r="G376" t="s">
        <v>129</v>
      </c>
      <c r="H376" t="s">
        <v>130</v>
      </c>
      <c r="I376" t="s">
        <v>115</v>
      </c>
      <c r="J376" t="s">
        <v>124</v>
      </c>
      <c r="K376" t="s">
        <v>156</v>
      </c>
      <c r="L376" t="s">
        <v>165</v>
      </c>
      <c r="M376">
        <v>1</v>
      </c>
      <c r="N376">
        <v>99.34</v>
      </c>
      <c r="O376">
        <v>99.34</v>
      </c>
      <c r="P376">
        <v>10</v>
      </c>
      <c r="Q376">
        <v>9.93</v>
      </c>
      <c r="R376">
        <v>89.41</v>
      </c>
      <c r="S376">
        <v>37.35</v>
      </c>
      <c r="T376">
        <v>52.06</v>
      </c>
      <c r="U376" t="s">
        <v>158</v>
      </c>
      <c r="V376" t="s">
        <v>181</v>
      </c>
      <c r="W376" t="s">
        <v>2097</v>
      </c>
      <c r="X376" t="s">
        <v>2086</v>
      </c>
      <c r="Y376">
        <v>350</v>
      </c>
      <c r="Z376">
        <v>774.68</v>
      </c>
      <c r="AA376">
        <v>118.07</v>
      </c>
      <c r="AB376" t="s">
        <v>14</v>
      </c>
      <c r="AC376" t="s">
        <v>16</v>
      </c>
      <c r="AD376" t="s">
        <v>2106</v>
      </c>
      <c r="AE376" t="s">
        <v>2107</v>
      </c>
    </row>
    <row r="377" spans="1:31">
      <c r="A377" t="s">
        <v>603</v>
      </c>
      <c r="B377" s="1">
        <v>45168</v>
      </c>
      <c r="C377" t="s">
        <v>176</v>
      </c>
      <c r="D377">
        <v>2023</v>
      </c>
      <c r="E377" t="s">
        <v>169</v>
      </c>
      <c r="F377" t="s">
        <v>604</v>
      </c>
      <c r="G377" t="s">
        <v>30</v>
      </c>
      <c r="H377" t="s">
        <v>31</v>
      </c>
      <c r="I377" t="s">
        <v>14</v>
      </c>
      <c r="J377" t="s">
        <v>32</v>
      </c>
      <c r="K377" t="s">
        <v>156</v>
      </c>
      <c r="L377" t="s">
        <v>174</v>
      </c>
      <c r="M377">
        <v>4</v>
      </c>
      <c r="N377">
        <v>113.18</v>
      </c>
      <c r="O377">
        <v>452.72</v>
      </c>
      <c r="P377">
        <v>0</v>
      </c>
      <c r="Q377">
        <v>0</v>
      </c>
      <c r="R377">
        <v>452.72</v>
      </c>
      <c r="S377">
        <v>156.04</v>
      </c>
      <c r="T377">
        <v>296.68</v>
      </c>
      <c r="U377" t="s">
        <v>166</v>
      </c>
      <c r="V377" t="s">
        <v>159</v>
      </c>
      <c r="W377" t="s">
        <v>2085</v>
      </c>
      <c r="X377" t="s">
        <v>2100</v>
      </c>
      <c r="Y377">
        <v>10</v>
      </c>
      <c r="Z377">
        <v>2580.29</v>
      </c>
      <c r="AA377">
        <v>191.29</v>
      </c>
      <c r="AB377" t="s">
        <v>90</v>
      </c>
      <c r="AC377" t="s">
        <v>16</v>
      </c>
      <c r="AD377" t="s">
        <v>2095</v>
      </c>
      <c r="AE377" t="s">
        <v>2121</v>
      </c>
    </row>
    <row r="378" spans="1:31">
      <c r="A378" t="s">
        <v>464</v>
      </c>
      <c r="B378" s="1">
        <v>45167</v>
      </c>
      <c r="C378" t="s">
        <v>176</v>
      </c>
      <c r="D378">
        <v>2023</v>
      </c>
      <c r="E378" t="s">
        <v>169</v>
      </c>
      <c r="F378" t="s">
        <v>465</v>
      </c>
      <c r="G378" t="s">
        <v>50</v>
      </c>
      <c r="H378" t="s">
        <v>51</v>
      </c>
      <c r="I378" t="s">
        <v>41</v>
      </c>
      <c r="J378" t="s">
        <v>52</v>
      </c>
      <c r="K378" t="s">
        <v>156</v>
      </c>
      <c r="L378" t="s">
        <v>194</v>
      </c>
      <c r="M378">
        <v>2</v>
      </c>
      <c r="N378">
        <v>143.80000000000001</v>
      </c>
      <c r="O378">
        <v>287.60000000000002</v>
      </c>
      <c r="P378">
        <v>0</v>
      </c>
      <c r="Q378">
        <v>0</v>
      </c>
      <c r="R378">
        <v>287.60000000000002</v>
      </c>
      <c r="S378">
        <v>124.3</v>
      </c>
      <c r="T378">
        <v>163.30000000000001</v>
      </c>
      <c r="U378" t="s">
        <v>166</v>
      </c>
      <c r="V378" t="s">
        <v>186</v>
      </c>
      <c r="W378" t="s">
        <v>2097</v>
      </c>
      <c r="X378" t="s">
        <v>2111</v>
      </c>
      <c r="Y378">
        <v>20</v>
      </c>
      <c r="Z378">
        <v>566.61</v>
      </c>
      <c r="AA378">
        <v>80.739999999999995</v>
      </c>
      <c r="AB378" t="s">
        <v>115</v>
      </c>
      <c r="AC378" t="s">
        <v>16</v>
      </c>
      <c r="AD378" t="s">
        <v>2087</v>
      </c>
      <c r="AE378" t="s">
        <v>2107</v>
      </c>
    </row>
    <row r="379" spans="1:31">
      <c r="A379" t="s">
        <v>487</v>
      </c>
      <c r="B379" s="1">
        <v>45167</v>
      </c>
      <c r="C379" t="s">
        <v>176</v>
      </c>
      <c r="D379">
        <v>2023</v>
      </c>
      <c r="E379" t="s">
        <v>169</v>
      </c>
      <c r="F379" t="s">
        <v>488</v>
      </c>
      <c r="G379" t="s">
        <v>98</v>
      </c>
      <c r="H379" t="s">
        <v>99</v>
      </c>
      <c r="I379" t="s">
        <v>90</v>
      </c>
      <c r="J379" t="s">
        <v>100</v>
      </c>
      <c r="K379" t="s">
        <v>164</v>
      </c>
      <c r="L379" t="s">
        <v>194</v>
      </c>
      <c r="M379">
        <v>1</v>
      </c>
      <c r="N379">
        <v>194.87</v>
      </c>
      <c r="O379">
        <v>194.87</v>
      </c>
      <c r="P379">
        <v>5</v>
      </c>
      <c r="Q379">
        <v>9.74</v>
      </c>
      <c r="R379">
        <v>185.13</v>
      </c>
      <c r="S379">
        <v>78.790000000000006</v>
      </c>
      <c r="T379">
        <v>106.34</v>
      </c>
      <c r="U379" t="s">
        <v>195</v>
      </c>
      <c r="V379" t="s">
        <v>159</v>
      </c>
      <c r="W379" t="s">
        <v>2113</v>
      </c>
      <c r="X379" t="s">
        <v>2094</v>
      </c>
      <c r="Y379">
        <v>297</v>
      </c>
      <c r="Z379">
        <v>419.81</v>
      </c>
      <c r="AA379">
        <v>77.099999999999994</v>
      </c>
      <c r="AB379" t="s">
        <v>14</v>
      </c>
      <c r="AC379" t="s">
        <v>20</v>
      </c>
      <c r="AD379" t="s">
        <v>2095</v>
      </c>
      <c r="AE379" t="s">
        <v>2096</v>
      </c>
    </row>
    <row r="380" spans="1:31">
      <c r="A380" t="s">
        <v>285</v>
      </c>
      <c r="B380" s="1">
        <v>45167</v>
      </c>
      <c r="C380" t="s">
        <v>176</v>
      </c>
      <c r="D380">
        <v>2023</v>
      </c>
      <c r="E380" t="s">
        <v>169</v>
      </c>
      <c r="F380" t="s">
        <v>286</v>
      </c>
      <c r="G380" t="s">
        <v>82</v>
      </c>
      <c r="H380" t="s">
        <v>83</v>
      </c>
      <c r="I380" t="s">
        <v>66</v>
      </c>
      <c r="J380" t="s">
        <v>67</v>
      </c>
      <c r="K380" t="s">
        <v>164</v>
      </c>
      <c r="L380" t="s">
        <v>194</v>
      </c>
      <c r="M380">
        <v>4</v>
      </c>
      <c r="N380">
        <v>34.479999999999997</v>
      </c>
      <c r="O380">
        <v>137.91999999999999</v>
      </c>
      <c r="P380">
        <v>0</v>
      </c>
      <c r="Q380">
        <v>0</v>
      </c>
      <c r="R380">
        <v>137.91999999999999</v>
      </c>
      <c r="S380">
        <v>76.959999999999994</v>
      </c>
      <c r="T380">
        <v>60.96</v>
      </c>
      <c r="U380" t="s">
        <v>195</v>
      </c>
      <c r="V380" t="s">
        <v>159</v>
      </c>
      <c r="W380" t="s">
        <v>2113</v>
      </c>
      <c r="X380" t="s">
        <v>2108</v>
      </c>
      <c r="Y380">
        <v>68</v>
      </c>
      <c r="Z380">
        <v>151.47999999999999</v>
      </c>
      <c r="AA380">
        <v>62.52</v>
      </c>
      <c r="AB380" t="s">
        <v>41</v>
      </c>
      <c r="AC380" t="s">
        <v>20</v>
      </c>
      <c r="AD380" t="s">
        <v>2106</v>
      </c>
      <c r="AE380" t="s">
        <v>2096</v>
      </c>
    </row>
    <row r="381" spans="1:31">
      <c r="A381" t="s">
        <v>1559</v>
      </c>
      <c r="B381" s="1">
        <v>45166</v>
      </c>
      <c r="C381" t="s">
        <v>176</v>
      </c>
      <c r="D381">
        <v>2023</v>
      </c>
      <c r="E381" t="s">
        <v>169</v>
      </c>
      <c r="F381" t="s">
        <v>1560</v>
      </c>
      <c r="G381" t="s">
        <v>122</v>
      </c>
      <c r="H381" t="s">
        <v>123</v>
      </c>
      <c r="I381" t="s">
        <v>115</v>
      </c>
      <c r="J381" t="s">
        <v>124</v>
      </c>
      <c r="K381" t="s">
        <v>209</v>
      </c>
      <c r="L381" t="s">
        <v>174</v>
      </c>
      <c r="M381">
        <v>1</v>
      </c>
      <c r="N381">
        <v>93.88</v>
      </c>
      <c r="O381">
        <v>93.88</v>
      </c>
      <c r="P381">
        <v>0</v>
      </c>
      <c r="Q381">
        <v>0</v>
      </c>
      <c r="R381">
        <v>93.88</v>
      </c>
      <c r="S381">
        <v>53.11</v>
      </c>
      <c r="T381">
        <v>40.770000000000003</v>
      </c>
      <c r="U381" t="s">
        <v>166</v>
      </c>
      <c r="V381" t="s">
        <v>159</v>
      </c>
      <c r="W381" t="s">
        <v>2113</v>
      </c>
      <c r="X381" t="s">
        <v>2108</v>
      </c>
      <c r="Y381">
        <v>217</v>
      </c>
      <c r="Z381">
        <v>506.22</v>
      </c>
      <c r="AA381">
        <v>68.790000000000006</v>
      </c>
      <c r="AB381" t="s">
        <v>14</v>
      </c>
      <c r="AC381" t="s">
        <v>16</v>
      </c>
      <c r="AD381" t="s">
        <v>2095</v>
      </c>
      <c r="AE381" t="s">
        <v>2121</v>
      </c>
    </row>
    <row r="382" spans="1:31">
      <c r="A382" t="s">
        <v>877</v>
      </c>
      <c r="B382" s="1">
        <v>45165</v>
      </c>
      <c r="C382" t="s">
        <v>176</v>
      </c>
      <c r="D382">
        <v>2023</v>
      </c>
      <c r="E382" t="s">
        <v>169</v>
      </c>
      <c r="F382" t="s">
        <v>878</v>
      </c>
      <c r="G382" t="s">
        <v>21</v>
      </c>
      <c r="H382" t="s">
        <v>22</v>
      </c>
      <c r="I382" t="s">
        <v>14</v>
      </c>
      <c r="J382" t="s">
        <v>15</v>
      </c>
      <c r="K382" t="s">
        <v>178</v>
      </c>
      <c r="L382" t="s">
        <v>179</v>
      </c>
      <c r="M382">
        <v>4</v>
      </c>
      <c r="N382">
        <v>65.430000000000007</v>
      </c>
      <c r="O382">
        <v>261.72000000000003</v>
      </c>
      <c r="P382">
        <v>0</v>
      </c>
      <c r="Q382">
        <v>0</v>
      </c>
      <c r="R382">
        <v>261.72000000000003</v>
      </c>
      <c r="S382">
        <v>154.76</v>
      </c>
      <c r="T382">
        <v>106.96</v>
      </c>
      <c r="U382" t="s">
        <v>195</v>
      </c>
      <c r="V382" t="s">
        <v>159</v>
      </c>
      <c r="W382" t="s">
        <v>2090</v>
      </c>
      <c r="X382" t="s">
        <v>2086</v>
      </c>
      <c r="Y382">
        <v>41</v>
      </c>
      <c r="Z382">
        <v>150.85</v>
      </c>
      <c r="AA382">
        <v>91.85</v>
      </c>
      <c r="AB382" t="s">
        <v>41</v>
      </c>
      <c r="AC382" t="s">
        <v>16</v>
      </c>
      <c r="AD382" t="s">
        <v>2106</v>
      </c>
      <c r="AE382" t="s">
        <v>2107</v>
      </c>
    </row>
    <row r="383" spans="1:31">
      <c r="A383" t="s">
        <v>1852</v>
      </c>
      <c r="B383" s="1">
        <v>45165</v>
      </c>
      <c r="C383" t="s">
        <v>176</v>
      </c>
      <c r="D383">
        <v>2023</v>
      </c>
      <c r="E383" t="s">
        <v>169</v>
      </c>
      <c r="F383" t="s">
        <v>1853</v>
      </c>
      <c r="G383" t="s">
        <v>135</v>
      </c>
      <c r="H383" t="s">
        <v>136</v>
      </c>
      <c r="I383" t="s">
        <v>115</v>
      </c>
      <c r="J383" t="s">
        <v>119</v>
      </c>
      <c r="K383" t="s">
        <v>178</v>
      </c>
      <c r="L383" t="s">
        <v>165</v>
      </c>
      <c r="M383">
        <v>4</v>
      </c>
      <c r="N383">
        <v>89.62</v>
      </c>
      <c r="O383">
        <v>358.48</v>
      </c>
      <c r="P383">
        <v>20</v>
      </c>
      <c r="Q383">
        <v>71.7</v>
      </c>
      <c r="R383">
        <v>286.77999999999997</v>
      </c>
      <c r="S383">
        <v>152.52000000000001</v>
      </c>
      <c r="T383">
        <v>134.26</v>
      </c>
      <c r="U383" t="s">
        <v>180</v>
      </c>
      <c r="V383" t="s">
        <v>186</v>
      </c>
      <c r="W383" t="s">
        <v>2093</v>
      </c>
      <c r="X383" t="s">
        <v>2086</v>
      </c>
      <c r="Y383">
        <v>76</v>
      </c>
      <c r="Z383">
        <v>132.97</v>
      </c>
      <c r="AA383">
        <v>22.85</v>
      </c>
      <c r="AB383" t="s">
        <v>14</v>
      </c>
      <c r="AC383" t="s">
        <v>16</v>
      </c>
      <c r="AD383" t="s">
        <v>2087</v>
      </c>
      <c r="AE383" t="s">
        <v>2096</v>
      </c>
    </row>
    <row r="384" spans="1:31">
      <c r="A384" t="s">
        <v>973</v>
      </c>
      <c r="B384" s="1">
        <v>45165</v>
      </c>
      <c r="C384" t="s">
        <v>176</v>
      </c>
      <c r="D384">
        <v>2023</v>
      </c>
      <c r="E384" t="s">
        <v>169</v>
      </c>
      <c r="F384" t="s">
        <v>974</v>
      </c>
      <c r="G384" t="s">
        <v>21</v>
      </c>
      <c r="H384" t="s">
        <v>22</v>
      </c>
      <c r="I384" t="s">
        <v>14</v>
      </c>
      <c r="J384" t="s">
        <v>15</v>
      </c>
      <c r="K384" t="s">
        <v>156</v>
      </c>
      <c r="L384" t="s">
        <v>179</v>
      </c>
      <c r="M384">
        <v>3</v>
      </c>
      <c r="N384">
        <v>65.430000000000007</v>
      </c>
      <c r="O384">
        <v>196.29000000000002</v>
      </c>
      <c r="P384">
        <v>5</v>
      </c>
      <c r="Q384">
        <v>9.81</v>
      </c>
      <c r="R384">
        <v>186.48</v>
      </c>
      <c r="S384">
        <v>116.07</v>
      </c>
      <c r="T384">
        <v>70.41</v>
      </c>
      <c r="U384" t="s">
        <v>195</v>
      </c>
      <c r="V384" t="s">
        <v>181</v>
      </c>
      <c r="W384" t="s">
        <v>2097</v>
      </c>
      <c r="X384" t="s">
        <v>2108</v>
      </c>
      <c r="Y384">
        <v>348</v>
      </c>
      <c r="Z384">
        <v>309.58999999999997</v>
      </c>
      <c r="AA384">
        <v>144.91999999999999</v>
      </c>
      <c r="AB384" t="s">
        <v>41</v>
      </c>
      <c r="AC384" t="s">
        <v>16</v>
      </c>
      <c r="AD384" t="s">
        <v>2095</v>
      </c>
      <c r="AE384" t="s">
        <v>2088</v>
      </c>
    </row>
    <row r="385" spans="1:31">
      <c r="A385" t="s">
        <v>175</v>
      </c>
      <c r="B385" s="1">
        <v>45164</v>
      </c>
      <c r="C385" t="s">
        <v>176</v>
      </c>
      <c r="D385">
        <v>2023</v>
      </c>
      <c r="E385" t="s">
        <v>169</v>
      </c>
      <c r="F385" t="s">
        <v>177</v>
      </c>
      <c r="G385" t="s">
        <v>33</v>
      </c>
      <c r="H385" t="s">
        <v>34</v>
      </c>
      <c r="I385" t="s">
        <v>14</v>
      </c>
      <c r="J385" t="s">
        <v>27</v>
      </c>
      <c r="K385" t="s">
        <v>178</v>
      </c>
      <c r="L385" t="s">
        <v>179</v>
      </c>
      <c r="M385">
        <v>4</v>
      </c>
      <c r="N385">
        <v>124.26</v>
      </c>
      <c r="O385">
        <v>497.04</v>
      </c>
      <c r="P385">
        <v>0</v>
      </c>
      <c r="Q385">
        <v>0</v>
      </c>
      <c r="R385">
        <v>497.04</v>
      </c>
      <c r="S385">
        <v>210.48</v>
      </c>
      <c r="T385">
        <v>286.56</v>
      </c>
      <c r="U385" t="s">
        <v>180</v>
      </c>
      <c r="V385" t="s">
        <v>181</v>
      </c>
      <c r="W385" t="s">
        <v>2097</v>
      </c>
      <c r="X385" t="s">
        <v>2094</v>
      </c>
      <c r="Y385">
        <v>201</v>
      </c>
      <c r="Z385">
        <v>382.03</v>
      </c>
      <c r="AA385">
        <v>144.69999999999999</v>
      </c>
      <c r="AB385" t="s">
        <v>115</v>
      </c>
      <c r="AC385" t="s">
        <v>16</v>
      </c>
      <c r="AD385" t="s">
        <v>2087</v>
      </c>
      <c r="AE385" t="s">
        <v>2107</v>
      </c>
    </row>
    <row r="386" spans="1:31">
      <c r="A386" t="s">
        <v>647</v>
      </c>
      <c r="B386" s="1">
        <v>45164</v>
      </c>
      <c r="C386" t="s">
        <v>176</v>
      </c>
      <c r="D386">
        <v>2023</v>
      </c>
      <c r="E386" t="s">
        <v>169</v>
      </c>
      <c r="F386" t="s">
        <v>648</v>
      </c>
      <c r="G386" t="s">
        <v>12</v>
      </c>
      <c r="H386" t="s">
        <v>13</v>
      </c>
      <c r="I386" t="s">
        <v>14</v>
      </c>
      <c r="J386" t="s">
        <v>15</v>
      </c>
      <c r="K386" t="s">
        <v>164</v>
      </c>
      <c r="L386" t="s">
        <v>232</v>
      </c>
      <c r="M386">
        <v>1</v>
      </c>
      <c r="N386">
        <v>76.53</v>
      </c>
      <c r="O386">
        <v>76.53</v>
      </c>
      <c r="P386">
        <v>0</v>
      </c>
      <c r="Q386">
        <v>0</v>
      </c>
      <c r="R386">
        <v>76.53</v>
      </c>
      <c r="S386">
        <v>52.96</v>
      </c>
      <c r="T386">
        <v>23.57</v>
      </c>
      <c r="U386" t="s">
        <v>180</v>
      </c>
      <c r="V386" t="s">
        <v>159</v>
      </c>
      <c r="W386" t="s">
        <v>2093</v>
      </c>
      <c r="X386" t="s">
        <v>2111</v>
      </c>
      <c r="Y386">
        <v>46</v>
      </c>
      <c r="Z386">
        <v>157.76</v>
      </c>
      <c r="AA386">
        <v>44.17</v>
      </c>
      <c r="AB386" t="s">
        <v>14</v>
      </c>
      <c r="AC386" t="s">
        <v>16</v>
      </c>
      <c r="AD386" t="s">
        <v>2106</v>
      </c>
      <c r="AE386" t="s">
        <v>2121</v>
      </c>
    </row>
    <row r="387" spans="1:31">
      <c r="A387" t="s">
        <v>235</v>
      </c>
      <c r="B387" s="1">
        <v>45164</v>
      </c>
      <c r="C387" t="s">
        <v>176</v>
      </c>
      <c r="D387">
        <v>2023</v>
      </c>
      <c r="E387" t="s">
        <v>169</v>
      </c>
      <c r="F387" t="s">
        <v>236</v>
      </c>
      <c r="G387" t="s">
        <v>57</v>
      </c>
      <c r="H387" t="s">
        <v>58</v>
      </c>
      <c r="I387" t="s">
        <v>41</v>
      </c>
      <c r="J387" t="s">
        <v>59</v>
      </c>
      <c r="K387" t="s">
        <v>164</v>
      </c>
      <c r="L387" t="s">
        <v>194</v>
      </c>
      <c r="M387">
        <v>4</v>
      </c>
      <c r="N387">
        <v>56.33</v>
      </c>
      <c r="O387">
        <v>225.32</v>
      </c>
      <c r="P387">
        <v>0</v>
      </c>
      <c r="Q387">
        <v>0</v>
      </c>
      <c r="R387">
        <v>225.32</v>
      </c>
      <c r="S387">
        <v>165.8</v>
      </c>
      <c r="T387">
        <v>59.52</v>
      </c>
      <c r="U387" t="s">
        <v>158</v>
      </c>
      <c r="V387" t="s">
        <v>186</v>
      </c>
      <c r="W387" t="s">
        <v>2093</v>
      </c>
      <c r="X387" t="s">
        <v>2111</v>
      </c>
      <c r="Y387">
        <v>137</v>
      </c>
      <c r="Z387">
        <v>72.67</v>
      </c>
      <c r="AA387">
        <v>73.77</v>
      </c>
      <c r="AB387" t="s">
        <v>66</v>
      </c>
      <c r="AC387" t="s">
        <v>16</v>
      </c>
      <c r="AD387" t="s">
        <v>2095</v>
      </c>
      <c r="AE387" t="s">
        <v>2107</v>
      </c>
    </row>
    <row r="388" spans="1:31">
      <c r="A388" t="s">
        <v>1790</v>
      </c>
      <c r="B388" s="1">
        <v>45164</v>
      </c>
      <c r="C388" t="s">
        <v>176</v>
      </c>
      <c r="D388">
        <v>2023</v>
      </c>
      <c r="E388" t="s">
        <v>169</v>
      </c>
      <c r="F388" t="s">
        <v>1791</v>
      </c>
      <c r="G388" t="s">
        <v>62</v>
      </c>
      <c r="H388" t="s">
        <v>63</v>
      </c>
      <c r="I388" t="s">
        <v>41</v>
      </c>
      <c r="J388" t="s">
        <v>45</v>
      </c>
      <c r="K388" t="s">
        <v>209</v>
      </c>
      <c r="L388" t="s">
        <v>179</v>
      </c>
      <c r="M388">
        <v>4</v>
      </c>
      <c r="N388">
        <v>160.35</v>
      </c>
      <c r="O388">
        <v>641.4</v>
      </c>
      <c r="P388">
        <v>10</v>
      </c>
      <c r="Q388">
        <v>64.14</v>
      </c>
      <c r="R388">
        <v>577.26</v>
      </c>
      <c r="S388">
        <v>289.88</v>
      </c>
      <c r="T388">
        <v>287.38</v>
      </c>
      <c r="U388" t="s">
        <v>158</v>
      </c>
      <c r="V388" t="s">
        <v>159</v>
      </c>
      <c r="W388" t="s">
        <v>2085</v>
      </c>
      <c r="X388" t="s">
        <v>2100</v>
      </c>
      <c r="Y388">
        <v>268</v>
      </c>
      <c r="Z388">
        <v>2931.55</v>
      </c>
      <c r="AA388">
        <v>123.73</v>
      </c>
      <c r="AB388" t="s">
        <v>66</v>
      </c>
      <c r="AC388" t="s">
        <v>20</v>
      </c>
      <c r="AD388" t="s">
        <v>2087</v>
      </c>
      <c r="AE388" t="s">
        <v>2109</v>
      </c>
    </row>
    <row r="389" spans="1:31">
      <c r="A389" t="s">
        <v>1198</v>
      </c>
      <c r="B389" s="1">
        <v>45163</v>
      </c>
      <c r="C389" t="s">
        <v>176</v>
      </c>
      <c r="D389">
        <v>2023</v>
      </c>
      <c r="E389" t="s">
        <v>169</v>
      </c>
      <c r="F389" t="s">
        <v>1199</v>
      </c>
      <c r="G389" t="s">
        <v>122</v>
      </c>
      <c r="H389" t="s">
        <v>123</v>
      </c>
      <c r="I389" t="s">
        <v>115</v>
      </c>
      <c r="J389" t="s">
        <v>124</v>
      </c>
      <c r="K389" t="s">
        <v>178</v>
      </c>
      <c r="L389" t="s">
        <v>179</v>
      </c>
      <c r="M389">
        <v>3</v>
      </c>
      <c r="N389">
        <v>93.88</v>
      </c>
      <c r="O389">
        <v>281.64</v>
      </c>
      <c r="P389">
        <v>5</v>
      </c>
      <c r="Q389">
        <v>14.08</v>
      </c>
      <c r="R389">
        <v>267.56</v>
      </c>
      <c r="S389">
        <v>159.33000000000001</v>
      </c>
      <c r="T389">
        <v>108.23</v>
      </c>
      <c r="U389" t="s">
        <v>195</v>
      </c>
      <c r="V389" t="s">
        <v>186</v>
      </c>
      <c r="W389" t="s">
        <v>2113</v>
      </c>
      <c r="X389" t="s">
        <v>2108</v>
      </c>
      <c r="Y389">
        <v>207</v>
      </c>
      <c r="Z389">
        <v>389.2</v>
      </c>
      <c r="AA389">
        <v>67.72</v>
      </c>
      <c r="AB389" t="s">
        <v>115</v>
      </c>
      <c r="AC389" t="s">
        <v>16</v>
      </c>
      <c r="AD389" t="s">
        <v>2095</v>
      </c>
      <c r="AE389" t="s">
        <v>2107</v>
      </c>
    </row>
    <row r="390" spans="1:31">
      <c r="A390" t="s">
        <v>1667</v>
      </c>
      <c r="B390" s="1">
        <v>45162</v>
      </c>
      <c r="C390" t="s">
        <v>176</v>
      </c>
      <c r="D390">
        <v>2023</v>
      </c>
      <c r="E390" t="s">
        <v>169</v>
      </c>
      <c r="F390" t="s">
        <v>321</v>
      </c>
      <c r="G390" t="s">
        <v>101</v>
      </c>
      <c r="H390" t="s">
        <v>102</v>
      </c>
      <c r="I390" t="s">
        <v>90</v>
      </c>
      <c r="J390" t="s">
        <v>100</v>
      </c>
      <c r="K390" t="s">
        <v>178</v>
      </c>
      <c r="L390" t="s">
        <v>165</v>
      </c>
      <c r="M390">
        <v>3</v>
      </c>
      <c r="N390">
        <v>196.28</v>
      </c>
      <c r="O390">
        <v>588.84</v>
      </c>
      <c r="P390">
        <v>0</v>
      </c>
      <c r="Q390">
        <v>0</v>
      </c>
      <c r="R390">
        <v>588.84</v>
      </c>
      <c r="S390">
        <v>215.19</v>
      </c>
      <c r="T390">
        <v>373.65</v>
      </c>
      <c r="U390" t="s">
        <v>190</v>
      </c>
      <c r="V390" t="s">
        <v>159</v>
      </c>
      <c r="W390" t="s">
        <v>2113</v>
      </c>
      <c r="X390" t="s">
        <v>2108</v>
      </c>
      <c r="Y390">
        <v>263</v>
      </c>
      <c r="Z390">
        <v>347.42</v>
      </c>
      <c r="AA390">
        <v>65.59</v>
      </c>
      <c r="AB390" t="s">
        <v>115</v>
      </c>
      <c r="AC390" t="s">
        <v>16</v>
      </c>
      <c r="AD390" t="s">
        <v>2087</v>
      </c>
      <c r="AE390" t="s">
        <v>2109</v>
      </c>
    </row>
    <row r="391" spans="1:31">
      <c r="A391" t="s">
        <v>987</v>
      </c>
      <c r="B391" s="1">
        <v>45161</v>
      </c>
      <c r="C391" t="s">
        <v>176</v>
      </c>
      <c r="D391">
        <v>2023</v>
      </c>
      <c r="E391" t="s">
        <v>169</v>
      </c>
      <c r="F391" t="s">
        <v>938</v>
      </c>
      <c r="G391" t="s">
        <v>64</v>
      </c>
      <c r="H391" t="s">
        <v>65</v>
      </c>
      <c r="I391" t="s">
        <v>66</v>
      </c>
      <c r="J391" t="s">
        <v>67</v>
      </c>
      <c r="K391" t="s">
        <v>209</v>
      </c>
      <c r="L391" t="s">
        <v>179</v>
      </c>
      <c r="M391">
        <v>3</v>
      </c>
      <c r="N391">
        <v>24.9</v>
      </c>
      <c r="O391">
        <v>74.699999999999989</v>
      </c>
      <c r="P391">
        <v>10</v>
      </c>
      <c r="Q391">
        <v>7.47</v>
      </c>
      <c r="R391">
        <v>67.23</v>
      </c>
      <c r="S391">
        <v>64.56</v>
      </c>
      <c r="T391">
        <v>2.67</v>
      </c>
      <c r="U391" t="s">
        <v>166</v>
      </c>
      <c r="V391" t="s">
        <v>181</v>
      </c>
      <c r="W391" t="s">
        <v>2093</v>
      </c>
      <c r="X391" t="s">
        <v>2111</v>
      </c>
      <c r="Y391">
        <v>53</v>
      </c>
      <c r="Z391">
        <v>92.09</v>
      </c>
      <c r="AA391">
        <v>57.45</v>
      </c>
      <c r="AB391" t="s">
        <v>66</v>
      </c>
      <c r="AC391" t="s">
        <v>16</v>
      </c>
      <c r="AD391" t="s">
        <v>2095</v>
      </c>
      <c r="AE391" t="s">
        <v>2121</v>
      </c>
    </row>
    <row r="392" spans="1:31">
      <c r="A392" t="s">
        <v>793</v>
      </c>
      <c r="B392" s="1">
        <v>45161</v>
      </c>
      <c r="C392" t="s">
        <v>176</v>
      </c>
      <c r="D392">
        <v>2023</v>
      </c>
      <c r="E392" t="s">
        <v>169</v>
      </c>
      <c r="F392" t="s">
        <v>794</v>
      </c>
      <c r="G392" t="s">
        <v>50</v>
      </c>
      <c r="H392" t="s">
        <v>51</v>
      </c>
      <c r="I392" t="s">
        <v>41</v>
      </c>
      <c r="J392" t="s">
        <v>52</v>
      </c>
      <c r="K392" t="s">
        <v>164</v>
      </c>
      <c r="L392" t="s">
        <v>232</v>
      </c>
      <c r="M392">
        <v>3</v>
      </c>
      <c r="N392">
        <v>143.80000000000001</v>
      </c>
      <c r="O392">
        <v>431.40000000000003</v>
      </c>
      <c r="P392">
        <v>0</v>
      </c>
      <c r="Q392">
        <v>0</v>
      </c>
      <c r="R392">
        <v>431.4</v>
      </c>
      <c r="S392">
        <v>186.45</v>
      </c>
      <c r="T392">
        <v>244.95</v>
      </c>
      <c r="U392" t="s">
        <v>166</v>
      </c>
      <c r="V392" t="s">
        <v>159</v>
      </c>
      <c r="W392" t="s">
        <v>2093</v>
      </c>
      <c r="X392" t="s">
        <v>2094</v>
      </c>
      <c r="Y392">
        <v>118</v>
      </c>
      <c r="Z392">
        <v>71</v>
      </c>
      <c r="AA392">
        <v>80</v>
      </c>
      <c r="AB392" t="s">
        <v>115</v>
      </c>
      <c r="AC392" t="s">
        <v>20</v>
      </c>
      <c r="AD392" t="s">
        <v>2106</v>
      </c>
      <c r="AE392" t="s">
        <v>2096</v>
      </c>
    </row>
    <row r="393" spans="1:31">
      <c r="A393" t="s">
        <v>815</v>
      </c>
      <c r="B393" s="1">
        <v>45161</v>
      </c>
      <c r="C393" t="s">
        <v>176</v>
      </c>
      <c r="D393">
        <v>2023</v>
      </c>
      <c r="E393" t="s">
        <v>169</v>
      </c>
      <c r="F393" t="s">
        <v>816</v>
      </c>
      <c r="G393" t="s">
        <v>135</v>
      </c>
      <c r="H393" t="s">
        <v>136</v>
      </c>
      <c r="I393" t="s">
        <v>115</v>
      </c>
      <c r="J393" t="s">
        <v>119</v>
      </c>
      <c r="K393" t="s">
        <v>178</v>
      </c>
      <c r="L393" t="s">
        <v>179</v>
      </c>
      <c r="M393">
        <v>1</v>
      </c>
      <c r="N393">
        <v>89.62</v>
      </c>
      <c r="O393">
        <v>89.62</v>
      </c>
      <c r="P393">
        <v>15</v>
      </c>
      <c r="Q393">
        <v>13.44</v>
      </c>
      <c r="R393">
        <v>76.180000000000007</v>
      </c>
      <c r="S393">
        <v>38.130000000000003</v>
      </c>
      <c r="T393">
        <v>38.049999999999997</v>
      </c>
      <c r="U393" t="s">
        <v>158</v>
      </c>
      <c r="V393" t="s">
        <v>181</v>
      </c>
      <c r="W393" t="s">
        <v>2093</v>
      </c>
      <c r="X393" t="s">
        <v>2094</v>
      </c>
      <c r="Y393">
        <v>336</v>
      </c>
      <c r="Z393">
        <v>84.19</v>
      </c>
      <c r="AA393">
        <v>38.75</v>
      </c>
      <c r="AB393" t="s">
        <v>14</v>
      </c>
      <c r="AC393" t="s">
        <v>16</v>
      </c>
      <c r="AD393" t="s">
        <v>2106</v>
      </c>
      <c r="AE393" t="s">
        <v>2109</v>
      </c>
    </row>
    <row r="394" spans="1:31">
      <c r="A394" t="s">
        <v>1715</v>
      </c>
      <c r="B394" s="1">
        <v>45161</v>
      </c>
      <c r="C394" t="s">
        <v>176</v>
      </c>
      <c r="D394">
        <v>2023</v>
      </c>
      <c r="E394" t="s">
        <v>169</v>
      </c>
      <c r="F394" t="s">
        <v>1716</v>
      </c>
      <c r="G394" t="s">
        <v>76</v>
      </c>
      <c r="H394" t="s">
        <v>77</v>
      </c>
      <c r="I394" t="s">
        <v>66</v>
      </c>
      <c r="J394" t="s">
        <v>67</v>
      </c>
      <c r="K394" t="s">
        <v>156</v>
      </c>
      <c r="L394" t="s">
        <v>165</v>
      </c>
      <c r="M394">
        <v>3</v>
      </c>
      <c r="N394">
        <v>118.07</v>
      </c>
      <c r="O394">
        <v>354.21</v>
      </c>
      <c r="P394">
        <v>0</v>
      </c>
      <c r="Q394">
        <v>0</v>
      </c>
      <c r="R394">
        <v>354.21</v>
      </c>
      <c r="S394">
        <v>119.1</v>
      </c>
      <c r="T394">
        <v>235.11</v>
      </c>
      <c r="U394" t="s">
        <v>195</v>
      </c>
      <c r="V394" t="s">
        <v>159</v>
      </c>
      <c r="W394" t="s">
        <v>2097</v>
      </c>
      <c r="X394" t="s">
        <v>2094</v>
      </c>
      <c r="Y394">
        <v>97</v>
      </c>
      <c r="Z394">
        <v>430.5</v>
      </c>
      <c r="AA394">
        <v>148.47</v>
      </c>
      <c r="AB394" t="s">
        <v>66</v>
      </c>
      <c r="AC394" t="s">
        <v>16</v>
      </c>
      <c r="AD394" t="s">
        <v>2087</v>
      </c>
      <c r="AE394" t="s">
        <v>2096</v>
      </c>
    </row>
    <row r="395" spans="1:31">
      <c r="A395" t="s">
        <v>1283</v>
      </c>
      <c r="B395" s="1">
        <v>45161</v>
      </c>
      <c r="C395" t="s">
        <v>176</v>
      </c>
      <c r="D395">
        <v>2023</v>
      </c>
      <c r="E395" t="s">
        <v>169</v>
      </c>
      <c r="F395" t="s">
        <v>1284</v>
      </c>
      <c r="G395" t="s">
        <v>133</v>
      </c>
      <c r="H395" t="s">
        <v>134</v>
      </c>
      <c r="I395" t="s">
        <v>115</v>
      </c>
      <c r="J395" t="s">
        <v>119</v>
      </c>
      <c r="K395" t="s">
        <v>164</v>
      </c>
      <c r="L395" t="s">
        <v>232</v>
      </c>
      <c r="M395">
        <v>3</v>
      </c>
      <c r="N395">
        <v>78.84</v>
      </c>
      <c r="O395">
        <v>236.52</v>
      </c>
      <c r="P395">
        <v>20</v>
      </c>
      <c r="Q395">
        <v>47.3</v>
      </c>
      <c r="R395">
        <v>189.22</v>
      </c>
      <c r="S395">
        <v>143.04</v>
      </c>
      <c r="T395">
        <v>46.18</v>
      </c>
      <c r="U395" t="s">
        <v>158</v>
      </c>
      <c r="V395" t="s">
        <v>186</v>
      </c>
      <c r="W395" t="s">
        <v>2097</v>
      </c>
      <c r="X395" t="s">
        <v>2111</v>
      </c>
      <c r="Y395">
        <v>60</v>
      </c>
      <c r="Z395">
        <v>497.21</v>
      </c>
      <c r="AA395">
        <v>57.3</v>
      </c>
      <c r="AB395" t="s">
        <v>66</v>
      </c>
      <c r="AC395" t="s">
        <v>16</v>
      </c>
      <c r="AD395" t="s">
        <v>2095</v>
      </c>
      <c r="AE395" t="s">
        <v>2109</v>
      </c>
    </row>
    <row r="396" spans="1:31">
      <c r="A396" t="s">
        <v>1834</v>
      </c>
      <c r="B396" s="1">
        <v>45160</v>
      </c>
      <c r="C396" t="s">
        <v>176</v>
      </c>
      <c r="D396">
        <v>2023</v>
      </c>
      <c r="E396" t="s">
        <v>169</v>
      </c>
      <c r="F396" t="s">
        <v>1835</v>
      </c>
      <c r="G396" t="s">
        <v>33</v>
      </c>
      <c r="H396" t="s">
        <v>34</v>
      </c>
      <c r="I396" t="s">
        <v>14</v>
      </c>
      <c r="J396" t="s">
        <v>27</v>
      </c>
      <c r="K396" t="s">
        <v>178</v>
      </c>
      <c r="L396" t="s">
        <v>165</v>
      </c>
      <c r="M396">
        <v>4</v>
      </c>
      <c r="N396">
        <v>124.26</v>
      </c>
      <c r="O396">
        <v>497.04</v>
      </c>
      <c r="P396">
        <v>0</v>
      </c>
      <c r="Q396">
        <v>0</v>
      </c>
      <c r="R396">
        <v>497.04</v>
      </c>
      <c r="S396">
        <v>210.48</v>
      </c>
      <c r="T396">
        <v>286.56</v>
      </c>
      <c r="U396" t="s">
        <v>180</v>
      </c>
      <c r="V396" t="s">
        <v>159</v>
      </c>
      <c r="W396" t="s">
        <v>2085</v>
      </c>
      <c r="X396" t="s">
        <v>2108</v>
      </c>
      <c r="Y396">
        <v>88</v>
      </c>
      <c r="Z396">
        <v>987.43</v>
      </c>
      <c r="AA396">
        <v>269.23</v>
      </c>
      <c r="AB396" t="s">
        <v>14</v>
      </c>
      <c r="AC396" t="s">
        <v>16</v>
      </c>
      <c r="AD396" t="s">
        <v>2106</v>
      </c>
      <c r="AE396" t="s">
        <v>2109</v>
      </c>
    </row>
    <row r="397" spans="1:31">
      <c r="A397" t="s">
        <v>1085</v>
      </c>
      <c r="B397" s="1">
        <v>45160</v>
      </c>
      <c r="C397" t="s">
        <v>176</v>
      </c>
      <c r="D397">
        <v>2023</v>
      </c>
      <c r="E397" t="s">
        <v>169</v>
      </c>
      <c r="F397" t="s">
        <v>1086</v>
      </c>
      <c r="G397" t="s">
        <v>33</v>
      </c>
      <c r="H397" t="s">
        <v>34</v>
      </c>
      <c r="I397" t="s">
        <v>14</v>
      </c>
      <c r="J397" t="s">
        <v>27</v>
      </c>
      <c r="K397" t="s">
        <v>164</v>
      </c>
      <c r="L397" t="s">
        <v>165</v>
      </c>
      <c r="M397">
        <v>4</v>
      </c>
      <c r="N397">
        <v>124.26</v>
      </c>
      <c r="O397">
        <v>497.04</v>
      </c>
      <c r="P397">
        <v>5</v>
      </c>
      <c r="Q397">
        <v>24.85</v>
      </c>
      <c r="R397">
        <v>472.19</v>
      </c>
      <c r="S397">
        <v>210.48</v>
      </c>
      <c r="T397">
        <v>261.70999999999998</v>
      </c>
      <c r="U397" t="s">
        <v>180</v>
      </c>
      <c r="V397" t="s">
        <v>186</v>
      </c>
      <c r="W397" t="s">
        <v>2093</v>
      </c>
      <c r="X397" t="s">
        <v>2086</v>
      </c>
      <c r="Y397">
        <v>135</v>
      </c>
      <c r="Z397">
        <v>130.71</v>
      </c>
      <c r="AA397">
        <v>32.69</v>
      </c>
      <c r="AB397" t="s">
        <v>90</v>
      </c>
      <c r="AC397" t="s">
        <v>16</v>
      </c>
      <c r="AD397" t="s">
        <v>2095</v>
      </c>
      <c r="AE397" t="s">
        <v>2096</v>
      </c>
    </row>
    <row r="398" spans="1:31">
      <c r="A398" t="s">
        <v>1757</v>
      </c>
      <c r="B398" s="1">
        <v>45160</v>
      </c>
      <c r="C398" t="s">
        <v>176</v>
      </c>
      <c r="D398">
        <v>2023</v>
      </c>
      <c r="E398" t="s">
        <v>169</v>
      </c>
      <c r="F398" t="s">
        <v>1758</v>
      </c>
      <c r="G398" t="s">
        <v>37</v>
      </c>
      <c r="H398" t="s">
        <v>38</v>
      </c>
      <c r="I398" t="s">
        <v>14</v>
      </c>
      <c r="J398" t="s">
        <v>27</v>
      </c>
      <c r="K398" t="s">
        <v>156</v>
      </c>
      <c r="L398" t="s">
        <v>232</v>
      </c>
      <c r="M398">
        <v>3</v>
      </c>
      <c r="N398">
        <v>133.99</v>
      </c>
      <c r="O398">
        <v>401.97</v>
      </c>
      <c r="P398">
        <v>0</v>
      </c>
      <c r="Q398">
        <v>0</v>
      </c>
      <c r="R398">
        <v>401.97</v>
      </c>
      <c r="S398">
        <v>220.47</v>
      </c>
      <c r="T398">
        <v>181.5</v>
      </c>
      <c r="U398" t="s">
        <v>190</v>
      </c>
      <c r="V398" t="s">
        <v>181</v>
      </c>
      <c r="W398" t="s">
        <v>2093</v>
      </c>
      <c r="X398" t="s">
        <v>2100</v>
      </c>
      <c r="Y398">
        <v>345</v>
      </c>
      <c r="Z398">
        <v>184.91</v>
      </c>
      <c r="AA398">
        <v>44.8</v>
      </c>
      <c r="AB398" t="s">
        <v>14</v>
      </c>
      <c r="AC398" t="s">
        <v>16</v>
      </c>
      <c r="AD398" t="s">
        <v>2106</v>
      </c>
      <c r="AE398" t="s">
        <v>2088</v>
      </c>
    </row>
    <row r="399" spans="1:31">
      <c r="A399" t="s">
        <v>1498</v>
      </c>
      <c r="B399" s="1">
        <v>45159</v>
      </c>
      <c r="C399" t="s">
        <v>176</v>
      </c>
      <c r="D399">
        <v>2023</v>
      </c>
      <c r="E399" t="s">
        <v>169</v>
      </c>
      <c r="F399" t="s">
        <v>1499</v>
      </c>
      <c r="G399" t="s">
        <v>84</v>
      </c>
      <c r="H399" t="s">
        <v>85</v>
      </c>
      <c r="I399" t="s">
        <v>66</v>
      </c>
      <c r="J399" t="s">
        <v>67</v>
      </c>
      <c r="K399" t="s">
        <v>156</v>
      </c>
      <c r="L399" t="s">
        <v>204</v>
      </c>
      <c r="M399">
        <v>1</v>
      </c>
      <c r="N399">
        <v>174.23</v>
      </c>
      <c r="O399">
        <v>174.23</v>
      </c>
      <c r="P399">
        <v>0</v>
      </c>
      <c r="Q399">
        <v>0</v>
      </c>
      <c r="R399">
        <v>174.23</v>
      </c>
      <c r="S399">
        <v>73.95</v>
      </c>
      <c r="T399">
        <v>100.28</v>
      </c>
      <c r="U399" t="s">
        <v>158</v>
      </c>
      <c r="V399" t="s">
        <v>159</v>
      </c>
      <c r="W399" t="s">
        <v>2097</v>
      </c>
      <c r="X399" t="s">
        <v>2094</v>
      </c>
      <c r="Y399">
        <v>57</v>
      </c>
      <c r="Z399">
        <v>226.39</v>
      </c>
      <c r="AA399">
        <v>66.739999999999995</v>
      </c>
      <c r="AB399" t="s">
        <v>66</v>
      </c>
      <c r="AC399" t="s">
        <v>20</v>
      </c>
      <c r="AD399" t="s">
        <v>2095</v>
      </c>
      <c r="AE399" t="s">
        <v>2121</v>
      </c>
    </row>
    <row r="400" spans="1:31">
      <c r="A400" t="s">
        <v>388</v>
      </c>
      <c r="B400" s="1">
        <v>45159</v>
      </c>
      <c r="C400" t="s">
        <v>176</v>
      </c>
      <c r="D400">
        <v>2023</v>
      </c>
      <c r="E400" t="s">
        <v>169</v>
      </c>
      <c r="F400" t="s">
        <v>389</v>
      </c>
      <c r="G400" t="s">
        <v>80</v>
      </c>
      <c r="H400" t="s">
        <v>81</v>
      </c>
      <c r="I400" t="s">
        <v>66</v>
      </c>
      <c r="J400" t="s">
        <v>70</v>
      </c>
      <c r="K400" t="s">
        <v>164</v>
      </c>
      <c r="L400" t="s">
        <v>165</v>
      </c>
      <c r="M400">
        <v>3</v>
      </c>
      <c r="N400">
        <v>106.06</v>
      </c>
      <c r="O400">
        <v>318.18</v>
      </c>
      <c r="P400">
        <v>20</v>
      </c>
      <c r="Q400">
        <v>63.64</v>
      </c>
      <c r="R400">
        <v>254.54</v>
      </c>
      <c r="S400">
        <v>100.26</v>
      </c>
      <c r="T400">
        <v>154.28</v>
      </c>
      <c r="U400" t="s">
        <v>158</v>
      </c>
      <c r="V400" t="s">
        <v>159</v>
      </c>
      <c r="W400" t="s">
        <v>2093</v>
      </c>
      <c r="X400" t="s">
        <v>2108</v>
      </c>
      <c r="Y400">
        <v>327</v>
      </c>
      <c r="Z400">
        <v>50.22</v>
      </c>
      <c r="AA400">
        <v>37.04</v>
      </c>
      <c r="AB400" t="s">
        <v>41</v>
      </c>
      <c r="AC400" t="s">
        <v>16</v>
      </c>
      <c r="AD400" t="s">
        <v>2087</v>
      </c>
      <c r="AE400" t="s">
        <v>2096</v>
      </c>
    </row>
    <row r="401" spans="1:31">
      <c r="A401" t="s">
        <v>1353</v>
      </c>
      <c r="B401" s="1">
        <v>45158</v>
      </c>
      <c r="C401" t="s">
        <v>176</v>
      </c>
      <c r="D401">
        <v>2023</v>
      </c>
      <c r="E401" t="s">
        <v>169</v>
      </c>
      <c r="F401" t="s">
        <v>1354</v>
      </c>
      <c r="G401" t="s">
        <v>33</v>
      </c>
      <c r="H401" t="s">
        <v>34</v>
      </c>
      <c r="I401" t="s">
        <v>14</v>
      </c>
      <c r="J401" t="s">
        <v>27</v>
      </c>
      <c r="K401" t="s">
        <v>164</v>
      </c>
      <c r="L401" t="s">
        <v>157</v>
      </c>
      <c r="M401">
        <v>4</v>
      </c>
      <c r="N401">
        <v>124.26</v>
      </c>
      <c r="O401">
        <v>497.04</v>
      </c>
      <c r="P401">
        <v>10</v>
      </c>
      <c r="Q401">
        <v>49.7</v>
      </c>
      <c r="R401">
        <v>447.34</v>
      </c>
      <c r="S401">
        <v>210.48</v>
      </c>
      <c r="T401">
        <v>236.86</v>
      </c>
      <c r="U401" t="s">
        <v>195</v>
      </c>
      <c r="V401" t="s">
        <v>159</v>
      </c>
      <c r="W401" t="s">
        <v>2097</v>
      </c>
      <c r="X401" t="s">
        <v>2111</v>
      </c>
      <c r="Y401">
        <v>24</v>
      </c>
      <c r="Z401">
        <v>314.85000000000002</v>
      </c>
      <c r="AA401">
        <v>93.46</v>
      </c>
      <c r="AB401" t="s">
        <v>14</v>
      </c>
      <c r="AC401" t="s">
        <v>20</v>
      </c>
      <c r="AD401" t="s">
        <v>2106</v>
      </c>
      <c r="AE401" t="s">
        <v>2107</v>
      </c>
    </row>
    <row r="402" spans="1:31">
      <c r="A402" t="s">
        <v>904</v>
      </c>
      <c r="B402" s="1">
        <v>45158</v>
      </c>
      <c r="C402" t="s">
        <v>176</v>
      </c>
      <c r="D402">
        <v>2023</v>
      </c>
      <c r="E402" t="s">
        <v>169</v>
      </c>
      <c r="F402" t="s">
        <v>905</v>
      </c>
      <c r="G402" t="s">
        <v>43</v>
      </c>
      <c r="H402" t="s">
        <v>44</v>
      </c>
      <c r="I402" t="s">
        <v>41</v>
      </c>
      <c r="J402" t="s">
        <v>45</v>
      </c>
      <c r="K402" t="s">
        <v>156</v>
      </c>
      <c r="L402" t="s">
        <v>174</v>
      </c>
      <c r="M402">
        <v>1</v>
      </c>
      <c r="N402">
        <v>67.56</v>
      </c>
      <c r="O402">
        <v>67.56</v>
      </c>
      <c r="P402">
        <v>5</v>
      </c>
      <c r="Q402">
        <v>3.38</v>
      </c>
      <c r="R402">
        <v>64.180000000000007</v>
      </c>
      <c r="S402">
        <v>43.21</v>
      </c>
      <c r="T402">
        <v>20.97</v>
      </c>
      <c r="U402" t="s">
        <v>180</v>
      </c>
      <c r="V402" t="s">
        <v>159</v>
      </c>
      <c r="W402" t="s">
        <v>2097</v>
      </c>
      <c r="X402" t="s">
        <v>2086</v>
      </c>
      <c r="Y402">
        <v>231</v>
      </c>
      <c r="Z402">
        <v>646.24</v>
      </c>
      <c r="AA402">
        <v>148.61000000000001</v>
      </c>
      <c r="AB402" t="s">
        <v>66</v>
      </c>
      <c r="AC402" t="s">
        <v>16</v>
      </c>
      <c r="AD402" t="s">
        <v>2095</v>
      </c>
      <c r="AE402" t="s">
        <v>2121</v>
      </c>
    </row>
    <row r="403" spans="1:31">
      <c r="A403" t="s">
        <v>1046</v>
      </c>
      <c r="B403" s="1">
        <v>45158</v>
      </c>
      <c r="C403" t="s">
        <v>176</v>
      </c>
      <c r="D403">
        <v>2023</v>
      </c>
      <c r="E403" t="s">
        <v>169</v>
      </c>
      <c r="F403" t="s">
        <v>1047</v>
      </c>
      <c r="G403" t="s">
        <v>64</v>
      </c>
      <c r="H403" t="s">
        <v>65</v>
      </c>
      <c r="I403" t="s">
        <v>66</v>
      </c>
      <c r="J403" t="s">
        <v>67</v>
      </c>
      <c r="K403" t="s">
        <v>156</v>
      </c>
      <c r="L403" t="s">
        <v>179</v>
      </c>
      <c r="M403">
        <v>1</v>
      </c>
      <c r="N403">
        <v>24.9</v>
      </c>
      <c r="O403">
        <v>24.9</v>
      </c>
      <c r="P403">
        <v>0</v>
      </c>
      <c r="Q403">
        <v>0</v>
      </c>
      <c r="R403">
        <v>24.9</v>
      </c>
      <c r="S403">
        <v>21.52</v>
      </c>
      <c r="T403">
        <v>3.38</v>
      </c>
      <c r="U403" t="s">
        <v>190</v>
      </c>
      <c r="V403" t="s">
        <v>181</v>
      </c>
      <c r="W403" t="s">
        <v>2093</v>
      </c>
      <c r="X403" t="s">
        <v>2111</v>
      </c>
      <c r="Y403">
        <v>284</v>
      </c>
      <c r="Z403">
        <v>60.89</v>
      </c>
      <c r="AA403">
        <v>27.48</v>
      </c>
      <c r="AB403" t="s">
        <v>115</v>
      </c>
      <c r="AC403" t="s">
        <v>16</v>
      </c>
      <c r="AD403" t="s">
        <v>2087</v>
      </c>
      <c r="AE403" t="s">
        <v>2121</v>
      </c>
    </row>
    <row r="404" spans="1:31">
      <c r="A404" t="s">
        <v>1413</v>
      </c>
      <c r="B404" s="1">
        <v>45158</v>
      </c>
      <c r="C404" t="s">
        <v>176</v>
      </c>
      <c r="D404">
        <v>2023</v>
      </c>
      <c r="E404" t="s">
        <v>169</v>
      </c>
      <c r="F404" t="s">
        <v>1414</v>
      </c>
      <c r="G404" t="s">
        <v>76</v>
      </c>
      <c r="H404" t="s">
        <v>77</v>
      </c>
      <c r="I404" t="s">
        <v>66</v>
      </c>
      <c r="J404" t="s">
        <v>67</v>
      </c>
      <c r="K404" t="s">
        <v>164</v>
      </c>
      <c r="L404" t="s">
        <v>174</v>
      </c>
      <c r="M404">
        <v>3</v>
      </c>
      <c r="N404">
        <v>118.07</v>
      </c>
      <c r="O404">
        <v>354.21</v>
      </c>
      <c r="P404">
        <v>0</v>
      </c>
      <c r="Q404">
        <v>0</v>
      </c>
      <c r="R404">
        <v>354.21</v>
      </c>
      <c r="S404">
        <v>119.1</v>
      </c>
      <c r="T404">
        <v>235.11</v>
      </c>
      <c r="U404" t="s">
        <v>158</v>
      </c>
      <c r="V404" t="s">
        <v>159</v>
      </c>
      <c r="W404" t="s">
        <v>2090</v>
      </c>
      <c r="X404" t="s">
        <v>2086</v>
      </c>
      <c r="Y404">
        <v>349</v>
      </c>
      <c r="Z404">
        <v>228.74</v>
      </c>
      <c r="AA404">
        <v>90.37</v>
      </c>
      <c r="AB404" t="s">
        <v>115</v>
      </c>
      <c r="AC404" t="s">
        <v>20</v>
      </c>
      <c r="AD404" t="s">
        <v>2095</v>
      </c>
      <c r="AE404" t="s">
        <v>2109</v>
      </c>
    </row>
    <row r="405" spans="1:31">
      <c r="A405" t="s">
        <v>2012</v>
      </c>
      <c r="B405" s="1">
        <v>45157</v>
      </c>
      <c r="C405" t="s">
        <v>176</v>
      </c>
      <c r="D405">
        <v>2023</v>
      </c>
      <c r="E405" t="s">
        <v>169</v>
      </c>
      <c r="F405" t="s">
        <v>2013</v>
      </c>
      <c r="G405" t="s">
        <v>88</v>
      </c>
      <c r="H405" t="s">
        <v>89</v>
      </c>
      <c r="I405" t="s">
        <v>90</v>
      </c>
      <c r="J405" t="s">
        <v>91</v>
      </c>
      <c r="K405" t="s">
        <v>156</v>
      </c>
      <c r="L405" t="s">
        <v>157</v>
      </c>
      <c r="M405">
        <v>1</v>
      </c>
      <c r="N405">
        <v>54.64</v>
      </c>
      <c r="O405">
        <v>54.64</v>
      </c>
      <c r="P405">
        <v>20</v>
      </c>
      <c r="Q405">
        <v>10.93</v>
      </c>
      <c r="R405">
        <v>43.71</v>
      </c>
      <c r="S405">
        <v>20.32</v>
      </c>
      <c r="T405">
        <v>23.39</v>
      </c>
      <c r="U405" t="s">
        <v>195</v>
      </c>
      <c r="V405" t="s">
        <v>181</v>
      </c>
      <c r="W405" t="s">
        <v>2090</v>
      </c>
      <c r="X405" t="s">
        <v>2086</v>
      </c>
      <c r="Y405">
        <v>52</v>
      </c>
      <c r="Z405">
        <v>198.87</v>
      </c>
      <c r="AA405">
        <v>73.099999999999994</v>
      </c>
      <c r="AB405" t="s">
        <v>41</v>
      </c>
      <c r="AC405" t="s">
        <v>16</v>
      </c>
      <c r="AD405" t="s">
        <v>2106</v>
      </c>
      <c r="AE405" t="s">
        <v>2107</v>
      </c>
    </row>
    <row r="406" spans="1:31">
      <c r="A406" t="s">
        <v>472</v>
      </c>
      <c r="B406" s="1">
        <v>45157</v>
      </c>
      <c r="C406" t="s">
        <v>176</v>
      </c>
      <c r="D406">
        <v>2023</v>
      </c>
      <c r="E406" t="s">
        <v>169</v>
      </c>
      <c r="F406" t="s">
        <v>473</v>
      </c>
      <c r="G406" t="s">
        <v>28</v>
      </c>
      <c r="H406" t="s">
        <v>29</v>
      </c>
      <c r="I406" t="s">
        <v>14</v>
      </c>
      <c r="J406" t="s">
        <v>19</v>
      </c>
      <c r="K406" t="s">
        <v>178</v>
      </c>
      <c r="L406" t="s">
        <v>174</v>
      </c>
      <c r="M406">
        <v>2</v>
      </c>
      <c r="N406">
        <v>26.46</v>
      </c>
      <c r="O406">
        <v>52.92</v>
      </c>
      <c r="P406">
        <v>20</v>
      </c>
      <c r="Q406">
        <v>10.58</v>
      </c>
      <c r="R406">
        <v>42.34</v>
      </c>
      <c r="S406">
        <v>38.840000000000003</v>
      </c>
      <c r="T406">
        <v>3.5</v>
      </c>
      <c r="U406" t="s">
        <v>180</v>
      </c>
      <c r="V406" t="s">
        <v>159</v>
      </c>
      <c r="W406" t="s">
        <v>2099</v>
      </c>
      <c r="X406" t="s">
        <v>2086</v>
      </c>
      <c r="Y406">
        <v>69</v>
      </c>
      <c r="Z406">
        <v>87.65</v>
      </c>
      <c r="AA406">
        <v>85.8</v>
      </c>
      <c r="AB406" t="s">
        <v>14</v>
      </c>
      <c r="AC406" t="s">
        <v>20</v>
      </c>
      <c r="AD406" t="s">
        <v>2095</v>
      </c>
      <c r="AE406" t="s">
        <v>2121</v>
      </c>
    </row>
    <row r="407" spans="1:31">
      <c r="A407" t="s">
        <v>897</v>
      </c>
      <c r="B407" s="1">
        <v>45157</v>
      </c>
      <c r="C407" t="s">
        <v>176</v>
      </c>
      <c r="D407">
        <v>2023</v>
      </c>
      <c r="E407" t="s">
        <v>169</v>
      </c>
      <c r="F407" t="s">
        <v>199</v>
      </c>
      <c r="G407" t="s">
        <v>37</v>
      </c>
      <c r="H407" t="s">
        <v>38</v>
      </c>
      <c r="I407" t="s">
        <v>14</v>
      </c>
      <c r="J407" t="s">
        <v>27</v>
      </c>
      <c r="K407" t="s">
        <v>178</v>
      </c>
      <c r="L407" t="s">
        <v>204</v>
      </c>
      <c r="M407">
        <v>1</v>
      </c>
      <c r="N407">
        <v>133.99</v>
      </c>
      <c r="O407">
        <v>133.99</v>
      </c>
      <c r="P407">
        <v>0</v>
      </c>
      <c r="Q407">
        <v>0</v>
      </c>
      <c r="R407">
        <v>133.99</v>
      </c>
      <c r="S407">
        <v>73.489999999999995</v>
      </c>
      <c r="T407">
        <v>60.5</v>
      </c>
      <c r="U407" t="s">
        <v>158</v>
      </c>
      <c r="V407" t="s">
        <v>181</v>
      </c>
      <c r="W407" t="s">
        <v>2093</v>
      </c>
      <c r="X407" t="s">
        <v>2111</v>
      </c>
      <c r="Y407">
        <v>37</v>
      </c>
      <c r="Z407">
        <v>86.3</v>
      </c>
      <c r="AA407">
        <v>79.75</v>
      </c>
      <c r="AB407" t="s">
        <v>41</v>
      </c>
      <c r="AC407" t="s">
        <v>20</v>
      </c>
      <c r="AD407" t="s">
        <v>2106</v>
      </c>
      <c r="AE407" t="s">
        <v>2109</v>
      </c>
    </row>
    <row r="408" spans="1:31">
      <c r="A408" t="s">
        <v>981</v>
      </c>
      <c r="B408" s="1">
        <v>45156</v>
      </c>
      <c r="C408" t="s">
        <v>176</v>
      </c>
      <c r="D408">
        <v>2023</v>
      </c>
      <c r="E408" t="s">
        <v>169</v>
      </c>
      <c r="F408" t="s">
        <v>982</v>
      </c>
      <c r="G408" t="s">
        <v>95</v>
      </c>
      <c r="H408" t="s">
        <v>96</v>
      </c>
      <c r="I408" t="s">
        <v>90</v>
      </c>
      <c r="J408" t="s">
        <v>97</v>
      </c>
      <c r="K408" t="s">
        <v>156</v>
      </c>
      <c r="L408" t="s">
        <v>157</v>
      </c>
      <c r="M408">
        <v>2</v>
      </c>
      <c r="N408">
        <v>177.41</v>
      </c>
      <c r="O408">
        <v>354.82</v>
      </c>
      <c r="P408">
        <v>0</v>
      </c>
      <c r="Q408">
        <v>0</v>
      </c>
      <c r="R408">
        <v>354.82</v>
      </c>
      <c r="S408">
        <v>149.97999999999999</v>
      </c>
      <c r="T408">
        <v>204.84</v>
      </c>
      <c r="U408" t="s">
        <v>190</v>
      </c>
      <c r="V408" t="s">
        <v>159</v>
      </c>
      <c r="W408" t="s">
        <v>2090</v>
      </c>
      <c r="X408" t="s">
        <v>2111</v>
      </c>
      <c r="Y408">
        <v>66</v>
      </c>
      <c r="Z408">
        <v>171.18</v>
      </c>
      <c r="AA408">
        <v>44.07</v>
      </c>
      <c r="AB408" t="s">
        <v>90</v>
      </c>
      <c r="AC408" t="s">
        <v>16</v>
      </c>
      <c r="AD408" t="s">
        <v>2087</v>
      </c>
      <c r="AE408" t="s">
        <v>2088</v>
      </c>
    </row>
    <row r="409" spans="1:31">
      <c r="A409" t="s">
        <v>376</v>
      </c>
      <c r="B409" s="1">
        <v>45156</v>
      </c>
      <c r="C409" t="s">
        <v>176</v>
      </c>
      <c r="D409">
        <v>2023</v>
      </c>
      <c r="E409" t="s">
        <v>169</v>
      </c>
      <c r="F409" t="s">
        <v>377</v>
      </c>
      <c r="G409" t="s">
        <v>33</v>
      </c>
      <c r="H409" t="s">
        <v>34</v>
      </c>
      <c r="I409" t="s">
        <v>14</v>
      </c>
      <c r="J409" t="s">
        <v>27</v>
      </c>
      <c r="K409" t="s">
        <v>178</v>
      </c>
      <c r="L409" t="s">
        <v>232</v>
      </c>
      <c r="M409">
        <v>1</v>
      </c>
      <c r="N409">
        <v>124.26</v>
      </c>
      <c r="O409">
        <v>124.26</v>
      </c>
      <c r="P409">
        <v>5</v>
      </c>
      <c r="Q409">
        <v>6.21</v>
      </c>
      <c r="R409">
        <v>118.05</v>
      </c>
      <c r="S409">
        <v>52.62</v>
      </c>
      <c r="T409">
        <v>65.430000000000007</v>
      </c>
      <c r="U409" t="s">
        <v>166</v>
      </c>
      <c r="V409" t="s">
        <v>159</v>
      </c>
      <c r="W409" t="s">
        <v>2097</v>
      </c>
      <c r="X409" t="s">
        <v>2108</v>
      </c>
      <c r="Y409">
        <v>289</v>
      </c>
      <c r="Z409">
        <v>221.13</v>
      </c>
      <c r="AA409">
        <v>115.22</v>
      </c>
      <c r="AB409" t="s">
        <v>41</v>
      </c>
      <c r="AC409" t="s">
        <v>20</v>
      </c>
      <c r="AD409" t="s">
        <v>2087</v>
      </c>
      <c r="AE409" t="s">
        <v>2096</v>
      </c>
    </row>
    <row r="410" spans="1:31">
      <c r="A410" t="s">
        <v>1644</v>
      </c>
      <c r="B410" s="1">
        <v>45155</v>
      </c>
      <c r="C410" t="s">
        <v>176</v>
      </c>
      <c r="D410">
        <v>2023</v>
      </c>
      <c r="E410" t="s">
        <v>169</v>
      </c>
      <c r="F410" t="s">
        <v>1645</v>
      </c>
      <c r="G410" t="s">
        <v>98</v>
      </c>
      <c r="H410" t="s">
        <v>99</v>
      </c>
      <c r="I410" t="s">
        <v>90</v>
      </c>
      <c r="J410" t="s">
        <v>100</v>
      </c>
      <c r="K410" t="s">
        <v>156</v>
      </c>
      <c r="L410" t="s">
        <v>165</v>
      </c>
      <c r="M410">
        <v>1</v>
      </c>
      <c r="N410">
        <v>194.87</v>
      </c>
      <c r="O410">
        <v>194.87</v>
      </c>
      <c r="P410">
        <v>15</v>
      </c>
      <c r="Q410">
        <v>29.23</v>
      </c>
      <c r="R410">
        <v>165.64</v>
      </c>
      <c r="S410">
        <v>78.790000000000006</v>
      </c>
      <c r="T410">
        <v>86.85</v>
      </c>
      <c r="U410" t="s">
        <v>195</v>
      </c>
      <c r="V410" t="s">
        <v>159</v>
      </c>
      <c r="W410" t="s">
        <v>2099</v>
      </c>
      <c r="X410" t="s">
        <v>2111</v>
      </c>
      <c r="Y410">
        <v>146</v>
      </c>
      <c r="Z410">
        <v>149.88</v>
      </c>
      <c r="AA410">
        <v>96.86</v>
      </c>
      <c r="AB410" t="s">
        <v>90</v>
      </c>
      <c r="AC410" t="s">
        <v>16</v>
      </c>
      <c r="AD410" t="s">
        <v>2087</v>
      </c>
      <c r="AE410" t="s">
        <v>2088</v>
      </c>
    </row>
    <row r="411" spans="1:31">
      <c r="A411" t="s">
        <v>507</v>
      </c>
      <c r="B411" s="1">
        <v>45155</v>
      </c>
      <c r="C411" t="s">
        <v>176</v>
      </c>
      <c r="D411">
        <v>2023</v>
      </c>
      <c r="E411" t="s">
        <v>169</v>
      </c>
      <c r="F411" t="s">
        <v>508</v>
      </c>
      <c r="G411" t="s">
        <v>39</v>
      </c>
      <c r="H411" t="s">
        <v>40</v>
      </c>
      <c r="I411" t="s">
        <v>41</v>
      </c>
      <c r="J411" t="s">
        <v>42</v>
      </c>
      <c r="K411" t="s">
        <v>178</v>
      </c>
      <c r="L411" t="s">
        <v>232</v>
      </c>
      <c r="M411">
        <v>4</v>
      </c>
      <c r="N411">
        <v>35.11</v>
      </c>
      <c r="O411">
        <v>140.44</v>
      </c>
      <c r="P411">
        <v>0</v>
      </c>
      <c r="Q411">
        <v>0</v>
      </c>
      <c r="R411">
        <v>140.44</v>
      </c>
      <c r="S411">
        <v>99.48</v>
      </c>
      <c r="T411">
        <v>40.96</v>
      </c>
      <c r="U411" t="s">
        <v>180</v>
      </c>
      <c r="V411" t="s">
        <v>159</v>
      </c>
      <c r="W411" t="s">
        <v>2099</v>
      </c>
      <c r="X411" t="s">
        <v>2094</v>
      </c>
      <c r="Y411">
        <v>79</v>
      </c>
      <c r="Z411">
        <v>135.91</v>
      </c>
      <c r="AA411">
        <v>80.75</v>
      </c>
      <c r="AB411" t="s">
        <v>66</v>
      </c>
      <c r="AC411" t="s">
        <v>16</v>
      </c>
      <c r="AD411" t="s">
        <v>2106</v>
      </c>
      <c r="AE411" t="s">
        <v>2096</v>
      </c>
    </row>
    <row r="412" spans="1:31">
      <c r="A412" t="s">
        <v>1627</v>
      </c>
      <c r="B412" s="1">
        <v>45155</v>
      </c>
      <c r="C412" t="s">
        <v>176</v>
      </c>
      <c r="D412">
        <v>2023</v>
      </c>
      <c r="E412" t="s">
        <v>169</v>
      </c>
      <c r="F412" t="s">
        <v>1628</v>
      </c>
      <c r="G412" t="s">
        <v>131</v>
      </c>
      <c r="H412" t="s">
        <v>132</v>
      </c>
      <c r="I412" t="s">
        <v>115</v>
      </c>
      <c r="J412" t="s">
        <v>119</v>
      </c>
      <c r="K412" t="s">
        <v>156</v>
      </c>
      <c r="L412" t="s">
        <v>194</v>
      </c>
      <c r="M412">
        <v>2</v>
      </c>
      <c r="N412">
        <v>75.69</v>
      </c>
      <c r="O412">
        <v>151.38</v>
      </c>
      <c r="P412">
        <v>15</v>
      </c>
      <c r="Q412">
        <v>22.71</v>
      </c>
      <c r="R412">
        <v>128.66999999999999</v>
      </c>
      <c r="S412">
        <v>71.260000000000005</v>
      </c>
      <c r="T412">
        <v>57.41</v>
      </c>
      <c r="U412" t="s">
        <v>190</v>
      </c>
      <c r="V412" t="s">
        <v>186</v>
      </c>
      <c r="W412" t="s">
        <v>2113</v>
      </c>
      <c r="X412" t="s">
        <v>2091</v>
      </c>
      <c r="Y412">
        <v>27</v>
      </c>
      <c r="Z412">
        <v>107.1</v>
      </c>
      <c r="AA412">
        <v>44.1</v>
      </c>
      <c r="AB412" t="s">
        <v>41</v>
      </c>
      <c r="AC412" t="s">
        <v>16</v>
      </c>
      <c r="AD412" t="s">
        <v>2087</v>
      </c>
      <c r="AE412" t="s">
        <v>2107</v>
      </c>
    </row>
    <row r="413" spans="1:31">
      <c r="A413" t="s">
        <v>1780</v>
      </c>
      <c r="B413" s="1">
        <v>45154</v>
      </c>
      <c r="C413" t="s">
        <v>176</v>
      </c>
      <c r="D413">
        <v>2023</v>
      </c>
      <c r="E413" t="s">
        <v>169</v>
      </c>
      <c r="F413" t="s">
        <v>1781</v>
      </c>
      <c r="G413" t="s">
        <v>28</v>
      </c>
      <c r="H413" t="s">
        <v>29</v>
      </c>
      <c r="I413" t="s">
        <v>14</v>
      </c>
      <c r="J413" t="s">
        <v>19</v>
      </c>
      <c r="K413" t="s">
        <v>164</v>
      </c>
      <c r="L413" t="s">
        <v>179</v>
      </c>
      <c r="M413">
        <v>2</v>
      </c>
      <c r="N413">
        <v>26.46</v>
      </c>
      <c r="O413">
        <v>52.92</v>
      </c>
      <c r="P413">
        <v>15</v>
      </c>
      <c r="Q413">
        <v>7.94</v>
      </c>
      <c r="R413">
        <v>44.98</v>
      </c>
      <c r="S413">
        <v>38.840000000000003</v>
      </c>
      <c r="T413">
        <v>6.14</v>
      </c>
      <c r="U413" t="s">
        <v>180</v>
      </c>
      <c r="V413" t="s">
        <v>159</v>
      </c>
      <c r="W413" t="s">
        <v>2090</v>
      </c>
      <c r="X413" t="s">
        <v>2086</v>
      </c>
      <c r="Y413">
        <v>297</v>
      </c>
      <c r="Z413">
        <v>319.49</v>
      </c>
      <c r="AA413">
        <v>116.08</v>
      </c>
      <c r="AB413" t="s">
        <v>14</v>
      </c>
      <c r="AC413" t="s">
        <v>16</v>
      </c>
      <c r="AD413" t="s">
        <v>2087</v>
      </c>
      <c r="AE413" t="s">
        <v>2096</v>
      </c>
    </row>
    <row r="414" spans="1:31">
      <c r="A414" t="s">
        <v>1325</v>
      </c>
      <c r="B414" s="1">
        <v>45154</v>
      </c>
      <c r="C414" t="s">
        <v>176</v>
      </c>
      <c r="D414">
        <v>2023</v>
      </c>
      <c r="E414" t="s">
        <v>169</v>
      </c>
      <c r="F414" t="s">
        <v>1326</v>
      </c>
      <c r="G414" t="s">
        <v>117</v>
      </c>
      <c r="H414" t="s">
        <v>118</v>
      </c>
      <c r="I414" t="s">
        <v>115</v>
      </c>
      <c r="J414" t="s">
        <v>119</v>
      </c>
      <c r="K414" t="s">
        <v>178</v>
      </c>
      <c r="L414" t="s">
        <v>165</v>
      </c>
      <c r="M414">
        <v>4</v>
      </c>
      <c r="N414">
        <v>93.41</v>
      </c>
      <c r="O414">
        <v>373.64</v>
      </c>
      <c r="P414">
        <v>0</v>
      </c>
      <c r="Q414">
        <v>0</v>
      </c>
      <c r="R414">
        <v>373.64</v>
      </c>
      <c r="S414">
        <v>256.2</v>
      </c>
      <c r="T414">
        <v>117.44</v>
      </c>
      <c r="U414" t="s">
        <v>166</v>
      </c>
      <c r="V414" t="s">
        <v>181</v>
      </c>
      <c r="W414" t="s">
        <v>2090</v>
      </c>
      <c r="X414" t="s">
        <v>2100</v>
      </c>
      <c r="Y414">
        <v>303</v>
      </c>
      <c r="Z414">
        <v>386.97</v>
      </c>
      <c r="AA414">
        <v>108.14</v>
      </c>
      <c r="AB414" t="s">
        <v>66</v>
      </c>
      <c r="AC414" t="s">
        <v>16</v>
      </c>
      <c r="AD414" t="s">
        <v>2087</v>
      </c>
      <c r="AE414" t="s">
        <v>2096</v>
      </c>
    </row>
    <row r="415" spans="1:31">
      <c r="A415" t="s">
        <v>362</v>
      </c>
      <c r="B415" s="1">
        <v>45154</v>
      </c>
      <c r="C415" t="s">
        <v>176</v>
      </c>
      <c r="D415">
        <v>2023</v>
      </c>
      <c r="E415" t="s">
        <v>169</v>
      </c>
      <c r="F415" t="s">
        <v>363</v>
      </c>
      <c r="G415" t="s">
        <v>21</v>
      </c>
      <c r="H415" t="s">
        <v>22</v>
      </c>
      <c r="I415" t="s">
        <v>14</v>
      </c>
      <c r="J415" t="s">
        <v>15</v>
      </c>
      <c r="K415" t="s">
        <v>156</v>
      </c>
      <c r="L415" t="s">
        <v>179</v>
      </c>
      <c r="M415">
        <v>3</v>
      </c>
      <c r="N415">
        <v>65.430000000000007</v>
      </c>
      <c r="O415">
        <v>196.29000000000002</v>
      </c>
      <c r="P415">
        <v>0</v>
      </c>
      <c r="Q415">
        <v>0</v>
      </c>
      <c r="R415">
        <v>196.29</v>
      </c>
      <c r="S415">
        <v>116.07</v>
      </c>
      <c r="T415">
        <v>80.22</v>
      </c>
      <c r="U415" t="s">
        <v>195</v>
      </c>
      <c r="V415" t="s">
        <v>159</v>
      </c>
      <c r="W415" t="s">
        <v>2097</v>
      </c>
      <c r="X415" t="s">
        <v>2086</v>
      </c>
      <c r="Y415">
        <v>68</v>
      </c>
      <c r="Z415">
        <v>704.41</v>
      </c>
      <c r="AA415">
        <v>121.05</v>
      </c>
      <c r="AB415" t="s">
        <v>14</v>
      </c>
      <c r="AC415" t="s">
        <v>16</v>
      </c>
      <c r="AD415" t="s">
        <v>2106</v>
      </c>
      <c r="AE415" t="s">
        <v>2096</v>
      </c>
    </row>
    <row r="416" spans="1:31">
      <c r="A416" t="s">
        <v>2051</v>
      </c>
      <c r="B416" s="1">
        <v>45153</v>
      </c>
      <c r="C416" t="s">
        <v>176</v>
      </c>
      <c r="D416">
        <v>2023</v>
      </c>
      <c r="E416" t="s">
        <v>169</v>
      </c>
      <c r="F416" t="s">
        <v>2052</v>
      </c>
      <c r="G416" t="s">
        <v>98</v>
      </c>
      <c r="H416" t="s">
        <v>99</v>
      </c>
      <c r="I416" t="s">
        <v>90</v>
      </c>
      <c r="J416" t="s">
        <v>100</v>
      </c>
      <c r="K416" t="s">
        <v>209</v>
      </c>
      <c r="L416" t="s">
        <v>165</v>
      </c>
      <c r="M416">
        <v>3</v>
      </c>
      <c r="N416">
        <v>194.87</v>
      </c>
      <c r="O416">
        <v>584.61</v>
      </c>
      <c r="P416">
        <v>0</v>
      </c>
      <c r="Q416">
        <v>0</v>
      </c>
      <c r="R416">
        <v>584.61</v>
      </c>
      <c r="S416">
        <v>236.37</v>
      </c>
      <c r="T416">
        <v>348.24</v>
      </c>
      <c r="U416" t="s">
        <v>166</v>
      </c>
      <c r="V416" t="s">
        <v>159</v>
      </c>
      <c r="W416" t="s">
        <v>2099</v>
      </c>
      <c r="X416" t="s">
        <v>2100</v>
      </c>
      <c r="Y416">
        <v>270</v>
      </c>
      <c r="Z416">
        <v>112.07</v>
      </c>
      <c r="AA416">
        <v>59.62</v>
      </c>
      <c r="AB416" t="s">
        <v>66</v>
      </c>
      <c r="AC416" t="s">
        <v>20</v>
      </c>
      <c r="AD416" t="s">
        <v>2106</v>
      </c>
      <c r="AE416" t="s">
        <v>2096</v>
      </c>
    </row>
    <row r="417" spans="1:31">
      <c r="A417" t="s">
        <v>1365</v>
      </c>
      <c r="B417" s="1">
        <v>45153</v>
      </c>
      <c r="C417" t="s">
        <v>176</v>
      </c>
      <c r="D417">
        <v>2023</v>
      </c>
      <c r="E417" t="s">
        <v>169</v>
      </c>
      <c r="F417" t="s">
        <v>1366</v>
      </c>
      <c r="G417" t="s">
        <v>33</v>
      </c>
      <c r="H417" t="s">
        <v>34</v>
      </c>
      <c r="I417" t="s">
        <v>14</v>
      </c>
      <c r="J417" t="s">
        <v>27</v>
      </c>
      <c r="K417" t="s">
        <v>209</v>
      </c>
      <c r="L417" t="s">
        <v>157</v>
      </c>
      <c r="M417">
        <v>2</v>
      </c>
      <c r="N417">
        <v>124.26</v>
      </c>
      <c r="O417">
        <v>248.52</v>
      </c>
      <c r="P417">
        <v>5</v>
      </c>
      <c r="Q417">
        <v>12.43</v>
      </c>
      <c r="R417">
        <v>236.09</v>
      </c>
      <c r="S417">
        <v>105.24</v>
      </c>
      <c r="T417">
        <v>130.85</v>
      </c>
      <c r="U417" t="s">
        <v>180</v>
      </c>
      <c r="V417" t="s">
        <v>159</v>
      </c>
      <c r="W417" t="s">
        <v>2090</v>
      </c>
      <c r="X417" t="s">
        <v>2094</v>
      </c>
      <c r="Y417">
        <v>132</v>
      </c>
      <c r="Z417">
        <v>390.88</v>
      </c>
      <c r="AA417">
        <v>49.42</v>
      </c>
      <c r="AB417" t="s">
        <v>14</v>
      </c>
      <c r="AC417" t="s">
        <v>20</v>
      </c>
      <c r="AD417" t="s">
        <v>2106</v>
      </c>
      <c r="AE417" t="s">
        <v>2121</v>
      </c>
    </row>
    <row r="418" spans="1:31">
      <c r="A418" t="s">
        <v>1281</v>
      </c>
      <c r="B418" s="1">
        <v>45153</v>
      </c>
      <c r="C418" t="s">
        <v>176</v>
      </c>
      <c r="D418">
        <v>2023</v>
      </c>
      <c r="E418" t="s">
        <v>169</v>
      </c>
      <c r="F418" t="s">
        <v>1282</v>
      </c>
      <c r="G418" t="s">
        <v>55</v>
      </c>
      <c r="H418" t="s">
        <v>56</v>
      </c>
      <c r="I418" t="s">
        <v>41</v>
      </c>
      <c r="J418" t="s">
        <v>45</v>
      </c>
      <c r="K418" t="s">
        <v>164</v>
      </c>
      <c r="L418" t="s">
        <v>232</v>
      </c>
      <c r="M418">
        <v>3</v>
      </c>
      <c r="N418">
        <v>205.4</v>
      </c>
      <c r="O418">
        <v>616.20000000000005</v>
      </c>
      <c r="P418">
        <v>15</v>
      </c>
      <c r="Q418">
        <v>92.43</v>
      </c>
      <c r="R418">
        <v>523.77</v>
      </c>
      <c r="S418">
        <v>212.7</v>
      </c>
      <c r="T418">
        <v>311.07</v>
      </c>
      <c r="U418" t="s">
        <v>180</v>
      </c>
      <c r="V418" t="s">
        <v>159</v>
      </c>
      <c r="W418" t="s">
        <v>2099</v>
      </c>
      <c r="X418" t="s">
        <v>2091</v>
      </c>
      <c r="Y418">
        <v>283</v>
      </c>
      <c r="Z418">
        <v>83.69</v>
      </c>
      <c r="AA418">
        <v>49.95</v>
      </c>
      <c r="AB418" t="s">
        <v>66</v>
      </c>
      <c r="AC418" t="s">
        <v>16</v>
      </c>
      <c r="AD418" t="s">
        <v>2106</v>
      </c>
      <c r="AE418" t="s">
        <v>2107</v>
      </c>
    </row>
    <row r="419" spans="1:31">
      <c r="A419" t="s">
        <v>265</v>
      </c>
      <c r="B419" s="1">
        <v>45153</v>
      </c>
      <c r="C419" t="s">
        <v>176</v>
      </c>
      <c r="D419">
        <v>2023</v>
      </c>
      <c r="E419" t="s">
        <v>169</v>
      </c>
      <c r="F419" t="s">
        <v>266</v>
      </c>
      <c r="G419" t="s">
        <v>50</v>
      </c>
      <c r="H419" t="s">
        <v>51</v>
      </c>
      <c r="I419" t="s">
        <v>41</v>
      </c>
      <c r="J419" t="s">
        <v>52</v>
      </c>
      <c r="K419" t="s">
        <v>164</v>
      </c>
      <c r="L419" t="s">
        <v>194</v>
      </c>
      <c r="M419">
        <v>4</v>
      </c>
      <c r="N419">
        <v>143.80000000000001</v>
      </c>
      <c r="O419">
        <v>575.20000000000005</v>
      </c>
      <c r="P419">
        <v>5</v>
      </c>
      <c r="Q419">
        <v>28.76</v>
      </c>
      <c r="R419">
        <v>546.44000000000005</v>
      </c>
      <c r="S419">
        <v>248.6</v>
      </c>
      <c r="T419">
        <v>297.83999999999997</v>
      </c>
      <c r="U419" t="s">
        <v>166</v>
      </c>
      <c r="V419" t="s">
        <v>181</v>
      </c>
      <c r="W419" t="s">
        <v>2113</v>
      </c>
      <c r="X419" t="s">
        <v>2108</v>
      </c>
      <c r="Y419">
        <v>95</v>
      </c>
      <c r="Z419">
        <v>324.31</v>
      </c>
      <c r="AA419">
        <v>32.74</v>
      </c>
      <c r="AB419" t="s">
        <v>14</v>
      </c>
      <c r="AC419" t="s">
        <v>16</v>
      </c>
      <c r="AD419" t="s">
        <v>2087</v>
      </c>
      <c r="AE419" t="s">
        <v>2121</v>
      </c>
    </row>
    <row r="420" spans="1:31">
      <c r="A420" t="s">
        <v>1967</v>
      </c>
      <c r="B420" s="1">
        <v>45153</v>
      </c>
      <c r="C420" t="s">
        <v>176</v>
      </c>
      <c r="D420">
        <v>2023</v>
      </c>
      <c r="E420" t="s">
        <v>169</v>
      </c>
      <c r="F420" t="s">
        <v>1968</v>
      </c>
      <c r="G420" t="s">
        <v>33</v>
      </c>
      <c r="H420" t="s">
        <v>34</v>
      </c>
      <c r="I420" t="s">
        <v>14</v>
      </c>
      <c r="J420" t="s">
        <v>27</v>
      </c>
      <c r="K420" t="s">
        <v>164</v>
      </c>
      <c r="L420" t="s">
        <v>204</v>
      </c>
      <c r="M420">
        <v>4</v>
      </c>
      <c r="N420">
        <v>124.26</v>
      </c>
      <c r="O420">
        <v>497.04</v>
      </c>
      <c r="P420">
        <v>0</v>
      </c>
      <c r="Q420">
        <v>0</v>
      </c>
      <c r="R420">
        <v>497.04</v>
      </c>
      <c r="S420">
        <v>210.48</v>
      </c>
      <c r="T420">
        <v>286.56</v>
      </c>
      <c r="U420" t="s">
        <v>180</v>
      </c>
      <c r="V420" t="s">
        <v>159</v>
      </c>
      <c r="W420" t="s">
        <v>2097</v>
      </c>
      <c r="X420" t="s">
        <v>2100</v>
      </c>
      <c r="Y420">
        <v>11</v>
      </c>
      <c r="Z420">
        <v>791.19</v>
      </c>
      <c r="AA420">
        <v>142.30000000000001</v>
      </c>
      <c r="AB420" t="s">
        <v>90</v>
      </c>
      <c r="AC420" t="s">
        <v>16</v>
      </c>
      <c r="AD420" t="s">
        <v>2095</v>
      </c>
      <c r="AE420" t="s">
        <v>2109</v>
      </c>
    </row>
    <row r="421" spans="1:31">
      <c r="A421" t="s">
        <v>330</v>
      </c>
      <c r="B421" s="1">
        <v>45153</v>
      </c>
      <c r="C421" t="s">
        <v>176</v>
      </c>
      <c r="D421">
        <v>2023</v>
      </c>
      <c r="E421" t="s">
        <v>169</v>
      </c>
      <c r="F421" t="s">
        <v>331</v>
      </c>
      <c r="G421" t="s">
        <v>122</v>
      </c>
      <c r="H421" t="s">
        <v>123</v>
      </c>
      <c r="I421" t="s">
        <v>115</v>
      </c>
      <c r="J421" t="s">
        <v>124</v>
      </c>
      <c r="K421" t="s">
        <v>178</v>
      </c>
      <c r="L421" t="s">
        <v>232</v>
      </c>
      <c r="M421">
        <v>2</v>
      </c>
      <c r="N421">
        <v>93.88</v>
      </c>
      <c r="O421">
        <v>187.76</v>
      </c>
      <c r="P421">
        <v>0</v>
      </c>
      <c r="Q421">
        <v>0</v>
      </c>
      <c r="R421">
        <v>187.76</v>
      </c>
      <c r="S421">
        <v>106.22</v>
      </c>
      <c r="T421">
        <v>81.540000000000006</v>
      </c>
      <c r="U421" t="s">
        <v>195</v>
      </c>
      <c r="V421" t="s">
        <v>186</v>
      </c>
      <c r="W421" t="s">
        <v>2093</v>
      </c>
      <c r="X421" t="s">
        <v>2091</v>
      </c>
      <c r="Y421">
        <v>7</v>
      </c>
      <c r="Z421">
        <v>177.93</v>
      </c>
      <c r="AA421">
        <v>51.25</v>
      </c>
      <c r="AB421" t="s">
        <v>14</v>
      </c>
      <c r="AC421" t="s">
        <v>16</v>
      </c>
      <c r="AD421" t="s">
        <v>2095</v>
      </c>
      <c r="AE421" t="s">
        <v>2096</v>
      </c>
    </row>
    <row r="422" spans="1:31">
      <c r="A422" t="s">
        <v>1475</v>
      </c>
      <c r="B422" s="1">
        <v>45153</v>
      </c>
      <c r="C422" t="s">
        <v>176</v>
      </c>
      <c r="D422">
        <v>2023</v>
      </c>
      <c r="E422" t="s">
        <v>169</v>
      </c>
      <c r="F422" t="s">
        <v>426</v>
      </c>
      <c r="G422" t="s">
        <v>80</v>
      </c>
      <c r="H422" t="s">
        <v>81</v>
      </c>
      <c r="I422" t="s">
        <v>66</v>
      </c>
      <c r="J422" t="s">
        <v>70</v>
      </c>
      <c r="K422" t="s">
        <v>178</v>
      </c>
      <c r="L422" t="s">
        <v>157</v>
      </c>
      <c r="M422">
        <v>4</v>
      </c>
      <c r="N422">
        <v>106.06</v>
      </c>
      <c r="O422">
        <v>424.24</v>
      </c>
      <c r="P422">
        <v>0</v>
      </c>
      <c r="Q422">
        <v>0</v>
      </c>
      <c r="R422">
        <v>424.24</v>
      </c>
      <c r="S422">
        <v>133.68</v>
      </c>
      <c r="T422">
        <v>290.56</v>
      </c>
      <c r="U422" t="s">
        <v>190</v>
      </c>
      <c r="V422" t="s">
        <v>159</v>
      </c>
      <c r="W422" t="s">
        <v>2099</v>
      </c>
      <c r="X422" t="s">
        <v>2108</v>
      </c>
      <c r="Y422">
        <v>113</v>
      </c>
      <c r="Z422">
        <v>57.97</v>
      </c>
      <c r="AA422">
        <v>96.79</v>
      </c>
      <c r="AB422" t="s">
        <v>90</v>
      </c>
      <c r="AC422" t="s">
        <v>20</v>
      </c>
      <c r="AD422" t="s">
        <v>2095</v>
      </c>
      <c r="AE422" t="s">
        <v>2107</v>
      </c>
    </row>
    <row r="423" spans="1:31">
      <c r="A423" t="s">
        <v>433</v>
      </c>
      <c r="B423" s="1">
        <v>45152</v>
      </c>
      <c r="C423" t="s">
        <v>176</v>
      </c>
      <c r="D423">
        <v>2023</v>
      </c>
      <c r="E423" t="s">
        <v>169</v>
      </c>
      <c r="F423" t="s">
        <v>434</v>
      </c>
      <c r="G423" t="s">
        <v>64</v>
      </c>
      <c r="H423" t="s">
        <v>65</v>
      </c>
      <c r="I423" t="s">
        <v>66</v>
      </c>
      <c r="J423" t="s">
        <v>67</v>
      </c>
      <c r="K423" t="s">
        <v>164</v>
      </c>
      <c r="L423" t="s">
        <v>204</v>
      </c>
      <c r="M423">
        <v>3</v>
      </c>
      <c r="N423">
        <v>24.9</v>
      </c>
      <c r="O423">
        <v>74.699999999999989</v>
      </c>
      <c r="P423">
        <v>0</v>
      </c>
      <c r="Q423">
        <v>0</v>
      </c>
      <c r="R423">
        <v>74.7</v>
      </c>
      <c r="S423">
        <v>64.56</v>
      </c>
      <c r="T423">
        <v>10.14</v>
      </c>
      <c r="U423" t="s">
        <v>195</v>
      </c>
      <c r="V423" t="s">
        <v>159</v>
      </c>
      <c r="W423" t="s">
        <v>2085</v>
      </c>
      <c r="X423" t="s">
        <v>2091</v>
      </c>
      <c r="Y423">
        <v>181</v>
      </c>
      <c r="Z423">
        <v>2070.69</v>
      </c>
      <c r="AA423">
        <v>239.16</v>
      </c>
      <c r="AB423" t="s">
        <v>14</v>
      </c>
      <c r="AC423" t="s">
        <v>16</v>
      </c>
      <c r="AD423" t="s">
        <v>2087</v>
      </c>
      <c r="AE423" t="s">
        <v>2121</v>
      </c>
    </row>
    <row r="424" spans="1:31">
      <c r="A424" t="s">
        <v>1909</v>
      </c>
      <c r="B424" s="1">
        <v>45152</v>
      </c>
      <c r="C424" t="s">
        <v>176</v>
      </c>
      <c r="D424">
        <v>2023</v>
      </c>
      <c r="E424" t="s">
        <v>169</v>
      </c>
      <c r="F424" t="s">
        <v>1910</v>
      </c>
      <c r="G424" t="s">
        <v>43</v>
      </c>
      <c r="H424" t="s">
        <v>44</v>
      </c>
      <c r="I424" t="s">
        <v>41</v>
      </c>
      <c r="J424" t="s">
        <v>45</v>
      </c>
      <c r="K424" t="s">
        <v>178</v>
      </c>
      <c r="L424" t="s">
        <v>179</v>
      </c>
      <c r="M424">
        <v>2</v>
      </c>
      <c r="N424">
        <v>67.56</v>
      </c>
      <c r="O424">
        <v>135.12</v>
      </c>
      <c r="P424">
        <v>0</v>
      </c>
      <c r="Q424">
        <v>0</v>
      </c>
      <c r="R424">
        <v>135.12</v>
      </c>
      <c r="S424">
        <v>86.42</v>
      </c>
      <c r="T424">
        <v>48.7</v>
      </c>
      <c r="U424" t="s">
        <v>166</v>
      </c>
      <c r="V424" t="s">
        <v>159</v>
      </c>
      <c r="W424" t="s">
        <v>2085</v>
      </c>
      <c r="X424" t="s">
        <v>2111</v>
      </c>
      <c r="Y424">
        <v>92</v>
      </c>
      <c r="Z424">
        <v>2231.96</v>
      </c>
      <c r="AA424">
        <v>193.74</v>
      </c>
      <c r="AB424" t="s">
        <v>66</v>
      </c>
      <c r="AC424" t="s">
        <v>16</v>
      </c>
      <c r="AD424" t="s">
        <v>2087</v>
      </c>
      <c r="AE424" t="s">
        <v>2121</v>
      </c>
    </row>
    <row r="425" spans="1:31">
      <c r="A425" t="s">
        <v>1563</v>
      </c>
      <c r="B425" s="1">
        <v>45152</v>
      </c>
      <c r="C425" t="s">
        <v>176</v>
      </c>
      <c r="D425">
        <v>2023</v>
      </c>
      <c r="E425" t="s">
        <v>169</v>
      </c>
      <c r="F425" t="s">
        <v>1187</v>
      </c>
      <c r="G425" t="s">
        <v>101</v>
      </c>
      <c r="H425" t="s">
        <v>102</v>
      </c>
      <c r="I425" t="s">
        <v>90</v>
      </c>
      <c r="J425" t="s">
        <v>100</v>
      </c>
      <c r="K425" t="s">
        <v>209</v>
      </c>
      <c r="L425" t="s">
        <v>194</v>
      </c>
      <c r="M425">
        <v>3</v>
      </c>
      <c r="N425">
        <v>196.28</v>
      </c>
      <c r="O425">
        <v>588.84</v>
      </c>
      <c r="P425">
        <v>20</v>
      </c>
      <c r="Q425">
        <v>117.77</v>
      </c>
      <c r="R425">
        <v>471.07</v>
      </c>
      <c r="S425">
        <v>215.19</v>
      </c>
      <c r="T425">
        <v>255.88</v>
      </c>
      <c r="U425" t="s">
        <v>190</v>
      </c>
      <c r="V425" t="s">
        <v>159</v>
      </c>
      <c r="W425" t="s">
        <v>2097</v>
      </c>
      <c r="X425" t="s">
        <v>2100</v>
      </c>
      <c r="Y425">
        <v>22</v>
      </c>
      <c r="Z425">
        <v>683.03</v>
      </c>
      <c r="AA425">
        <v>85.37</v>
      </c>
      <c r="AB425" t="s">
        <v>115</v>
      </c>
      <c r="AC425" t="s">
        <v>16</v>
      </c>
      <c r="AD425" t="s">
        <v>2095</v>
      </c>
      <c r="AE425" t="s">
        <v>2109</v>
      </c>
    </row>
    <row r="426" spans="1:31">
      <c r="A426" t="s">
        <v>549</v>
      </c>
      <c r="B426" s="1">
        <v>45152</v>
      </c>
      <c r="C426" t="s">
        <v>176</v>
      </c>
      <c r="D426">
        <v>2023</v>
      </c>
      <c r="E426" t="s">
        <v>169</v>
      </c>
      <c r="F426" t="s">
        <v>550</v>
      </c>
      <c r="G426" t="s">
        <v>125</v>
      </c>
      <c r="H426" t="s">
        <v>126</v>
      </c>
      <c r="I426" t="s">
        <v>115</v>
      </c>
      <c r="J426" t="s">
        <v>116</v>
      </c>
      <c r="K426" t="s">
        <v>164</v>
      </c>
      <c r="L426" t="s">
        <v>204</v>
      </c>
      <c r="M426">
        <v>1</v>
      </c>
      <c r="N426">
        <v>144.94999999999999</v>
      </c>
      <c r="O426">
        <v>144.94999999999999</v>
      </c>
      <c r="P426">
        <v>0</v>
      </c>
      <c r="Q426">
        <v>0</v>
      </c>
      <c r="R426">
        <v>144.94999999999999</v>
      </c>
      <c r="S426">
        <v>77.19</v>
      </c>
      <c r="T426">
        <v>67.760000000000005</v>
      </c>
      <c r="U426" t="s">
        <v>190</v>
      </c>
      <c r="V426" t="s">
        <v>159</v>
      </c>
      <c r="W426" t="s">
        <v>2113</v>
      </c>
      <c r="X426" t="s">
        <v>2086</v>
      </c>
      <c r="Y426">
        <v>168</v>
      </c>
      <c r="Z426">
        <v>235.97</v>
      </c>
      <c r="AA426">
        <v>33.19</v>
      </c>
      <c r="AB426" t="s">
        <v>66</v>
      </c>
      <c r="AC426" t="s">
        <v>16</v>
      </c>
      <c r="AD426" t="s">
        <v>2106</v>
      </c>
      <c r="AE426" t="s">
        <v>2121</v>
      </c>
    </row>
    <row r="427" spans="1:31">
      <c r="A427" t="s">
        <v>1177</v>
      </c>
      <c r="B427" s="1">
        <v>45151</v>
      </c>
      <c r="C427" t="s">
        <v>176</v>
      </c>
      <c r="D427">
        <v>2023</v>
      </c>
      <c r="E427" t="s">
        <v>169</v>
      </c>
      <c r="F427" t="s">
        <v>1160</v>
      </c>
      <c r="G427" t="s">
        <v>28</v>
      </c>
      <c r="H427" t="s">
        <v>29</v>
      </c>
      <c r="I427" t="s">
        <v>14</v>
      </c>
      <c r="J427" t="s">
        <v>19</v>
      </c>
      <c r="K427" t="s">
        <v>164</v>
      </c>
      <c r="L427" t="s">
        <v>179</v>
      </c>
      <c r="M427">
        <v>3</v>
      </c>
      <c r="N427">
        <v>26.46</v>
      </c>
      <c r="O427">
        <v>79.38</v>
      </c>
      <c r="P427">
        <v>20</v>
      </c>
      <c r="Q427">
        <v>15.88</v>
      </c>
      <c r="R427">
        <v>63.5</v>
      </c>
      <c r="S427">
        <v>58.26</v>
      </c>
      <c r="T427">
        <v>5.24</v>
      </c>
      <c r="U427" t="s">
        <v>158</v>
      </c>
      <c r="V427" t="s">
        <v>186</v>
      </c>
      <c r="W427" t="s">
        <v>2097</v>
      </c>
      <c r="X427" t="s">
        <v>2100</v>
      </c>
      <c r="Y427">
        <v>44</v>
      </c>
      <c r="Z427">
        <v>498.24</v>
      </c>
      <c r="AA427">
        <v>94.4</v>
      </c>
      <c r="AB427" t="s">
        <v>115</v>
      </c>
      <c r="AC427" t="s">
        <v>20</v>
      </c>
      <c r="AD427" t="s">
        <v>2095</v>
      </c>
      <c r="AE427" t="s">
        <v>2109</v>
      </c>
    </row>
    <row r="428" spans="1:31">
      <c r="A428" t="s">
        <v>1713</v>
      </c>
      <c r="B428" s="1">
        <v>45150</v>
      </c>
      <c r="C428" t="s">
        <v>176</v>
      </c>
      <c r="D428">
        <v>2023</v>
      </c>
      <c r="E428" t="s">
        <v>169</v>
      </c>
      <c r="F428" t="s">
        <v>1714</v>
      </c>
      <c r="G428" t="s">
        <v>88</v>
      </c>
      <c r="H428" t="s">
        <v>89</v>
      </c>
      <c r="I428" t="s">
        <v>90</v>
      </c>
      <c r="J428" t="s">
        <v>91</v>
      </c>
      <c r="K428" t="s">
        <v>156</v>
      </c>
      <c r="L428" t="s">
        <v>232</v>
      </c>
      <c r="M428">
        <v>4</v>
      </c>
      <c r="N428">
        <v>54.64</v>
      </c>
      <c r="O428">
        <v>218.56</v>
      </c>
      <c r="P428">
        <v>0</v>
      </c>
      <c r="Q428">
        <v>0</v>
      </c>
      <c r="R428">
        <v>218.56</v>
      </c>
      <c r="S428">
        <v>81.28</v>
      </c>
      <c r="T428">
        <v>137.28</v>
      </c>
      <c r="U428" t="s">
        <v>180</v>
      </c>
      <c r="V428" t="s">
        <v>159</v>
      </c>
      <c r="W428" t="s">
        <v>2097</v>
      </c>
      <c r="X428" t="s">
        <v>2086</v>
      </c>
      <c r="Y428">
        <v>191</v>
      </c>
      <c r="Z428">
        <v>711.4</v>
      </c>
      <c r="AA428">
        <v>50.96</v>
      </c>
      <c r="AB428" t="s">
        <v>14</v>
      </c>
      <c r="AC428" t="s">
        <v>16</v>
      </c>
      <c r="AD428" t="s">
        <v>2106</v>
      </c>
      <c r="AE428" t="s">
        <v>2109</v>
      </c>
    </row>
    <row r="429" spans="1:31">
      <c r="A429" t="s">
        <v>1607</v>
      </c>
      <c r="B429" s="1">
        <v>45150</v>
      </c>
      <c r="C429" t="s">
        <v>176</v>
      </c>
      <c r="D429">
        <v>2023</v>
      </c>
      <c r="E429" t="s">
        <v>169</v>
      </c>
      <c r="F429" t="s">
        <v>866</v>
      </c>
      <c r="G429" t="s">
        <v>37</v>
      </c>
      <c r="H429" t="s">
        <v>38</v>
      </c>
      <c r="I429" t="s">
        <v>14</v>
      </c>
      <c r="J429" t="s">
        <v>27</v>
      </c>
      <c r="K429" t="s">
        <v>156</v>
      </c>
      <c r="L429" t="s">
        <v>174</v>
      </c>
      <c r="M429">
        <v>4</v>
      </c>
      <c r="N429">
        <v>133.99</v>
      </c>
      <c r="O429">
        <v>535.96</v>
      </c>
      <c r="P429">
        <v>15</v>
      </c>
      <c r="Q429">
        <v>80.39</v>
      </c>
      <c r="R429">
        <v>455.57</v>
      </c>
      <c r="S429">
        <v>293.95999999999998</v>
      </c>
      <c r="T429">
        <v>161.61000000000001</v>
      </c>
      <c r="U429" t="s">
        <v>190</v>
      </c>
      <c r="V429" t="s">
        <v>186</v>
      </c>
      <c r="W429" t="s">
        <v>2090</v>
      </c>
      <c r="X429" t="s">
        <v>2108</v>
      </c>
      <c r="Y429">
        <v>83</v>
      </c>
      <c r="Z429">
        <v>392.88</v>
      </c>
      <c r="AA429">
        <v>91.59</v>
      </c>
      <c r="AB429" t="s">
        <v>90</v>
      </c>
      <c r="AC429" t="s">
        <v>16</v>
      </c>
      <c r="AD429" t="s">
        <v>2106</v>
      </c>
      <c r="AE429" t="s">
        <v>2121</v>
      </c>
    </row>
    <row r="430" spans="1:31">
      <c r="A430" t="s">
        <v>1990</v>
      </c>
      <c r="B430" s="1">
        <v>45150</v>
      </c>
      <c r="C430" t="s">
        <v>176</v>
      </c>
      <c r="D430">
        <v>2023</v>
      </c>
      <c r="E430" t="s">
        <v>169</v>
      </c>
      <c r="F430" t="s">
        <v>1991</v>
      </c>
      <c r="G430" t="s">
        <v>28</v>
      </c>
      <c r="H430" t="s">
        <v>29</v>
      </c>
      <c r="I430" t="s">
        <v>14</v>
      </c>
      <c r="J430" t="s">
        <v>19</v>
      </c>
      <c r="K430" t="s">
        <v>164</v>
      </c>
      <c r="L430" t="s">
        <v>194</v>
      </c>
      <c r="M430">
        <v>3</v>
      </c>
      <c r="N430">
        <v>26.46</v>
      </c>
      <c r="O430">
        <v>79.38</v>
      </c>
      <c r="P430">
        <v>5</v>
      </c>
      <c r="Q430">
        <v>3.97</v>
      </c>
      <c r="R430">
        <v>75.41</v>
      </c>
      <c r="S430">
        <v>58.26</v>
      </c>
      <c r="T430">
        <v>17.149999999999999</v>
      </c>
      <c r="U430" t="s">
        <v>190</v>
      </c>
      <c r="V430" t="s">
        <v>159</v>
      </c>
      <c r="W430" t="s">
        <v>2093</v>
      </c>
      <c r="X430" t="s">
        <v>2111</v>
      </c>
      <c r="Y430">
        <v>293</v>
      </c>
      <c r="Z430">
        <v>65.83</v>
      </c>
      <c r="AA430">
        <v>42.34</v>
      </c>
      <c r="AB430" t="s">
        <v>41</v>
      </c>
      <c r="AC430" t="s">
        <v>20</v>
      </c>
      <c r="AD430" t="s">
        <v>2087</v>
      </c>
      <c r="AE430" t="s">
        <v>2109</v>
      </c>
    </row>
    <row r="431" spans="1:31">
      <c r="A431" t="s">
        <v>423</v>
      </c>
      <c r="B431" s="1">
        <v>45150</v>
      </c>
      <c r="C431" t="s">
        <v>176</v>
      </c>
      <c r="D431">
        <v>2023</v>
      </c>
      <c r="E431" t="s">
        <v>169</v>
      </c>
      <c r="F431" t="s">
        <v>424</v>
      </c>
      <c r="G431" t="s">
        <v>86</v>
      </c>
      <c r="H431" t="s">
        <v>87</v>
      </c>
      <c r="I431" t="s">
        <v>66</v>
      </c>
      <c r="J431" t="s">
        <v>67</v>
      </c>
      <c r="K431" t="s">
        <v>209</v>
      </c>
      <c r="L431" t="s">
        <v>157</v>
      </c>
      <c r="M431">
        <v>3</v>
      </c>
      <c r="N431">
        <v>124.77</v>
      </c>
      <c r="O431">
        <v>374.31</v>
      </c>
      <c r="P431">
        <v>0</v>
      </c>
      <c r="Q431">
        <v>0</v>
      </c>
      <c r="R431">
        <v>374.31</v>
      </c>
      <c r="S431">
        <v>208.92</v>
      </c>
      <c r="T431">
        <v>165.39</v>
      </c>
      <c r="U431" t="s">
        <v>180</v>
      </c>
      <c r="V431" t="s">
        <v>181</v>
      </c>
      <c r="W431" t="s">
        <v>2085</v>
      </c>
      <c r="X431" t="s">
        <v>2111</v>
      </c>
      <c r="Y431">
        <v>216</v>
      </c>
      <c r="Z431">
        <v>1470.6</v>
      </c>
      <c r="AA431">
        <v>203.7</v>
      </c>
      <c r="AB431" t="s">
        <v>90</v>
      </c>
      <c r="AC431" t="s">
        <v>20</v>
      </c>
      <c r="AD431" t="s">
        <v>2106</v>
      </c>
      <c r="AE431" t="s">
        <v>2109</v>
      </c>
    </row>
    <row r="432" spans="1:31">
      <c r="A432" t="s">
        <v>1635</v>
      </c>
      <c r="B432" s="1">
        <v>45149</v>
      </c>
      <c r="C432" t="s">
        <v>176</v>
      </c>
      <c r="D432">
        <v>2023</v>
      </c>
      <c r="E432" t="s">
        <v>169</v>
      </c>
      <c r="F432" t="s">
        <v>1636</v>
      </c>
      <c r="G432" t="s">
        <v>55</v>
      </c>
      <c r="H432" t="s">
        <v>56</v>
      </c>
      <c r="I432" t="s">
        <v>41</v>
      </c>
      <c r="J432" t="s">
        <v>45</v>
      </c>
      <c r="K432" t="s">
        <v>178</v>
      </c>
      <c r="L432" t="s">
        <v>179</v>
      </c>
      <c r="M432">
        <v>2</v>
      </c>
      <c r="N432">
        <v>205.4</v>
      </c>
      <c r="O432">
        <v>410.8</v>
      </c>
      <c r="P432">
        <v>10</v>
      </c>
      <c r="Q432">
        <v>41.08</v>
      </c>
      <c r="R432">
        <v>369.72</v>
      </c>
      <c r="S432">
        <v>141.80000000000001</v>
      </c>
      <c r="T432">
        <v>227.92</v>
      </c>
      <c r="U432" t="s">
        <v>180</v>
      </c>
      <c r="V432" t="s">
        <v>186</v>
      </c>
      <c r="W432" t="s">
        <v>2113</v>
      </c>
      <c r="X432" t="s">
        <v>2094</v>
      </c>
      <c r="Y432">
        <v>293</v>
      </c>
      <c r="Z432">
        <v>136.87</v>
      </c>
      <c r="AA432">
        <v>31.5</v>
      </c>
      <c r="AB432" t="s">
        <v>90</v>
      </c>
      <c r="AC432" t="s">
        <v>16</v>
      </c>
      <c r="AD432" t="s">
        <v>2106</v>
      </c>
      <c r="AE432" t="s">
        <v>2121</v>
      </c>
    </row>
    <row r="433" spans="1:31">
      <c r="A433" t="s">
        <v>1587</v>
      </c>
      <c r="B433" s="1">
        <v>45149</v>
      </c>
      <c r="C433" t="s">
        <v>176</v>
      </c>
      <c r="D433">
        <v>2023</v>
      </c>
      <c r="E433" t="s">
        <v>169</v>
      </c>
      <c r="F433" t="s">
        <v>1588</v>
      </c>
      <c r="G433" t="s">
        <v>48</v>
      </c>
      <c r="H433" t="s">
        <v>49</v>
      </c>
      <c r="I433" t="s">
        <v>41</v>
      </c>
      <c r="J433" t="s">
        <v>42</v>
      </c>
      <c r="K433" t="s">
        <v>178</v>
      </c>
      <c r="L433" t="s">
        <v>232</v>
      </c>
      <c r="M433">
        <v>4</v>
      </c>
      <c r="N433">
        <v>84.95</v>
      </c>
      <c r="O433">
        <v>339.8</v>
      </c>
      <c r="P433">
        <v>20</v>
      </c>
      <c r="Q433">
        <v>67.959999999999994</v>
      </c>
      <c r="R433">
        <v>271.83999999999997</v>
      </c>
      <c r="S433">
        <v>212.28</v>
      </c>
      <c r="T433">
        <v>59.56</v>
      </c>
      <c r="U433" t="s">
        <v>190</v>
      </c>
      <c r="V433" t="s">
        <v>159</v>
      </c>
      <c r="W433" t="s">
        <v>2090</v>
      </c>
      <c r="X433" t="s">
        <v>2108</v>
      </c>
      <c r="Y433">
        <v>286</v>
      </c>
      <c r="Z433">
        <v>155.07</v>
      </c>
      <c r="AA433">
        <v>80.37</v>
      </c>
      <c r="AB433" t="s">
        <v>90</v>
      </c>
      <c r="AC433" t="s">
        <v>16</v>
      </c>
      <c r="AD433" t="s">
        <v>2106</v>
      </c>
      <c r="AE433" t="s">
        <v>2109</v>
      </c>
    </row>
    <row r="434" spans="1:31">
      <c r="A434" t="s">
        <v>857</v>
      </c>
      <c r="B434" s="1">
        <v>45149</v>
      </c>
      <c r="C434" t="s">
        <v>176</v>
      </c>
      <c r="D434">
        <v>2023</v>
      </c>
      <c r="E434" t="s">
        <v>169</v>
      </c>
      <c r="F434" t="s">
        <v>858</v>
      </c>
      <c r="G434" t="s">
        <v>23</v>
      </c>
      <c r="H434" t="s">
        <v>24</v>
      </c>
      <c r="I434" t="s">
        <v>14</v>
      </c>
      <c r="J434" t="s">
        <v>19</v>
      </c>
      <c r="K434" t="s">
        <v>164</v>
      </c>
      <c r="L434" t="s">
        <v>232</v>
      </c>
      <c r="M434">
        <v>2</v>
      </c>
      <c r="N434">
        <v>154.03</v>
      </c>
      <c r="O434">
        <v>308.06</v>
      </c>
      <c r="P434">
        <v>0</v>
      </c>
      <c r="Q434">
        <v>0</v>
      </c>
      <c r="R434">
        <v>308.06</v>
      </c>
      <c r="S434">
        <v>153.58000000000001</v>
      </c>
      <c r="T434">
        <v>154.47999999999999</v>
      </c>
      <c r="U434" t="s">
        <v>166</v>
      </c>
      <c r="V434" t="s">
        <v>159</v>
      </c>
      <c r="W434" t="s">
        <v>2097</v>
      </c>
      <c r="X434" t="s">
        <v>2111</v>
      </c>
      <c r="Y434">
        <v>125</v>
      </c>
      <c r="Z434">
        <v>619.85</v>
      </c>
      <c r="AA434">
        <v>144.15</v>
      </c>
      <c r="AB434" t="s">
        <v>90</v>
      </c>
      <c r="AC434" t="s">
        <v>20</v>
      </c>
      <c r="AD434" t="s">
        <v>2106</v>
      </c>
      <c r="AE434" t="s">
        <v>2121</v>
      </c>
    </row>
    <row r="435" spans="1:31">
      <c r="A435" t="s">
        <v>705</v>
      </c>
      <c r="B435" s="1">
        <v>45149</v>
      </c>
      <c r="C435" t="s">
        <v>176</v>
      </c>
      <c r="D435">
        <v>2023</v>
      </c>
      <c r="E435" t="s">
        <v>169</v>
      </c>
      <c r="F435" t="s">
        <v>706</v>
      </c>
      <c r="G435" t="s">
        <v>28</v>
      </c>
      <c r="H435" t="s">
        <v>29</v>
      </c>
      <c r="I435" t="s">
        <v>14</v>
      </c>
      <c r="J435" t="s">
        <v>19</v>
      </c>
      <c r="K435" t="s">
        <v>178</v>
      </c>
      <c r="L435" t="s">
        <v>232</v>
      </c>
      <c r="M435">
        <v>4</v>
      </c>
      <c r="N435">
        <v>26.46</v>
      </c>
      <c r="O435">
        <v>105.84</v>
      </c>
      <c r="P435">
        <v>20</v>
      </c>
      <c r="Q435">
        <v>21.17</v>
      </c>
      <c r="R435">
        <v>84.67</v>
      </c>
      <c r="S435">
        <v>77.680000000000007</v>
      </c>
      <c r="T435">
        <v>6.99</v>
      </c>
      <c r="U435" t="s">
        <v>158</v>
      </c>
      <c r="V435" t="s">
        <v>181</v>
      </c>
      <c r="W435" t="s">
        <v>2113</v>
      </c>
      <c r="X435" t="s">
        <v>2086</v>
      </c>
      <c r="Y435">
        <v>177</v>
      </c>
      <c r="Z435">
        <v>355.05</v>
      </c>
      <c r="AA435">
        <v>36.229999999999997</v>
      </c>
      <c r="AB435" t="s">
        <v>14</v>
      </c>
      <c r="AC435" t="s">
        <v>16</v>
      </c>
      <c r="AD435" t="s">
        <v>2095</v>
      </c>
      <c r="AE435" t="s">
        <v>2121</v>
      </c>
    </row>
    <row r="436" spans="1:31">
      <c r="A436" t="s">
        <v>392</v>
      </c>
      <c r="B436" s="1">
        <v>45148</v>
      </c>
      <c r="C436" t="s">
        <v>176</v>
      </c>
      <c r="D436">
        <v>2023</v>
      </c>
      <c r="E436" t="s">
        <v>169</v>
      </c>
      <c r="F436" t="s">
        <v>393</v>
      </c>
      <c r="G436" t="s">
        <v>28</v>
      </c>
      <c r="H436" t="s">
        <v>29</v>
      </c>
      <c r="I436" t="s">
        <v>14</v>
      </c>
      <c r="J436" t="s">
        <v>19</v>
      </c>
      <c r="K436" t="s">
        <v>178</v>
      </c>
      <c r="L436" t="s">
        <v>179</v>
      </c>
      <c r="M436">
        <v>1</v>
      </c>
      <c r="N436">
        <v>26.46</v>
      </c>
      <c r="O436">
        <v>26.46</v>
      </c>
      <c r="P436">
        <v>0</v>
      </c>
      <c r="Q436">
        <v>0</v>
      </c>
      <c r="R436">
        <v>26.46</v>
      </c>
      <c r="S436">
        <v>19.420000000000002</v>
      </c>
      <c r="T436">
        <v>7.04</v>
      </c>
      <c r="U436" t="s">
        <v>190</v>
      </c>
      <c r="V436" t="s">
        <v>181</v>
      </c>
      <c r="W436" t="s">
        <v>2090</v>
      </c>
      <c r="X436" t="s">
        <v>2094</v>
      </c>
      <c r="Y436">
        <v>177</v>
      </c>
      <c r="Z436">
        <v>81.8</v>
      </c>
      <c r="AA436">
        <v>64.83</v>
      </c>
      <c r="AB436" t="s">
        <v>115</v>
      </c>
      <c r="AC436" t="s">
        <v>16</v>
      </c>
      <c r="AD436" t="s">
        <v>2106</v>
      </c>
      <c r="AE436" t="s">
        <v>2121</v>
      </c>
    </row>
    <row r="437" spans="1:31">
      <c r="A437" t="s">
        <v>1984</v>
      </c>
      <c r="B437" s="1">
        <v>45148</v>
      </c>
      <c r="C437" t="s">
        <v>176</v>
      </c>
      <c r="D437">
        <v>2023</v>
      </c>
      <c r="E437" t="s">
        <v>169</v>
      </c>
      <c r="F437" t="s">
        <v>798</v>
      </c>
      <c r="G437" t="s">
        <v>62</v>
      </c>
      <c r="H437" t="s">
        <v>63</v>
      </c>
      <c r="I437" t="s">
        <v>41</v>
      </c>
      <c r="J437" t="s">
        <v>45</v>
      </c>
      <c r="K437" t="s">
        <v>178</v>
      </c>
      <c r="L437" t="s">
        <v>165</v>
      </c>
      <c r="M437">
        <v>4</v>
      </c>
      <c r="N437">
        <v>160.35</v>
      </c>
      <c r="O437">
        <v>641.4</v>
      </c>
      <c r="P437">
        <v>20</v>
      </c>
      <c r="Q437">
        <v>128.28</v>
      </c>
      <c r="R437">
        <v>513.12</v>
      </c>
      <c r="S437">
        <v>289.88</v>
      </c>
      <c r="T437">
        <v>223.24</v>
      </c>
      <c r="U437" t="s">
        <v>166</v>
      </c>
      <c r="V437" t="s">
        <v>159</v>
      </c>
      <c r="W437" t="s">
        <v>2099</v>
      </c>
      <c r="X437" t="s">
        <v>2091</v>
      </c>
      <c r="Y437">
        <v>66</v>
      </c>
      <c r="Z437">
        <v>110.32</v>
      </c>
      <c r="AA437">
        <v>49.06</v>
      </c>
      <c r="AB437" t="s">
        <v>90</v>
      </c>
      <c r="AC437" t="s">
        <v>20</v>
      </c>
      <c r="AD437" t="s">
        <v>2087</v>
      </c>
      <c r="AE437" t="s">
        <v>2107</v>
      </c>
    </row>
    <row r="438" spans="1:31">
      <c r="A438" t="s">
        <v>1432</v>
      </c>
      <c r="B438" s="1">
        <v>45148</v>
      </c>
      <c r="C438" t="s">
        <v>176</v>
      </c>
      <c r="D438">
        <v>2023</v>
      </c>
      <c r="E438" t="s">
        <v>169</v>
      </c>
      <c r="F438" t="s">
        <v>1433</v>
      </c>
      <c r="G438" t="s">
        <v>84</v>
      </c>
      <c r="H438" t="s">
        <v>85</v>
      </c>
      <c r="I438" t="s">
        <v>66</v>
      </c>
      <c r="J438" t="s">
        <v>67</v>
      </c>
      <c r="K438" t="s">
        <v>164</v>
      </c>
      <c r="L438" t="s">
        <v>157</v>
      </c>
      <c r="M438">
        <v>1</v>
      </c>
      <c r="N438">
        <v>174.23</v>
      </c>
      <c r="O438">
        <v>174.23</v>
      </c>
      <c r="P438">
        <v>0</v>
      </c>
      <c r="Q438">
        <v>0</v>
      </c>
      <c r="R438">
        <v>174.23</v>
      </c>
      <c r="S438">
        <v>73.95</v>
      </c>
      <c r="T438">
        <v>100.28</v>
      </c>
      <c r="U438" t="s">
        <v>190</v>
      </c>
      <c r="V438" t="s">
        <v>159</v>
      </c>
      <c r="W438" t="s">
        <v>2113</v>
      </c>
      <c r="X438" t="s">
        <v>2086</v>
      </c>
      <c r="Y438">
        <v>26</v>
      </c>
      <c r="Z438">
        <v>100.41</v>
      </c>
      <c r="AA438">
        <v>33.72</v>
      </c>
      <c r="AB438" t="s">
        <v>41</v>
      </c>
      <c r="AC438" t="s">
        <v>16</v>
      </c>
      <c r="AD438" t="s">
        <v>2095</v>
      </c>
      <c r="AE438" t="s">
        <v>2096</v>
      </c>
    </row>
    <row r="439" spans="1:31">
      <c r="A439" t="s">
        <v>912</v>
      </c>
      <c r="B439" s="1">
        <v>45148</v>
      </c>
      <c r="C439" t="s">
        <v>176</v>
      </c>
      <c r="D439">
        <v>2023</v>
      </c>
      <c r="E439" t="s">
        <v>169</v>
      </c>
      <c r="F439" t="s">
        <v>913</v>
      </c>
      <c r="G439" t="s">
        <v>23</v>
      </c>
      <c r="H439" t="s">
        <v>24</v>
      </c>
      <c r="I439" t="s">
        <v>14</v>
      </c>
      <c r="J439" t="s">
        <v>19</v>
      </c>
      <c r="K439" t="s">
        <v>164</v>
      </c>
      <c r="L439" t="s">
        <v>204</v>
      </c>
      <c r="M439">
        <v>2</v>
      </c>
      <c r="N439">
        <v>154.03</v>
      </c>
      <c r="O439">
        <v>308.06</v>
      </c>
      <c r="P439">
        <v>10</v>
      </c>
      <c r="Q439">
        <v>30.81</v>
      </c>
      <c r="R439">
        <v>277.25</v>
      </c>
      <c r="S439">
        <v>153.58000000000001</v>
      </c>
      <c r="T439">
        <v>123.67</v>
      </c>
      <c r="U439" t="s">
        <v>158</v>
      </c>
      <c r="V439" t="s">
        <v>186</v>
      </c>
      <c r="W439" t="s">
        <v>2093</v>
      </c>
      <c r="X439" t="s">
        <v>2094</v>
      </c>
      <c r="Y439">
        <v>153</v>
      </c>
      <c r="Z439">
        <v>146.91999999999999</v>
      </c>
      <c r="AA439">
        <v>45.34</v>
      </c>
      <c r="AB439" t="s">
        <v>14</v>
      </c>
      <c r="AC439" t="s">
        <v>16</v>
      </c>
      <c r="AD439" t="s">
        <v>2106</v>
      </c>
      <c r="AE439" t="s">
        <v>2109</v>
      </c>
    </row>
    <row r="440" spans="1:31">
      <c r="A440" t="s">
        <v>503</v>
      </c>
      <c r="B440" s="1">
        <v>45147</v>
      </c>
      <c r="C440" t="s">
        <v>176</v>
      </c>
      <c r="D440">
        <v>2023</v>
      </c>
      <c r="E440" t="s">
        <v>169</v>
      </c>
      <c r="F440" t="s">
        <v>504</v>
      </c>
      <c r="G440" t="s">
        <v>28</v>
      </c>
      <c r="H440" t="s">
        <v>29</v>
      </c>
      <c r="I440" t="s">
        <v>14</v>
      </c>
      <c r="J440" t="s">
        <v>19</v>
      </c>
      <c r="K440" t="s">
        <v>156</v>
      </c>
      <c r="L440" t="s">
        <v>232</v>
      </c>
      <c r="M440">
        <v>4</v>
      </c>
      <c r="N440">
        <v>26.46</v>
      </c>
      <c r="O440">
        <v>105.84</v>
      </c>
      <c r="P440">
        <v>0</v>
      </c>
      <c r="Q440">
        <v>0</v>
      </c>
      <c r="R440">
        <v>105.84</v>
      </c>
      <c r="S440">
        <v>77.680000000000007</v>
      </c>
      <c r="T440">
        <v>28.16</v>
      </c>
      <c r="U440" t="s">
        <v>195</v>
      </c>
      <c r="V440" t="s">
        <v>159</v>
      </c>
      <c r="W440" t="s">
        <v>2090</v>
      </c>
      <c r="X440" t="s">
        <v>2086</v>
      </c>
      <c r="Y440">
        <v>344</v>
      </c>
      <c r="Z440">
        <v>165.43</v>
      </c>
      <c r="AA440">
        <v>60.89</v>
      </c>
      <c r="AB440" t="s">
        <v>115</v>
      </c>
      <c r="AC440" t="s">
        <v>20</v>
      </c>
      <c r="AD440" t="s">
        <v>2106</v>
      </c>
      <c r="AE440" t="s">
        <v>2088</v>
      </c>
    </row>
    <row r="441" spans="1:31">
      <c r="A441" t="s">
        <v>1836</v>
      </c>
      <c r="B441" s="1">
        <v>45146</v>
      </c>
      <c r="C441" t="s">
        <v>176</v>
      </c>
      <c r="D441">
        <v>2023</v>
      </c>
      <c r="E441" t="s">
        <v>169</v>
      </c>
      <c r="F441" t="s">
        <v>1837</v>
      </c>
      <c r="G441" t="s">
        <v>103</v>
      </c>
      <c r="H441" t="s">
        <v>104</v>
      </c>
      <c r="I441" t="s">
        <v>90</v>
      </c>
      <c r="J441" t="s">
        <v>94</v>
      </c>
      <c r="K441" t="s">
        <v>209</v>
      </c>
      <c r="L441" t="s">
        <v>179</v>
      </c>
      <c r="M441">
        <v>4</v>
      </c>
      <c r="N441">
        <v>98.58</v>
      </c>
      <c r="O441">
        <v>394.32</v>
      </c>
      <c r="P441">
        <v>0</v>
      </c>
      <c r="Q441">
        <v>0</v>
      </c>
      <c r="R441">
        <v>394.32</v>
      </c>
      <c r="S441">
        <v>210.28</v>
      </c>
      <c r="T441">
        <v>184.04</v>
      </c>
      <c r="U441" t="s">
        <v>180</v>
      </c>
      <c r="V441" t="s">
        <v>159</v>
      </c>
      <c r="W441" t="s">
        <v>2085</v>
      </c>
      <c r="X441" t="s">
        <v>2094</v>
      </c>
      <c r="Y441">
        <v>9</v>
      </c>
      <c r="Z441">
        <v>1473.94</v>
      </c>
      <c r="AA441">
        <v>252.83</v>
      </c>
      <c r="AB441" t="s">
        <v>115</v>
      </c>
      <c r="AC441" t="s">
        <v>16</v>
      </c>
      <c r="AD441" t="s">
        <v>2106</v>
      </c>
      <c r="AE441" t="s">
        <v>2088</v>
      </c>
    </row>
    <row r="442" spans="1:31">
      <c r="A442" t="s">
        <v>772</v>
      </c>
      <c r="B442" s="1">
        <v>45146</v>
      </c>
      <c r="C442" t="s">
        <v>176</v>
      </c>
      <c r="D442">
        <v>2023</v>
      </c>
      <c r="E442" t="s">
        <v>169</v>
      </c>
      <c r="F442" t="s">
        <v>773</v>
      </c>
      <c r="G442" t="s">
        <v>46</v>
      </c>
      <c r="H442" t="s">
        <v>47</v>
      </c>
      <c r="I442" t="s">
        <v>41</v>
      </c>
      <c r="J442" t="s">
        <v>45</v>
      </c>
      <c r="K442" t="s">
        <v>209</v>
      </c>
      <c r="L442" t="s">
        <v>165</v>
      </c>
      <c r="M442">
        <v>4</v>
      </c>
      <c r="N442">
        <v>16.95</v>
      </c>
      <c r="O442">
        <v>67.8</v>
      </c>
      <c r="P442">
        <v>10</v>
      </c>
      <c r="Q442">
        <v>6.78</v>
      </c>
      <c r="R442">
        <v>61.02</v>
      </c>
      <c r="S442">
        <v>39.04</v>
      </c>
      <c r="T442">
        <v>21.98</v>
      </c>
      <c r="U442" t="s">
        <v>190</v>
      </c>
      <c r="V442" t="s">
        <v>159</v>
      </c>
      <c r="W442" t="s">
        <v>2099</v>
      </c>
      <c r="X442" t="s">
        <v>2091</v>
      </c>
      <c r="Y442">
        <v>29</v>
      </c>
      <c r="Z442">
        <v>38.56</v>
      </c>
      <c r="AA442">
        <v>54.23</v>
      </c>
      <c r="AB442" t="s">
        <v>41</v>
      </c>
      <c r="AC442" t="s">
        <v>20</v>
      </c>
      <c r="AD442" t="s">
        <v>2095</v>
      </c>
      <c r="AE442" t="s">
        <v>2107</v>
      </c>
    </row>
    <row r="443" spans="1:31">
      <c r="A443" t="s">
        <v>616</v>
      </c>
      <c r="B443" s="1">
        <v>45145</v>
      </c>
      <c r="C443" t="s">
        <v>176</v>
      </c>
      <c r="D443">
        <v>2023</v>
      </c>
      <c r="E443" t="s">
        <v>169</v>
      </c>
      <c r="F443" t="s">
        <v>617</v>
      </c>
      <c r="G443" t="s">
        <v>111</v>
      </c>
      <c r="H443" t="s">
        <v>112</v>
      </c>
      <c r="I443" t="s">
        <v>90</v>
      </c>
      <c r="J443" t="s">
        <v>97</v>
      </c>
      <c r="K443" t="s">
        <v>178</v>
      </c>
      <c r="L443" t="s">
        <v>174</v>
      </c>
      <c r="M443">
        <v>4</v>
      </c>
      <c r="N443">
        <v>189.99</v>
      </c>
      <c r="O443">
        <v>759.96</v>
      </c>
      <c r="P443">
        <v>20</v>
      </c>
      <c r="Q443">
        <v>151.99</v>
      </c>
      <c r="R443">
        <v>607.97</v>
      </c>
      <c r="S443">
        <v>254.04</v>
      </c>
      <c r="T443">
        <v>353.93</v>
      </c>
      <c r="U443" t="s">
        <v>180</v>
      </c>
      <c r="V443" t="s">
        <v>159</v>
      </c>
      <c r="W443" t="s">
        <v>2099</v>
      </c>
      <c r="X443" t="s">
        <v>2086</v>
      </c>
      <c r="Y443">
        <v>10</v>
      </c>
      <c r="Z443">
        <v>72.08</v>
      </c>
      <c r="AA443">
        <v>85.57</v>
      </c>
      <c r="AB443" t="s">
        <v>90</v>
      </c>
      <c r="AC443" t="s">
        <v>16</v>
      </c>
      <c r="AD443" t="s">
        <v>2095</v>
      </c>
      <c r="AE443" t="s">
        <v>2121</v>
      </c>
    </row>
    <row r="444" spans="1:31">
      <c r="A444" t="s">
        <v>1609</v>
      </c>
      <c r="B444" s="1">
        <v>45144</v>
      </c>
      <c r="C444" t="s">
        <v>176</v>
      </c>
      <c r="D444">
        <v>2023</v>
      </c>
      <c r="E444" t="s">
        <v>169</v>
      </c>
      <c r="F444" t="s">
        <v>1610</v>
      </c>
      <c r="G444" t="s">
        <v>71</v>
      </c>
      <c r="H444" t="s">
        <v>72</v>
      </c>
      <c r="I444" t="s">
        <v>66</v>
      </c>
      <c r="J444" t="s">
        <v>70</v>
      </c>
      <c r="K444" t="s">
        <v>209</v>
      </c>
      <c r="L444" t="s">
        <v>232</v>
      </c>
      <c r="M444">
        <v>2</v>
      </c>
      <c r="N444">
        <v>26.7</v>
      </c>
      <c r="O444">
        <v>53.4</v>
      </c>
      <c r="P444">
        <v>0</v>
      </c>
      <c r="Q444">
        <v>0</v>
      </c>
      <c r="R444">
        <v>53.4</v>
      </c>
      <c r="S444">
        <v>24.54</v>
      </c>
      <c r="T444">
        <v>28.86</v>
      </c>
      <c r="U444" t="s">
        <v>180</v>
      </c>
      <c r="V444" t="s">
        <v>159</v>
      </c>
      <c r="W444" t="s">
        <v>2093</v>
      </c>
      <c r="X444" t="s">
        <v>2086</v>
      </c>
      <c r="Y444">
        <v>322</v>
      </c>
      <c r="Z444">
        <v>70.239999999999995</v>
      </c>
      <c r="AA444">
        <v>69.790000000000006</v>
      </c>
      <c r="AB444" t="s">
        <v>41</v>
      </c>
      <c r="AC444" t="s">
        <v>16</v>
      </c>
      <c r="AD444" t="s">
        <v>2095</v>
      </c>
      <c r="AE444" t="s">
        <v>2088</v>
      </c>
    </row>
    <row r="445" spans="1:31">
      <c r="A445" t="s">
        <v>1843</v>
      </c>
      <c r="B445" s="1">
        <v>45144</v>
      </c>
      <c r="C445" t="s">
        <v>176</v>
      </c>
      <c r="D445">
        <v>2023</v>
      </c>
      <c r="E445" t="s">
        <v>169</v>
      </c>
      <c r="F445" t="s">
        <v>1844</v>
      </c>
      <c r="G445" t="s">
        <v>78</v>
      </c>
      <c r="H445" t="s">
        <v>79</v>
      </c>
      <c r="I445" t="s">
        <v>66</v>
      </c>
      <c r="J445" t="s">
        <v>70</v>
      </c>
      <c r="K445" t="s">
        <v>164</v>
      </c>
      <c r="L445" t="s">
        <v>194</v>
      </c>
      <c r="M445">
        <v>1</v>
      </c>
      <c r="N445">
        <v>218.05</v>
      </c>
      <c r="O445">
        <v>218.05</v>
      </c>
      <c r="P445">
        <v>0</v>
      </c>
      <c r="Q445">
        <v>0</v>
      </c>
      <c r="R445">
        <v>218.05</v>
      </c>
      <c r="S445">
        <v>74.48</v>
      </c>
      <c r="T445">
        <v>143.57</v>
      </c>
      <c r="U445" t="s">
        <v>166</v>
      </c>
      <c r="V445" t="s">
        <v>181</v>
      </c>
      <c r="W445" t="s">
        <v>2097</v>
      </c>
      <c r="X445" t="s">
        <v>2100</v>
      </c>
      <c r="Y445">
        <v>158</v>
      </c>
      <c r="Z445">
        <v>340.95</v>
      </c>
      <c r="AA445">
        <v>77.81</v>
      </c>
      <c r="AB445" t="s">
        <v>14</v>
      </c>
      <c r="AC445" t="s">
        <v>16</v>
      </c>
      <c r="AD445" t="s">
        <v>2095</v>
      </c>
      <c r="AE445" t="s">
        <v>2109</v>
      </c>
    </row>
    <row r="446" spans="1:31">
      <c r="A446" t="s">
        <v>751</v>
      </c>
      <c r="B446" s="1">
        <v>45143</v>
      </c>
      <c r="C446" t="s">
        <v>176</v>
      </c>
      <c r="D446">
        <v>2023</v>
      </c>
      <c r="E446" t="s">
        <v>169</v>
      </c>
      <c r="F446" t="s">
        <v>752</v>
      </c>
      <c r="G446" t="s">
        <v>55</v>
      </c>
      <c r="H446" t="s">
        <v>56</v>
      </c>
      <c r="I446" t="s">
        <v>41</v>
      </c>
      <c r="J446" t="s">
        <v>45</v>
      </c>
      <c r="K446" t="s">
        <v>164</v>
      </c>
      <c r="L446" t="s">
        <v>174</v>
      </c>
      <c r="M446">
        <v>2</v>
      </c>
      <c r="N446">
        <v>205.4</v>
      </c>
      <c r="O446">
        <v>410.8</v>
      </c>
      <c r="P446">
        <v>15</v>
      </c>
      <c r="Q446">
        <v>61.62</v>
      </c>
      <c r="R446">
        <v>349.18</v>
      </c>
      <c r="S446">
        <v>141.80000000000001</v>
      </c>
      <c r="T446">
        <v>207.38</v>
      </c>
      <c r="U446" t="s">
        <v>180</v>
      </c>
      <c r="V446" t="s">
        <v>181</v>
      </c>
      <c r="W446" t="s">
        <v>2097</v>
      </c>
      <c r="X446" t="s">
        <v>2100</v>
      </c>
      <c r="Y446">
        <v>140</v>
      </c>
      <c r="Z446">
        <v>697.5</v>
      </c>
      <c r="AA446">
        <v>81.319999999999993</v>
      </c>
      <c r="AB446" t="s">
        <v>14</v>
      </c>
      <c r="AC446" t="s">
        <v>16</v>
      </c>
      <c r="AD446" t="s">
        <v>2087</v>
      </c>
      <c r="AE446" t="s">
        <v>2121</v>
      </c>
    </row>
    <row r="447" spans="1:31">
      <c r="A447" t="s">
        <v>212</v>
      </c>
      <c r="B447" s="1">
        <v>45142</v>
      </c>
      <c r="C447" t="s">
        <v>176</v>
      </c>
      <c r="D447">
        <v>2023</v>
      </c>
      <c r="E447" t="s">
        <v>169</v>
      </c>
      <c r="F447" t="s">
        <v>213</v>
      </c>
      <c r="G447" t="s">
        <v>68</v>
      </c>
      <c r="H447" t="s">
        <v>69</v>
      </c>
      <c r="I447" t="s">
        <v>66</v>
      </c>
      <c r="J447" t="s">
        <v>70</v>
      </c>
      <c r="K447" t="s">
        <v>209</v>
      </c>
      <c r="L447" t="s">
        <v>204</v>
      </c>
      <c r="M447">
        <v>4</v>
      </c>
      <c r="N447">
        <v>98.51</v>
      </c>
      <c r="O447">
        <v>394.04</v>
      </c>
      <c r="P447">
        <v>0</v>
      </c>
      <c r="Q447">
        <v>0</v>
      </c>
      <c r="R447">
        <v>394.04</v>
      </c>
      <c r="S447">
        <v>220.68</v>
      </c>
      <c r="T447">
        <v>173.36</v>
      </c>
      <c r="U447" t="s">
        <v>158</v>
      </c>
      <c r="V447" t="s">
        <v>181</v>
      </c>
      <c r="W447" t="s">
        <v>2093</v>
      </c>
      <c r="X447" t="s">
        <v>2091</v>
      </c>
      <c r="Y447">
        <v>313</v>
      </c>
      <c r="Z447">
        <v>154.21</v>
      </c>
      <c r="AA447">
        <v>59.96</v>
      </c>
      <c r="AB447" t="s">
        <v>14</v>
      </c>
      <c r="AC447" t="s">
        <v>16</v>
      </c>
      <c r="AD447" t="s">
        <v>2095</v>
      </c>
      <c r="AE447" t="s">
        <v>2088</v>
      </c>
    </row>
    <row r="448" spans="1:31">
      <c r="A448" t="s">
        <v>1247</v>
      </c>
      <c r="B448" s="1">
        <v>45142</v>
      </c>
      <c r="C448" t="s">
        <v>176</v>
      </c>
      <c r="D448">
        <v>2023</v>
      </c>
      <c r="E448" t="s">
        <v>169</v>
      </c>
      <c r="F448" t="s">
        <v>1248</v>
      </c>
      <c r="G448" t="s">
        <v>135</v>
      </c>
      <c r="H448" t="s">
        <v>136</v>
      </c>
      <c r="I448" t="s">
        <v>115</v>
      </c>
      <c r="J448" t="s">
        <v>119</v>
      </c>
      <c r="K448" t="s">
        <v>209</v>
      </c>
      <c r="L448" t="s">
        <v>165</v>
      </c>
      <c r="M448">
        <v>4</v>
      </c>
      <c r="N448">
        <v>89.62</v>
      </c>
      <c r="O448">
        <v>358.48</v>
      </c>
      <c r="P448">
        <v>10</v>
      </c>
      <c r="Q448">
        <v>35.85</v>
      </c>
      <c r="R448">
        <v>322.63</v>
      </c>
      <c r="S448">
        <v>152.52000000000001</v>
      </c>
      <c r="T448">
        <v>170.11</v>
      </c>
      <c r="U448" t="s">
        <v>166</v>
      </c>
      <c r="V448" t="s">
        <v>186</v>
      </c>
      <c r="W448" t="s">
        <v>2093</v>
      </c>
      <c r="X448" t="s">
        <v>2091</v>
      </c>
      <c r="Y448">
        <v>8</v>
      </c>
      <c r="Z448">
        <v>61.02</v>
      </c>
      <c r="AA448">
        <v>47.03</v>
      </c>
      <c r="AB448" t="s">
        <v>41</v>
      </c>
      <c r="AC448" t="s">
        <v>16</v>
      </c>
      <c r="AD448" t="s">
        <v>2106</v>
      </c>
      <c r="AE448" t="s">
        <v>2121</v>
      </c>
    </row>
    <row r="449" spans="1:31">
      <c r="A449" t="s">
        <v>202</v>
      </c>
      <c r="B449" s="1">
        <v>45141</v>
      </c>
      <c r="C449" t="s">
        <v>176</v>
      </c>
      <c r="D449">
        <v>2023</v>
      </c>
      <c r="E449" t="s">
        <v>169</v>
      </c>
      <c r="F449" t="s">
        <v>203</v>
      </c>
      <c r="G449" t="s">
        <v>133</v>
      </c>
      <c r="H449" t="s">
        <v>134</v>
      </c>
      <c r="I449" t="s">
        <v>115</v>
      </c>
      <c r="J449" t="s">
        <v>119</v>
      </c>
      <c r="K449" t="s">
        <v>156</v>
      </c>
      <c r="L449" t="s">
        <v>204</v>
      </c>
      <c r="M449">
        <v>4</v>
      </c>
      <c r="N449">
        <v>78.84</v>
      </c>
      <c r="O449">
        <v>315.36</v>
      </c>
      <c r="P449">
        <v>20</v>
      </c>
      <c r="Q449">
        <v>63.07</v>
      </c>
      <c r="R449">
        <v>252.29</v>
      </c>
      <c r="S449">
        <v>190.72</v>
      </c>
      <c r="T449">
        <v>61.57</v>
      </c>
      <c r="U449" t="s">
        <v>190</v>
      </c>
      <c r="V449" t="s">
        <v>159</v>
      </c>
      <c r="W449" t="s">
        <v>2085</v>
      </c>
      <c r="X449" t="s">
        <v>2108</v>
      </c>
      <c r="Y449">
        <v>313</v>
      </c>
      <c r="Z449">
        <v>1175.21</v>
      </c>
      <c r="AA449">
        <v>195.91</v>
      </c>
      <c r="AB449" t="s">
        <v>14</v>
      </c>
      <c r="AC449" t="s">
        <v>16</v>
      </c>
      <c r="AD449" t="s">
        <v>2087</v>
      </c>
      <c r="AE449" t="s">
        <v>2107</v>
      </c>
    </row>
    <row r="450" spans="1:31">
      <c r="A450" t="s">
        <v>635</v>
      </c>
      <c r="B450" s="1">
        <v>45139</v>
      </c>
      <c r="C450" t="s">
        <v>176</v>
      </c>
      <c r="D450">
        <v>2023</v>
      </c>
      <c r="E450" t="s">
        <v>169</v>
      </c>
      <c r="F450" t="s">
        <v>636</v>
      </c>
      <c r="G450" t="s">
        <v>86</v>
      </c>
      <c r="H450" t="s">
        <v>87</v>
      </c>
      <c r="I450" t="s">
        <v>66</v>
      </c>
      <c r="J450" t="s">
        <v>67</v>
      </c>
      <c r="K450" t="s">
        <v>209</v>
      </c>
      <c r="L450" t="s">
        <v>232</v>
      </c>
      <c r="M450">
        <v>2</v>
      </c>
      <c r="N450">
        <v>124.77</v>
      </c>
      <c r="O450">
        <v>249.54</v>
      </c>
      <c r="P450">
        <v>10</v>
      </c>
      <c r="Q450">
        <v>24.95</v>
      </c>
      <c r="R450">
        <v>224.59</v>
      </c>
      <c r="S450">
        <v>139.28</v>
      </c>
      <c r="T450">
        <v>85.31</v>
      </c>
      <c r="U450" t="s">
        <v>180</v>
      </c>
      <c r="V450" t="s">
        <v>159</v>
      </c>
      <c r="W450" t="s">
        <v>2090</v>
      </c>
      <c r="X450" t="s">
        <v>2100</v>
      </c>
      <c r="Y450">
        <v>268</v>
      </c>
      <c r="Z450">
        <v>186.97</v>
      </c>
      <c r="AA450">
        <v>86.99</v>
      </c>
      <c r="AB450" t="s">
        <v>90</v>
      </c>
      <c r="AC450" t="s">
        <v>16</v>
      </c>
      <c r="AD450" t="s">
        <v>2095</v>
      </c>
      <c r="AE450" t="s">
        <v>2109</v>
      </c>
    </row>
    <row r="451" spans="1:31">
      <c r="A451" t="s">
        <v>1117</v>
      </c>
      <c r="B451" s="1">
        <v>45139</v>
      </c>
      <c r="C451" t="s">
        <v>176</v>
      </c>
      <c r="D451">
        <v>2023</v>
      </c>
      <c r="E451" t="s">
        <v>169</v>
      </c>
      <c r="F451" t="s">
        <v>1118</v>
      </c>
      <c r="G451" t="s">
        <v>127</v>
      </c>
      <c r="H451" t="s">
        <v>128</v>
      </c>
      <c r="I451" t="s">
        <v>115</v>
      </c>
      <c r="J451" t="s">
        <v>124</v>
      </c>
      <c r="K451" t="s">
        <v>209</v>
      </c>
      <c r="L451" t="s">
        <v>179</v>
      </c>
      <c r="M451">
        <v>3</v>
      </c>
      <c r="N451">
        <v>94.76</v>
      </c>
      <c r="O451">
        <v>284.28000000000003</v>
      </c>
      <c r="P451">
        <v>0</v>
      </c>
      <c r="Q451">
        <v>0</v>
      </c>
      <c r="R451">
        <v>284.27999999999997</v>
      </c>
      <c r="S451">
        <v>236.46</v>
      </c>
      <c r="T451">
        <v>47.82</v>
      </c>
      <c r="U451" t="s">
        <v>180</v>
      </c>
      <c r="V451" t="s">
        <v>186</v>
      </c>
      <c r="W451" t="s">
        <v>2093</v>
      </c>
      <c r="X451" t="s">
        <v>2094</v>
      </c>
      <c r="Y451">
        <v>313</v>
      </c>
      <c r="Z451">
        <v>113.61</v>
      </c>
      <c r="AA451">
        <v>79.45</v>
      </c>
      <c r="AB451" t="s">
        <v>66</v>
      </c>
      <c r="AC451" t="s">
        <v>16</v>
      </c>
      <c r="AD451" t="s">
        <v>2106</v>
      </c>
      <c r="AE451" t="s">
        <v>2121</v>
      </c>
    </row>
    <row r="452" spans="1:31">
      <c r="A452" t="s">
        <v>302</v>
      </c>
      <c r="B452" s="1">
        <v>45139</v>
      </c>
      <c r="C452" t="s">
        <v>176</v>
      </c>
      <c r="D452">
        <v>2023</v>
      </c>
      <c r="E452" t="s">
        <v>169</v>
      </c>
      <c r="F452" t="s">
        <v>303</v>
      </c>
      <c r="G452" t="s">
        <v>25</v>
      </c>
      <c r="H452" t="s">
        <v>26</v>
      </c>
      <c r="I452" t="s">
        <v>14</v>
      </c>
      <c r="J452" t="s">
        <v>27</v>
      </c>
      <c r="K452" t="s">
        <v>178</v>
      </c>
      <c r="L452" t="s">
        <v>179</v>
      </c>
      <c r="M452">
        <v>3</v>
      </c>
      <c r="N452">
        <v>18.39</v>
      </c>
      <c r="O452">
        <v>55.17</v>
      </c>
      <c r="P452">
        <v>20</v>
      </c>
      <c r="Q452">
        <v>11.03</v>
      </c>
      <c r="R452">
        <v>44.14</v>
      </c>
      <c r="S452">
        <v>24.78</v>
      </c>
      <c r="T452">
        <v>19.36</v>
      </c>
      <c r="U452" t="s">
        <v>158</v>
      </c>
      <c r="V452" t="s">
        <v>159</v>
      </c>
      <c r="W452" t="s">
        <v>2099</v>
      </c>
      <c r="X452" t="s">
        <v>2108</v>
      </c>
      <c r="Y452">
        <v>15</v>
      </c>
      <c r="Z452">
        <v>61.65</v>
      </c>
      <c r="AA452">
        <v>42.48</v>
      </c>
      <c r="AB452" t="s">
        <v>90</v>
      </c>
      <c r="AC452" t="s">
        <v>16</v>
      </c>
      <c r="AD452" t="s">
        <v>2087</v>
      </c>
      <c r="AE452" t="s">
        <v>2107</v>
      </c>
    </row>
    <row r="453" spans="1:31">
      <c r="A453" t="s">
        <v>1933</v>
      </c>
      <c r="B453" s="1">
        <v>45139</v>
      </c>
      <c r="C453" t="s">
        <v>176</v>
      </c>
      <c r="D453">
        <v>2023</v>
      </c>
      <c r="E453" t="s">
        <v>169</v>
      </c>
      <c r="F453" t="s">
        <v>399</v>
      </c>
      <c r="G453" t="s">
        <v>60</v>
      </c>
      <c r="H453" t="s">
        <v>61</v>
      </c>
      <c r="I453" t="s">
        <v>41</v>
      </c>
      <c r="J453" t="s">
        <v>59</v>
      </c>
      <c r="K453" t="s">
        <v>156</v>
      </c>
      <c r="L453" t="s">
        <v>204</v>
      </c>
      <c r="M453">
        <v>2</v>
      </c>
      <c r="N453">
        <v>103.56</v>
      </c>
      <c r="O453">
        <v>207.12</v>
      </c>
      <c r="P453">
        <v>0</v>
      </c>
      <c r="Q453">
        <v>0</v>
      </c>
      <c r="R453">
        <v>207.12</v>
      </c>
      <c r="S453">
        <v>89.16</v>
      </c>
      <c r="T453">
        <v>117.96</v>
      </c>
      <c r="U453" t="s">
        <v>180</v>
      </c>
      <c r="V453" t="s">
        <v>181</v>
      </c>
      <c r="W453" t="s">
        <v>2090</v>
      </c>
      <c r="X453" t="s">
        <v>2094</v>
      </c>
      <c r="Y453">
        <v>164</v>
      </c>
      <c r="Z453">
        <v>119.78</v>
      </c>
      <c r="AA453">
        <v>40.299999999999997</v>
      </c>
      <c r="AB453" t="s">
        <v>41</v>
      </c>
      <c r="AC453" t="s">
        <v>16</v>
      </c>
      <c r="AD453" t="s">
        <v>2106</v>
      </c>
      <c r="AE453" t="s">
        <v>2109</v>
      </c>
    </row>
    <row r="454" spans="1:31">
      <c r="A454" t="s">
        <v>811</v>
      </c>
      <c r="B454" s="1">
        <v>45139</v>
      </c>
      <c r="C454" t="s">
        <v>176</v>
      </c>
      <c r="D454">
        <v>2023</v>
      </c>
      <c r="E454" t="s">
        <v>169</v>
      </c>
      <c r="F454" t="s">
        <v>812</v>
      </c>
      <c r="G454" t="s">
        <v>37</v>
      </c>
      <c r="H454" t="s">
        <v>38</v>
      </c>
      <c r="I454" t="s">
        <v>14</v>
      </c>
      <c r="J454" t="s">
        <v>27</v>
      </c>
      <c r="K454" t="s">
        <v>164</v>
      </c>
      <c r="L454" t="s">
        <v>174</v>
      </c>
      <c r="M454">
        <v>3</v>
      </c>
      <c r="N454">
        <v>133.99</v>
      </c>
      <c r="O454">
        <v>401.97</v>
      </c>
      <c r="P454">
        <v>15</v>
      </c>
      <c r="Q454">
        <v>60.3</v>
      </c>
      <c r="R454">
        <v>341.67</v>
      </c>
      <c r="S454">
        <v>220.47</v>
      </c>
      <c r="T454">
        <v>121.2</v>
      </c>
      <c r="U454" t="s">
        <v>158</v>
      </c>
      <c r="V454" t="s">
        <v>186</v>
      </c>
      <c r="W454" t="s">
        <v>2097</v>
      </c>
      <c r="X454" t="s">
        <v>2091</v>
      </c>
      <c r="Y454">
        <v>343</v>
      </c>
      <c r="Z454">
        <v>325.67</v>
      </c>
      <c r="AA454">
        <v>115.07</v>
      </c>
      <c r="AB454" t="s">
        <v>14</v>
      </c>
      <c r="AC454" t="s">
        <v>16</v>
      </c>
      <c r="AD454" t="s">
        <v>2106</v>
      </c>
      <c r="AE454" t="s">
        <v>2107</v>
      </c>
    </row>
    <row r="455" spans="1:31">
      <c r="A455" t="s">
        <v>988</v>
      </c>
      <c r="B455" s="1">
        <v>45139</v>
      </c>
      <c r="C455" t="s">
        <v>176</v>
      </c>
      <c r="D455">
        <v>2023</v>
      </c>
      <c r="E455" t="s">
        <v>169</v>
      </c>
      <c r="F455" t="s">
        <v>989</v>
      </c>
      <c r="G455" t="s">
        <v>98</v>
      </c>
      <c r="H455" t="s">
        <v>99</v>
      </c>
      <c r="I455" t="s">
        <v>90</v>
      </c>
      <c r="J455" t="s">
        <v>100</v>
      </c>
      <c r="K455" t="s">
        <v>156</v>
      </c>
      <c r="L455" t="s">
        <v>232</v>
      </c>
      <c r="M455">
        <v>4</v>
      </c>
      <c r="N455">
        <v>194.87</v>
      </c>
      <c r="O455">
        <v>779.48</v>
      </c>
      <c r="P455">
        <v>0</v>
      </c>
      <c r="Q455">
        <v>0</v>
      </c>
      <c r="R455">
        <v>779.48</v>
      </c>
      <c r="S455">
        <v>315.16000000000003</v>
      </c>
      <c r="T455">
        <v>464.32</v>
      </c>
      <c r="U455" t="s">
        <v>166</v>
      </c>
      <c r="V455" t="s">
        <v>181</v>
      </c>
      <c r="W455" t="s">
        <v>2099</v>
      </c>
      <c r="X455" t="s">
        <v>2091</v>
      </c>
      <c r="Y455">
        <v>169</v>
      </c>
      <c r="Z455">
        <v>135.77000000000001</v>
      </c>
      <c r="AA455">
        <v>45.08</v>
      </c>
      <c r="AB455" t="s">
        <v>115</v>
      </c>
      <c r="AC455" t="s">
        <v>16</v>
      </c>
      <c r="AD455" t="s">
        <v>2095</v>
      </c>
      <c r="AE455" t="s">
        <v>2109</v>
      </c>
    </row>
    <row r="456" spans="1:31">
      <c r="A456" t="s">
        <v>1782</v>
      </c>
      <c r="B456" s="1">
        <v>45139</v>
      </c>
      <c r="C456" t="s">
        <v>176</v>
      </c>
      <c r="D456">
        <v>2023</v>
      </c>
      <c r="E456" t="s">
        <v>169</v>
      </c>
      <c r="F456" t="s">
        <v>1783</v>
      </c>
      <c r="G456" t="s">
        <v>39</v>
      </c>
      <c r="H456" t="s">
        <v>40</v>
      </c>
      <c r="I456" t="s">
        <v>41</v>
      </c>
      <c r="J456" t="s">
        <v>42</v>
      </c>
      <c r="K456" t="s">
        <v>209</v>
      </c>
      <c r="L456" t="s">
        <v>157</v>
      </c>
      <c r="M456">
        <v>4</v>
      </c>
      <c r="N456">
        <v>35.11</v>
      </c>
      <c r="O456">
        <v>140.44</v>
      </c>
      <c r="P456">
        <v>15</v>
      </c>
      <c r="Q456">
        <v>21.07</v>
      </c>
      <c r="R456">
        <v>119.37</v>
      </c>
      <c r="S456">
        <v>99.48</v>
      </c>
      <c r="T456">
        <v>19.89</v>
      </c>
      <c r="U456" t="s">
        <v>190</v>
      </c>
      <c r="V456" t="s">
        <v>159</v>
      </c>
      <c r="W456" t="s">
        <v>2090</v>
      </c>
      <c r="X456" t="s">
        <v>2108</v>
      </c>
      <c r="Y456">
        <v>135</v>
      </c>
      <c r="Z456">
        <v>203.54</v>
      </c>
      <c r="AA456">
        <v>94.85</v>
      </c>
      <c r="AB456" t="s">
        <v>41</v>
      </c>
      <c r="AC456" t="s">
        <v>20</v>
      </c>
      <c r="AD456" t="s">
        <v>2087</v>
      </c>
      <c r="AE456" t="s">
        <v>2121</v>
      </c>
    </row>
    <row r="457" spans="1:31">
      <c r="A457" t="s">
        <v>1711</v>
      </c>
      <c r="B457" s="1">
        <v>45138</v>
      </c>
      <c r="C457" t="s">
        <v>168</v>
      </c>
      <c r="D457">
        <v>2023</v>
      </c>
      <c r="E457" t="s">
        <v>169</v>
      </c>
      <c r="F457" t="s">
        <v>1712</v>
      </c>
      <c r="G457" t="s">
        <v>50</v>
      </c>
      <c r="H457" t="s">
        <v>51</v>
      </c>
      <c r="I457" t="s">
        <v>41</v>
      </c>
      <c r="J457" t="s">
        <v>52</v>
      </c>
      <c r="K457" t="s">
        <v>156</v>
      </c>
      <c r="L457" t="s">
        <v>204</v>
      </c>
      <c r="M457">
        <v>1</v>
      </c>
      <c r="N457">
        <v>143.80000000000001</v>
      </c>
      <c r="O457">
        <v>143.80000000000001</v>
      </c>
      <c r="P457">
        <v>0</v>
      </c>
      <c r="Q457">
        <v>0</v>
      </c>
      <c r="R457">
        <v>143.80000000000001</v>
      </c>
      <c r="S457">
        <v>62.15</v>
      </c>
      <c r="T457">
        <v>81.650000000000006</v>
      </c>
      <c r="U457" t="s">
        <v>190</v>
      </c>
      <c r="V457" t="s">
        <v>159</v>
      </c>
      <c r="W457" t="s">
        <v>2113</v>
      </c>
      <c r="X457" t="s">
        <v>2086</v>
      </c>
      <c r="Y457">
        <v>313</v>
      </c>
      <c r="Z457">
        <v>529.29</v>
      </c>
      <c r="AA457">
        <v>30.76</v>
      </c>
      <c r="AB457" t="s">
        <v>115</v>
      </c>
      <c r="AC457" t="s">
        <v>16</v>
      </c>
      <c r="AD457" t="s">
        <v>2095</v>
      </c>
      <c r="AE457" t="s">
        <v>2088</v>
      </c>
    </row>
    <row r="458" spans="1:31">
      <c r="A458" t="s">
        <v>1541</v>
      </c>
      <c r="B458" s="1">
        <v>45138</v>
      </c>
      <c r="C458" t="s">
        <v>168</v>
      </c>
      <c r="D458">
        <v>2023</v>
      </c>
      <c r="E458" t="s">
        <v>169</v>
      </c>
      <c r="F458" t="s">
        <v>1542</v>
      </c>
      <c r="G458" t="s">
        <v>68</v>
      </c>
      <c r="H458" t="s">
        <v>69</v>
      </c>
      <c r="I458" t="s">
        <v>66</v>
      </c>
      <c r="J458" t="s">
        <v>70</v>
      </c>
      <c r="K458" t="s">
        <v>209</v>
      </c>
      <c r="L458" t="s">
        <v>179</v>
      </c>
      <c r="M458">
        <v>4</v>
      </c>
      <c r="N458">
        <v>98.51</v>
      </c>
      <c r="O458">
        <v>394.04</v>
      </c>
      <c r="P458">
        <v>20</v>
      </c>
      <c r="Q458">
        <v>78.81</v>
      </c>
      <c r="R458">
        <v>315.23</v>
      </c>
      <c r="S458">
        <v>220.68</v>
      </c>
      <c r="T458">
        <v>94.55</v>
      </c>
      <c r="U458" t="s">
        <v>166</v>
      </c>
      <c r="V458" t="s">
        <v>159</v>
      </c>
      <c r="W458" t="s">
        <v>2090</v>
      </c>
      <c r="X458" t="s">
        <v>2086</v>
      </c>
      <c r="Y458">
        <v>43</v>
      </c>
      <c r="Z458">
        <v>220.87</v>
      </c>
      <c r="AA458">
        <v>47.38</v>
      </c>
      <c r="AB458" t="s">
        <v>14</v>
      </c>
      <c r="AC458" t="s">
        <v>20</v>
      </c>
      <c r="AD458" t="s">
        <v>2087</v>
      </c>
      <c r="AE458" t="s">
        <v>2107</v>
      </c>
    </row>
    <row r="459" spans="1:31">
      <c r="A459" t="s">
        <v>1229</v>
      </c>
      <c r="B459" s="1">
        <v>45137</v>
      </c>
      <c r="C459" t="s">
        <v>168</v>
      </c>
      <c r="D459">
        <v>2023</v>
      </c>
      <c r="E459" t="s">
        <v>169</v>
      </c>
      <c r="F459" t="s">
        <v>1230</v>
      </c>
      <c r="G459" t="s">
        <v>48</v>
      </c>
      <c r="H459" t="s">
        <v>49</v>
      </c>
      <c r="I459" t="s">
        <v>41</v>
      </c>
      <c r="J459" t="s">
        <v>42</v>
      </c>
      <c r="K459" t="s">
        <v>156</v>
      </c>
      <c r="L459" t="s">
        <v>174</v>
      </c>
      <c r="M459">
        <v>2</v>
      </c>
      <c r="N459">
        <v>84.95</v>
      </c>
      <c r="O459">
        <v>169.9</v>
      </c>
      <c r="P459">
        <v>15</v>
      </c>
      <c r="Q459">
        <v>25.48</v>
      </c>
      <c r="R459">
        <v>144.41999999999999</v>
      </c>
      <c r="S459">
        <v>106.14</v>
      </c>
      <c r="T459">
        <v>38.28</v>
      </c>
      <c r="U459" t="s">
        <v>190</v>
      </c>
      <c r="V459" t="s">
        <v>181</v>
      </c>
      <c r="W459" t="s">
        <v>2090</v>
      </c>
      <c r="X459" t="s">
        <v>2091</v>
      </c>
      <c r="Y459">
        <v>353</v>
      </c>
      <c r="Z459">
        <v>392.82</v>
      </c>
      <c r="AA459">
        <v>91.84</v>
      </c>
      <c r="AB459" t="s">
        <v>66</v>
      </c>
      <c r="AC459" t="s">
        <v>16</v>
      </c>
      <c r="AD459" t="s">
        <v>2095</v>
      </c>
      <c r="AE459" t="s">
        <v>2096</v>
      </c>
    </row>
    <row r="460" spans="1:31">
      <c r="A460" t="s">
        <v>531</v>
      </c>
      <c r="B460" s="1">
        <v>45137</v>
      </c>
      <c r="C460" t="s">
        <v>168</v>
      </c>
      <c r="D460">
        <v>2023</v>
      </c>
      <c r="E460" t="s">
        <v>169</v>
      </c>
      <c r="F460" t="s">
        <v>532</v>
      </c>
      <c r="G460" t="s">
        <v>127</v>
      </c>
      <c r="H460" t="s">
        <v>128</v>
      </c>
      <c r="I460" t="s">
        <v>115</v>
      </c>
      <c r="J460" t="s">
        <v>124</v>
      </c>
      <c r="K460" t="s">
        <v>164</v>
      </c>
      <c r="L460" t="s">
        <v>179</v>
      </c>
      <c r="M460">
        <v>4</v>
      </c>
      <c r="N460">
        <v>94.76</v>
      </c>
      <c r="O460">
        <v>379.04</v>
      </c>
      <c r="P460">
        <v>10</v>
      </c>
      <c r="Q460">
        <v>37.9</v>
      </c>
      <c r="R460">
        <v>341.14</v>
      </c>
      <c r="S460">
        <v>315.27999999999997</v>
      </c>
      <c r="T460">
        <v>25.86</v>
      </c>
      <c r="U460" t="s">
        <v>166</v>
      </c>
      <c r="V460" t="s">
        <v>159</v>
      </c>
      <c r="W460" t="s">
        <v>2099</v>
      </c>
      <c r="X460" t="s">
        <v>2108</v>
      </c>
      <c r="Y460">
        <v>108</v>
      </c>
      <c r="Z460">
        <v>20.86</v>
      </c>
      <c r="AA460">
        <v>52.16</v>
      </c>
      <c r="AB460" t="s">
        <v>14</v>
      </c>
      <c r="AC460" t="s">
        <v>20</v>
      </c>
      <c r="AD460" t="s">
        <v>2087</v>
      </c>
      <c r="AE460" t="s">
        <v>2107</v>
      </c>
    </row>
    <row r="461" spans="1:31">
      <c r="A461" t="s">
        <v>807</v>
      </c>
      <c r="B461" s="1">
        <v>45137</v>
      </c>
      <c r="C461" t="s">
        <v>168</v>
      </c>
      <c r="D461">
        <v>2023</v>
      </c>
      <c r="E461" t="s">
        <v>169</v>
      </c>
      <c r="F461" t="s">
        <v>808</v>
      </c>
      <c r="G461" t="s">
        <v>122</v>
      </c>
      <c r="H461" t="s">
        <v>123</v>
      </c>
      <c r="I461" t="s">
        <v>115</v>
      </c>
      <c r="J461" t="s">
        <v>124</v>
      </c>
      <c r="K461" t="s">
        <v>209</v>
      </c>
      <c r="L461" t="s">
        <v>194</v>
      </c>
      <c r="M461">
        <v>1</v>
      </c>
      <c r="N461">
        <v>93.88</v>
      </c>
      <c r="O461">
        <v>93.88</v>
      </c>
      <c r="P461">
        <v>0</v>
      </c>
      <c r="Q461">
        <v>0</v>
      </c>
      <c r="R461">
        <v>93.88</v>
      </c>
      <c r="S461">
        <v>53.11</v>
      </c>
      <c r="T461">
        <v>40.770000000000003</v>
      </c>
      <c r="U461" t="s">
        <v>190</v>
      </c>
      <c r="V461" t="s">
        <v>159</v>
      </c>
      <c r="W461" t="s">
        <v>2085</v>
      </c>
      <c r="X461" t="s">
        <v>2108</v>
      </c>
      <c r="Y461">
        <v>340</v>
      </c>
      <c r="Z461">
        <v>2224.1999999999998</v>
      </c>
      <c r="AA461">
        <v>213.92</v>
      </c>
      <c r="AB461" t="s">
        <v>66</v>
      </c>
      <c r="AC461" t="s">
        <v>20</v>
      </c>
      <c r="AD461" t="s">
        <v>2087</v>
      </c>
      <c r="AE461" t="s">
        <v>2096</v>
      </c>
    </row>
    <row r="462" spans="1:31">
      <c r="A462" t="s">
        <v>1316</v>
      </c>
      <c r="B462" s="1">
        <v>45137</v>
      </c>
      <c r="C462" t="s">
        <v>168</v>
      </c>
      <c r="D462">
        <v>2023</v>
      </c>
      <c r="E462" t="s">
        <v>169</v>
      </c>
      <c r="F462" t="s">
        <v>1317</v>
      </c>
      <c r="G462" t="s">
        <v>55</v>
      </c>
      <c r="H462" t="s">
        <v>56</v>
      </c>
      <c r="I462" t="s">
        <v>41</v>
      </c>
      <c r="J462" t="s">
        <v>45</v>
      </c>
      <c r="K462" t="s">
        <v>178</v>
      </c>
      <c r="L462" t="s">
        <v>179</v>
      </c>
      <c r="M462">
        <v>3</v>
      </c>
      <c r="N462">
        <v>205.4</v>
      </c>
      <c r="O462">
        <v>616.20000000000005</v>
      </c>
      <c r="P462">
        <v>0</v>
      </c>
      <c r="Q462">
        <v>0</v>
      </c>
      <c r="R462">
        <v>616.20000000000005</v>
      </c>
      <c r="S462">
        <v>212.7</v>
      </c>
      <c r="T462">
        <v>403.5</v>
      </c>
      <c r="U462" t="s">
        <v>166</v>
      </c>
      <c r="V462" t="s">
        <v>159</v>
      </c>
      <c r="W462" t="s">
        <v>2085</v>
      </c>
      <c r="X462" t="s">
        <v>2108</v>
      </c>
      <c r="Y462">
        <v>159</v>
      </c>
      <c r="Z462">
        <v>1157.22</v>
      </c>
      <c r="AA462">
        <v>199.51</v>
      </c>
      <c r="AB462" t="s">
        <v>66</v>
      </c>
      <c r="AC462" t="s">
        <v>16</v>
      </c>
      <c r="AD462" t="s">
        <v>2106</v>
      </c>
      <c r="AE462" t="s">
        <v>2096</v>
      </c>
    </row>
    <row r="463" spans="1:31">
      <c r="A463" t="s">
        <v>749</v>
      </c>
      <c r="B463" s="1">
        <v>45136</v>
      </c>
      <c r="C463" t="s">
        <v>168</v>
      </c>
      <c r="D463">
        <v>2023</v>
      </c>
      <c r="E463" t="s">
        <v>169</v>
      </c>
      <c r="F463" t="s">
        <v>750</v>
      </c>
      <c r="G463" t="s">
        <v>60</v>
      </c>
      <c r="H463" t="s">
        <v>61</v>
      </c>
      <c r="I463" t="s">
        <v>41</v>
      </c>
      <c r="J463" t="s">
        <v>59</v>
      </c>
      <c r="K463" t="s">
        <v>164</v>
      </c>
      <c r="L463" t="s">
        <v>157</v>
      </c>
      <c r="M463">
        <v>1</v>
      </c>
      <c r="N463">
        <v>103.56</v>
      </c>
      <c r="O463">
        <v>103.56</v>
      </c>
      <c r="P463">
        <v>20</v>
      </c>
      <c r="Q463">
        <v>20.71</v>
      </c>
      <c r="R463">
        <v>82.85</v>
      </c>
      <c r="S463">
        <v>44.58</v>
      </c>
      <c r="T463">
        <v>38.270000000000003</v>
      </c>
      <c r="U463" t="s">
        <v>195</v>
      </c>
      <c r="V463" t="s">
        <v>159</v>
      </c>
      <c r="W463" t="s">
        <v>2097</v>
      </c>
      <c r="X463" t="s">
        <v>2094</v>
      </c>
      <c r="Y463">
        <v>24</v>
      </c>
      <c r="Z463">
        <v>171.41</v>
      </c>
      <c r="AA463">
        <v>121.63</v>
      </c>
      <c r="AB463" t="s">
        <v>115</v>
      </c>
      <c r="AC463" t="s">
        <v>16</v>
      </c>
      <c r="AD463" t="s">
        <v>2095</v>
      </c>
      <c r="AE463" t="s">
        <v>2096</v>
      </c>
    </row>
    <row r="464" spans="1:31">
      <c r="A464" t="s">
        <v>641</v>
      </c>
      <c r="B464" s="1">
        <v>45136</v>
      </c>
      <c r="C464" t="s">
        <v>168</v>
      </c>
      <c r="D464">
        <v>2023</v>
      </c>
      <c r="E464" t="s">
        <v>169</v>
      </c>
      <c r="F464" t="s">
        <v>642</v>
      </c>
      <c r="G464" t="s">
        <v>88</v>
      </c>
      <c r="H464" t="s">
        <v>89</v>
      </c>
      <c r="I464" t="s">
        <v>90</v>
      </c>
      <c r="J464" t="s">
        <v>91</v>
      </c>
      <c r="K464" t="s">
        <v>156</v>
      </c>
      <c r="L464" t="s">
        <v>179</v>
      </c>
      <c r="M464">
        <v>1</v>
      </c>
      <c r="N464">
        <v>54.64</v>
      </c>
      <c r="O464">
        <v>54.64</v>
      </c>
      <c r="P464">
        <v>0</v>
      </c>
      <c r="Q464">
        <v>0</v>
      </c>
      <c r="R464">
        <v>54.64</v>
      </c>
      <c r="S464">
        <v>20.32</v>
      </c>
      <c r="T464">
        <v>34.32</v>
      </c>
      <c r="U464" t="s">
        <v>180</v>
      </c>
      <c r="V464" t="s">
        <v>159</v>
      </c>
      <c r="W464" t="s">
        <v>2097</v>
      </c>
      <c r="X464" t="s">
        <v>2111</v>
      </c>
      <c r="Y464">
        <v>162</v>
      </c>
      <c r="Z464">
        <v>294.17</v>
      </c>
      <c r="AA464">
        <v>132.15</v>
      </c>
      <c r="AB464" t="s">
        <v>90</v>
      </c>
      <c r="AC464" t="s">
        <v>16</v>
      </c>
      <c r="AD464" t="s">
        <v>2095</v>
      </c>
      <c r="AE464" t="s">
        <v>2088</v>
      </c>
    </row>
    <row r="465" spans="1:31">
      <c r="A465" t="s">
        <v>1002</v>
      </c>
      <c r="B465" s="1">
        <v>45135</v>
      </c>
      <c r="C465" t="s">
        <v>168</v>
      </c>
      <c r="D465">
        <v>2023</v>
      </c>
      <c r="E465" t="s">
        <v>169</v>
      </c>
      <c r="F465" t="s">
        <v>1003</v>
      </c>
      <c r="G465" t="s">
        <v>84</v>
      </c>
      <c r="H465" t="s">
        <v>85</v>
      </c>
      <c r="I465" t="s">
        <v>66</v>
      </c>
      <c r="J465" t="s">
        <v>67</v>
      </c>
      <c r="K465" t="s">
        <v>164</v>
      </c>
      <c r="L465" t="s">
        <v>179</v>
      </c>
      <c r="M465">
        <v>2</v>
      </c>
      <c r="N465">
        <v>174.23</v>
      </c>
      <c r="O465">
        <v>348.46</v>
      </c>
      <c r="P465">
        <v>20</v>
      </c>
      <c r="Q465">
        <v>69.69</v>
      </c>
      <c r="R465">
        <v>278.77</v>
      </c>
      <c r="S465">
        <v>147.9</v>
      </c>
      <c r="T465">
        <v>130.87</v>
      </c>
      <c r="U465" t="s">
        <v>166</v>
      </c>
      <c r="V465" t="s">
        <v>159</v>
      </c>
      <c r="W465" t="s">
        <v>2090</v>
      </c>
      <c r="X465" t="s">
        <v>2094</v>
      </c>
      <c r="Y465">
        <v>169</v>
      </c>
      <c r="Z465">
        <v>268.64</v>
      </c>
      <c r="AA465">
        <v>41.21</v>
      </c>
      <c r="AB465" t="s">
        <v>90</v>
      </c>
      <c r="AC465" t="s">
        <v>20</v>
      </c>
      <c r="AD465" t="s">
        <v>2095</v>
      </c>
      <c r="AE465" t="s">
        <v>2088</v>
      </c>
    </row>
    <row r="466" spans="1:31">
      <c r="A466" t="s">
        <v>296</v>
      </c>
      <c r="B466" s="1">
        <v>45135</v>
      </c>
      <c r="C466" t="s">
        <v>168</v>
      </c>
      <c r="D466">
        <v>2023</v>
      </c>
      <c r="E466" t="s">
        <v>169</v>
      </c>
      <c r="F466" t="s">
        <v>297</v>
      </c>
      <c r="G466" t="s">
        <v>103</v>
      </c>
      <c r="H466" t="s">
        <v>104</v>
      </c>
      <c r="I466" t="s">
        <v>90</v>
      </c>
      <c r="J466" t="s">
        <v>94</v>
      </c>
      <c r="K466" t="s">
        <v>156</v>
      </c>
      <c r="L466" t="s">
        <v>179</v>
      </c>
      <c r="M466">
        <v>1</v>
      </c>
      <c r="N466">
        <v>98.58</v>
      </c>
      <c r="O466">
        <v>98.58</v>
      </c>
      <c r="P466">
        <v>10</v>
      </c>
      <c r="Q466">
        <v>9.86</v>
      </c>
      <c r="R466">
        <v>88.72</v>
      </c>
      <c r="S466">
        <v>52.57</v>
      </c>
      <c r="T466">
        <v>36.15</v>
      </c>
      <c r="U466" t="s">
        <v>158</v>
      </c>
      <c r="V466" t="s">
        <v>186</v>
      </c>
      <c r="W466" t="s">
        <v>2085</v>
      </c>
      <c r="X466" t="s">
        <v>2111</v>
      </c>
      <c r="Y466">
        <v>141</v>
      </c>
      <c r="Z466">
        <v>1943.87</v>
      </c>
      <c r="AA466">
        <v>124.3</v>
      </c>
      <c r="AB466" t="s">
        <v>14</v>
      </c>
      <c r="AC466" t="s">
        <v>16</v>
      </c>
      <c r="AD466" t="s">
        <v>2087</v>
      </c>
      <c r="AE466" t="s">
        <v>2088</v>
      </c>
    </row>
    <row r="467" spans="1:31">
      <c r="A467" t="s">
        <v>564</v>
      </c>
      <c r="B467" s="1">
        <v>45133</v>
      </c>
      <c r="C467" t="s">
        <v>168</v>
      </c>
      <c r="D467">
        <v>2023</v>
      </c>
      <c r="E467" t="s">
        <v>169</v>
      </c>
      <c r="F467" t="s">
        <v>565</v>
      </c>
      <c r="G467" t="s">
        <v>129</v>
      </c>
      <c r="H467" t="s">
        <v>130</v>
      </c>
      <c r="I467" t="s">
        <v>115</v>
      </c>
      <c r="J467" t="s">
        <v>124</v>
      </c>
      <c r="K467" t="s">
        <v>209</v>
      </c>
      <c r="L467" t="s">
        <v>204</v>
      </c>
      <c r="M467">
        <v>3</v>
      </c>
      <c r="N467">
        <v>99.34</v>
      </c>
      <c r="O467">
        <v>298.02</v>
      </c>
      <c r="P467">
        <v>20</v>
      </c>
      <c r="Q467">
        <v>59.6</v>
      </c>
      <c r="R467">
        <v>238.42</v>
      </c>
      <c r="S467">
        <v>112.05</v>
      </c>
      <c r="T467">
        <v>126.37</v>
      </c>
      <c r="U467" t="s">
        <v>158</v>
      </c>
      <c r="V467" t="s">
        <v>181</v>
      </c>
      <c r="W467" t="s">
        <v>2097</v>
      </c>
      <c r="X467" t="s">
        <v>2108</v>
      </c>
      <c r="Y467">
        <v>257</v>
      </c>
      <c r="Z467">
        <v>598.63</v>
      </c>
      <c r="AA467">
        <v>110.37</v>
      </c>
      <c r="AB467" t="s">
        <v>41</v>
      </c>
      <c r="AC467" t="s">
        <v>16</v>
      </c>
      <c r="AD467" t="s">
        <v>2106</v>
      </c>
      <c r="AE467" t="s">
        <v>2121</v>
      </c>
    </row>
    <row r="468" spans="1:31">
      <c r="A468" t="s">
        <v>994</v>
      </c>
      <c r="B468" s="1">
        <v>45133</v>
      </c>
      <c r="C468" t="s">
        <v>168</v>
      </c>
      <c r="D468">
        <v>2023</v>
      </c>
      <c r="E468" t="s">
        <v>169</v>
      </c>
      <c r="F468" t="s">
        <v>995</v>
      </c>
      <c r="G468" t="s">
        <v>21</v>
      </c>
      <c r="H468" t="s">
        <v>22</v>
      </c>
      <c r="I468" t="s">
        <v>14</v>
      </c>
      <c r="J468" t="s">
        <v>15</v>
      </c>
      <c r="K468" t="s">
        <v>164</v>
      </c>
      <c r="L468" t="s">
        <v>174</v>
      </c>
      <c r="M468">
        <v>2</v>
      </c>
      <c r="N468">
        <v>65.430000000000007</v>
      </c>
      <c r="O468">
        <v>130.86000000000001</v>
      </c>
      <c r="P468">
        <v>0</v>
      </c>
      <c r="Q468">
        <v>0</v>
      </c>
      <c r="R468">
        <v>130.86000000000001</v>
      </c>
      <c r="S468">
        <v>77.38</v>
      </c>
      <c r="T468">
        <v>53.48</v>
      </c>
      <c r="U468" t="s">
        <v>180</v>
      </c>
      <c r="V468" t="s">
        <v>159</v>
      </c>
      <c r="W468" t="s">
        <v>2093</v>
      </c>
      <c r="X468" t="s">
        <v>2111</v>
      </c>
      <c r="Y468">
        <v>46</v>
      </c>
      <c r="Z468">
        <v>86.6</v>
      </c>
      <c r="AA468">
        <v>21.88</v>
      </c>
      <c r="AB468" t="s">
        <v>115</v>
      </c>
      <c r="AC468" t="s">
        <v>16</v>
      </c>
      <c r="AD468" t="s">
        <v>2087</v>
      </c>
      <c r="AE468" t="s">
        <v>2109</v>
      </c>
    </row>
    <row r="469" spans="1:31">
      <c r="A469" t="s">
        <v>1278</v>
      </c>
      <c r="B469" s="1">
        <v>45133</v>
      </c>
      <c r="C469" t="s">
        <v>168</v>
      </c>
      <c r="D469">
        <v>2023</v>
      </c>
      <c r="E469" t="s">
        <v>169</v>
      </c>
      <c r="F469" t="s">
        <v>335</v>
      </c>
      <c r="G469" t="s">
        <v>109</v>
      </c>
      <c r="H469" t="s">
        <v>110</v>
      </c>
      <c r="I469" t="s">
        <v>90</v>
      </c>
      <c r="J469" t="s">
        <v>100</v>
      </c>
      <c r="K469" t="s">
        <v>209</v>
      </c>
      <c r="L469" t="s">
        <v>194</v>
      </c>
      <c r="M469">
        <v>2</v>
      </c>
      <c r="N469">
        <v>77.67</v>
      </c>
      <c r="O469">
        <v>155.34</v>
      </c>
      <c r="P469">
        <v>5</v>
      </c>
      <c r="Q469">
        <v>7.77</v>
      </c>
      <c r="R469">
        <v>147.57</v>
      </c>
      <c r="S469">
        <v>56.24</v>
      </c>
      <c r="T469">
        <v>91.33</v>
      </c>
      <c r="U469" t="s">
        <v>190</v>
      </c>
      <c r="V469" t="s">
        <v>186</v>
      </c>
      <c r="W469" t="s">
        <v>2113</v>
      </c>
      <c r="X469" t="s">
        <v>2086</v>
      </c>
      <c r="Y469">
        <v>336</v>
      </c>
      <c r="Z469">
        <v>145.68</v>
      </c>
      <c r="AA469">
        <v>79.59</v>
      </c>
      <c r="AB469" t="s">
        <v>14</v>
      </c>
      <c r="AC469" t="s">
        <v>20</v>
      </c>
      <c r="AD469" t="s">
        <v>2095</v>
      </c>
      <c r="AE469" t="s">
        <v>2109</v>
      </c>
    </row>
    <row r="470" spans="1:31">
      <c r="A470" t="s">
        <v>1936</v>
      </c>
      <c r="B470" s="1">
        <v>45132</v>
      </c>
      <c r="C470" t="s">
        <v>168</v>
      </c>
      <c r="D470">
        <v>2023</v>
      </c>
      <c r="E470" t="s">
        <v>169</v>
      </c>
      <c r="F470" t="s">
        <v>1937</v>
      </c>
      <c r="G470" t="s">
        <v>55</v>
      </c>
      <c r="H470" t="s">
        <v>56</v>
      </c>
      <c r="I470" t="s">
        <v>41</v>
      </c>
      <c r="J470" t="s">
        <v>45</v>
      </c>
      <c r="K470" t="s">
        <v>164</v>
      </c>
      <c r="L470" t="s">
        <v>232</v>
      </c>
      <c r="M470">
        <v>2</v>
      </c>
      <c r="N470">
        <v>205.4</v>
      </c>
      <c r="O470">
        <v>410.8</v>
      </c>
      <c r="P470">
        <v>0</v>
      </c>
      <c r="Q470">
        <v>0</v>
      </c>
      <c r="R470">
        <v>410.8</v>
      </c>
      <c r="S470">
        <v>141.80000000000001</v>
      </c>
      <c r="T470">
        <v>269</v>
      </c>
      <c r="U470" t="s">
        <v>195</v>
      </c>
      <c r="V470" t="s">
        <v>159</v>
      </c>
      <c r="W470" t="s">
        <v>2097</v>
      </c>
      <c r="X470" t="s">
        <v>2091</v>
      </c>
      <c r="Y470">
        <v>227</v>
      </c>
      <c r="Z470">
        <v>609.07000000000005</v>
      </c>
      <c r="AA470">
        <v>72.72</v>
      </c>
      <c r="AB470" t="s">
        <v>90</v>
      </c>
      <c r="AC470" t="s">
        <v>20</v>
      </c>
      <c r="AD470" t="s">
        <v>2087</v>
      </c>
      <c r="AE470" t="s">
        <v>2088</v>
      </c>
    </row>
    <row r="471" spans="1:31">
      <c r="A471" t="s">
        <v>2053</v>
      </c>
      <c r="B471" s="1">
        <v>45132</v>
      </c>
      <c r="C471" t="s">
        <v>168</v>
      </c>
      <c r="D471">
        <v>2023</v>
      </c>
      <c r="E471" t="s">
        <v>169</v>
      </c>
      <c r="F471" t="s">
        <v>2054</v>
      </c>
      <c r="G471" t="s">
        <v>28</v>
      </c>
      <c r="H471" t="s">
        <v>29</v>
      </c>
      <c r="I471" t="s">
        <v>14</v>
      </c>
      <c r="J471" t="s">
        <v>19</v>
      </c>
      <c r="K471" t="s">
        <v>156</v>
      </c>
      <c r="L471" t="s">
        <v>204</v>
      </c>
      <c r="M471">
        <v>3</v>
      </c>
      <c r="N471">
        <v>26.46</v>
      </c>
      <c r="O471">
        <v>79.38</v>
      </c>
      <c r="P471">
        <v>0</v>
      </c>
      <c r="Q471">
        <v>0</v>
      </c>
      <c r="R471">
        <v>79.38</v>
      </c>
      <c r="S471">
        <v>58.26</v>
      </c>
      <c r="T471">
        <v>21.12</v>
      </c>
      <c r="U471" t="s">
        <v>158</v>
      </c>
      <c r="V471" t="s">
        <v>186</v>
      </c>
      <c r="W471" t="s">
        <v>2097</v>
      </c>
      <c r="X471" t="s">
        <v>2100</v>
      </c>
      <c r="Y471">
        <v>293</v>
      </c>
      <c r="Z471">
        <v>379.59</v>
      </c>
      <c r="AA471">
        <v>78.97</v>
      </c>
      <c r="AB471" t="s">
        <v>41</v>
      </c>
      <c r="AC471" t="s">
        <v>16</v>
      </c>
      <c r="AD471" t="s">
        <v>2087</v>
      </c>
      <c r="AE471" t="s">
        <v>2088</v>
      </c>
    </row>
    <row r="472" spans="1:31">
      <c r="A472" t="s">
        <v>167</v>
      </c>
      <c r="B472" s="1">
        <v>45131</v>
      </c>
      <c r="C472" t="s">
        <v>168</v>
      </c>
      <c r="D472">
        <v>2023</v>
      </c>
      <c r="E472" t="s">
        <v>169</v>
      </c>
      <c r="F472" t="s">
        <v>170</v>
      </c>
      <c r="G472" t="s">
        <v>127</v>
      </c>
      <c r="H472" t="s">
        <v>128</v>
      </c>
      <c r="I472" t="s">
        <v>115</v>
      </c>
      <c r="J472" t="s">
        <v>124</v>
      </c>
      <c r="K472" t="s">
        <v>156</v>
      </c>
      <c r="L472" t="s">
        <v>165</v>
      </c>
      <c r="M472">
        <v>4</v>
      </c>
      <c r="N472">
        <v>94.76</v>
      </c>
      <c r="O472">
        <v>379.04</v>
      </c>
      <c r="P472">
        <v>5</v>
      </c>
      <c r="Q472">
        <v>18.95</v>
      </c>
      <c r="R472">
        <v>360.09</v>
      </c>
      <c r="S472">
        <v>315.27999999999997</v>
      </c>
      <c r="T472">
        <v>44.81</v>
      </c>
      <c r="U472" t="s">
        <v>158</v>
      </c>
      <c r="V472" t="s">
        <v>159</v>
      </c>
      <c r="W472" t="s">
        <v>2085</v>
      </c>
      <c r="X472" t="s">
        <v>2108</v>
      </c>
      <c r="Y472">
        <v>80</v>
      </c>
      <c r="Z472">
        <v>1917.43</v>
      </c>
      <c r="AA472">
        <v>226.28</v>
      </c>
      <c r="AB472" t="s">
        <v>90</v>
      </c>
      <c r="AC472" t="s">
        <v>20</v>
      </c>
      <c r="AD472" t="s">
        <v>2087</v>
      </c>
      <c r="AE472" t="s">
        <v>2088</v>
      </c>
    </row>
    <row r="473" spans="1:31">
      <c r="A473" t="s">
        <v>1980</v>
      </c>
      <c r="B473" s="1">
        <v>45131</v>
      </c>
      <c r="C473" t="s">
        <v>168</v>
      </c>
      <c r="D473">
        <v>2023</v>
      </c>
      <c r="E473" t="s">
        <v>169</v>
      </c>
      <c r="F473" t="s">
        <v>1981</v>
      </c>
      <c r="G473" t="s">
        <v>103</v>
      </c>
      <c r="H473" t="s">
        <v>104</v>
      </c>
      <c r="I473" t="s">
        <v>90</v>
      </c>
      <c r="J473" t="s">
        <v>94</v>
      </c>
      <c r="K473" t="s">
        <v>156</v>
      </c>
      <c r="L473" t="s">
        <v>157</v>
      </c>
      <c r="M473">
        <v>4</v>
      </c>
      <c r="N473">
        <v>98.58</v>
      </c>
      <c r="O473">
        <v>394.32</v>
      </c>
      <c r="P473">
        <v>0</v>
      </c>
      <c r="Q473">
        <v>0</v>
      </c>
      <c r="R473">
        <v>394.32</v>
      </c>
      <c r="S473">
        <v>210.28</v>
      </c>
      <c r="T473">
        <v>184.04</v>
      </c>
      <c r="U473" t="s">
        <v>180</v>
      </c>
      <c r="V473" t="s">
        <v>159</v>
      </c>
      <c r="W473" t="s">
        <v>2093</v>
      </c>
      <c r="X473" t="s">
        <v>2086</v>
      </c>
      <c r="Y473">
        <v>266</v>
      </c>
      <c r="Z473">
        <v>151.83000000000001</v>
      </c>
      <c r="AA473">
        <v>77.38</v>
      </c>
      <c r="AB473" t="s">
        <v>66</v>
      </c>
      <c r="AC473" t="s">
        <v>16</v>
      </c>
      <c r="AD473" t="s">
        <v>2106</v>
      </c>
      <c r="AE473" t="s">
        <v>2107</v>
      </c>
    </row>
    <row r="474" spans="1:31">
      <c r="A474" t="s">
        <v>1331</v>
      </c>
      <c r="B474" s="1">
        <v>45130</v>
      </c>
      <c r="C474" t="s">
        <v>168</v>
      </c>
      <c r="D474">
        <v>2023</v>
      </c>
      <c r="E474" t="s">
        <v>169</v>
      </c>
      <c r="F474" t="s">
        <v>1332</v>
      </c>
      <c r="G474" t="s">
        <v>103</v>
      </c>
      <c r="H474" t="s">
        <v>104</v>
      </c>
      <c r="I474" t="s">
        <v>90</v>
      </c>
      <c r="J474" t="s">
        <v>94</v>
      </c>
      <c r="K474" t="s">
        <v>209</v>
      </c>
      <c r="L474" t="s">
        <v>174</v>
      </c>
      <c r="M474">
        <v>1</v>
      </c>
      <c r="N474">
        <v>98.58</v>
      </c>
      <c r="O474">
        <v>98.58</v>
      </c>
      <c r="P474">
        <v>0</v>
      </c>
      <c r="Q474">
        <v>0</v>
      </c>
      <c r="R474">
        <v>98.58</v>
      </c>
      <c r="S474">
        <v>52.57</v>
      </c>
      <c r="T474">
        <v>46.01</v>
      </c>
      <c r="U474" t="s">
        <v>195</v>
      </c>
      <c r="V474" t="s">
        <v>181</v>
      </c>
      <c r="W474" t="s">
        <v>2099</v>
      </c>
      <c r="X474" t="s">
        <v>2086</v>
      </c>
      <c r="Y474">
        <v>14</v>
      </c>
      <c r="Z474">
        <v>54.31</v>
      </c>
      <c r="AA474">
        <v>57.14</v>
      </c>
      <c r="AB474" t="s">
        <v>66</v>
      </c>
      <c r="AC474" t="s">
        <v>16</v>
      </c>
      <c r="AD474" t="s">
        <v>2106</v>
      </c>
      <c r="AE474" t="s">
        <v>2096</v>
      </c>
    </row>
    <row r="475" spans="1:31">
      <c r="A475" t="s">
        <v>699</v>
      </c>
      <c r="B475" s="1">
        <v>45130</v>
      </c>
      <c r="C475" t="s">
        <v>168</v>
      </c>
      <c r="D475">
        <v>2023</v>
      </c>
      <c r="E475" t="s">
        <v>169</v>
      </c>
      <c r="F475" t="s">
        <v>700</v>
      </c>
      <c r="G475" t="s">
        <v>55</v>
      </c>
      <c r="H475" t="s">
        <v>56</v>
      </c>
      <c r="I475" t="s">
        <v>41</v>
      </c>
      <c r="J475" t="s">
        <v>45</v>
      </c>
      <c r="K475" t="s">
        <v>178</v>
      </c>
      <c r="L475" t="s">
        <v>204</v>
      </c>
      <c r="M475">
        <v>3</v>
      </c>
      <c r="N475">
        <v>205.4</v>
      </c>
      <c r="O475">
        <v>616.20000000000005</v>
      </c>
      <c r="P475">
        <v>0</v>
      </c>
      <c r="Q475">
        <v>0</v>
      </c>
      <c r="R475">
        <v>616.20000000000005</v>
      </c>
      <c r="S475">
        <v>212.7</v>
      </c>
      <c r="T475">
        <v>403.5</v>
      </c>
      <c r="U475" t="s">
        <v>180</v>
      </c>
      <c r="V475" t="s">
        <v>181</v>
      </c>
      <c r="W475" t="s">
        <v>2085</v>
      </c>
      <c r="X475" t="s">
        <v>2094</v>
      </c>
      <c r="Y475">
        <v>117</v>
      </c>
      <c r="Z475">
        <v>2780.94</v>
      </c>
      <c r="AA475">
        <v>241.1</v>
      </c>
      <c r="AB475" t="s">
        <v>14</v>
      </c>
      <c r="AC475" t="s">
        <v>16</v>
      </c>
      <c r="AD475" t="s">
        <v>2095</v>
      </c>
      <c r="AE475" t="s">
        <v>2121</v>
      </c>
    </row>
    <row r="476" spans="1:31">
      <c r="A476" t="s">
        <v>969</v>
      </c>
      <c r="B476" s="1">
        <v>45130</v>
      </c>
      <c r="C476" t="s">
        <v>168</v>
      </c>
      <c r="D476">
        <v>2023</v>
      </c>
      <c r="E476" t="s">
        <v>169</v>
      </c>
      <c r="F476" t="s">
        <v>970</v>
      </c>
      <c r="G476" t="s">
        <v>88</v>
      </c>
      <c r="H476" t="s">
        <v>89</v>
      </c>
      <c r="I476" t="s">
        <v>90</v>
      </c>
      <c r="J476" t="s">
        <v>91</v>
      </c>
      <c r="K476" t="s">
        <v>164</v>
      </c>
      <c r="L476" t="s">
        <v>165</v>
      </c>
      <c r="M476">
        <v>1</v>
      </c>
      <c r="N476">
        <v>54.64</v>
      </c>
      <c r="O476">
        <v>54.64</v>
      </c>
      <c r="P476">
        <v>0</v>
      </c>
      <c r="Q476">
        <v>0</v>
      </c>
      <c r="R476">
        <v>54.64</v>
      </c>
      <c r="S476">
        <v>20.32</v>
      </c>
      <c r="T476">
        <v>34.32</v>
      </c>
      <c r="U476" t="s">
        <v>195</v>
      </c>
      <c r="V476" t="s">
        <v>159</v>
      </c>
      <c r="W476" t="s">
        <v>2097</v>
      </c>
      <c r="X476" t="s">
        <v>2111</v>
      </c>
      <c r="Y476">
        <v>346</v>
      </c>
      <c r="Z476">
        <v>692.8</v>
      </c>
      <c r="AA476">
        <v>89.6</v>
      </c>
      <c r="AB476" t="s">
        <v>66</v>
      </c>
      <c r="AC476" t="s">
        <v>20</v>
      </c>
      <c r="AD476" t="s">
        <v>2087</v>
      </c>
      <c r="AE476" t="s">
        <v>2107</v>
      </c>
    </row>
    <row r="477" spans="1:31">
      <c r="A477" t="s">
        <v>902</v>
      </c>
      <c r="B477" s="1">
        <v>45129</v>
      </c>
      <c r="C477" t="s">
        <v>168</v>
      </c>
      <c r="D477">
        <v>2023</v>
      </c>
      <c r="E477" t="s">
        <v>169</v>
      </c>
      <c r="F477" t="s">
        <v>903</v>
      </c>
      <c r="G477" t="s">
        <v>28</v>
      </c>
      <c r="H477" t="s">
        <v>29</v>
      </c>
      <c r="I477" t="s">
        <v>14</v>
      </c>
      <c r="J477" t="s">
        <v>19</v>
      </c>
      <c r="K477" t="s">
        <v>209</v>
      </c>
      <c r="L477" t="s">
        <v>165</v>
      </c>
      <c r="M477">
        <v>2</v>
      </c>
      <c r="N477">
        <v>26.46</v>
      </c>
      <c r="O477">
        <v>52.92</v>
      </c>
      <c r="P477">
        <v>0</v>
      </c>
      <c r="Q477">
        <v>0</v>
      </c>
      <c r="R477">
        <v>52.92</v>
      </c>
      <c r="S477">
        <v>38.840000000000003</v>
      </c>
      <c r="T477">
        <v>14.08</v>
      </c>
      <c r="U477" t="s">
        <v>195</v>
      </c>
      <c r="V477" t="s">
        <v>159</v>
      </c>
      <c r="W477" t="s">
        <v>2090</v>
      </c>
      <c r="X477" t="s">
        <v>2108</v>
      </c>
      <c r="Y477">
        <v>257</v>
      </c>
      <c r="Z477">
        <v>233.61</v>
      </c>
      <c r="AA477">
        <v>94.38</v>
      </c>
      <c r="AB477" t="s">
        <v>41</v>
      </c>
      <c r="AC477" t="s">
        <v>16</v>
      </c>
      <c r="AD477" t="s">
        <v>2095</v>
      </c>
      <c r="AE477" t="s">
        <v>2096</v>
      </c>
    </row>
    <row r="478" spans="1:31">
      <c r="A478" t="s">
        <v>1774</v>
      </c>
      <c r="B478" s="1">
        <v>45128</v>
      </c>
      <c r="C478" t="s">
        <v>168</v>
      </c>
      <c r="D478">
        <v>2023</v>
      </c>
      <c r="E478" t="s">
        <v>169</v>
      </c>
      <c r="F478" t="s">
        <v>1775</v>
      </c>
      <c r="G478" t="s">
        <v>122</v>
      </c>
      <c r="H478" t="s">
        <v>123</v>
      </c>
      <c r="I478" t="s">
        <v>115</v>
      </c>
      <c r="J478" t="s">
        <v>124</v>
      </c>
      <c r="K478" t="s">
        <v>164</v>
      </c>
      <c r="L478" t="s">
        <v>194</v>
      </c>
      <c r="M478">
        <v>1</v>
      </c>
      <c r="N478">
        <v>93.88</v>
      </c>
      <c r="O478">
        <v>93.88</v>
      </c>
      <c r="P478">
        <v>10</v>
      </c>
      <c r="Q478">
        <v>9.39</v>
      </c>
      <c r="R478">
        <v>84.49</v>
      </c>
      <c r="S478">
        <v>53.11</v>
      </c>
      <c r="T478">
        <v>31.38</v>
      </c>
      <c r="U478" t="s">
        <v>166</v>
      </c>
      <c r="V478" t="s">
        <v>181</v>
      </c>
      <c r="W478" t="s">
        <v>2085</v>
      </c>
      <c r="X478" t="s">
        <v>2111</v>
      </c>
      <c r="Y478">
        <v>340</v>
      </c>
      <c r="Z478">
        <v>1756.32</v>
      </c>
      <c r="AA478">
        <v>105.25</v>
      </c>
      <c r="AB478" t="s">
        <v>66</v>
      </c>
      <c r="AC478" t="s">
        <v>16</v>
      </c>
      <c r="AD478" t="s">
        <v>2087</v>
      </c>
      <c r="AE478" t="s">
        <v>2121</v>
      </c>
    </row>
    <row r="479" spans="1:31">
      <c r="A479" t="s">
        <v>891</v>
      </c>
      <c r="B479" s="1">
        <v>45128</v>
      </c>
      <c r="C479" t="s">
        <v>168</v>
      </c>
      <c r="D479">
        <v>2023</v>
      </c>
      <c r="E479" t="s">
        <v>169</v>
      </c>
      <c r="F479" t="s">
        <v>892</v>
      </c>
      <c r="G479" t="s">
        <v>30</v>
      </c>
      <c r="H479" t="s">
        <v>31</v>
      </c>
      <c r="I479" t="s">
        <v>14</v>
      </c>
      <c r="J479" t="s">
        <v>32</v>
      </c>
      <c r="K479" t="s">
        <v>209</v>
      </c>
      <c r="L479" t="s">
        <v>204</v>
      </c>
      <c r="M479">
        <v>2</v>
      </c>
      <c r="N479">
        <v>113.18</v>
      </c>
      <c r="O479">
        <v>226.36</v>
      </c>
      <c r="P479">
        <v>15</v>
      </c>
      <c r="Q479">
        <v>33.950000000000003</v>
      </c>
      <c r="R479">
        <v>192.41</v>
      </c>
      <c r="S479">
        <v>78.02</v>
      </c>
      <c r="T479">
        <v>114.39</v>
      </c>
      <c r="U479" t="s">
        <v>190</v>
      </c>
      <c r="V479" t="s">
        <v>159</v>
      </c>
      <c r="W479" t="s">
        <v>2085</v>
      </c>
      <c r="X479" t="s">
        <v>2086</v>
      </c>
      <c r="Y479">
        <v>72</v>
      </c>
      <c r="Z479">
        <v>1788.92</v>
      </c>
      <c r="AA479">
        <v>126.64</v>
      </c>
      <c r="AB479" t="s">
        <v>41</v>
      </c>
      <c r="AC479" t="s">
        <v>16</v>
      </c>
      <c r="AD479" t="s">
        <v>2087</v>
      </c>
      <c r="AE479" t="s">
        <v>2121</v>
      </c>
    </row>
    <row r="480" spans="1:31">
      <c r="A480" t="s">
        <v>745</v>
      </c>
      <c r="B480" s="1">
        <v>45128</v>
      </c>
      <c r="C480" t="s">
        <v>168</v>
      </c>
      <c r="D480">
        <v>2023</v>
      </c>
      <c r="E480" t="s">
        <v>169</v>
      </c>
      <c r="F480" t="s">
        <v>746</v>
      </c>
      <c r="G480" t="s">
        <v>76</v>
      </c>
      <c r="H480" t="s">
        <v>77</v>
      </c>
      <c r="I480" t="s">
        <v>66</v>
      </c>
      <c r="J480" t="s">
        <v>67</v>
      </c>
      <c r="K480" t="s">
        <v>209</v>
      </c>
      <c r="L480" t="s">
        <v>232</v>
      </c>
      <c r="M480">
        <v>3</v>
      </c>
      <c r="N480">
        <v>118.07</v>
      </c>
      <c r="O480">
        <v>354.21</v>
      </c>
      <c r="P480">
        <v>20</v>
      </c>
      <c r="Q480">
        <v>70.84</v>
      </c>
      <c r="R480">
        <v>283.37</v>
      </c>
      <c r="S480">
        <v>119.1</v>
      </c>
      <c r="T480">
        <v>164.27</v>
      </c>
      <c r="U480" t="s">
        <v>190</v>
      </c>
      <c r="V480" t="s">
        <v>181</v>
      </c>
      <c r="W480" t="s">
        <v>2085</v>
      </c>
      <c r="X480" t="s">
        <v>2100</v>
      </c>
      <c r="Y480">
        <v>55</v>
      </c>
      <c r="Z480">
        <v>1317.11</v>
      </c>
      <c r="AA480">
        <v>276.22000000000003</v>
      </c>
      <c r="AB480" t="s">
        <v>66</v>
      </c>
      <c r="AC480" t="s">
        <v>20</v>
      </c>
      <c r="AD480" t="s">
        <v>2106</v>
      </c>
      <c r="AE480" t="s">
        <v>2109</v>
      </c>
    </row>
    <row r="481" spans="1:31">
      <c r="A481" t="s">
        <v>844</v>
      </c>
      <c r="B481" s="1">
        <v>45127</v>
      </c>
      <c r="C481" t="s">
        <v>168</v>
      </c>
      <c r="D481">
        <v>2023</v>
      </c>
      <c r="E481" t="s">
        <v>169</v>
      </c>
      <c r="F481" t="s">
        <v>506</v>
      </c>
      <c r="G481" t="s">
        <v>95</v>
      </c>
      <c r="H481" t="s">
        <v>96</v>
      </c>
      <c r="I481" t="s">
        <v>90</v>
      </c>
      <c r="J481" t="s">
        <v>97</v>
      </c>
      <c r="K481" t="s">
        <v>209</v>
      </c>
      <c r="L481" t="s">
        <v>179</v>
      </c>
      <c r="M481">
        <v>2</v>
      </c>
      <c r="N481">
        <v>177.41</v>
      </c>
      <c r="O481">
        <v>354.82</v>
      </c>
      <c r="P481">
        <v>15</v>
      </c>
      <c r="Q481">
        <v>53.22</v>
      </c>
      <c r="R481">
        <v>301.60000000000002</v>
      </c>
      <c r="S481">
        <v>149.97999999999999</v>
      </c>
      <c r="T481">
        <v>151.62</v>
      </c>
      <c r="U481" t="s">
        <v>190</v>
      </c>
      <c r="V481" t="s">
        <v>186</v>
      </c>
      <c r="W481" t="s">
        <v>2097</v>
      </c>
      <c r="X481" t="s">
        <v>2108</v>
      </c>
      <c r="Y481">
        <v>255</v>
      </c>
      <c r="Z481">
        <v>231.17</v>
      </c>
      <c r="AA481">
        <v>50.79</v>
      </c>
      <c r="AB481" t="s">
        <v>66</v>
      </c>
      <c r="AC481" t="s">
        <v>16</v>
      </c>
      <c r="AD481" t="s">
        <v>2095</v>
      </c>
      <c r="AE481" t="s">
        <v>2121</v>
      </c>
    </row>
    <row r="482" spans="1:31">
      <c r="A482" t="s">
        <v>1178</v>
      </c>
      <c r="B482" s="1">
        <v>45127</v>
      </c>
      <c r="C482" t="s">
        <v>168</v>
      </c>
      <c r="D482">
        <v>2023</v>
      </c>
      <c r="E482" t="s">
        <v>169</v>
      </c>
      <c r="F482" t="s">
        <v>1179</v>
      </c>
      <c r="G482" t="s">
        <v>39</v>
      </c>
      <c r="H482" t="s">
        <v>40</v>
      </c>
      <c r="I482" t="s">
        <v>41</v>
      </c>
      <c r="J482" t="s">
        <v>42</v>
      </c>
      <c r="K482" t="s">
        <v>178</v>
      </c>
      <c r="L482" t="s">
        <v>165</v>
      </c>
      <c r="M482">
        <v>2</v>
      </c>
      <c r="N482">
        <v>35.11</v>
      </c>
      <c r="O482">
        <v>70.22</v>
      </c>
      <c r="P482">
        <v>0</v>
      </c>
      <c r="Q482">
        <v>0</v>
      </c>
      <c r="R482">
        <v>70.22</v>
      </c>
      <c r="S482">
        <v>49.74</v>
      </c>
      <c r="T482">
        <v>20.48</v>
      </c>
      <c r="U482" t="s">
        <v>190</v>
      </c>
      <c r="V482" t="s">
        <v>159</v>
      </c>
      <c r="W482" t="s">
        <v>2097</v>
      </c>
      <c r="X482" t="s">
        <v>2086</v>
      </c>
      <c r="Y482">
        <v>112</v>
      </c>
      <c r="Z482">
        <v>514.23</v>
      </c>
      <c r="AA482">
        <v>134.30000000000001</v>
      </c>
      <c r="AB482" t="s">
        <v>14</v>
      </c>
      <c r="AC482" t="s">
        <v>20</v>
      </c>
      <c r="AD482" t="s">
        <v>2087</v>
      </c>
      <c r="AE482" t="s">
        <v>2109</v>
      </c>
    </row>
    <row r="483" spans="1:31">
      <c r="A483" t="s">
        <v>1264</v>
      </c>
      <c r="B483" s="1">
        <v>45126</v>
      </c>
      <c r="C483" t="s">
        <v>168</v>
      </c>
      <c r="D483">
        <v>2023</v>
      </c>
      <c r="E483" t="s">
        <v>169</v>
      </c>
      <c r="F483" t="s">
        <v>1112</v>
      </c>
      <c r="G483" t="s">
        <v>111</v>
      </c>
      <c r="H483" t="s">
        <v>112</v>
      </c>
      <c r="I483" t="s">
        <v>90</v>
      </c>
      <c r="J483" t="s">
        <v>97</v>
      </c>
      <c r="K483" t="s">
        <v>209</v>
      </c>
      <c r="L483" t="s">
        <v>179</v>
      </c>
      <c r="M483">
        <v>1</v>
      </c>
      <c r="N483">
        <v>189.99</v>
      </c>
      <c r="O483">
        <v>189.99</v>
      </c>
      <c r="P483">
        <v>0</v>
      </c>
      <c r="Q483">
        <v>0</v>
      </c>
      <c r="R483">
        <v>189.99</v>
      </c>
      <c r="S483">
        <v>63.51</v>
      </c>
      <c r="T483">
        <v>126.48</v>
      </c>
      <c r="U483" t="s">
        <v>158</v>
      </c>
      <c r="V483" t="s">
        <v>159</v>
      </c>
      <c r="W483" t="s">
        <v>2113</v>
      </c>
      <c r="X483" t="s">
        <v>2108</v>
      </c>
      <c r="Y483">
        <v>49</v>
      </c>
      <c r="Z483">
        <v>344.64</v>
      </c>
      <c r="AA483">
        <v>73.34</v>
      </c>
      <c r="AB483" t="s">
        <v>90</v>
      </c>
      <c r="AC483" t="s">
        <v>16</v>
      </c>
      <c r="AD483" t="s">
        <v>2095</v>
      </c>
      <c r="AE483" t="s">
        <v>2107</v>
      </c>
    </row>
    <row r="484" spans="1:31">
      <c r="A484" t="s">
        <v>1333</v>
      </c>
      <c r="B484" s="1">
        <v>45126</v>
      </c>
      <c r="C484" t="s">
        <v>168</v>
      </c>
      <c r="D484">
        <v>2023</v>
      </c>
      <c r="E484" t="s">
        <v>169</v>
      </c>
      <c r="F484" t="s">
        <v>1334</v>
      </c>
      <c r="G484" t="s">
        <v>37</v>
      </c>
      <c r="H484" t="s">
        <v>38</v>
      </c>
      <c r="I484" t="s">
        <v>14</v>
      </c>
      <c r="J484" t="s">
        <v>27</v>
      </c>
      <c r="K484" t="s">
        <v>156</v>
      </c>
      <c r="L484" t="s">
        <v>157</v>
      </c>
      <c r="M484">
        <v>1</v>
      </c>
      <c r="N484">
        <v>133.99</v>
      </c>
      <c r="O484">
        <v>133.99</v>
      </c>
      <c r="P484">
        <v>15</v>
      </c>
      <c r="Q484">
        <v>20.100000000000001</v>
      </c>
      <c r="R484">
        <v>113.89</v>
      </c>
      <c r="S484">
        <v>73.489999999999995</v>
      </c>
      <c r="T484">
        <v>40.4</v>
      </c>
      <c r="U484" t="s">
        <v>195</v>
      </c>
      <c r="V484" t="s">
        <v>186</v>
      </c>
      <c r="W484" t="s">
        <v>2093</v>
      </c>
      <c r="X484" t="s">
        <v>2086</v>
      </c>
      <c r="Y484">
        <v>87</v>
      </c>
      <c r="Z484">
        <v>41.91</v>
      </c>
      <c r="AA484">
        <v>41.62</v>
      </c>
      <c r="AB484" t="s">
        <v>14</v>
      </c>
      <c r="AC484" t="s">
        <v>16</v>
      </c>
      <c r="AD484" t="s">
        <v>2087</v>
      </c>
      <c r="AE484" t="s">
        <v>2088</v>
      </c>
    </row>
    <row r="485" spans="1:31">
      <c r="A485" t="s">
        <v>1860</v>
      </c>
      <c r="B485" s="1">
        <v>45126</v>
      </c>
      <c r="C485" t="s">
        <v>168</v>
      </c>
      <c r="D485">
        <v>2023</v>
      </c>
      <c r="E485" t="s">
        <v>169</v>
      </c>
      <c r="F485" t="s">
        <v>1861</v>
      </c>
      <c r="G485" t="s">
        <v>82</v>
      </c>
      <c r="H485" t="s">
        <v>83</v>
      </c>
      <c r="I485" t="s">
        <v>66</v>
      </c>
      <c r="J485" t="s">
        <v>67</v>
      </c>
      <c r="K485" t="s">
        <v>209</v>
      </c>
      <c r="L485" t="s">
        <v>232</v>
      </c>
      <c r="M485">
        <v>2</v>
      </c>
      <c r="N485">
        <v>34.479999999999997</v>
      </c>
      <c r="O485">
        <v>68.959999999999994</v>
      </c>
      <c r="P485">
        <v>0</v>
      </c>
      <c r="Q485">
        <v>0</v>
      </c>
      <c r="R485">
        <v>68.959999999999994</v>
      </c>
      <c r="S485">
        <v>38.479999999999997</v>
      </c>
      <c r="T485">
        <v>30.48</v>
      </c>
      <c r="U485" t="s">
        <v>180</v>
      </c>
      <c r="V485" t="s">
        <v>181</v>
      </c>
      <c r="W485" t="s">
        <v>2099</v>
      </c>
      <c r="X485" t="s">
        <v>2091</v>
      </c>
      <c r="Y485">
        <v>132</v>
      </c>
      <c r="Z485">
        <v>79.97</v>
      </c>
      <c r="AA485">
        <v>60.94</v>
      </c>
      <c r="AB485" t="s">
        <v>41</v>
      </c>
      <c r="AC485" t="s">
        <v>16</v>
      </c>
      <c r="AD485" t="s">
        <v>2106</v>
      </c>
      <c r="AE485" t="s">
        <v>2121</v>
      </c>
    </row>
    <row r="486" spans="1:31">
      <c r="A486" t="s">
        <v>1367</v>
      </c>
      <c r="B486" s="1">
        <v>45126</v>
      </c>
      <c r="C486" t="s">
        <v>168</v>
      </c>
      <c r="D486">
        <v>2023</v>
      </c>
      <c r="E486" t="s">
        <v>169</v>
      </c>
      <c r="F486" t="s">
        <v>1284</v>
      </c>
      <c r="G486" t="s">
        <v>98</v>
      </c>
      <c r="H486" t="s">
        <v>99</v>
      </c>
      <c r="I486" t="s">
        <v>90</v>
      </c>
      <c r="J486" t="s">
        <v>100</v>
      </c>
      <c r="K486" t="s">
        <v>178</v>
      </c>
      <c r="L486" t="s">
        <v>194</v>
      </c>
      <c r="M486">
        <v>2</v>
      </c>
      <c r="N486">
        <v>194.87</v>
      </c>
      <c r="O486">
        <v>389.74</v>
      </c>
      <c r="P486">
        <v>5</v>
      </c>
      <c r="Q486">
        <v>19.489999999999998</v>
      </c>
      <c r="R486">
        <v>370.25</v>
      </c>
      <c r="S486">
        <v>157.58000000000001</v>
      </c>
      <c r="T486">
        <v>212.67</v>
      </c>
      <c r="U486" t="s">
        <v>190</v>
      </c>
      <c r="V486" t="s">
        <v>159</v>
      </c>
      <c r="W486" t="s">
        <v>2097</v>
      </c>
      <c r="X486" t="s">
        <v>2111</v>
      </c>
      <c r="Y486">
        <v>60</v>
      </c>
      <c r="Z486">
        <v>497.21</v>
      </c>
      <c r="AA486">
        <v>57.3</v>
      </c>
      <c r="AB486" t="s">
        <v>66</v>
      </c>
      <c r="AC486" t="s">
        <v>16</v>
      </c>
      <c r="AD486" t="s">
        <v>2095</v>
      </c>
      <c r="AE486" t="s">
        <v>2109</v>
      </c>
    </row>
    <row r="487" spans="1:31">
      <c r="A487" t="s">
        <v>723</v>
      </c>
      <c r="B487" s="1">
        <v>45126</v>
      </c>
      <c r="C487" t="s">
        <v>168</v>
      </c>
      <c r="D487">
        <v>2023</v>
      </c>
      <c r="E487" t="s">
        <v>169</v>
      </c>
      <c r="F487" t="s">
        <v>724</v>
      </c>
      <c r="G487" t="s">
        <v>76</v>
      </c>
      <c r="H487" t="s">
        <v>77</v>
      </c>
      <c r="I487" t="s">
        <v>66</v>
      </c>
      <c r="J487" t="s">
        <v>67</v>
      </c>
      <c r="K487" t="s">
        <v>178</v>
      </c>
      <c r="L487" t="s">
        <v>174</v>
      </c>
      <c r="M487">
        <v>2</v>
      </c>
      <c r="N487">
        <v>118.07</v>
      </c>
      <c r="O487">
        <v>236.14</v>
      </c>
      <c r="P487">
        <v>15</v>
      </c>
      <c r="Q487">
        <v>35.42</v>
      </c>
      <c r="R487">
        <v>200.72</v>
      </c>
      <c r="S487">
        <v>79.400000000000006</v>
      </c>
      <c r="T487">
        <v>121.32</v>
      </c>
      <c r="U487" t="s">
        <v>158</v>
      </c>
      <c r="V487" t="s">
        <v>159</v>
      </c>
      <c r="W487" t="s">
        <v>2097</v>
      </c>
      <c r="X487" t="s">
        <v>2091</v>
      </c>
      <c r="Y487">
        <v>321</v>
      </c>
      <c r="Z487">
        <v>797.23</v>
      </c>
      <c r="AA487">
        <v>51.74</v>
      </c>
      <c r="AB487" t="s">
        <v>115</v>
      </c>
      <c r="AC487" t="s">
        <v>16</v>
      </c>
      <c r="AD487" t="s">
        <v>2106</v>
      </c>
      <c r="AE487" t="s">
        <v>2121</v>
      </c>
    </row>
    <row r="488" spans="1:31">
      <c r="A488" t="s">
        <v>205</v>
      </c>
      <c r="B488" s="1">
        <v>45126</v>
      </c>
      <c r="C488" t="s">
        <v>168</v>
      </c>
      <c r="D488">
        <v>2023</v>
      </c>
      <c r="E488" t="s">
        <v>169</v>
      </c>
      <c r="F488" t="s">
        <v>206</v>
      </c>
      <c r="G488" t="s">
        <v>82</v>
      </c>
      <c r="H488" t="s">
        <v>83</v>
      </c>
      <c r="I488" t="s">
        <v>66</v>
      </c>
      <c r="J488" t="s">
        <v>67</v>
      </c>
      <c r="K488" t="s">
        <v>164</v>
      </c>
      <c r="L488" t="s">
        <v>165</v>
      </c>
      <c r="M488">
        <v>4</v>
      </c>
      <c r="N488">
        <v>34.479999999999997</v>
      </c>
      <c r="O488">
        <v>137.91999999999999</v>
      </c>
      <c r="P488">
        <v>0</v>
      </c>
      <c r="Q488">
        <v>0</v>
      </c>
      <c r="R488">
        <v>137.91999999999999</v>
      </c>
      <c r="S488">
        <v>76.959999999999994</v>
      </c>
      <c r="T488">
        <v>60.96</v>
      </c>
      <c r="U488" t="s">
        <v>190</v>
      </c>
      <c r="V488" t="s">
        <v>186</v>
      </c>
      <c r="W488" t="s">
        <v>2093</v>
      </c>
      <c r="X488" t="s">
        <v>2094</v>
      </c>
      <c r="Y488">
        <v>196</v>
      </c>
      <c r="Z488">
        <v>40.68</v>
      </c>
      <c r="AA488">
        <v>61.46</v>
      </c>
      <c r="AB488" t="s">
        <v>14</v>
      </c>
      <c r="AC488" t="s">
        <v>16</v>
      </c>
      <c r="AD488" t="s">
        <v>2095</v>
      </c>
      <c r="AE488" t="s">
        <v>2107</v>
      </c>
    </row>
    <row r="489" spans="1:31">
      <c r="A489" t="s">
        <v>713</v>
      </c>
      <c r="B489" s="1">
        <v>45126</v>
      </c>
      <c r="C489" t="s">
        <v>168</v>
      </c>
      <c r="D489">
        <v>2023</v>
      </c>
      <c r="E489" t="s">
        <v>169</v>
      </c>
      <c r="F489" t="s">
        <v>714</v>
      </c>
      <c r="G489" t="s">
        <v>105</v>
      </c>
      <c r="H489" t="s">
        <v>106</v>
      </c>
      <c r="I489" t="s">
        <v>90</v>
      </c>
      <c r="J489" t="s">
        <v>91</v>
      </c>
      <c r="K489" t="s">
        <v>178</v>
      </c>
      <c r="L489" t="s">
        <v>204</v>
      </c>
      <c r="M489">
        <v>2</v>
      </c>
      <c r="N489">
        <v>36.35</v>
      </c>
      <c r="O489">
        <v>72.7</v>
      </c>
      <c r="P489">
        <v>10</v>
      </c>
      <c r="Q489">
        <v>7.27</v>
      </c>
      <c r="R489">
        <v>65.430000000000007</v>
      </c>
      <c r="S489">
        <v>60.04</v>
      </c>
      <c r="T489">
        <v>5.39</v>
      </c>
      <c r="U489" t="s">
        <v>190</v>
      </c>
      <c r="V489" t="s">
        <v>159</v>
      </c>
      <c r="W489" t="s">
        <v>2085</v>
      </c>
      <c r="X489" t="s">
        <v>2091</v>
      </c>
      <c r="Y489">
        <v>356</v>
      </c>
      <c r="Z489">
        <v>1047.27</v>
      </c>
      <c r="AA489">
        <v>224.49</v>
      </c>
      <c r="AB489" t="s">
        <v>14</v>
      </c>
      <c r="AC489" t="s">
        <v>20</v>
      </c>
      <c r="AD489" t="s">
        <v>2087</v>
      </c>
      <c r="AE489" t="s">
        <v>2121</v>
      </c>
    </row>
    <row r="490" spans="1:31">
      <c r="A490" t="s">
        <v>928</v>
      </c>
      <c r="B490" s="1">
        <v>45125</v>
      </c>
      <c r="C490" t="s">
        <v>168</v>
      </c>
      <c r="D490">
        <v>2023</v>
      </c>
      <c r="E490" t="s">
        <v>169</v>
      </c>
      <c r="F490" t="s">
        <v>238</v>
      </c>
      <c r="G490" t="s">
        <v>133</v>
      </c>
      <c r="H490" t="s">
        <v>134</v>
      </c>
      <c r="I490" t="s">
        <v>115</v>
      </c>
      <c r="J490" t="s">
        <v>119</v>
      </c>
      <c r="K490" t="s">
        <v>156</v>
      </c>
      <c r="L490" t="s">
        <v>157</v>
      </c>
      <c r="M490">
        <v>2</v>
      </c>
      <c r="N490">
        <v>78.84</v>
      </c>
      <c r="O490">
        <v>157.68</v>
      </c>
      <c r="P490">
        <v>10</v>
      </c>
      <c r="Q490">
        <v>15.77</v>
      </c>
      <c r="R490">
        <v>141.91</v>
      </c>
      <c r="S490">
        <v>95.36</v>
      </c>
      <c r="T490">
        <v>46.55</v>
      </c>
      <c r="U490" t="s">
        <v>190</v>
      </c>
      <c r="V490" t="s">
        <v>181</v>
      </c>
      <c r="W490" t="s">
        <v>2085</v>
      </c>
      <c r="X490" t="s">
        <v>2100</v>
      </c>
      <c r="Y490">
        <v>364</v>
      </c>
      <c r="Z490">
        <v>1842.49</v>
      </c>
      <c r="AA490">
        <v>172.9</v>
      </c>
      <c r="AB490" t="s">
        <v>115</v>
      </c>
      <c r="AC490" t="s">
        <v>16</v>
      </c>
      <c r="AD490" t="s">
        <v>2087</v>
      </c>
      <c r="AE490" t="s">
        <v>2109</v>
      </c>
    </row>
    <row r="491" spans="1:31">
      <c r="A491" t="s">
        <v>1557</v>
      </c>
      <c r="B491" s="1">
        <v>45125</v>
      </c>
      <c r="C491" t="s">
        <v>168</v>
      </c>
      <c r="D491">
        <v>2023</v>
      </c>
      <c r="E491" t="s">
        <v>169</v>
      </c>
      <c r="F491" t="s">
        <v>1558</v>
      </c>
      <c r="G491" t="s">
        <v>48</v>
      </c>
      <c r="H491" t="s">
        <v>49</v>
      </c>
      <c r="I491" t="s">
        <v>41</v>
      </c>
      <c r="J491" t="s">
        <v>42</v>
      </c>
      <c r="K491" t="s">
        <v>209</v>
      </c>
      <c r="L491" t="s">
        <v>174</v>
      </c>
      <c r="M491">
        <v>1</v>
      </c>
      <c r="N491">
        <v>84.95</v>
      </c>
      <c r="O491">
        <v>84.95</v>
      </c>
      <c r="P491">
        <v>5</v>
      </c>
      <c r="Q491">
        <v>4.25</v>
      </c>
      <c r="R491">
        <v>80.7</v>
      </c>
      <c r="S491">
        <v>53.07</v>
      </c>
      <c r="T491">
        <v>27.63</v>
      </c>
      <c r="U491" t="s">
        <v>195</v>
      </c>
      <c r="V491" t="s">
        <v>159</v>
      </c>
      <c r="W491" t="s">
        <v>2090</v>
      </c>
      <c r="X491" t="s">
        <v>2100</v>
      </c>
      <c r="Y491">
        <v>191</v>
      </c>
      <c r="Z491">
        <v>291.95999999999998</v>
      </c>
      <c r="AA491">
        <v>54</v>
      </c>
      <c r="AB491" t="s">
        <v>14</v>
      </c>
      <c r="AC491" t="s">
        <v>16</v>
      </c>
      <c r="AD491" t="s">
        <v>2087</v>
      </c>
      <c r="AE491" t="s">
        <v>2109</v>
      </c>
    </row>
    <row r="492" spans="1:31">
      <c r="A492" t="s">
        <v>1653</v>
      </c>
      <c r="B492" s="1">
        <v>45125</v>
      </c>
      <c r="C492" t="s">
        <v>168</v>
      </c>
      <c r="D492">
        <v>2023</v>
      </c>
      <c r="E492" t="s">
        <v>169</v>
      </c>
      <c r="F492" t="s">
        <v>1654</v>
      </c>
      <c r="G492" t="s">
        <v>57</v>
      </c>
      <c r="H492" t="s">
        <v>58</v>
      </c>
      <c r="I492" t="s">
        <v>41</v>
      </c>
      <c r="J492" t="s">
        <v>59</v>
      </c>
      <c r="K492" t="s">
        <v>209</v>
      </c>
      <c r="L492" t="s">
        <v>194</v>
      </c>
      <c r="M492">
        <v>1</v>
      </c>
      <c r="N492">
        <v>56.33</v>
      </c>
      <c r="O492">
        <v>56.33</v>
      </c>
      <c r="P492">
        <v>5</v>
      </c>
      <c r="Q492">
        <v>2.82</v>
      </c>
      <c r="R492">
        <v>53.51</v>
      </c>
      <c r="S492">
        <v>41.45</v>
      </c>
      <c r="T492">
        <v>12.06</v>
      </c>
      <c r="U492" t="s">
        <v>195</v>
      </c>
      <c r="V492" t="s">
        <v>159</v>
      </c>
      <c r="W492" t="s">
        <v>2113</v>
      </c>
      <c r="X492" t="s">
        <v>2086</v>
      </c>
      <c r="Y492">
        <v>45</v>
      </c>
      <c r="Z492">
        <v>394.06</v>
      </c>
      <c r="AA492">
        <v>43.24</v>
      </c>
      <c r="AB492" t="s">
        <v>66</v>
      </c>
      <c r="AC492" t="s">
        <v>16</v>
      </c>
      <c r="AD492" t="s">
        <v>2087</v>
      </c>
      <c r="AE492" t="s">
        <v>2088</v>
      </c>
    </row>
    <row r="493" spans="1:31">
      <c r="A493" t="s">
        <v>1171</v>
      </c>
      <c r="B493" s="1">
        <v>45125</v>
      </c>
      <c r="C493" t="s">
        <v>168</v>
      </c>
      <c r="D493">
        <v>2023</v>
      </c>
      <c r="E493" t="s">
        <v>169</v>
      </c>
      <c r="F493" t="s">
        <v>1172</v>
      </c>
      <c r="G493" t="s">
        <v>50</v>
      </c>
      <c r="H493" t="s">
        <v>51</v>
      </c>
      <c r="I493" t="s">
        <v>41</v>
      </c>
      <c r="J493" t="s">
        <v>52</v>
      </c>
      <c r="K493" t="s">
        <v>164</v>
      </c>
      <c r="L493" t="s">
        <v>204</v>
      </c>
      <c r="M493">
        <v>3</v>
      </c>
      <c r="N493">
        <v>143.80000000000001</v>
      </c>
      <c r="O493">
        <v>431.40000000000003</v>
      </c>
      <c r="P493">
        <v>5</v>
      </c>
      <c r="Q493">
        <v>21.57</v>
      </c>
      <c r="R493">
        <v>409.83</v>
      </c>
      <c r="S493">
        <v>186.45</v>
      </c>
      <c r="T493">
        <v>223.38</v>
      </c>
      <c r="U493" t="s">
        <v>195</v>
      </c>
      <c r="V493" t="s">
        <v>159</v>
      </c>
      <c r="W493" t="s">
        <v>2097</v>
      </c>
      <c r="X493" t="s">
        <v>2100</v>
      </c>
      <c r="Y493">
        <v>96</v>
      </c>
      <c r="Z493">
        <v>391.1</v>
      </c>
      <c r="AA493">
        <v>143.91</v>
      </c>
      <c r="AB493" t="s">
        <v>90</v>
      </c>
      <c r="AC493" t="s">
        <v>20</v>
      </c>
      <c r="AD493" t="s">
        <v>2087</v>
      </c>
      <c r="AE493" t="s">
        <v>2109</v>
      </c>
    </row>
    <row r="494" spans="1:31">
      <c r="A494" t="s">
        <v>1982</v>
      </c>
      <c r="B494" s="1">
        <v>45125</v>
      </c>
      <c r="C494" t="s">
        <v>168</v>
      </c>
      <c r="D494">
        <v>2023</v>
      </c>
      <c r="E494" t="s">
        <v>169</v>
      </c>
      <c r="F494" t="s">
        <v>1983</v>
      </c>
      <c r="G494" t="s">
        <v>17</v>
      </c>
      <c r="H494" t="s">
        <v>18</v>
      </c>
      <c r="I494" t="s">
        <v>14</v>
      </c>
      <c r="J494" t="s">
        <v>19</v>
      </c>
      <c r="K494" t="s">
        <v>164</v>
      </c>
      <c r="L494" t="s">
        <v>194</v>
      </c>
      <c r="M494">
        <v>2</v>
      </c>
      <c r="N494">
        <v>53.26</v>
      </c>
      <c r="O494">
        <v>106.52</v>
      </c>
      <c r="P494">
        <v>0</v>
      </c>
      <c r="Q494">
        <v>0</v>
      </c>
      <c r="R494">
        <v>106.52</v>
      </c>
      <c r="S494">
        <v>73.28</v>
      </c>
      <c r="T494">
        <v>33.24</v>
      </c>
      <c r="U494" t="s">
        <v>190</v>
      </c>
      <c r="V494" t="s">
        <v>159</v>
      </c>
      <c r="W494" t="s">
        <v>2085</v>
      </c>
      <c r="X494" t="s">
        <v>2108</v>
      </c>
      <c r="Y494">
        <v>125</v>
      </c>
      <c r="Z494">
        <v>2857.51</v>
      </c>
      <c r="AA494">
        <v>188.73</v>
      </c>
      <c r="AB494" t="s">
        <v>66</v>
      </c>
      <c r="AC494" t="s">
        <v>16</v>
      </c>
      <c r="AD494" t="s">
        <v>2106</v>
      </c>
      <c r="AE494" t="s">
        <v>2109</v>
      </c>
    </row>
    <row r="495" spans="1:31">
      <c r="A495" t="s">
        <v>474</v>
      </c>
      <c r="B495" s="1">
        <v>45124</v>
      </c>
      <c r="C495" t="s">
        <v>168</v>
      </c>
      <c r="D495">
        <v>2023</v>
      </c>
      <c r="E495" t="s">
        <v>169</v>
      </c>
      <c r="F495" t="s">
        <v>475</v>
      </c>
      <c r="G495" t="s">
        <v>78</v>
      </c>
      <c r="H495" t="s">
        <v>79</v>
      </c>
      <c r="I495" t="s">
        <v>66</v>
      </c>
      <c r="J495" t="s">
        <v>70</v>
      </c>
      <c r="K495" t="s">
        <v>178</v>
      </c>
      <c r="L495" t="s">
        <v>157</v>
      </c>
      <c r="M495">
        <v>3</v>
      </c>
      <c r="N495">
        <v>218.05</v>
      </c>
      <c r="O495">
        <v>654.15000000000009</v>
      </c>
      <c r="P495">
        <v>0</v>
      </c>
      <c r="Q495">
        <v>0</v>
      </c>
      <c r="R495">
        <v>654.15</v>
      </c>
      <c r="S495">
        <v>223.44</v>
      </c>
      <c r="T495">
        <v>430.71</v>
      </c>
      <c r="U495" t="s">
        <v>158</v>
      </c>
      <c r="V495" t="s">
        <v>159</v>
      </c>
      <c r="W495" t="s">
        <v>2097</v>
      </c>
      <c r="X495" t="s">
        <v>2111</v>
      </c>
      <c r="Y495">
        <v>30</v>
      </c>
      <c r="Z495">
        <v>559.72</v>
      </c>
      <c r="AA495">
        <v>64.69</v>
      </c>
      <c r="AB495" t="s">
        <v>41</v>
      </c>
      <c r="AC495" t="s">
        <v>16</v>
      </c>
      <c r="AD495" t="s">
        <v>2106</v>
      </c>
      <c r="AE495" t="s">
        <v>2088</v>
      </c>
    </row>
    <row r="496" spans="1:31">
      <c r="A496" t="s">
        <v>729</v>
      </c>
      <c r="B496" s="1">
        <v>45124</v>
      </c>
      <c r="C496" t="s">
        <v>168</v>
      </c>
      <c r="D496">
        <v>2023</v>
      </c>
      <c r="E496" t="s">
        <v>169</v>
      </c>
      <c r="F496" t="s">
        <v>730</v>
      </c>
      <c r="G496" t="s">
        <v>109</v>
      </c>
      <c r="H496" t="s">
        <v>110</v>
      </c>
      <c r="I496" t="s">
        <v>90</v>
      </c>
      <c r="J496" t="s">
        <v>100</v>
      </c>
      <c r="K496" t="s">
        <v>178</v>
      </c>
      <c r="L496" t="s">
        <v>204</v>
      </c>
      <c r="M496">
        <v>3</v>
      </c>
      <c r="N496">
        <v>77.67</v>
      </c>
      <c r="O496">
        <v>233.01</v>
      </c>
      <c r="P496">
        <v>20</v>
      </c>
      <c r="Q496">
        <v>46.6</v>
      </c>
      <c r="R496">
        <v>186.41</v>
      </c>
      <c r="S496">
        <v>84.36</v>
      </c>
      <c r="T496">
        <v>102.05</v>
      </c>
      <c r="U496" t="s">
        <v>180</v>
      </c>
      <c r="V496" t="s">
        <v>159</v>
      </c>
      <c r="W496" t="s">
        <v>2085</v>
      </c>
      <c r="X496" t="s">
        <v>2091</v>
      </c>
      <c r="Y496">
        <v>19</v>
      </c>
      <c r="Z496">
        <v>2654.34</v>
      </c>
      <c r="AA496">
        <v>282.13</v>
      </c>
      <c r="AB496" t="s">
        <v>90</v>
      </c>
      <c r="AC496" t="s">
        <v>20</v>
      </c>
      <c r="AD496" t="s">
        <v>2095</v>
      </c>
      <c r="AE496" t="s">
        <v>2121</v>
      </c>
    </row>
    <row r="497" spans="1:31">
      <c r="A497" t="s">
        <v>953</v>
      </c>
      <c r="B497" s="1">
        <v>45124</v>
      </c>
      <c r="C497" t="s">
        <v>168</v>
      </c>
      <c r="D497">
        <v>2023</v>
      </c>
      <c r="E497" t="s">
        <v>169</v>
      </c>
      <c r="F497" t="s">
        <v>765</v>
      </c>
      <c r="G497" t="s">
        <v>129</v>
      </c>
      <c r="H497" t="s">
        <v>130</v>
      </c>
      <c r="I497" t="s">
        <v>115</v>
      </c>
      <c r="J497" t="s">
        <v>124</v>
      </c>
      <c r="K497" t="s">
        <v>164</v>
      </c>
      <c r="L497" t="s">
        <v>157</v>
      </c>
      <c r="M497">
        <v>1</v>
      </c>
      <c r="N497">
        <v>99.34</v>
      </c>
      <c r="O497">
        <v>99.34</v>
      </c>
      <c r="P497">
        <v>0</v>
      </c>
      <c r="Q497">
        <v>0</v>
      </c>
      <c r="R497">
        <v>99.34</v>
      </c>
      <c r="S497">
        <v>37.35</v>
      </c>
      <c r="T497">
        <v>61.99</v>
      </c>
      <c r="U497" t="s">
        <v>180</v>
      </c>
      <c r="V497" t="s">
        <v>186</v>
      </c>
      <c r="W497" t="s">
        <v>2093</v>
      </c>
      <c r="X497" t="s">
        <v>2091</v>
      </c>
      <c r="Y497">
        <v>291</v>
      </c>
      <c r="Z497">
        <v>80.59</v>
      </c>
      <c r="AA497">
        <v>24.13</v>
      </c>
      <c r="AB497" t="s">
        <v>90</v>
      </c>
      <c r="AC497" t="s">
        <v>20</v>
      </c>
      <c r="AD497" t="s">
        <v>2106</v>
      </c>
      <c r="AE497" t="s">
        <v>2096</v>
      </c>
    </row>
    <row r="498" spans="1:31">
      <c r="A498" t="s">
        <v>513</v>
      </c>
      <c r="B498" s="1">
        <v>45123</v>
      </c>
      <c r="C498" t="s">
        <v>168</v>
      </c>
      <c r="D498">
        <v>2023</v>
      </c>
      <c r="E498" t="s">
        <v>169</v>
      </c>
      <c r="F498" t="s">
        <v>514</v>
      </c>
      <c r="G498" t="s">
        <v>53</v>
      </c>
      <c r="H498" t="s">
        <v>54</v>
      </c>
      <c r="I498" t="s">
        <v>41</v>
      </c>
      <c r="J498" t="s">
        <v>45</v>
      </c>
      <c r="K498" t="s">
        <v>209</v>
      </c>
      <c r="L498" t="s">
        <v>232</v>
      </c>
      <c r="M498">
        <v>3</v>
      </c>
      <c r="N498">
        <v>51.98</v>
      </c>
      <c r="O498">
        <v>155.94</v>
      </c>
      <c r="P498">
        <v>0</v>
      </c>
      <c r="Q498">
        <v>0</v>
      </c>
      <c r="R498">
        <v>155.94</v>
      </c>
      <c r="S498">
        <v>99.12</v>
      </c>
      <c r="T498">
        <v>56.82</v>
      </c>
      <c r="U498" t="s">
        <v>190</v>
      </c>
      <c r="V498" t="s">
        <v>186</v>
      </c>
      <c r="W498" t="s">
        <v>2113</v>
      </c>
      <c r="X498" t="s">
        <v>2108</v>
      </c>
      <c r="Y498">
        <v>296</v>
      </c>
      <c r="Z498">
        <v>252.21</v>
      </c>
      <c r="AA498">
        <v>62.86</v>
      </c>
      <c r="AB498" t="s">
        <v>41</v>
      </c>
      <c r="AC498" t="s">
        <v>20</v>
      </c>
      <c r="AD498" t="s">
        <v>2087</v>
      </c>
      <c r="AE498" t="s">
        <v>2096</v>
      </c>
    </row>
    <row r="499" spans="1:31">
      <c r="A499" t="s">
        <v>992</v>
      </c>
      <c r="B499" s="1">
        <v>45123</v>
      </c>
      <c r="C499" t="s">
        <v>168</v>
      </c>
      <c r="D499">
        <v>2023</v>
      </c>
      <c r="E499" t="s">
        <v>169</v>
      </c>
      <c r="F499" t="s">
        <v>993</v>
      </c>
      <c r="G499" t="s">
        <v>71</v>
      </c>
      <c r="H499" t="s">
        <v>72</v>
      </c>
      <c r="I499" t="s">
        <v>66</v>
      </c>
      <c r="J499" t="s">
        <v>70</v>
      </c>
      <c r="K499" t="s">
        <v>164</v>
      </c>
      <c r="L499" t="s">
        <v>232</v>
      </c>
      <c r="M499">
        <v>4</v>
      </c>
      <c r="N499">
        <v>26.7</v>
      </c>
      <c r="O499">
        <v>106.8</v>
      </c>
      <c r="P499">
        <v>0</v>
      </c>
      <c r="Q499">
        <v>0</v>
      </c>
      <c r="R499">
        <v>106.8</v>
      </c>
      <c r="S499">
        <v>49.08</v>
      </c>
      <c r="T499">
        <v>57.72</v>
      </c>
      <c r="U499" t="s">
        <v>166</v>
      </c>
      <c r="V499" t="s">
        <v>186</v>
      </c>
      <c r="W499" t="s">
        <v>2113</v>
      </c>
      <c r="X499" t="s">
        <v>2091</v>
      </c>
      <c r="Y499">
        <v>141</v>
      </c>
      <c r="Z499">
        <v>251.83</v>
      </c>
      <c r="AA499">
        <v>32.15</v>
      </c>
      <c r="AB499" t="s">
        <v>41</v>
      </c>
      <c r="AC499" t="s">
        <v>16</v>
      </c>
      <c r="AD499" t="s">
        <v>2087</v>
      </c>
      <c r="AE499" t="s">
        <v>2109</v>
      </c>
    </row>
    <row r="500" spans="1:31">
      <c r="A500" t="s">
        <v>1630</v>
      </c>
      <c r="B500" s="1">
        <v>45123</v>
      </c>
      <c r="C500" t="s">
        <v>168</v>
      </c>
      <c r="D500">
        <v>2023</v>
      </c>
      <c r="E500" t="s">
        <v>169</v>
      </c>
      <c r="F500" t="s">
        <v>1509</v>
      </c>
      <c r="G500" t="s">
        <v>133</v>
      </c>
      <c r="H500" t="s">
        <v>134</v>
      </c>
      <c r="I500" t="s">
        <v>115</v>
      </c>
      <c r="J500" t="s">
        <v>119</v>
      </c>
      <c r="K500" t="s">
        <v>164</v>
      </c>
      <c r="L500" t="s">
        <v>165</v>
      </c>
      <c r="M500">
        <v>4</v>
      </c>
      <c r="N500">
        <v>78.84</v>
      </c>
      <c r="O500">
        <v>315.36</v>
      </c>
      <c r="P500">
        <v>20</v>
      </c>
      <c r="Q500">
        <v>63.07</v>
      </c>
      <c r="R500">
        <v>252.29</v>
      </c>
      <c r="S500">
        <v>190.72</v>
      </c>
      <c r="T500">
        <v>61.57</v>
      </c>
      <c r="U500" t="s">
        <v>190</v>
      </c>
      <c r="V500" t="s">
        <v>159</v>
      </c>
      <c r="W500" t="s">
        <v>2099</v>
      </c>
      <c r="X500" t="s">
        <v>2108</v>
      </c>
      <c r="Y500">
        <v>361</v>
      </c>
      <c r="Z500">
        <v>98.47</v>
      </c>
      <c r="AA500">
        <v>47.76</v>
      </c>
      <c r="AB500" t="s">
        <v>90</v>
      </c>
      <c r="AC500" t="s">
        <v>16</v>
      </c>
      <c r="AD500" t="s">
        <v>2095</v>
      </c>
      <c r="AE500" t="s">
        <v>2107</v>
      </c>
    </row>
    <row r="501" spans="1:31">
      <c r="A501" t="s">
        <v>1950</v>
      </c>
      <c r="B501" s="1">
        <v>45123</v>
      </c>
      <c r="C501" t="s">
        <v>168</v>
      </c>
      <c r="D501">
        <v>2023</v>
      </c>
      <c r="E501" t="s">
        <v>169</v>
      </c>
      <c r="F501" t="s">
        <v>1951</v>
      </c>
      <c r="G501" t="s">
        <v>122</v>
      </c>
      <c r="H501" t="s">
        <v>123</v>
      </c>
      <c r="I501" t="s">
        <v>115</v>
      </c>
      <c r="J501" t="s">
        <v>124</v>
      </c>
      <c r="K501" t="s">
        <v>164</v>
      </c>
      <c r="L501" t="s">
        <v>165</v>
      </c>
      <c r="M501">
        <v>2</v>
      </c>
      <c r="N501">
        <v>93.88</v>
      </c>
      <c r="O501">
        <v>187.76</v>
      </c>
      <c r="P501">
        <v>15</v>
      </c>
      <c r="Q501">
        <v>28.16</v>
      </c>
      <c r="R501">
        <v>159.6</v>
      </c>
      <c r="S501">
        <v>106.22</v>
      </c>
      <c r="T501">
        <v>53.38</v>
      </c>
      <c r="U501" t="s">
        <v>166</v>
      </c>
      <c r="V501" t="s">
        <v>159</v>
      </c>
      <c r="W501" t="s">
        <v>2097</v>
      </c>
      <c r="X501" t="s">
        <v>2100</v>
      </c>
      <c r="Y501">
        <v>180</v>
      </c>
      <c r="Z501">
        <v>653.32000000000005</v>
      </c>
      <c r="AA501">
        <v>100.33</v>
      </c>
      <c r="AB501" t="s">
        <v>90</v>
      </c>
      <c r="AC501" t="s">
        <v>16</v>
      </c>
      <c r="AD501" t="s">
        <v>2087</v>
      </c>
      <c r="AE501" t="s">
        <v>2088</v>
      </c>
    </row>
    <row r="502" spans="1:31">
      <c r="A502" t="s">
        <v>1570</v>
      </c>
      <c r="B502" s="1">
        <v>45123</v>
      </c>
      <c r="C502" t="s">
        <v>168</v>
      </c>
      <c r="D502">
        <v>2023</v>
      </c>
      <c r="E502" t="s">
        <v>169</v>
      </c>
      <c r="F502" t="s">
        <v>1571</v>
      </c>
      <c r="G502" t="s">
        <v>88</v>
      </c>
      <c r="H502" t="s">
        <v>89</v>
      </c>
      <c r="I502" t="s">
        <v>90</v>
      </c>
      <c r="J502" t="s">
        <v>91</v>
      </c>
      <c r="K502" t="s">
        <v>209</v>
      </c>
      <c r="L502" t="s">
        <v>204</v>
      </c>
      <c r="M502">
        <v>1</v>
      </c>
      <c r="N502">
        <v>54.64</v>
      </c>
      <c r="O502">
        <v>54.64</v>
      </c>
      <c r="P502">
        <v>0</v>
      </c>
      <c r="Q502">
        <v>0</v>
      </c>
      <c r="R502">
        <v>54.64</v>
      </c>
      <c r="S502">
        <v>20.32</v>
      </c>
      <c r="T502">
        <v>34.32</v>
      </c>
      <c r="U502" t="s">
        <v>180</v>
      </c>
      <c r="V502" t="s">
        <v>159</v>
      </c>
      <c r="W502" t="s">
        <v>2097</v>
      </c>
      <c r="X502" t="s">
        <v>2086</v>
      </c>
      <c r="Y502">
        <v>349</v>
      </c>
      <c r="Z502">
        <v>244.58</v>
      </c>
      <c r="AA502">
        <v>71.349999999999994</v>
      </c>
      <c r="AB502" t="s">
        <v>90</v>
      </c>
      <c r="AC502" t="s">
        <v>16</v>
      </c>
      <c r="AD502" t="s">
        <v>2087</v>
      </c>
      <c r="AE502" t="s">
        <v>2107</v>
      </c>
    </row>
    <row r="503" spans="1:31">
      <c r="A503" t="s">
        <v>308</v>
      </c>
      <c r="B503" s="1">
        <v>45123</v>
      </c>
      <c r="C503" t="s">
        <v>168</v>
      </c>
      <c r="D503">
        <v>2023</v>
      </c>
      <c r="E503" t="s">
        <v>169</v>
      </c>
      <c r="F503" t="s">
        <v>309</v>
      </c>
      <c r="G503" t="s">
        <v>125</v>
      </c>
      <c r="H503" t="s">
        <v>126</v>
      </c>
      <c r="I503" t="s">
        <v>115</v>
      </c>
      <c r="J503" t="s">
        <v>116</v>
      </c>
      <c r="K503" t="s">
        <v>164</v>
      </c>
      <c r="L503" t="s">
        <v>174</v>
      </c>
      <c r="M503">
        <v>2</v>
      </c>
      <c r="N503">
        <v>144.94999999999999</v>
      </c>
      <c r="O503">
        <v>289.89999999999998</v>
      </c>
      <c r="P503">
        <v>10</v>
      </c>
      <c r="Q503">
        <v>28.99</v>
      </c>
      <c r="R503">
        <v>260.91000000000003</v>
      </c>
      <c r="S503">
        <v>154.38</v>
      </c>
      <c r="T503">
        <v>106.53</v>
      </c>
      <c r="U503" t="s">
        <v>195</v>
      </c>
      <c r="V503" t="s">
        <v>186</v>
      </c>
      <c r="W503" t="s">
        <v>2099</v>
      </c>
      <c r="X503" t="s">
        <v>2100</v>
      </c>
      <c r="Y503">
        <v>96</v>
      </c>
      <c r="Z503">
        <v>148.05000000000001</v>
      </c>
      <c r="AA503">
        <v>51.62</v>
      </c>
      <c r="AB503" t="s">
        <v>115</v>
      </c>
      <c r="AC503" t="s">
        <v>20</v>
      </c>
      <c r="AD503" t="s">
        <v>2095</v>
      </c>
      <c r="AE503" t="s">
        <v>2088</v>
      </c>
    </row>
    <row r="504" spans="1:31">
      <c r="A504" t="s">
        <v>871</v>
      </c>
      <c r="B504" s="1">
        <v>45123</v>
      </c>
      <c r="C504" t="s">
        <v>168</v>
      </c>
      <c r="D504">
        <v>2023</v>
      </c>
      <c r="E504" t="s">
        <v>169</v>
      </c>
      <c r="F504" t="s">
        <v>872</v>
      </c>
      <c r="G504" t="s">
        <v>21</v>
      </c>
      <c r="H504" t="s">
        <v>22</v>
      </c>
      <c r="I504" t="s">
        <v>14</v>
      </c>
      <c r="J504" t="s">
        <v>15</v>
      </c>
      <c r="K504" t="s">
        <v>156</v>
      </c>
      <c r="L504" t="s">
        <v>157</v>
      </c>
      <c r="M504">
        <v>4</v>
      </c>
      <c r="N504">
        <v>65.430000000000007</v>
      </c>
      <c r="O504">
        <v>261.72000000000003</v>
      </c>
      <c r="P504">
        <v>0</v>
      </c>
      <c r="Q504">
        <v>0</v>
      </c>
      <c r="R504">
        <v>261.72000000000003</v>
      </c>
      <c r="S504">
        <v>154.76</v>
      </c>
      <c r="T504">
        <v>106.96</v>
      </c>
      <c r="U504" t="s">
        <v>158</v>
      </c>
      <c r="V504" t="s">
        <v>181</v>
      </c>
      <c r="W504" t="s">
        <v>2113</v>
      </c>
      <c r="X504" t="s">
        <v>2111</v>
      </c>
      <c r="Y504">
        <v>246</v>
      </c>
      <c r="Z504">
        <v>181.66</v>
      </c>
      <c r="AA504">
        <v>50.68</v>
      </c>
      <c r="AB504" t="s">
        <v>90</v>
      </c>
      <c r="AC504" t="s">
        <v>20</v>
      </c>
      <c r="AD504" t="s">
        <v>2106</v>
      </c>
      <c r="AE504" t="s">
        <v>2088</v>
      </c>
    </row>
    <row r="505" spans="1:31">
      <c r="A505" t="s">
        <v>1123</v>
      </c>
      <c r="B505" s="1">
        <v>45123</v>
      </c>
      <c r="C505" t="s">
        <v>168</v>
      </c>
      <c r="D505">
        <v>2023</v>
      </c>
      <c r="E505" t="s">
        <v>169</v>
      </c>
      <c r="F505" t="s">
        <v>1124</v>
      </c>
      <c r="G505" t="s">
        <v>109</v>
      </c>
      <c r="H505" t="s">
        <v>110</v>
      </c>
      <c r="I505" t="s">
        <v>90</v>
      </c>
      <c r="J505" t="s">
        <v>100</v>
      </c>
      <c r="K505" t="s">
        <v>156</v>
      </c>
      <c r="L505" t="s">
        <v>194</v>
      </c>
      <c r="M505">
        <v>3</v>
      </c>
      <c r="N505">
        <v>77.67</v>
      </c>
      <c r="O505">
        <v>233.01</v>
      </c>
      <c r="P505">
        <v>10</v>
      </c>
      <c r="Q505">
        <v>23.3</v>
      </c>
      <c r="R505">
        <v>209.71</v>
      </c>
      <c r="S505">
        <v>84.36</v>
      </c>
      <c r="T505">
        <v>125.35</v>
      </c>
      <c r="U505" t="s">
        <v>180</v>
      </c>
      <c r="V505" t="s">
        <v>159</v>
      </c>
      <c r="W505" t="s">
        <v>2097</v>
      </c>
      <c r="X505" t="s">
        <v>2111</v>
      </c>
      <c r="Y505">
        <v>243</v>
      </c>
      <c r="Z505">
        <v>390.9</v>
      </c>
      <c r="AA505">
        <v>79.98</v>
      </c>
      <c r="AB505" t="s">
        <v>115</v>
      </c>
      <c r="AC505" t="s">
        <v>16</v>
      </c>
      <c r="AD505" t="s">
        <v>2095</v>
      </c>
      <c r="AE505" t="s">
        <v>2088</v>
      </c>
    </row>
    <row r="506" spans="1:31">
      <c r="A506" t="s">
        <v>783</v>
      </c>
      <c r="B506" s="1">
        <v>45123</v>
      </c>
      <c r="C506" t="s">
        <v>168</v>
      </c>
      <c r="D506">
        <v>2023</v>
      </c>
      <c r="E506" t="s">
        <v>169</v>
      </c>
      <c r="F506" t="s">
        <v>784</v>
      </c>
      <c r="G506" t="s">
        <v>109</v>
      </c>
      <c r="H506" t="s">
        <v>110</v>
      </c>
      <c r="I506" t="s">
        <v>90</v>
      </c>
      <c r="J506" t="s">
        <v>100</v>
      </c>
      <c r="K506" t="s">
        <v>156</v>
      </c>
      <c r="L506" t="s">
        <v>204</v>
      </c>
      <c r="M506">
        <v>2</v>
      </c>
      <c r="N506">
        <v>77.67</v>
      </c>
      <c r="O506">
        <v>155.34</v>
      </c>
      <c r="P506">
        <v>10</v>
      </c>
      <c r="Q506">
        <v>15.53</v>
      </c>
      <c r="R506">
        <v>139.81</v>
      </c>
      <c r="S506">
        <v>56.24</v>
      </c>
      <c r="T506">
        <v>83.57</v>
      </c>
      <c r="U506" t="s">
        <v>166</v>
      </c>
      <c r="V506" t="s">
        <v>159</v>
      </c>
      <c r="W506" t="s">
        <v>2085</v>
      </c>
      <c r="X506" t="s">
        <v>2094</v>
      </c>
      <c r="Y506">
        <v>192</v>
      </c>
      <c r="Z506">
        <v>989.24</v>
      </c>
      <c r="AA506">
        <v>104.82</v>
      </c>
      <c r="AB506" t="s">
        <v>41</v>
      </c>
      <c r="AC506" t="s">
        <v>16</v>
      </c>
      <c r="AD506" t="s">
        <v>2087</v>
      </c>
      <c r="AE506" t="s">
        <v>2107</v>
      </c>
    </row>
    <row r="507" spans="1:31">
      <c r="A507" t="s">
        <v>1601</v>
      </c>
      <c r="B507" s="1">
        <v>45122</v>
      </c>
      <c r="C507" t="s">
        <v>168</v>
      </c>
      <c r="D507">
        <v>2023</v>
      </c>
      <c r="E507" t="s">
        <v>169</v>
      </c>
      <c r="F507" t="s">
        <v>1602</v>
      </c>
      <c r="G507" t="s">
        <v>113</v>
      </c>
      <c r="H507" t="s">
        <v>114</v>
      </c>
      <c r="I507" t="s">
        <v>115</v>
      </c>
      <c r="J507" t="s">
        <v>116</v>
      </c>
      <c r="K507" t="s">
        <v>164</v>
      </c>
      <c r="L507" t="s">
        <v>204</v>
      </c>
      <c r="M507">
        <v>3</v>
      </c>
      <c r="N507">
        <v>18.7</v>
      </c>
      <c r="O507">
        <v>56.099999999999994</v>
      </c>
      <c r="P507">
        <v>15</v>
      </c>
      <c r="Q507">
        <v>8.41</v>
      </c>
      <c r="R507">
        <v>47.69</v>
      </c>
      <c r="S507">
        <v>20.58</v>
      </c>
      <c r="T507">
        <v>27.11</v>
      </c>
      <c r="U507" t="s">
        <v>166</v>
      </c>
      <c r="V507" t="s">
        <v>159</v>
      </c>
      <c r="W507" t="s">
        <v>2113</v>
      </c>
      <c r="X507" t="s">
        <v>2086</v>
      </c>
      <c r="Y507">
        <v>38</v>
      </c>
      <c r="Z507">
        <v>565.46</v>
      </c>
      <c r="AA507">
        <v>72.42</v>
      </c>
      <c r="AB507" t="s">
        <v>41</v>
      </c>
      <c r="AC507" t="s">
        <v>20</v>
      </c>
      <c r="AD507" t="s">
        <v>2087</v>
      </c>
      <c r="AE507" t="s">
        <v>2121</v>
      </c>
    </row>
    <row r="508" spans="1:31">
      <c r="A508" t="s">
        <v>466</v>
      </c>
      <c r="B508" s="1">
        <v>45122</v>
      </c>
      <c r="C508" t="s">
        <v>168</v>
      </c>
      <c r="D508">
        <v>2023</v>
      </c>
      <c r="E508" t="s">
        <v>169</v>
      </c>
      <c r="F508" t="s">
        <v>467</v>
      </c>
      <c r="G508" t="s">
        <v>86</v>
      </c>
      <c r="H508" t="s">
        <v>87</v>
      </c>
      <c r="I508" t="s">
        <v>66</v>
      </c>
      <c r="J508" t="s">
        <v>67</v>
      </c>
      <c r="K508" t="s">
        <v>164</v>
      </c>
      <c r="L508" t="s">
        <v>157</v>
      </c>
      <c r="M508">
        <v>3</v>
      </c>
      <c r="N508">
        <v>124.77</v>
      </c>
      <c r="O508">
        <v>374.31</v>
      </c>
      <c r="P508">
        <v>20</v>
      </c>
      <c r="Q508">
        <v>74.86</v>
      </c>
      <c r="R508">
        <v>299.45</v>
      </c>
      <c r="S508">
        <v>208.92</v>
      </c>
      <c r="T508">
        <v>90.53</v>
      </c>
      <c r="U508" t="s">
        <v>190</v>
      </c>
      <c r="V508" t="s">
        <v>181</v>
      </c>
      <c r="W508" t="s">
        <v>2099</v>
      </c>
      <c r="X508" t="s">
        <v>2108</v>
      </c>
      <c r="Y508">
        <v>95</v>
      </c>
      <c r="Z508">
        <v>112</v>
      </c>
      <c r="AA508">
        <v>78.709999999999994</v>
      </c>
      <c r="AB508" t="s">
        <v>66</v>
      </c>
      <c r="AC508" t="s">
        <v>16</v>
      </c>
      <c r="AD508" t="s">
        <v>2106</v>
      </c>
      <c r="AE508" t="s">
        <v>2096</v>
      </c>
    </row>
    <row r="509" spans="1:31">
      <c r="A509" t="s">
        <v>1249</v>
      </c>
      <c r="B509" s="1">
        <v>45122</v>
      </c>
      <c r="C509" t="s">
        <v>168</v>
      </c>
      <c r="D509">
        <v>2023</v>
      </c>
      <c r="E509" t="s">
        <v>169</v>
      </c>
      <c r="F509" t="s">
        <v>1250</v>
      </c>
      <c r="G509" t="s">
        <v>50</v>
      </c>
      <c r="H509" t="s">
        <v>51</v>
      </c>
      <c r="I509" t="s">
        <v>41</v>
      </c>
      <c r="J509" t="s">
        <v>52</v>
      </c>
      <c r="K509" t="s">
        <v>209</v>
      </c>
      <c r="L509" t="s">
        <v>204</v>
      </c>
      <c r="M509">
        <v>4</v>
      </c>
      <c r="N509">
        <v>143.80000000000001</v>
      </c>
      <c r="O509">
        <v>575.20000000000005</v>
      </c>
      <c r="P509">
        <v>20</v>
      </c>
      <c r="Q509">
        <v>115.04</v>
      </c>
      <c r="R509">
        <v>460.16</v>
      </c>
      <c r="S509">
        <v>248.6</v>
      </c>
      <c r="T509">
        <v>211.56</v>
      </c>
      <c r="U509" t="s">
        <v>190</v>
      </c>
      <c r="V509" t="s">
        <v>159</v>
      </c>
      <c r="W509" t="s">
        <v>2097</v>
      </c>
      <c r="X509" t="s">
        <v>2100</v>
      </c>
      <c r="Y509">
        <v>134</v>
      </c>
      <c r="Z509">
        <v>268.72000000000003</v>
      </c>
      <c r="AA509">
        <v>140.94999999999999</v>
      </c>
      <c r="AB509" t="s">
        <v>14</v>
      </c>
      <c r="AC509" t="s">
        <v>16</v>
      </c>
      <c r="AD509" t="s">
        <v>2106</v>
      </c>
      <c r="AE509" t="s">
        <v>2109</v>
      </c>
    </row>
    <row r="510" spans="1:31">
      <c r="A510" t="s">
        <v>1320</v>
      </c>
      <c r="B510" s="1">
        <v>45122</v>
      </c>
      <c r="C510" t="s">
        <v>168</v>
      </c>
      <c r="D510">
        <v>2023</v>
      </c>
      <c r="E510" t="s">
        <v>169</v>
      </c>
      <c r="F510" t="s">
        <v>1321</v>
      </c>
      <c r="G510" t="s">
        <v>135</v>
      </c>
      <c r="H510" t="s">
        <v>136</v>
      </c>
      <c r="I510" t="s">
        <v>115</v>
      </c>
      <c r="J510" t="s">
        <v>119</v>
      </c>
      <c r="K510" t="s">
        <v>178</v>
      </c>
      <c r="L510" t="s">
        <v>204</v>
      </c>
      <c r="M510">
        <v>4</v>
      </c>
      <c r="N510">
        <v>89.62</v>
      </c>
      <c r="O510">
        <v>358.48</v>
      </c>
      <c r="P510">
        <v>0</v>
      </c>
      <c r="Q510">
        <v>0</v>
      </c>
      <c r="R510">
        <v>358.48</v>
      </c>
      <c r="S510">
        <v>152.52000000000001</v>
      </c>
      <c r="T510">
        <v>205.96</v>
      </c>
      <c r="U510" t="s">
        <v>190</v>
      </c>
      <c r="V510" t="s">
        <v>159</v>
      </c>
      <c r="W510" t="s">
        <v>2099</v>
      </c>
      <c r="X510" t="s">
        <v>2111</v>
      </c>
      <c r="Y510">
        <v>275</v>
      </c>
      <c r="Z510">
        <v>45.07</v>
      </c>
      <c r="AA510">
        <v>40.1</v>
      </c>
      <c r="AB510" t="s">
        <v>14</v>
      </c>
      <c r="AC510" t="s">
        <v>16</v>
      </c>
      <c r="AD510" t="s">
        <v>2095</v>
      </c>
      <c r="AE510" t="s">
        <v>2088</v>
      </c>
    </row>
    <row r="511" spans="1:31">
      <c r="A511" t="s">
        <v>1309</v>
      </c>
      <c r="B511" s="1">
        <v>45122</v>
      </c>
      <c r="C511" t="s">
        <v>168</v>
      </c>
      <c r="D511">
        <v>2023</v>
      </c>
      <c r="E511" t="s">
        <v>169</v>
      </c>
      <c r="F511" t="s">
        <v>1310</v>
      </c>
      <c r="G511" t="s">
        <v>103</v>
      </c>
      <c r="H511" t="s">
        <v>104</v>
      </c>
      <c r="I511" t="s">
        <v>90</v>
      </c>
      <c r="J511" t="s">
        <v>94</v>
      </c>
      <c r="K511" t="s">
        <v>156</v>
      </c>
      <c r="L511" t="s">
        <v>179</v>
      </c>
      <c r="M511">
        <v>4</v>
      </c>
      <c r="N511">
        <v>98.58</v>
      </c>
      <c r="O511">
        <v>394.32</v>
      </c>
      <c r="P511">
        <v>20</v>
      </c>
      <c r="Q511">
        <v>78.86</v>
      </c>
      <c r="R511">
        <v>315.45999999999998</v>
      </c>
      <c r="S511">
        <v>210.28</v>
      </c>
      <c r="T511">
        <v>105.18</v>
      </c>
      <c r="U511" t="s">
        <v>190</v>
      </c>
      <c r="V511" t="s">
        <v>186</v>
      </c>
      <c r="W511" t="s">
        <v>2097</v>
      </c>
      <c r="X511" t="s">
        <v>2086</v>
      </c>
      <c r="Y511">
        <v>98</v>
      </c>
      <c r="Z511">
        <v>552.4</v>
      </c>
      <c r="AA511">
        <v>79.52</v>
      </c>
      <c r="AB511" t="s">
        <v>66</v>
      </c>
      <c r="AC511" t="s">
        <v>16</v>
      </c>
      <c r="AD511" t="s">
        <v>2087</v>
      </c>
      <c r="AE511" t="s">
        <v>2107</v>
      </c>
    </row>
    <row r="512" spans="1:31">
      <c r="A512" t="s">
        <v>1285</v>
      </c>
      <c r="B512" s="1">
        <v>45122</v>
      </c>
      <c r="C512" t="s">
        <v>168</v>
      </c>
      <c r="D512">
        <v>2023</v>
      </c>
      <c r="E512" t="s">
        <v>169</v>
      </c>
      <c r="F512" t="s">
        <v>1286</v>
      </c>
      <c r="G512" t="s">
        <v>33</v>
      </c>
      <c r="H512" t="s">
        <v>34</v>
      </c>
      <c r="I512" t="s">
        <v>14</v>
      </c>
      <c r="J512" t="s">
        <v>27</v>
      </c>
      <c r="K512" t="s">
        <v>156</v>
      </c>
      <c r="L512" t="s">
        <v>165</v>
      </c>
      <c r="M512">
        <v>3</v>
      </c>
      <c r="N512">
        <v>124.26</v>
      </c>
      <c r="O512">
        <v>372.78000000000003</v>
      </c>
      <c r="P512">
        <v>0</v>
      </c>
      <c r="Q512">
        <v>0</v>
      </c>
      <c r="R512">
        <v>372.78</v>
      </c>
      <c r="S512">
        <v>157.86000000000001</v>
      </c>
      <c r="T512">
        <v>214.92</v>
      </c>
      <c r="U512" t="s">
        <v>190</v>
      </c>
      <c r="V512" t="s">
        <v>159</v>
      </c>
      <c r="W512" t="s">
        <v>2113</v>
      </c>
      <c r="X512" t="s">
        <v>2108</v>
      </c>
      <c r="Y512">
        <v>142</v>
      </c>
      <c r="Z512">
        <v>191.42</v>
      </c>
      <c r="AA512">
        <v>47.32</v>
      </c>
      <c r="AB512" t="s">
        <v>115</v>
      </c>
      <c r="AC512" t="s">
        <v>20</v>
      </c>
      <c r="AD512" t="s">
        <v>2106</v>
      </c>
      <c r="AE512" t="s">
        <v>2107</v>
      </c>
    </row>
    <row r="513" spans="1:31">
      <c r="A513" t="s">
        <v>1788</v>
      </c>
      <c r="B513" s="1">
        <v>45122</v>
      </c>
      <c r="C513" t="s">
        <v>168</v>
      </c>
      <c r="D513">
        <v>2023</v>
      </c>
      <c r="E513" t="s">
        <v>169</v>
      </c>
      <c r="F513" t="s">
        <v>1789</v>
      </c>
      <c r="G513" t="s">
        <v>46</v>
      </c>
      <c r="H513" t="s">
        <v>47</v>
      </c>
      <c r="I513" t="s">
        <v>41</v>
      </c>
      <c r="J513" t="s">
        <v>45</v>
      </c>
      <c r="K513" t="s">
        <v>164</v>
      </c>
      <c r="L513" t="s">
        <v>174</v>
      </c>
      <c r="M513">
        <v>2</v>
      </c>
      <c r="N513">
        <v>16.95</v>
      </c>
      <c r="O513">
        <v>33.9</v>
      </c>
      <c r="P513">
        <v>20</v>
      </c>
      <c r="Q513">
        <v>6.78</v>
      </c>
      <c r="R513">
        <v>27.12</v>
      </c>
      <c r="S513">
        <v>19.52</v>
      </c>
      <c r="T513">
        <v>7.6</v>
      </c>
      <c r="U513" t="s">
        <v>195</v>
      </c>
      <c r="V513" t="s">
        <v>181</v>
      </c>
      <c r="W513" t="s">
        <v>2093</v>
      </c>
      <c r="X513" t="s">
        <v>2091</v>
      </c>
      <c r="Y513">
        <v>159</v>
      </c>
      <c r="Z513">
        <v>185.22</v>
      </c>
      <c r="AA513">
        <v>65</v>
      </c>
      <c r="AB513" t="s">
        <v>90</v>
      </c>
      <c r="AC513" t="s">
        <v>16</v>
      </c>
      <c r="AD513" t="s">
        <v>2095</v>
      </c>
      <c r="AE513" t="s">
        <v>2088</v>
      </c>
    </row>
    <row r="514" spans="1:31">
      <c r="A514" t="s">
        <v>1486</v>
      </c>
      <c r="B514" s="1">
        <v>45121</v>
      </c>
      <c r="C514" t="s">
        <v>168</v>
      </c>
      <c r="D514">
        <v>2023</v>
      </c>
      <c r="E514" t="s">
        <v>169</v>
      </c>
      <c r="F514" t="s">
        <v>1487</v>
      </c>
      <c r="G514" t="s">
        <v>135</v>
      </c>
      <c r="H514" t="s">
        <v>136</v>
      </c>
      <c r="I514" t="s">
        <v>115</v>
      </c>
      <c r="J514" t="s">
        <v>119</v>
      </c>
      <c r="K514" t="s">
        <v>178</v>
      </c>
      <c r="L514" t="s">
        <v>204</v>
      </c>
      <c r="M514">
        <v>1</v>
      </c>
      <c r="N514">
        <v>89.62</v>
      </c>
      <c r="O514">
        <v>89.62</v>
      </c>
      <c r="P514">
        <v>10</v>
      </c>
      <c r="Q514">
        <v>8.9600000000000009</v>
      </c>
      <c r="R514">
        <v>80.66</v>
      </c>
      <c r="S514">
        <v>38.130000000000003</v>
      </c>
      <c r="T514">
        <v>42.53</v>
      </c>
      <c r="U514" t="s">
        <v>166</v>
      </c>
      <c r="V514" t="s">
        <v>181</v>
      </c>
      <c r="W514" t="s">
        <v>2090</v>
      </c>
      <c r="X514" t="s">
        <v>2091</v>
      </c>
      <c r="Y514">
        <v>172</v>
      </c>
      <c r="Z514">
        <v>186.01</v>
      </c>
      <c r="AA514">
        <v>89.23</v>
      </c>
      <c r="AB514" t="s">
        <v>41</v>
      </c>
      <c r="AC514" t="s">
        <v>20</v>
      </c>
      <c r="AD514" t="s">
        <v>2087</v>
      </c>
      <c r="AE514" t="s">
        <v>2096</v>
      </c>
    </row>
    <row r="515" spans="1:31">
      <c r="A515" t="s">
        <v>643</v>
      </c>
      <c r="B515" s="1">
        <v>45120</v>
      </c>
      <c r="C515" t="s">
        <v>168</v>
      </c>
      <c r="D515">
        <v>2023</v>
      </c>
      <c r="E515" t="s">
        <v>169</v>
      </c>
      <c r="F515" t="s">
        <v>644</v>
      </c>
      <c r="G515" t="s">
        <v>76</v>
      </c>
      <c r="H515" t="s">
        <v>77</v>
      </c>
      <c r="I515" t="s">
        <v>66</v>
      </c>
      <c r="J515" t="s">
        <v>67</v>
      </c>
      <c r="K515" t="s">
        <v>209</v>
      </c>
      <c r="L515" t="s">
        <v>165</v>
      </c>
      <c r="M515">
        <v>4</v>
      </c>
      <c r="N515">
        <v>118.07</v>
      </c>
      <c r="O515">
        <v>472.28</v>
      </c>
      <c r="P515">
        <v>20</v>
      </c>
      <c r="Q515">
        <v>94.46</v>
      </c>
      <c r="R515">
        <v>377.82</v>
      </c>
      <c r="S515">
        <v>158.80000000000001</v>
      </c>
      <c r="T515">
        <v>219.02</v>
      </c>
      <c r="U515" t="s">
        <v>166</v>
      </c>
      <c r="V515" t="s">
        <v>159</v>
      </c>
      <c r="W515" t="s">
        <v>2093</v>
      </c>
      <c r="X515" t="s">
        <v>2086</v>
      </c>
      <c r="Y515">
        <v>180</v>
      </c>
      <c r="Z515">
        <v>110.1</v>
      </c>
      <c r="AA515">
        <v>51.96</v>
      </c>
      <c r="AB515" t="s">
        <v>66</v>
      </c>
      <c r="AC515" t="s">
        <v>16</v>
      </c>
      <c r="AD515" t="s">
        <v>2106</v>
      </c>
      <c r="AE515" t="s">
        <v>2088</v>
      </c>
    </row>
    <row r="516" spans="1:31">
      <c r="A516" t="s">
        <v>1864</v>
      </c>
      <c r="B516" s="1">
        <v>45120</v>
      </c>
      <c r="C516" t="s">
        <v>168</v>
      </c>
      <c r="D516">
        <v>2023</v>
      </c>
      <c r="E516" t="s">
        <v>169</v>
      </c>
      <c r="F516" t="s">
        <v>1865</v>
      </c>
      <c r="G516" t="s">
        <v>55</v>
      </c>
      <c r="H516" t="s">
        <v>56</v>
      </c>
      <c r="I516" t="s">
        <v>41</v>
      </c>
      <c r="J516" t="s">
        <v>45</v>
      </c>
      <c r="K516" t="s">
        <v>178</v>
      </c>
      <c r="L516" t="s">
        <v>179</v>
      </c>
      <c r="M516">
        <v>4</v>
      </c>
      <c r="N516">
        <v>205.4</v>
      </c>
      <c r="O516">
        <v>821.6</v>
      </c>
      <c r="P516">
        <v>10</v>
      </c>
      <c r="Q516">
        <v>82.16</v>
      </c>
      <c r="R516">
        <v>739.44</v>
      </c>
      <c r="S516">
        <v>283.60000000000002</v>
      </c>
      <c r="T516">
        <v>455.84</v>
      </c>
      <c r="U516" t="s">
        <v>195</v>
      </c>
      <c r="V516" t="s">
        <v>159</v>
      </c>
      <c r="W516" t="s">
        <v>2113</v>
      </c>
      <c r="X516" t="s">
        <v>2091</v>
      </c>
      <c r="Y516">
        <v>20</v>
      </c>
      <c r="Z516">
        <v>310.49</v>
      </c>
      <c r="AA516">
        <v>77.010000000000005</v>
      </c>
      <c r="AB516" t="s">
        <v>90</v>
      </c>
      <c r="AC516" t="s">
        <v>20</v>
      </c>
      <c r="AD516" t="s">
        <v>2087</v>
      </c>
      <c r="AE516" t="s">
        <v>2109</v>
      </c>
    </row>
    <row r="517" spans="1:31">
      <c r="A517" t="s">
        <v>719</v>
      </c>
      <c r="B517" s="1">
        <v>45119</v>
      </c>
      <c r="C517" t="s">
        <v>168</v>
      </c>
      <c r="D517">
        <v>2023</v>
      </c>
      <c r="E517" t="s">
        <v>169</v>
      </c>
      <c r="F517" t="s">
        <v>720</v>
      </c>
      <c r="G517" t="s">
        <v>50</v>
      </c>
      <c r="H517" t="s">
        <v>51</v>
      </c>
      <c r="I517" t="s">
        <v>41</v>
      </c>
      <c r="J517" t="s">
        <v>52</v>
      </c>
      <c r="K517" t="s">
        <v>156</v>
      </c>
      <c r="L517" t="s">
        <v>165</v>
      </c>
      <c r="M517">
        <v>3</v>
      </c>
      <c r="N517">
        <v>143.80000000000001</v>
      </c>
      <c r="O517">
        <v>431.40000000000003</v>
      </c>
      <c r="P517">
        <v>10</v>
      </c>
      <c r="Q517">
        <v>43.14</v>
      </c>
      <c r="R517">
        <v>388.26</v>
      </c>
      <c r="S517">
        <v>186.45</v>
      </c>
      <c r="T517">
        <v>201.81</v>
      </c>
      <c r="U517" t="s">
        <v>166</v>
      </c>
      <c r="V517" t="s">
        <v>186</v>
      </c>
      <c r="W517" t="s">
        <v>2093</v>
      </c>
      <c r="X517" t="s">
        <v>2111</v>
      </c>
      <c r="Y517">
        <v>190</v>
      </c>
      <c r="Z517">
        <v>147.15</v>
      </c>
      <c r="AA517">
        <v>58.16</v>
      </c>
      <c r="AB517" t="s">
        <v>41</v>
      </c>
      <c r="AC517" t="s">
        <v>20</v>
      </c>
      <c r="AD517" t="s">
        <v>2095</v>
      </c>
      <c r="AE517" t="s">
        <v>2121</v>
      </c>
    </row>
    <row r="518" spans="1:31">
      <c r="A518" t="s">
        <v>958</v>
      </c>
      <c r="B518" s="1">
        <v>45119</v>
      </c>
      <c r="C518" t="s">
        <v>168</v>
      </c>
      <c r="D518">
        <v>2023</v>
      </c>
      <c r="E518" t="s">
        <v>169</v>
      </c>
      <c r="F518" t="s">
        <v>959</v>
      </c>
      <c r="G518" t="s">
        <v>25</v>
      </c>
      <c r="H518" t="s">
        <v>26</v>
      </c>
      <c r="I518" t="s">
        <v>14</v>
      </c>
      <c r="J518" t="s">
        <v>27</v>
      </c>
      <c r="K518" t="s">
        <v>209</v>
      </c>
      <c r="L518" t="s">
        <v>232</v>
      </c>
      <c r="M518">
        <v>3</v>
      </c>
      <c r="N518">
        <v>18.39</v>
      </c>
      <c r="O518">
        <v>55.17</v>
      </c>
      <c r="P518">
        <v>0</v>
      </c>
      <c r="Q518">
        <v>0</v>
      </c>
      <c r="R518">
        <v>55.17</v>
      </c>
      <c r="S518">
        <v>24.78</v>
      </c>
      <c r="T518">
        <v>30.39</v>
      </c>
      <c r="U518" t="s">
        <v>158</v>
      </c>
      <c r="V518" t="s">
        <v>159</v>
      </c>
      <c r="W518" t="s">
        <v>2093</v>
      </c>
      <c r="X518" t="s">
        <v>2111</v>
      </c>
      <c r="Y518">
        <v>7</v>
      </c>
      <c r="Z518">
        <v>173.74</v>
      </c>
      <c r="AA518">
        <v>33.72</v>
      </c>
      <c r="AB518" t="s">
        <v>14</v>
      </c>
      <c r="AC518" t="s">
        <v>16</v>
      </c>
      <c r="AD518" t="s">
        <v>2095</v>
      </c>
      <c r="AE518" t="s">
        <v>2088</v>
      </c>
    </row>
    <row r="519" spans="1:31">
      <c r="A519" t="s">
        <v>954</v>
      </c>
      <c r="B519" s="1">
        <v>45119</v>
      </c>
      <c r="C519" t="s">
        <v>168</v>
      </c>
      <c r="D519">
        <v>2023</v>
      </c>
      <c r="E519" t="s">
        <v>169</v>
      </c>
      <c r="F519" t="s">
        <v>955</v>
      </c>
      <c r="G519" t="s">
        <v>76</v>
      </c>
      <c r="H519" t="s">
        <v>77</v>
      </c>
      <c r="I519" t="s">
        <v>66</v>
      </c>
      <c r="J519" t="s">
        <v>67</v>
      </c>
      <c r="K519" t="s">
        <v>164</v>
      </c>
      <c r="L519" t="s">
        <v>179</v>
      </c>
      <c r="M519">
        <v>3</v>
      </c>
      <c r="N519">
        <v>118.07</v>
      </c>
      <c r="O519">
        <v>354.21</v>
      </c>
      <c r="P519">
        <v>10</v>
      </c>
      <c r="Q519">
        <v>35.42</v>
      </c>
      <c r="R519">
        <v>318.79000000000002</v>
      </c>
      <c r="S519">
        <v>119.1</v>
      </c>
      <c r="T519">
        <v>199.69</v>
      </c>
      <c r="U519" t="s">
        <v>166</v>
      </c>
      <c r="V519" t="s">
        <v>159</v>
      </c>
      <c r="W519" t="s">
        <v>2097</v>
      </c>
      <c r="X519" t="s">
        <v>2100</v>
      </c>
      <c r="Y519">
        <v>261</v>
      </c>
      <c r="Z519">
        <v>345.83</v>
      </c>
      <c r="AA519">
        <v>58.04</v>
      </c>
      <c r="AB519" t="s">
        <v>14</v>
      </c>
      <c r="AC519" t="s">
        <v>20</v>
      </c>
      <c r="AD519" t="s">
        <v>2095</v>
      </c>
      <c r="AE519" t="s">
        <v>2088</v>
      </c>
    </row>
    <row r="520" spans="1:31">
      <c r="A520" t="s">
        <v>781</v>
      </c>
      <c r="B520" s="1">
        <v>45118</v>
      </c>
      <c r="C520" t="s">
        <v>168</v>
      </c>
      <c r="D520">
        <v>2023</v>
      </c>
      <c r="E520" t="s">
        <v>169</v>
      </c>
      <c r="F520" t="s">
        <v>782</v>
      </c>
      <c r="G520" t="s">
        <v>62</v>
      </c>
      <c r="H520" t="s">
        <v>63</v>
      </c>
      <c r="I520" t="s">
        <v>41</v>
      </c>
      <c r="J520" t="s">
        <v>45</v>
      </c>
      <c r="K520" t="s">
        <v>156</v>
      </c>
      <c r="L520" t="s">
        <v>232</v>
      </c>
      <c r="M520">
        <v>1</v>
      </c>
      <c r="N520">
        <v>160.35</v>
      </c>
      <c r="O520">
        <v>160.35</v>
      </c>
      <c r="P520">
        <v>0</v>
      </c>
      <c r="Q520">
        <v>0</v>
      </c>
      <c r="R520">
        <v>160.35</v>
      </c>
      <c r="S520">
        <v>72.47</v>
      </c>
      <c r="T520">
        <v>87.88</v>
      </c>
      <c r="U520" t="s">
        <v>180</v>
      </c>
      <c r="V520" t="s">
        <v>186</v>
      </c>
      <c r="W520" t="s">
        <v>2085</v>
      </c>
      <c r="X520" t="s">
        <v>2091</v>
      </c>
      <c r="Y520">
        <v>221</v>
      </c>
      <c r="Z520">
        <v>2054.77</v>
      </c>
      <c r="AA520">
        <v>116.43</v>
      </c>
      <c r="AB520" t="s">
        <v>90</v>
      </c>
      <c r="AC520" t="s">
        <v>20</v>
      </c>
      <c r="AD520" t="s">
        <v>2106</v>
      </c>
      <c r="AE520" t="s">
        <v>2121</v>
      </c>
    </row>
    <row r="521" spans="1:31">
      <c r="A521" t="s">
        <v>2048</v>
      </c>
      <c r="B521" s="1">
        <v>45117</v>
      </c>
      <c r="C521" t="s">
        <v>168</v>
      </c>
      <c r="D521">
        <v>2023</v>
      </c>
      <c r="E521" t="s">
        <v>169</v>
      </c>
      <c r="F521" t="s">
        <v>2049</v>
      </c>
      <c r="G521" t="s">
        <v>39</v>
      </c>
      <c r="H521" t="s">
        <v>40</v>
      </c>
      <c r="I521" t="s">
        <v>41</v>
      </c>
      <c r="J521" t="s">
        <v>42</v>
      </c>
      <c r="K521" t="s">
        <v>164</v>
      </c>
      <c r="L521" t="s">
        <v>194</v>
      </c>
      <c r="M521">
        <v>1</v>
      </c>
      <c r="N521">
        <v>35.11</v>
      </c>
      <c r="O521">
        <v>35.11</v>
      </c>
      <c r="P521">
        <v>0</v>
      </c>
      <c r="Q521">
        <v>0</v>
      </c>
      <c r="R521">
        <v>35.11</v>
      </c>
      <c r="S521">
        <v>24.87</v>
      </c>
      <c r="T521">
        <v>10.24</v>
      </c>
      <c r="U521" t="s">
        <v>190</v>
      </c>
      <c r="V521" t="s">
        <v>159</v>
      </c>
      <c r="W521" t="s">
        <v>2097</v>
      </c>
      <c r="X521" t="s">
        <v>2094</v>
      </c>
      <c r="Y521">
        <v>117</v>
      </c>
      <c r="Z521">
        <v>432.05</v>
      </c>
      <c r="AA521">
        <v>120.25</v>
      </c>
      <c r="AB521" t="s">
        <v>115</v>
      </c>
      <c r="AC521" t="s">
        <v>16</v>
      </c>
      <c r="AD521" t="s">
        <v>2095</v>
      </c>
      <c r="AE521" t="s">
        <v>2121</v>
      </c>
    </row>
    <row r="522" spans="1:31">
      <c r="A522" t="s">
        <v>1306</v>
      </c>
      <c r="B522" s="1">
        <v>45117</v>
      </c>
      <c r="C522" t="s">
        <v>168</v>
      </c>
      <c r="D522">
        <v>2023</v>
      </c>
      <c r="E522" t="s">
        <v>169</v>
      </c>
      <c r="F522" t="s">
        <v>746</v>
      </c>
      <c r="G522" t="s">
        <v>48</v>
      </c>
      <c r="H522" t="s">
        <v>49</v>
      </c>
      <c r="I522" t="s">
        <v>41</v>
      </c>
      <c r="J522" t="s">
        <v>42</v>
      </c>
      <c r="K522" t="s">
        <v>164</v>
      </c>
      <c r="L522" t="s">
        <v>194</v>
      </c>
      <c r="M522">
        <v>4</v>
      </c>
      <c r="N522">
        <v>84.95</v>
      </c>
      <c r="O522">
        <v>339.8</v>
      </c>
      <c r="P522">
        <v>15</v>
      </c>
      <c r="Q522">
        <v>50.97</v>
      </c>
      <c r="R522">
        <v>288.83</v>
      </c>
      <c r="S522">
        <v>212.28</v>
      </c>
      <c r="T522">
        <v>76.55</v>
      </c>
      <c r="U522" t="s">
        <v>180</v>
      </c>
      <c r="V522" t="s">
        <v>159</v>
      </c>
      <c r="W522" t="s">
        <v>2085</v>
      </c>
      <c r="X522" t="s">
        <v>2100</v>
      </c>
      <c r="Y522">
        <v>55</v>
      </c>
      <c r="Z522">
        <v>1317.11</v>
      </c>
      <c r="AA522">
        <v>276.22000000000003</v>
      </c>
      <c r="AB522" t="s">
        <v>66</v>
      </c>
      <c r="AC522" t="s">
        <v>20</v>
      </c>
      <c r="AD522" t="s">
        <v>2106</v>
      </c>
      <c r="AE522" t="s">
        <v>2109</v>
      </c>
    </row>
    <row r="523" spans="1:31">
      <c r="A523" t="s">
        <v>445</v>
      </c>
      <c r="B523" s="1">
        <v>45117</v>
      </c>
      <c r="C523" t="s">
        <v>168</v>
      </c>
      <c r="D523">
        <v>2023</v>
      </c>
      <c r="E523" t="s">
        <v>169</v>
      </c>
      <c r="F523" t="s">
        <v>446</v>
      </c>
      <c r="G523" t="s">
        <v>98</v>
      </c>
      <c r="H523" t="s">
        <v>99</v>
      </c>
      <c r="I523" t="s">
        <v>90</v>
      </c>
      <c r="J523" t="s">
        <v>100</v>
      </c>
      <c r="K523" t="s">
        <v>178</v>
      </c>
      <c r="L523" t="s">
        <v>204</v>
      </c>
      <c r="M523">
        <v>2</v>
      </c>
      <c r="N523">
        <v>194.87</v>
      </c>
      <c r="O523">
        <v>389.74</v>
      </c>
      <c r="P523">
        <v>0</v>
      </c>
      <c r="Q523">
        <v>0</v>
      </c>
      <c r="R523">
        <v>389.74</v>
      </c>
      <c r="S523">
        <v>157.58000000000001</v>
      </c>
      <c r="T523">
        <v>232.16</v>
      </c>
      <c r="U523" t="s">
        <v>180</v>
      </c>
      <c r="V523" t="s">
        <v>159</v>
      </c>
      <c r="W523" t="s">
        <v>2099</v>
      </c>
      <c r="X523" t="s">
        <v>2091</v>
      </c>
      <c r="Y523">
        <v>186</v>
      </c>
      <c r="Z523">
        <v>57.07</v>
      </c>
      <c r="AA523">
        <v>77.53</v>
      </c>
      <c r="AB523" t="s">
        <v>115</v>
      </c>
      <c r="AC523" t="s">
        <v>16</v>
      </c>
      <c r="AD523" t="s">
        <v>2087</v>
      </c>
      <c r="AE523" t="s">
        <v>2121</v>
      </c>
    </row>
    <row r="524" spans="1:31">
      <c r="A524" t="s">
        <v>1597</v>
      </c>
      <c r="B524" s="1">
        <v>45116</v>
      </c>
      <c r="C524" t="s">
        <v>168</v>
      </c>
      <c r="D524">
        <v>2023</v>
      </c>
      <c r="E524" t="s">
        <v>169</v>
      </c>
      <c r="F524" t="s">
        <v>1598</v>
      </c>
      <c r="G524" t="s">
        <v>35</v>
      </c>
      <c r="H524" t="s">
        <v>36</v>
      </c>
      <c r="I524" t="s">
        <v>14</v>
      </c>
      <c r="J524" t="s">
        <v>19</v>
      </c>
      <c r="K524" t="s">
        <v>209</v>
      </c>
      <c r="L524" t="s">
        <v>174</v>
      </c>
      <c r="M524">
        <v>3</v>
      </c>
      <c r="N524">
        <v>81.599999999999994</v>
      </c>
      <c r="O524">
        <v>244.79999999999998</v>
      </c>
      <c r="P524">
        <v>0</v>
      </c>
      <c r="Q524">
        <v>0</v>
      </c>
      <c r="R524">
        <v>244.8</v>
      </c>
      <c r="S524">
        <v>87.96</v>
      </c>
      <c r="T524">
        <v>156.84</v>
      </c>
      <c r="U524" t="s">
        <v>166</v>
      </c>
      <c r="V524" t="s">
        <v>159</v>
      </c>
      <c r="W524" t="s">
        <v>2085</v>
      </c>
      <c r="X524" t="s">
        <v>2108</v>
      </c>
      <c r="Y524">
        <v>336</v>
      </c>
      <c r="Z524">
        <v>2383.0700000000002</v>
      </c>
      <c r="AA524">
        <v>220.29</v>
      </c>
      <c r="AB524" t="s">
        <v>115</v>
      </c>
      <c r="AC524" t="s">
        <v>16</v>
      </c>
      <c r="AD524" t="s">
        <v>2095</v>
      </c>
      <c r="AE524" t="s">
        <v>2088</v>
      </c>
    </row>
    <row r="525" spans="1:31">
      <c r="A525" t="s">
        <v>1258</v>
      </c>
      <c r="B525" s="1">
        <v>45116</v>
      </c>
      <c r="C525" t="s">
        <v>168</v>
      </c>
      <c r="D525">
        <v>2023</v>
      </c>
      <c r="E525" t="s">
        <v>169</v>
      </c>
      <c r="F525" t="s">
        <v>1259</v>
      </c>
      <c r="G525" t="s">
        <v>103</v>
      </c>
      <c r="H525" t="s">
        <v>104</v>
      </c>
      <c r="I525" t="s">
        <v>90</v>
      </c>
      <c r="J525" t="s">
        <v>94</v>
      </c>
      <c r="K525" t="s">
        <v>164</v>
      </c>
      <c r="L525" t="s">
        <v>194</v>
      </c>
      <c r="M525">
        <v>4</v>
      </c>
      <c r="N525">
        <v>98.58</v>
      </c>
      <c r="O525">
        <v>394.32</v>
      </c>
      <c r="P525">
        <v>0</v>
      </c>
      <c r="Q525">
        <v>0</v>
      </c>
      <c r="R525">
        <v>394.32</v>
      </c>
      <c r="S525">
        <v>210.28</v>
      </c>
      <c r="T525">
        <v>184.04</v>
      </c>
      <c r="U525" t="s">
        <v>195</v>
      </c>
      <c r="V525" t="s">
        <v>181</v>
      </c>
      <c r="W525" t="s">
        <v>2099</v>
      </c>
      <c r="X525" t="s">
        <v>2111</v>
      </c>
      <c r="Y525">
        <v>229</v>
      </c>
      <c r="Z525">
        <v>87.24</v>
      </c>
      <c r="AA525">
        <v>79.040000000000006</v>
      </c>
      <c r="AB525" t="s">
        <v>90</v>
      </c>
      <c r="AC525" t="s">
        <v>16</v>
      </c>
      <c r="AD525" t="s">
        <v>2087</v>
      </c>
      <c r="AE525" t="s">
        <v>2096</v>
      </c>
    </row>
    <row r="526" spans="1:31">
      <c r="A526" t="s">
        <v>971</v>
      </c>
      <c r="B526" s="1">
        <v>45116</v>
      </c>
      <c r="C526" t="s">
        <v>168</v>
      </c>
      <c r="D526">
        <v>2023</v>
      </c>
      <c r="E526" t="s">
        <v>169</v>
      </c>
      <c r="F526" t="s">
        <v>972</v>
      </c>
      <c r="G526" t="s">
        <v>117</v>
      </c>
      <c r="H526" t="s">
        <v>118</v>
      </c>
      <c r="I526" t="s">
        <v>115</v>
      </c>
      <c r="J526" t="s">
        <v>119</v>
      </c>
      <c r="K526" t="s">
        <v>164</v>
      </c>
      <c r="L526" t="s">
        <v>194</v>
      </c>
      <c r="M526">
        <v>4</v>
      </c>
      <c r="N526">
        <v>93.41</v>
      </c>
      <c r="O526">
        <v>373.64</v>
      </c>
      <c r="P526">
        <v>0</v>
      </c>
      <c r="Q526">
        <v>0</v>
      </c>
      <c r="R526">
        <v>373.64</v>
      </c>
      <c r="S526">
        <v>256.2</v>
      </c>
      <c r="T526">
        <v>117.44</v>
      </c>
      <c r="U526" t="s">
        <v>190</v>
      </c>
      <c r="V526" t="s">
        <v>186</v>
      </c>
      <c r="W526" t="s">
        <v>2085</v>
      </c>
      <c r="X526" t="s">
        <v>2111</v>
      </c>
      <c r="Y526">
        <v>118</v>
      </c>
      <c r="Z526">
        <v>1850.86</v>
      </c>
      <c r="AA526">
        <v>227.09</v>
      </c>
      <c r="AB526" t="s">
        <v>115</v>
      </c>
      <c r="AC526" t="s">
        <v>20</v>
      </c>
      <c r="AD526" t="s">
        <v>2106</v>
      </c>
      <c r="AE526" t="s">
        <v>2096</v>
      </c>
    </row>
    <row r="527" spans="1:31">
      <c r="A527" t="s">
        <v>679</v>
      </c>
      <c r="B527" s="1">
        <v>45116</v>
      </c>
      <c r="C527" t="s">
        <v>168</v>
      </c>
      <c r="D527">
        <v>2023</v>
      </c>
      <c r="E527" t="s">
        <v>169</v>
      </c>
      <c r="F527" t="s">
        <v>680</v>
      </c>
      <c r="G527" t="s">
        <v>133</v>
      </c>
      <c r="H527" t="s">
        <v>134</v>
      </c>
      <c r="I527" t="s">
        <v>115</v>
      </c>
      <c r="J527" t="s">
        <v>119</v>
      </c>
      <c r="K527" t="s">
        <v>164</v>
      </c>
      <c r="L527" t="s">
        <v>174</v>
      </c>
      <c r="M527">
        <v>3</v>
      </c>
      <c r="N527">
        <v>78.84</v>
      </c>
      <c r="O527">
        <v>236.52</v>
      </c>
      <c r="P527">
        <v>0</v>
      </c>
      <c r="Q527">
        <v>0</v>
      </c>
      <c r="R527">
        <v>236.52</v>
      </c>
      <c r="S527">
        <v>143.04</v>
      </c>
      <c r="T527">
        <v>93.48</v>
      </c>
      <c r="U527" t="s">
        <v>166</v>
      </c>
      <c r="V527" t="s">
        <v>159</v>
      </c>
      <c r="W527" t="s">
        <v>2097</v>
      </c>
      <c r="X527" t="s">
        <v>2108</v>
      </c>
      <c r="Y527">
        <v>73</v>
      </c>
      <c r="Z527">
        <v>434.17</v>
      </c>
      <c r="AA527">
        <v>54.36</v>
      </c>
      <c r="AB527" t="s">
        <v>115</v>
      </c>
      <c r="AC527" t="s">
        <v>16</v>
      </c>
      <c r="AD527" t="s">
        <v>2087</v>
      </c>
      <c r="AE527" t="s">
        <v>2107</v>
      </c>
    </row>
    <row r="528" spans="1:31">
      <c r="A528" t="s">
        <v>1729</v>
      </c>
      <c r="B528" s="1">
        <v>45116</v>
      </c>
      <c r="C528" t="s">
        <v>168</v>
      </c>
      <c r="D528">
        <v>2023</v>
      </c>
      <c r="E528" t="s">
        <v>169</v>
      </c>
      <c r="F528" t="s">
        <v>1730</v>
      </c>
      <c r="G528" t="s">
        <v>127</v>
      </c>
      <c r="H528" t="s">
        <v>128</v>
      </c>
      <c r="I528" t="s">
        <v>115</v>
      </c>
      <c r="J528" t="s">
        <v>124</v>
      </c>
      <c r="K528" t="s">
        <v>164</v>
      </c>
      <c r="L528" t="s">
        <v>165</v>
      </c>
      <c r="M528">
        <v>4</v>
      </c>
      <c r="N528">
        <v>94.76</v>
      </c>
      <c r="O528">
        <v>379.04</v>
      </c>
      <c r="P528">
        <v>0</v>
      </c>
      <c r="Q528">
        <v>0</v>
      </c>
      <c r="R528">
        <v>379.04</v>
      </c>
      <c r="S528">
        <v>315.27999999999997</v>
      </c>
      <c r="T528">
        <v>63.76</v>
      </c>
      <c r="U528" t="s">
        <v>158</v>
      </c>
      <c r="V528" t="s">
        <v>159</v>
      </c>
      <c r="W528" t="s">
        <v>2090</v>
      </c>
      <c r="X528" t="s">
        <v>2091</v>
      </c>
      <c r="Y528">
        <v>226</v>
      </c>
      <c r="Z528">
        <v>183.84</v>
      </c>
      <c r="AA528">
        <v>71.98</v>
      </c>
      <c r="AB528" t="s">
        <v>115</v>
      </c>
      <c r="AC528" t="s">
        <v>20</v>
      </c>
      <c r="AD528" t="s">
        <v>2087</v>
      </c>
      <c r="AE528" t="s">
        <v>2096</v>
      </c>
    </row>
    <row r="529" spans="1:31">
      <c r="A529" t="s">
        <v>1985</v>
      </c>
      <c r="B529" s="1">
        <v>45115</v>
      </c>
      <c r="C529" t="s">
        <v>168</v>
      </c>
      <c r="D529">
        <v>2023</v>
      </c>
      <c r="E529" t="s">
        <v>169</v>
      </c>
      <c r="F529" t="s">
        <v>1232</v>
      </c>
      <c r="G529" t="s">
        <v>71</v>
      </c>
      <c r="H529" t="s">
        <v>72</v>
      </c>
      <c r="I529" t="s">
        <v>66</v>
      </c>
      <c r="J529" t="s">
        <v>70</v>
      </c>
      <c r="K529" t="s">
        <v>156</v>
      </c>
      <c r="L529" t="s">
        <v>204</v>
      </c>
      <c r="M529">
        <v>1</v>
      </c>
      <c r="N529">
        <v>26.7</v>
      </c>
      <c r="O529">
        <v>26.7</v>
      </c>
      <c r="P529">
        <v>20</v>
      </c>
      <c r="Q529">
        <v>5.34</v>
      </c>
      <c r="R529">
        <v>21.36</v>
      </c>
      <c r="S529">
        <v>12.27</v>
      </c>
      <c r="T529">
        <v>9.09</v>
      </c>
      <c r="U529" t="s">
        <v>180</v>
      </c>
      <c r="V529" t="s">
        <v>186</v>
      </c>
      <c r="W529" t="s">
        <v>2099</v>
      </c>
      <c r="X529" t="s">
        <v>2108</v>
      </c>
      <c r="Y529">
        <v>252</v>
      </c>
      <c r="Z529">
        <v>117.95</v>
      </c>
      <c r="AA529">
        <v>55.56</v>
      </c>
      <c r="AB529" t="s">
        <v>90</v>
      </c>
      <c r="AC529" t="s">
        <v>16</v>
      </c>
      <c r="AD529" t="s">
        <v>2106</v>
      </c>
      <c r="AE529" t="s">
        <v>2107</v>
      </c>
    </row>
    <row r="530" spans="1:31">
      <c r="A530" t="s">
        <v>879</v>
      </c>
      <c r="B530" s="1">
        <v>45115</v>
      </c>
      <c r="C530" t="s">
        <v>168</v>
      </c>
      <c r="D530">
        <v>2023</v>
      </c>
      <c r="E530" t="s">
        <v>169</v>
      </c>
      <c r="F530" t="s">
        <v>880</v>
      </c>
      <c r="G530" t="s">
        <v>28</v>
      </c>
      <c r="H530" t="s">
        <v>29</v>
      </c>
      <c r="I530" t="s">
        <v>14</v>
      </c>
      <c r="J530" t="s">
        <v>19</v>
      </c>
      <c r="K530" t="s">
        <v>178</v>
      </c>
      <c r="L530" t="s">
        <v>232</v>
      </c>
      <c r="M530">
        <v>4</v>
      </c>
      <c r="N530">
        <v>26.46</v>
      </c>
      <c r="O530">
        <v>105.84</v>
      </c>
      <c r="P530">
        <v>0</v>
      </c>
      <c r="Q530">
        <v>0</v>
      </c>
      <c r="R530">
        <v>105.84</v>
      </c>
      <c r="S530">
        <v>77.680000000000007</v>
      </c>
      <c r="T530">
        <v>28.16</v>
      </c>
      <c r="U530" t="s">
        <v>195</v>
      </c>
      <c r="V530" t="s">
        <v>181</v>
      </c>
      <c r="W530" t="s">
        <v>2085</v>
      </c>
      <c r="X530" t="s">
        <v>2091</v>
      </c>
      <c r="Y530">
        <v>344</v>
      </c>
      <c r="Z530">
        <v>1083.33</v>
      </c>
      <c r="AA530">
        <v>256.06</v>
      </c>
      <c r="AB530" t="s">
        <v>14</v>
      </c>
      <c r="AC530" t="s">
        <v>20</v>
      </c>
      <c r="AD530" t="s">
        <v>2095</v>
      </c>
      <c r="AE530" t="s">
        <v>2109</v>
      </c>
    </row>
    <row r="531" spans="1:31">
      <c r="A531" t="s">
        <v>499</v>
      </c>
      <c r="B531" s="1">
        <v>45115</v>
      </c>
      <c r="C531" t="s">
        <v>168</v>
      </c>
      <c r="D531">
        <v>2023</v>
      </c>
      <c r="E531" t="s">
        <v>169</v>
      </c>
      <c r="F531" t="s">
        <v>500</v>
      </c>
      <c r="G531" t="s">
        <v>57</v>
      </c>
      <c r="H531" t="s">
        <v>58</v>
      </c>
      <c r="I531" t="s">
        <v>41</v>
      </c>
      <c r="J531" t="s">
        <v>59</v>
      </c>
      <c r="K531" t="s">
        <v>164</v>
      </c>
      <c r="L531" t="s">
        <v>165</v>
      </c>
      <c r="M531">
        <v>1</v>
      </c>
      <c r="N531">
        <v>56.33</v>
      </c>
      <c r="O531">
        <v>56.33</v>
      </c>
      <c r="P531">
        <v>20</v>
      </c>
      <c r="Q531">
        <v>11.27</v>
      </c>
      <c r="R531">
        <v>45.06</v>
      </c>
      <c r="S531">
        <v>41.45</v>
      </c>
      <c r="T531">
        <v>3.61</v>
      </c>
      <c r="U531" t="s">
        <v>180</v>
      </c>
      <c r="V531" t="s">
        <v>186</v>
      </c>
      <c r="W531" t="s">
        <v>2099</v>
      </c>
      <c r="X531" t="s">
        <v>2111</v>
      </c>
      <c r="Y531">
        <v>307</v>
      </c>
      <c r="Z531">
        <v>108.32</v>
      </c>
      <c r="AA531">
        <v>54.81</v>
      </c>
      <c r="AB531" t="s">
        <v>66</v>
      </c>
      <c r="AC531" t="s">
        <v>16</v>
      </c>
      <c r="AD531" t="s">
        <v>2106</v>
      </c>
      <c r="AE531" t="s">
        <v>2109</v>
      </c>
    </row>
    <row r="532" spans="1:31">
      <c r="A532" t="s">
        <v>813</v>
      </c>
      <c r="B532" s="1">
        <v>45115</v>
      </c>
      <c r="C532" t="s">
        <v>168</v>
      </c>
      <c r="D532">
        <v>2023</v>
      </c>
      <c r="E532" t="s">
        <v>169</v>
      </c>
      <c r="F532" t="s">
        <v>814</v>
      </c>
      <c r="G532" t="s">
        <v>95</v>
      </c>
      <c r="H532" t="s">
        <v>96</v>
      </c>
      <c r="I532" t="s">
        <v>90</v>
      </c>
      <c r="J532" t="s">
        <v>97</v>
      </c>
      <c r="K532" t="s">
        <v>164</v>
      </c>
      <c r="L532" t="s">
        <v>194</v>
      </c>
      <c r="M532">
        <v>3</v>
      </c>
      <c r="N532">
        <v>177.41</v>
      </c>
      <c r="O532">
        <v>532.23</v>
      </c>
      <c r="P532">
        <v>15</v>
      </c>
      <c r="Q532">
        <v>79.83</v>
      </c>
      <c r="R532">
        <v>452.4</v>
      </c>
      <c r="S532">
        <v>224.97</v>
      </c>
      <c r="T532">
        <v>227.43</v>
      </c>
      <c r="U532" t="s">
        <v>166</v>
      </c>
      <c r="V532" t="s">
        <v>159</v>
      </c>
      <c r="W532" t="s">
        <v>2090</v>
      </c>
      <c r="X532" t="s">
        <v>2086</v>
      </c>
      <c r="Y532">
        <v>157</v>
      </c>
      <c r="Z532">
        <v>172.01</v>
      </c>
      <c r="AA532">
        <v>59.56</v>
      </c>
      <c r="AB532" t="s">
        <v>14</v>
      </c>
      <c r="AC532" t="s">
        <v>20</v>
      </c>
      <c r="AD532" t="s">
        <v>2087</v>
      </c>
      <c r="AE532" t="s">
        <v>2088</v>
      </c>
    </row>
    <row r="533" spans="1:31">
      <c r="A533" t="s">
        <v>1913</v>
      </c>
      <c r="B533" s="1">
        <v>45115</v>
      </c>
      <c r="C533" t="s">
        <v>168</v>
      </c>
      <c r="D533">
        <v>2023</v>
      </c>
      <c r="E533" t="s">
        <v>169</v>
      </c>
      <c r="F533" t="s">
        <v>1914</v>
      </c>
      <c r="G533" t="s">
        <v>37</v>
      </c>
      <c r="H533" t="s">
        <v>38</v>
      </c>
      <c r="I533" t="s">
        <v>14</v>
      </c>
      <c r="J533" t="s">
        <v>27</v>
      </c>
      <c r="K533" t="s">
        <v>178</v>
      </c>
      <c r="L533" t="s">
        <v>174</v>
      </c>
      <c r="M533">
        <v>3</v>
      </c>
      <c r="N533">
        <v>133.99</v>
      </c>
      <c r="O533">
        <v>401.97</v>
      </c>
      <c r="P533">
        <v>5</v>
      </c>
      <c r="Q533">
        <v>20.100000000000001</v>
      </c>
      <c r="R533">
        <v>381.87</v>
      </c>
      <c r="S533">
        <v>220.47</v>
      </c>
      <c r="T533">
        <v>161.4</v>
      </c>
      <c r="U533" t="s">
        <v>166</v>
      </c>
      <c r="V533" t="s">
        <v>159</v>
      </c>
      <c r="W533" t="s">
        <v>2090</v>
      </c>
      <c r="X533" t="s">
        <v>2091</v>
      </c>
      <c r="Y533">
        <v>41</v>
      </c>
      <c r="Z533">
        <v>373.74</v>
      </c>
      <c r="AA533">
        <v>76.63</v>
      </c>
      <c r="AB533" t="s">
        <v>90</v>
      </c>
      <c r="AC533" t="s">
        <v>16</v>
      </c>
      <c r="AD533" t="s">
        <v>2095</v>
      </c>
      <c r="AE533" t="s">
        <v>2096</v>
      </c>
    </row>
    <row r="534" spans="1:31">
      <c r="A534" t="s">
        <v>570</v>
      </c>
      <c r="B534" s="1">
        <v>45114</v>
      </c>
      <c r="C534" t="s">
        <v>168</v>
      </c>
      <c r="D534">
        <v>2023</v>
      </c>
      <c r="E534" t="s">
        <v>169</v>
      </c>
      <c r="F534" t="s">
        <v>571</v>
      </c>
      <c r="G534" t="s">
        <v>73</v>
      </c>
      <c r="H534" t="s">
        <v>74</v>
      </c>
      <c r="I534" t="s">
        <v>66</v>
      </c>
      <c r="J534" t="s">
        <v>75</v>
      </c>
      <c r="K534" t="s">
        <v>156</v>
      </c>
      <c r="L534" t="s">
        <v>157</v>
      </c>
      <c r="M534">
        <v>3</v>
      </c>
      <c r="N534">
        <v>53.95</v>
      </c>
      <c r="O534">
        <v>161.85000000000002</v>
      </c>
      <c r="P534">
        <v>10</v>
      </c>
      <c r="Q534">
        <v>16.190000000000001</v>
      </c>
      <c r="R534">
        <v>145.66</v>
      </c>
      <c r="S534">
        <v>105.6</v>
      </c>
      <c r="T534">
        <v>40.06</v>
      </c>
      <c r="U534" t="s">
        <v>166</v>
      </c>
      <c r="V534" t="s">
        <v>181</v>
      </c>
      <c r="W534" t="s">
        <v>2085</v>
      </c>
      <c r="X534" t="s">
        <v>2100</v>
      </c>
      <c r="Y534">
        <v>38</v>
      </c>
      <c r="Z534">
        <v>1280.8699999999999</v>
      </c>
      <c r="AA534">
        <v>158.03</v>
      </c>
      <c r="AB534" t="s">
        <v>41</v>
      </c>
      <c r="AC534" t="s">
        <v>16</v>
      </c>
      <c r="AD534" t="s">
        <v>2087</v>
      </c>
      <c r="AE534" t="s">
        <v>2107</v>
      </c>
    </row>
    <row r="535" spans="1:31">
      <c r="A535" t="s">
        <v>1107</v>
      </c>
      <c r="B535" s="1">
        <v>45113</v>
      </c>
      <c r="C535" t="s">
        <v>168</v>
      </c>
      <c r="D535">
        <v>2023</v>
      </c>
      <c r="E535" t="s">
        <v>169</v>
      </c>
      <c r="F535" t="s">
        <v>1108</v>
      </c>
      <c r="G535" t="s">
        <v>117</v>
      </c>
      <c r="H535" t="s">
        <v>118</v>
      </c>
      <c r="I535" t="s">
        <v>115</v>
      </c>
      <c r="J535" t="s">
        <v>119</v>
      </c>
      <c r="K535" t="s">
        <v>209</v>
      </c>
      <c r="L535" t="s">
        <v>179</v>
      </c>
      <c r="M535">
        <v>4</v>
      </c>
      <c r="N535">
        <v>93.41</v>
      </c>
      <c r="O535">
        <v>373.64</v>
      </c>
      <c r="P535">
        <v>0</v>
      </c>
      <c r="Q535">
        <v>0</v>
      </c>
      <c r="R535">
        <v>373.64</v>
      </c>
      <c r="S535">
        <v>256.2</v>
      </c>
      <c r="T535">
        <v>117.44</v>
      </c>
      <c r="U535" t="s">
        <v>190</v>
      </c>
      <c r="V535" t="s">
        <v>186</v>
      </c>
      <c r="W535" t="s">
        <v>2099</v>
      </c>
      <c r="X535" t="s">
        <v>2100</v>
      </c>
      <c r="Y535">
        <v>66</v>
      </c>
      <c r="Z535">
        <v>131.19999999999999</v>
      </c>
      <c r="AA535">
        <v>70.94</v>
      </c>
      <c r="AB535" t="s">
        <v>14</v>
      </c>
      <c r="AC535" t="s">
        <v>16</v>
      </c>
      <c r="AD535" t="s">
        <v>2106</v>
      </c>
      <c r="AE535" t="s">
        <v>2096</v>
      </c>
    </row>
    <row r="536" spans="1:31">
      <c r="A536" t="s">
        <v>1841</v>
      </c>
      <c r="B536" s="1">
        <v>45113</v>
      </c>
      <c r="C536" t="s">
        <v>168</v>
      </c>
      <c r="D536">
        <v>2023</v>
      </c>
      <c r="E536" t="s">
        <v>169</v>
      </c>
      <c r="F536" t="s">
        <v>1842</v>
      </c>
      <c r="G536" t="s">
        <v>131</v>
      </c>
      <c r="H536" t="s">
        <v>132</v>
      </c>
      <c r="I536" t="s">
        <v>115</v>
      </c>
      <c r="J536" t="s">
        <v>119</v>
      </c>
      <c r="K536" t="s">
        <v>156</v>
      </c>
      <c r="L536" t="s">
        <v>194</v>
      </c>
      <c r="M536">
        <v>2</v>
      </c>
      <c r="N536">
        <v>75.69</v>
      </c>
      <c r="O536">
        <v>151.38</v>
      </c>
      <c r="P536">
        <v>0</v>
      </c>
      <c r="Q536">
        <v>0</v>
      </c>
      <c r="R536">
        <v>151.38</v>
      </c>
      <c r="S536">
        <v>71.260000000000005</v>
      </c>
      <c r="T536">
        <v>80.12</v>
      </c>
      <c r="U536" t="s">
        <v>190</v>
      </c>
      <c r="V536" t="s">
        <v>181</v>
      </c>
      <c r="W536" t="s">
        <v>2099</v>
      </c>
      <c r="X536" t="s">
        <v>2091</v>
      </c>
      <c r="Y536">
        <v>54</v>
      </c>
      <c r="Z536">
        <v>21.86</v>
      </c>
      <c r="AA536">
        <v>82.33</v>
      </c>
      <c r="AB536" t="s">
        <v>66</v>
      </c>
      <c r="AC536" t="s">
        <v>16</v>
      </c>
      <c r="AD536" t="s">
        <v>2095</v>
      </c>
      <c r="AE536" t="s">
        <v>2121</v>
      </c>
    </row>
    <row r="537" spans="1:31">
      <c r="A537" t="s">
        <v>1303</v>
      </c>
      <c r="B537" s="1">
        <v>45112</v>
      </c>
      <c r="C537" t="s">
        <v>168</v>
      </c>
      <c r="D537">
        <v>2023</v>
      </c>
      <c r="E537" t="s">
        <v>169</v>
      </c>
      <c r="F537" t="s">
        <v>1304</v>
      </c>
      <c r="G537" t="s">
        <v>107</v>
      </c>
      <c r="H537" t="s">
        <v>108</v>
      </c>
      <c r="I537" t="s">
        <v>90</v>
      </c>
      <c r="J537" t="s">
        <v>100</v>
      </c>
      <c r="K537" t="s">
        <v>178</v>
      </c>
      <c r="L537" t="s">
        <v>157</v>
      </c>
      <c r="M537">
        <v>1</v>
      </c>
      <c r="N537">
        <v>26.61</v>
      </c>
      <c r="O537">
        <v>26.61</v>
      </c>
      <c r="P537">
        <v>0</v>
      </c>
      <c r="Q537">
        <v>0</v>
      </c>
      <c r="R537">
        <v>26.61</v>
      </c>
      <c r="S537">
        <v>10.64</v>
      </c>
      <c r="T537">
        <v>15.97</v>
      </c>
      <c r="U537" t="s">
        <v>166</v>
      </c>
      <c r="V537" t="s">
        <v>159</v>
      </c>
      <c r="W537" t="s">
        <v>2085</v>
      </c>
      <c r="X537" t="s">
        <v>2100</v>
      </c>
      <c r="Y537">
        <v>154</v>
      </c>
      <c r="Z537">
        <v>2286.08</v>
      </c>
      <c r="AA537">
        <v>112.86</v>
      </c>
      <c r="AB537" t="s">
        <v>66</v>
      </c>
      <c r="AC537" t="s">
        <v>20</v>
      </c>
      <c r="AD537" t="s">
        <v>2106</v>
      </c>
      <c r="AE537" t="s">
        <v>2088</v>
      </c>
    </row>
    <row r="538" spans="1:31">
      <c r="A538" t="s">
        <v>455</v>
      </c>
      <c r="B538" s="1">
        <v>45112</v>
      </c>
      <c r="C538" t="s">
        <v>168</v>
      </c>
      <c r="D538">
        <v>2023</v>
      </c>
      <c r="E538" t="s">
        <v>169</v>
      </c>
      <c r="F538" t="s">
        <v>456</v>
      </c>
      <c r="G538" t="s">
        <v>117</v>
      </c>
      <c r="H538" t="s">
        <v>118</v>
      </c>
      <c r="I538" t="s">
        <v>115</v>
      </c>
      <c r="J538" t="s">
        <v>119</v>
      </c>
      <c r="K538" t="s">
        <v>178</v>
      </c>
      <c r="L538" t="s">
        <v>194</v>
      </c>
      <c r="M538">
        <v>4</v>
      </c>
      <c r="N538">
        <v>93.41</v>
      </c>
      <c r="O538">
        <v>373.64</v>
      </c>
      <c r="P538">
        <v>10</v>
      </c>
      <c r="Q538">
        <v>37.36</v>
      </c>
      <c r="R538">
        <v>336.28</v>
      </c>
      <c r="S538">
        <v>256.2</v>
      </c>
      <c r="T538">
        <v>80.08</v>
      </c>
      <c r="U538" t="s">
        <v>190</v>
      </c>
      <c r="V538" t="s">
        <v>159</v>
      </c>
      <c r="W538" t="s">
        <v>2093</v>
      </c>
      <c r="X538" t="s">
        <v>2091</v>
      </c>
      <c r="Y538">
        <v>343</v>
      </c>
      <c r="Z538">
        <v>148.75</v>
      </c>
      <c r="AA538">
        <v>25.73</v>
      </c>
      <c r="AB538" t="s">
        <v>41</v>
      </c>
      <c r="AC538" t="s">
        <v>16</v>
      </c>
      <c r="AD538" t="s">
        <v>2106</v>
      </c>
      <c r="AE538" t="s">
        <v>2096</v>
      </c>
    </row>
    <row r="539" spans="1:31">
      <c r="A539" t="s">
        <v>1155</v>
      </c>
      <c r="B539" s="1">
        <v>45111</v>
      </c>
      <c r="C539" t="s">
        <v>168</v>
      </c>
      <c r="D539">
        <v>2023</v>
      </c>
      <c r="E539" t="s">
        <v>169</v>
      </c>
      <c r="F539" t="s">
        <v>1156</v>
      </c>
      <c r="G539" t="s">
        <v>48</v>
      </c>
      <c r="H539" t="s">
        <v>49</v>
      </c>
      <c r="I539" t="s">
        <v>41</v>
      </c>
      <c r="J539" t="s">
        <v>42</v>
      </c>
      <c r="K539" t="s">
        <v>156</v>
      </c>
      <c r="L539" t="s">
        <v>179</v>
      </c>
      <c r="M539">
        <v>3</v>
      </c>
      <c r="N539">
        <v>84.95</v>
      </c>
      <c r="O539">
        <v>254.85000000000002</v>
      </c>
      <c r="P539">
        <v>0</v>
      </c>
      <c r="Q539">
        <v>0</v>
      </c>
      <c r="R539">
        <v>254.85</v>
      </c>
      <c r="S539">
        <v>159.21</v>
      </c>
      <c r="T539">
        <v>95.64</v>
      </c>
      <c r="U539" t="s">
        <v>166</v>
      </c>
      <c r="V539" t="s">
        <v>181</v>
      </c>
      <c r="W539" t="s">
        <v>2093</v>
      </c>
      <c r="X539" t="s">
        <v>2086</v>
      </c>
      <c r="Y539">
        <v>89</v>
      </c>
      <c r="Z539">
        <v>86.08</v>
      </c>
      <c r="AA539">
        <v>38.31</v>
      </c>
      <c r="AB539" t="s">
        <v>41</v>
      </c>
      <c r="AC539" t="s">
        <v>20</v>
      </c>
      <c r="AD539" t="s">
        <v>2106</v>
      </c>
      <c r="AE539" t="s">
        <v>2096</v>
      </c>
    </row>
    <row r="540" spans="1:31">
      <c r="A540" t="s">
        <v>1776</v>
      </c>
      <c r="B540" s="1">
        <v>45111</v>
      </c>
      <c r="C540" t="s">
        <v>168</v>
      </c>
      <c r="D540">
        <v>2023</v>
      </c>
      <c r="E540" t="s">
        <v>169</v>
      </c>
      <c r="F540" t="s">
        <v>1777</v>
      </c>
      <c r="G540" t="s">
        <v>95</v>
      </c>
      <c r="H540" t="s">
        <v>96</v>
      </c>
      <c r="I540" t="s">
        <v>90</v>
      </c>
      <c r="J540" t="s">
        <v>97</v>
      </c>
      <c r="K540" t="s">
        <v>156</v>
      </c>
      <c r="L540" t="s">
        <v>165</v>
      </c>
      <c r="M540">
        <v>1</v>
      </c>
      <c r="N540">
        <v>177.41</v>
      </c>
      <c r="O540">
        <v>177.41</v>
      </c>
      <c r="P540">
        <v>15</v>
      </c>
      <c r="Q540">
        <v>26.61</v>
      </c>
      <c r="R540">
        <v>150.80000000000001</v>
      </c>
      <c r="S540">
        <v>74.989999999999995</v>
      </c>
      <c r="T540">
        <v>75.81</v>
      </c>
      <c r="U540" t="s">
        <v>180</v>
      </c>
      <c r="V540" t="s">
        <v>159</v>
      </c>
      <c r="W540" t="s">
        <v>2085</v>
      </c>
      <c r="X540" t="s">
        <v>2091</v>
      </c>
      <c r="Y540">
        <v>306</v>
      </c>
      <c r="Z540">
        <v>2344.16</v>
      </c>
      <c r="AA540">
        <v>117.28</v>
      </c>
      <c r="AB540" t="s">
        <v>41</v>
      </c>
      <c r="AC540" t="s">
        <v>20</v>
      </c>
      <c r="AD540" t="s">
        <v>2095</v>
      </c>
      <c r="AE540" t="s">
        <v>2121</v>
      </c>
    </row>
    <row r="541" spans="1:31">
      <c r="A541" t="s">
        <v>1215</v>
      </c>
      <c r="B541" s="1">
        <v>45111</v>
      </c>
      <c r="C541" t="s">
        <v>168</v>
      </c>
      <c r="D541">
        <v>2023</v>
      </c>
      <c r="E541" t="s">
        <v>169</v>
      </c>
      <c r="F541" t="s">
        <v>1216</v>
      </c>
      <c r="G541" t="s">
        <v>21</v>
      </c>
      <c r="H541" t="s">
        <v>22</v>
      </c>
      <c r="I541" t="s">
        <v>14</v>
      </c>
      <c r="J541" t="s">
        <v>15</v>
      </c>
      <c r="K541" t="s">
        <v>164</v>
      </c>
      <c r="L541" t="s">
        <v>204</v>
      </c>
      <c r="M541">
        <v>2</v>
      </c>
      <c r="N541">
        <v>65.430000000000007</v>
      </c>
      <c r="O541">
        <v>130.86000000000001</v>
      </c>
      <c r="P541">
        <v>10</v>
      </c>
      <c r="Q541">
        <v>13.09</v>
      </c>
      <c r="R541">
        <v>117.77</v>
      </c>
      <c r="S541">
        <v>77.38</v>
      </c>
      <c r="T541">
        <v>40.39</v>
      </c>
      <c r="U541" t="s">
        <v>158</v>
      </c>
      <c r="V541" t="s">
        <v>159</v>
      </c>
      <c r="W541" t="s">
        <v>2085</v>
      </c>
      <c r="X541" t="s">
        <v>2094</v>
      </c>
      <c r="Y541">
        <v>322</v>
      </c>
      <c r="Z541">
        <v>2390.79</v>
      </c>
      <c r="AA541">
        <v>207.18</v>
      </c>
      <c r="AB541" t="s">
        <v>41</v>
      </c>
      <c r="AC541" t="s">
        <v>20</v>
      </c>
      <c r="AD541" t="s">
        <v>2095</v>
      </c>
      <c r="AE541" t="s">
        <v>2096</v>
      </c>
    </row>
    <row r="542" spans="1:31">
      <c r="A542" t="s">
        <v>965</v>
      </c>
      <c r="B542" s="1">
        <v>45111</v>
      </c>
      <c r="C542" t="s">
        <v>168</v>
      </c>
      <c r="D542">
        <v>2023</v>
      </c>
      <c r="E542" t="s">
        <v>169</v>
      </c>
      <c r="F542" t="s">
        <v>966</v>
      </c>
      <c r="G542" t="s">
        <v>92</v>
      </c>
      <c r="H542" t="s">
        <v>93</v>
      </c>
      <c r="I542" t="s">
        <v>90</v>
      </c>
      <c r="J542" t="s">
        <v>94</v>
      </c>
      <c r="K542" t="s">
        <v>164</v>
      </c>
      <c r="L542" t="s">
        <v>174</v>
      </c>
      <c r="M542">
        <v>2</v>
      </c>
      <c r="N542">
        <v>230.34</v>
      </c>
      <c r="O542">
        <v>460.68</v>
      </c>
      <c r="P542">
        <v>0</v>
      </c>
      <c r="Q542">
        <v>0</v>
      </c>
      <c r="R542">
        <v>460.68</v>
      </c>
      <c r="S542">
        <v>149.36000000000001</v>
      </c>
      <c r="T542">
        <v>311.32</v>
      </c>
      <c r="U542" t="s">
        <v>195</v>
      </c>
      <c r="V542" t="s">
        <v>181</v>
      </c>
      <c r="W542" t="s">
        <v>2099</v>
      </c>
      <c r="X542" t="s">
        <v>2111</v>
      </c>
      <c r="Y542">
        <v>319</v>
      </c>
      <c r="Z542">
        <v>131.75</v>
      </c>
      <c r="AA542">
        <v>45.39</v>
      </c>
      <c r="AB542" t="s">
        <v>14</v>
      </c>
      <c r="AC542" t="s">
        <v>20</v>
      </c>
      <c r="AD542" t="s">
        <v>2095</v>
      </c>
      <c r="AE542" t="s">
        <v>2107</v>
      </c>
    </row>
    <row r="543" spans="1:31">
      <c r="A543" t="s">
        <v>622</v>
      </c>
      <c r="B543" s="1">
        <v>45111</v>
      </c>
      <c r="C543" t="s">
        <v>168</v>
      </c>
      <c r="D543">
        <v>2023</v>
      </c>
      <c r="E543" t="s">
        <v>169</v>
      </c>
      <c r="F543" t="s">
        <v>623</v>
      </c>
      <c r="G543" t="s">
        <v>12</v>
      </c>
      <c r="H543" t="s">
        <v>13</v>
      </c>
      <c r="I543" t="s">
        <v>14</v>
      </c>
      <c r="J543" t="s">
        <v>15</v>
      </c>
      <c r="K543" t="s">
        <v>156</v>
      </c>
      <c r="L543" t="s">
        <v>174</v>
      </c>
      <c r="M543">
        <v>3</v>
      </c>
      <c r="N543">
        <v>76.53</v>
      </c>
      <c r="O543">
        <v>229.59</v>
      </c>
      <c r="P543">
        <v>15</v>
      </c>
      <c r="Q543">
        <v>34.44</v>
      </c>
      <c r="R543">
        <v>195.15</v>
      </c>
      <c r="S543">
        <v>158.88</v>
      </c>
      <c r="T543">
        <v>36.270000000000003</v>
      </c>
      <c r="U543" t="s">
        <v>158</v>
      </c>
      <c r="V543" t="s">
        <v>186</v>
      </c>
      <c r="W543" t="s">
        <v>2093</v>
      </c>
      <c r="X543" t="s">
        <v>2100</v>
      </c>
      <c r="Y543">
        <v>285</v>
      </c>
      <c r="Z543">
        <v>166.92</v>
      </c>
      <c r="AA543">
        <v>66.37</v>
      </c>
      <c r="AB543" t="s">
        <v>115</v>
      </c>
      <c r="AC543" t="s">
        <v>20</v>
      </c>
      <c r="AD543" t="s">
        <v>2095</v>
      </c>
      <c r="AE543" t="s">
        <v>2088</v>
      </c>
    </row>
    <row r="544" spans="1:31">
      <c r="A544" t="s">
        <v>334</v>
      </c>
      <c r="B544" s="1">
        <v>45110</v>
      </c>
      <c r="C544" t="s">
        <v>168</v>
      </c>
      <c r="D544">
        <v>2023</v>
      </c>
      <c r="E544" t="s">
        <v>169</v>
      </c>
      <c r="F544" t="s">
        <v>335</v>
      </c>
      <c r="G544" t="s">
        <v>53</v>
      </c>
      <c r="H544" t="s">
        <v>54</v>
      </c>
      <c r="I544" t="s">
        <v>41</v>
      </c>
      <c r="J544" t="s">
        <v>45</v>
      </c>
      <c r="K544" t="s">
        <v>178</v>
      </c>
      <c r="L544" t="s">
        <v>165</v>
      </c>
      <c r="M544">
        <v>4</v>
      </c>
      <c r="N544">
        <v>51.98</v>
      </c>
      <c r="O544">
        <v>207.92</v>
      </c>
      <c r="P544">
        <v>10</v>
      </c>
      <c r="Q544">
        <v>20.79</v>
      </c>
      <c r="R544">
        <v>187.13</v>
      </c>
      <c r="S544">
        <v>132.16</v>
      </c>
      <c r="T544">
        <v>54.97</v>
      </c>
      <c r="U544" t="s">
        <v>195</v>
      </c>
      <c r="V544" t="s">
        <v>159</v>
      </c>
      <c r="W544" t="s">
        <v>2113</v>
      </c>
      <c r="X544" t="s">
        <v>2086</v>
      </c>
      <c r="Y544">
        <v>336</v>
      </c>
      <c r="Z544">
        <v>145.68</v>
      </c>
      <c r="AA544">
        <v>79.59</v>
      </c>
      <c r="AB544" t="s">
        <v>14</v>
      </c>
      <c r="AC544" t="s">
        <v>20</v>
      </c>
      <c r="AD544" t="s">
        <v>2095</v>
      </c>
      <c r="AE544" t="s">
        <v>2109</v>
      </c>
    </row>
    <row r="545" spans="1:31">
      <c r="A545" t="s">
        <v>1375</v>
      </c>
      <c r="B545" s="1">
        <v>45109</v>
      </c>
      <c r="C545" t="s">
        <v>168</v>
      </c>
      <c r="D545">
        <v>2023</v>
      </c>
      <c r="E545" t="s">
        <v>169</v>
      </c>
      <c r="F545" t="s">
        <v>1376</v>
      </c>
      <c r="G545" t="s">
        <v>68</v>
      </c>
      <c r="H545" t="s">
        <v>69</v>
      </c>
      <c r="I545" t="s">
        <v>66</v>
      </c>
      <c r="J545" t="s">
        <v>70</v>
      </c>
      <c r="K545" t="s">
        <v>156</v>
      </c>
      <c r="L545" t="s">
        <v>165</v>
      </c>
      <c r="M545">
        <v>1</v>
      </c>
      <c r="N545">
        <v>98.51</v>
      </c>
      <c r="O545">
        <v>98.51</v>
      </c>
      <c r="P545">
        <v>0</v>
      </c>
      <c r="Q545">
        <v>0</v>
      </c>
      <c r="R545">
        <v>98.51</v>
      </c>
      <c r="S545">
        <v>55.17</v>
      </c>
      <c r="T545">
        <v>43.34</v>
      </c>
      <c r="U545" t="s">
        <v>166</v>
      </c>
      <c r="V545" t="s">
        <v>159</v>
      </c>
      <c r="W545" t="s">
        <v>2085</v>
      </c>
      <c r="X545" t="s">
        <v>2091</v>
      </c>
      <c r="Y545">
        <v>240</v>
      </c>
      <c r="Z545">
        <v>1925.65</v>
      </c>
      <c r="AA545">
        <v>253.56</v>
      </c>
      <c r="AB545" t="s">
        <v>41</v>
      </c>
      <c r="AC545" t="s">
        <v>16</v>
      </c>
      <c r="AD545" t="s">
        <v>2087</v>
      </c>
      <c r="AE545" t="s">
        <v>2109</v>
      </c>
    </row>
    <row r="546" spans="1:31">
      <c r="A546" t="s">
        <v>1572</v>
      </c>
      <c r="B546" s="1">
        <v>45109</v>
      </c>
      <c r="C546" t="s">
        <v>168</v>
      </c>
      <c r="D546">
        <v>2023</v>
      </c>
      <c r="E546" t="s">
        <v>169</v>
      </c>
      <c r="F546" t="s">
        <v>1573</v>
      </c>
      <c r="G546" t="s">
        <v>127</v>
      </c>
      <c r="H546" t="s">
        <v>128</v>
      </c>
      <c r="I546" t="s">
        <v>115</v>
      </c>
      <c r="J546" t="s">
        <v>124</v>
      </c>
      <c r="K546" t="s">
        <v>178</v>
      </c>
      <c r="L546" t="s">
        <v>179</v>
      </c>
      <c r="M546">
        <v>4</v>
      </c>
      <c r="N546">
        <v>94.76</v>
      </c>
      <c r="O546">
        <v>379.04</v>
      </c>
      <c r="P546">
        <v>10</v>
      </c>
      <c r="Q546">
        <v>37.9</v>
      </c>
      <c r="R546">
        <v>341.14</v>
      </c>
      <c r="S546">
        <v>315.27999999999997</v>
      </c>
      <c r="T546">
        <v>25.86</v>
      </c>
      <c r="U546" t="s">
        <v>190</v>
      </c>
      <c r="V546" t="s">
        <v>181</v>
      </c>
      <c r="W546" t="s">
        <v>2097</v>
      </c>
      <c r="X546" t="s">
        <v>2086</v>
      </c>
      <c r="Y546">
        <v>109</v>
      </c>
      <c r="Z546">
        <v>396.59</v>
      </c>
      <c r="AA546">
        <v>55.88</v>
      </c>
      <c r="AB546" t="s">
        <v>66</v>
      </c>
      <c r="AC546" t="s">
        <v>16</v>
      </c>
      <c r="AD546" t="s">
        <v>2087</v>
      </c>
      <c r="AE546" t="s">
        <v>2088</v>
      </c>
    </row>
    <row r="547" spans="1:31">
      <c r="A547" t="s">
        <v>914</v>
      </c>
      <c r="B547" s="1">
        <v>45108</v>
      </c>
      <c r="C547" t="s">
        <v>168</v>
      </c>
      <c r="D547">
        <v>2023</v>
      </c>
      <c r="E547" t="s">
        <v>169</v>
      </c>
      <c r="F547" t="s">
        <v>915</v>
      </c>
      <c r="G547" t="s">
        <v>122</v>
      </c>
      <c r="H547" t="s">
        <v>123</v>
      </c>
      <c r="I547" t="s">
        <v>115</v>
      </c>
      <c r="J547" t="s">
        <v>124</v>
      </c>
      <c r="K547" t="s">
        <v>156</v>
      </c>
      <c r="L547" t="s">
        <v>194</v>
      </c>
      <c r="M547">
        <v>4</v>
      </c>
      <c r="N547">
        <v>93.88</v>
      </c>
      <c r="O547">
        <v>375.52</v>
      </c>
      <c r="P547">
        <v>0</v>
      </c>
      <c r="Q547">
        <v>0</v>
      </c>
      <c r="R547">
        <v>375.52</v>
      </c>
      <c r="S547">
        <v>212.44</v>
      </c>
      <c r="T547">
        <v>163.08000000000001</v>
      </c>
      <c r="U547" t="s">
        <v>195</v>
      </c>
      <c r="V547" t="s">
        <v>186</v>
      </c>
      <c r="W547" t="s">
        <v>2099</v>
      </c>
      <c r="X547" t="s">
        <v>2111</v>
      </c>
      <c r="Y547">
        <v>203</v>
      </c>
      <c r="Z547">
        <v>50.96</v>
      </c>
      <c r="AA547">
        <v>54.1</v>
      </c>
      <c r="AB547" t="s">
        <v>14</v>
      </c>
      <c r="AC547" t="s">
        <v>20</v>
      </c>
      <c r="AD547" t="s">
        <v>2087</v>
      </c>
      <c r="AE547" t="s">
        <v>2096</v>
      </c>
    </row>
    <row r="548" spans="1:31">
      <c r="A548" t="s">
        <v>1828</v>
      </c>
      <c r="B548" s="1">
        <v>45108</v>
      </c>
      <c r="C548" t="s">
        <v>168</v>
      </c>
      <c r="D548">
        <v>2023</v>
      </c>
      <c r="E548" t="s">
        <v>169</v>
      </c>
      <c r="F548" t="s">
        <v>1829</v>
      </c>
      <c r="G548" t="s">
        <v>84</v>
      </c>
      <c r="H548" t="s">
        <v>85</v>
      </c>
      <c r="I548" t="s">
        <v>66</v>
      </c>
      <c r="J548" t="s">
        <v>67</v>
      </c>
      <c r="K548" t="s">
        <v>164</v>
      </c>
      <c r="L548" t="s">
        <v>157</v>
      </c>
      <c r="M548">
        <v>1</v>
      </c>
      <c r="N548">
        <v>174.23</v>
      </c>
      <c r="O548">
        <v>174.23</v>
      </c>
      <c r="P548">
        <v>0</v>
      </c>
      <c r="Q548">
        <v>0</v>
      </c>
      <c r="R548">
        <v>174.23</v>
      </c>
      <c r="S548">
        <v>73.95</v>
      </c>
      <c r="T548">
        <v>100.28</v>
      </c>
      <c r="U548" t="s">
        <v>166</v>
      </c>
      <c r="V548" t="s">
        <v>159</v>
      </c>
      <c r="W548" t="s">
        <v>2085</v>
      </c>
      <c r="X548" t="s">
        <v>2108</v>
      </c>
      <c r="Y548">
        <v>167</v>
      </c>
      <c r="Z548">
        <v>2620.54</v>
      </c>
      <c r="AA548">
        <v>101.41</v>
      </c>
      <c r="AB548" t="s">
        <v>115</v>
      </c>
      <c r="AC548" t="s">
        <v>16</v>
      </c>
      <c r="AD548" t="s">
        <v>2095</v>
      </c>
      <c r="AE548" t="s">
        <v>2088</v>
      </c>
    </row>
    <row r="549" spans="1:31">
      <c r="A549" t="s">
        <v>1740</v>
      </c>
      <c r="B549" s="1">
        <v>45107</v>
      </c>
      <c r="C549" t="s">
        <v>153</v>
      </c>
      <c r="D549">
        <v>2023</v>
      </c>
      <c r="E549" t="s">
        <v>154</v>
      </c>
      <c r="F549" t="s">
        <v>1741</v>
      </c>
      <c r="G549" t="s">
        <v>133</v>
      </c>
      <c r="H549" t="s">
        <v>134</v>
      </c>
      <c r="I549" t="s">
        <v>115</v>
      </c>
      <c r="J549" t="s">
        <v>119</v>
      </c>
      <c r="K549" t="s">
        <v>178</v>
      </c>
      <c r="L549" t="s">
        <v>232</v>
      </c>
      <c r="M549">
        <v>2</v>
      </c>
      <c r="N549">
        <v>78.84</v>
      </c>
      <c r="O549">
        <v>157.68</v>
      </c>
      <c r="P549">
        <v>0</v>
      </c>
      <c r="Q549">
        <v>0</v>
      </c>
      <c r="R549">
        <v>157.68</v>
      </c>
      <c r="S549">
        <v>95.36</v>
      </c>
      <c r="T549">
        <v>62.32</v>
      </c>
      <c r="U549" t="s">
        <v>180</v>
      </c>
      <c r="V549" t="s">
        <v>159</v>
      </c>
      <c r="W549" t="s">
        <v>2113</v>
      </c>
      <c r="X549" t="s">
        <v>2108</v>
      </c>
      <c r="Y549">
        <v>81</v>
      </c>
      <c r="Z549">
        <v>402.51</v>
      </c>
      <c r="AA549">
        <v>68.19</v>
      </c>
      <c r="AB549" t="s">
        <v>66</v>
      </c>
      <c r="AC549" t="s">
        <v>16</v>
      </c>
      <c r="AD549" t="s">
        <v>2095</v>
      </c>
      <c r="AE549" t="s">
        <v>2109</v>
      </c>
    </row>
    <row r="550" spans="1:31">
      <c r="A550" t="s">
        <v>338</v>
      </c>
      <c r="B550" s="1">
        <v>45107</v>
      </c>
      <c r="C550" t="s">
        <v>153</v>
      </c>
      <c r="D550">
        <v>2023</v>
      </c>
      <c r="E550" t="s">
        <v>154</v>
      </c>
      <c r="F550" t="s">
        <v>339</v>
      </c>
      <c r="G550" t="s">
        <v>135</v>
      </c>
      <c r="H550" t="s">
        <v>136</v>
      </c>
      <c r="I550" t="s">
        <v>115</v>
      </c>
      <c r="J550" t="s">
        <v>119</v>
      </c>
      <c r="K550" t="s">
        <v>156</v>
      </c>
      <c r="L550" t="s">
        <v>232</v>
      </c>
      <c r="M550">
        <v>2</v>
      </c>
      <c r="N550">
        <v>89.62</v>
      </c>
      <c r="O550">
        <v>179.24</v>
      </c>
      <c r="P550">
        <v>10</v>
      </c>
      <c r="Q550">
        <v>17.920000000000002</v>
      </c>
      <c r="R550">
        <v>161.32</v>
      </c>
      <c r="S550">
        <v>76.260000000000005</v>
      </c>
      <c r="T550">
        <v>85.06</v>
      </c>
      <c r="U550" t="s">
        <v>195</v>
      </c>
      <c r="V550" t="s">
        <v>159</v>
      </c>
      <c r="W550" t="s">
        <v>2097</v>
      </c>
      <c r="X550" t="s">
        <v>2086</v>
      </c>
      <c r="Y550">
        <v>30</v>
      </c>
      <c r="Z550">
        <v>661.69</v>
      </c>
      <c r="AA550">
        <v>122.83</v>
      </c>
      <c r="AB550" t="s">
        <v>41</v>
      </c>
      <c r="AC550" t="s">
        <v>16</v>
      </c>
      <c r="AD550" t="s">
        <v>2087</v>
      </c>
      <c r="AE550" t="s">
        <v>2107</v>
      </c>
    </row>
    <row r="551" spans="1:31">
      <c r="A551" t="s">
        <v>1019</v>
      </c>
      <c r="B551" s="1">
        <v>45105</v>
      </c>
      <c r="C551" t="s">
        <v>153</v>
      </c>
      <c r="D551">
        <v>2023</v>
      </c>
      <c r="E551" t="s">
        <v>154</v>
      </c>
      <c r="F551" t="s">
        <v>1020</v>
      </c>
      <c r="G551" t="s">
        <v>82</v>
      </c>
      <c r="H551" t="s">
        <v>83</v>
      </c>
      <c r="I551" t="s">
        <v>66</v>
      </c>
      <c r="J551" t="s">
        <v>67</v>
      </c>
      <c r="K551" t="s">
        <v>178</v>
      </c>
      <c r="L551" t="s">
        <v>157</v>
      </c>
      <c r="M551">
        <v>4</v>
      </c>
      <c r="N551">
        <v>34.479999999999997</v>
      </c>
      <c r="O551">
        <v>137.91999999999999</v>
      </c>
      <c r="P551">
        <v>20</v>
      </c>
      <c r="Q551">
        <v>27.58</v>
      </c>
      <c r="R551">
        <v>110.34</v>
      </c>
      <c r="S551">
        <v>76.959999999999994</v>
      </c>
      <c r="T551">
        <v>33.380000000000003</v>
      </c>
      <c r="U551" t="s">
        <v>180</v>
      </c>
      <c r="V551" t="s">
        <v>159</v>
      </c>
      <c r="W551" t="s">
        <v>2099</v>
      </c>
      <c r="X551" t="s">
        <v>2100</v>
      </c>
      <c r="Y551">
        <v>34</v>
      </c>
      <c r="Z551">
        <v>75.260000000000005</v>
      </c>
      <c r="AA551">
        <v>27.44</v>
      </c>
      <c r="AB551" t="s">
        <v>115</v>
      </c>
      <c r="AC551" t="s">
        <v>16</v>
      </c>
      <c r="AD551" t="s">
        <v>2106</v>
      </c>
      <c r="AE551" t="s">
        <v>2109</v>
      </c>
    </row>
    <row r="552" spans="1:31">
      <c r="A552" t="s">
        <v>1969</v>
      </c>
      <c r="B552" s="1">
        <v>45105</v>
      </c>
      <c r="C552" t="s">
        <v>153</v>
      </c>
      <c r="D552">
        <v>2023</v>
      </c>
      <c r="E552" t="s">
        <v>154</v>
      </c>
      <c r="F552" t="s">
        <v>1970</v>
      </c>
      <c r="G552" t="s">
        <v>129</v>
      </c>
      <c r="H552" t="s">
        <v>130</v>
      </c>
      <c r="I552" t="s">
        <v>115</v>
      </c>
      <c r="J552" t="s">
        <v>124</v>
      </c>
      <c r="K552" t="s">
        <v>156</v>
      </c>
      <c r="L552" t="s">
        <v>179</v>
      </c>
      <c r="M552">
        <v>2</v>
      </c>
      <c r="N552">
        <v>99.34</v>
      </c>
      <c r="O552">
        <v>198.68</v>
      </c>
      <c r="P552">
        <v>0</v>
      </c>
      <c r="Q552">
        <v>0</v>
      </c>
      <c r="R552">
        <v>198.68</v>
      </c>
      <c r="S552">
        <v>74.7</v>
      </c>
      <c r="T552">
        <v>123.98</v>
      </c>
      <c r="U552" t="s">
        <v>195</v>
      </c>
      <c r="V552" t="s">
        <v>159</v>
      </c>
      <c r="W552" t="s">
        <v>2113</v>
      </c>
      <c r="X552" t="s">
        <v>2108</v>
      </c>
      <c r="Y552">
        <v>98</v>
      </c>
      <c r="Z552">
        <v>381.91</v>
      </c>
      <c r="AA552">
        <v>38.299999999999997</v>
      </c>
      <c r="AB552" t="s">
        <v>41</v>
      </c>
      <c r="AC552" t="s">
        <v>20</v>
      </c>
      <c r="AD552" t="s">
        <v>2106</v>
      </c>
      <c r="AE552" t="s">
        <v>2088</v>
      </c>
    </row>
    <row r="553" spans="1:31">
      <c r="A553" t="s">
        <v>523</v>
      </c>
      <c r="B553" s="1">
        <v>45104</v>
      </c>
      <c r="C553" t="s">
        <v>153</v>
      </c>
      <c r="D553">
        <v>2023</v>
      </c>
      <c r="E553" t="s">
        <v>154</v>
      </c>
      <c r="F553" t="s">
        <v>524</v>
      </c>
      <c r="G553" t="s">
        <v>28</v>
      </c>
      <c r="H553" t="s">
        <v>29</v>
      </c>
      <c r="I553" t="s">
        <v>14</v>
      </c>
      <c r="J553" t="s">
        <v>19</v>
      </c>
      <c r="K553" t="s">
        <v>209</v>
      </c>
      <c r="L553" t="s">
        <v>232</v>
      </c>
      <c r="M553">
        <v>3</v>
      </c>
      <c r="N553">
        <v>26.46</v>
      </c>
      <c r="O553">
        <v>79.38</v>
      </c>
      <c r="P553">
        <v>15</v>
      </c>
      <c r="Q553">
        <v>11.91</v>
      </c>
      <c r="R553">
        <v>67.47</v>
      </c>
      <c r="S553">
        <v>58.26</v>
      </c>
      <c r="T553">
        <v>9.2100000000000009</v>
      </c>
      <c r="U553" t="s">
        <v>166</v>
      </c>
      <c r="V553" t="s">
        <v>159</v>
      </c>
      <c r="W553" t="s">
        <v>2099</v>
      </c>
      <c r="X553" t="s">
        <v>2111</v>
      </c>
      <c r="Y553">
        <v>105</v>
      </c>
      <c r="Z553">
        <v>36.61</v>
      </c>
      <c r="AA553">
        <v>41.77</v>
      </c>
      <c r="AB553" t="s">
        <v>14</v>
      </c>
      <c r="AC553" t="s">
        <v>20</v>
      </c>
      <c r="AD553" t="s">
        <v>2087</v>
      </c>
      <c r="AE553" t="s">
        <v>2121</v>
      </c>
    </row>
    <row r="554" spans="1:31">
      <c r="A554" t="s">
        <v>949</v>
      </c>
      <c r="B554" s="1">
        <v>45104</v>
      </c>
      <c r="C554" t="s">
        <v>153</v>
      </c>
      <c r="D554">
        <v>2023</v>
      </c>
      <c r="E554" t="s">
        <v>154</v>
      </c>
      <c r="F554" t="s">
        <v>950</v>
      </c>
      <c r="G554" t="s">
        <v>131</v>
      </c>
      <c r="H554" t="s">
        <v>132</v>
      </c>
      <c r="I554" t="s">
        <v>115</v>
      </c>
      <c r="J554" t="s">
        <v>119</v>
      </c>
      <c r="K554" t="s">
        <v>156</v>
      </c>
      <c r="L554" t="s">
        <v>165</v>
      </c>
      <c r="M554">
        <v>1</v>
      </c>
      <c r="N554">
        <v>75.69</v>
      </c>
      <c r="O554">
        <v>75.69</v>
      </c>
      <c r="P554">
        <v>0</v>
      </c>
      <c r="Q554">
        <v>0</v>
      </c>
      <c r="R554">
        <v>75.69</v>
      </c>
      <c r="S554">
        <v>35.630000000000003</v>
      </c>
      <c r="T554">
        <v>40.06</v>
      </c>
      <c r="U554" t="s">
        <v>158</v>
      </c>
      <c r="V554" t="s">
        <v>159</v>
      </c>
      <c r="W554" t="s">
        <v>2099</v>
      </c>
      <c r="X554" t="s">
        <v>2094</v>
      </c>
      <c r="Y554">
        <v>118</v>
      </c>
      <c r="Z554">
        <v>124.82</v>
      </c>
      <c r="AA554">
        <v>44.26</v>
      </c>
      <c r="AB554" t="s">
        <v>41</v>
      </c>
      <c r="AC554" t="s">
        <v>16</v>
      </c>
      <c r="AD554" t="s">
        <v>2095</v>
      </c>
      <c r="AE554" t="s">
        <v>2121</v>
      </c>
    </row>
    <row r="555" spans="1:31">
      <c r="A555" t="s">
        <v>1749</v>
      </c>
      <c r="B555" s="1">
        <v>45104</v>
      </c>
      <c r="C555" t="s">
        <v>153</v>
      </c>
      <c r="D555">
        <v>2023</v>
      </c>
      <c r="E555" t="s">
        <v>154</v>
      </c>
      <c r="F555" t="s">
        <v>1750</v>
      </c>
      <c r="G555" t="s">
        <v>80</v>
      </c>
      <c r="H555" t="s">
        <v>81</v>
      </c>
      <c r="I555" t="s">
        <v>66</v>
      </c>
      <c r="J555" t="s">
        <v>70</v>
      </c>
      <c r="K555" t="s">
        <v>164</v>
      </c>
      <c r="L555" t="s">
        <v>165</v>
      </c>
      <c r="M555">
        <v>2</v>
      </c>
      <c r="N555">
        <v>106.06</v>
      </c>
      <c r="O555">
        <v>212.12</v>
      </c>
      <c r="P555">
        <v>5</v>
      </c>
      <c r="Q555">
        <v>10.61</v>
      </c>
      <c r="R555">
        <v>201.51</v>
      </c>
      <c r="S555">
        <v>66.84</v>
      </c>
      <c r="T555">
        <v>134.66999999999999</v>
      </c>
      <c r="U555" t="s">
        <v>158</v>
      </c>
      <c r="V555" t="s">
        <v>159</v>
      </c>
      <c r="W555" t="s">
        <v>2085</v>
      </c>
      <c r="X555" t="s">
        <v>2100</v>
      </c>
      <c r="Y555">
        <v>161</v>
      </c>
      <c r="Z555">
        <v>1602.48</v>
      </c>
      <c r="AA555">
        <v>221.98</v>
      </c>
      <c r="AB555" t="s">
        <v>90</v>
      </c>
      <c r="AC555" t="s">
        <v>16</v>
      </c>
      <c r="AD555" t="s">
        <v>2087</v>
      </c>
      <c r="AE555" t="s">
        <v>2088</v>
      </c>
    </row>
    <row r="556" spans="1:31">
      <c r="A556" t="s">
        <v>1462</v>
      </c>
      <c r="B556" s="1">
        <v>45104</v>
      </c>
      <c r="C556" t="s">
        <v>153</v>
      </c>
      <c r="D556">
        <v>2023</v>
      </c>
      <c r="E556" t="s">
        <v>154</v>
      </c>
      <c r="F556" t="s">
        <v>1210</v>
      </c>
      <c r="G556" t="s">
        <v>131</v>
      </c>
      <c r="H556" t="s">
        <v>132</v>
      </c>
      <c r="I556" t="s">
        <v>115</v>
      </c>
      <c r="J556" t="s">
        <v>119</v>
      </c>
      <c r="K556" t="s">
        <v>178</v>
      </c>
      <c r="L556" t="s">
        <v>194</v>
      </c>
      <c r="M556">
        <v>2</v>
      </c>
      <c r="N556">
        <v>75.69</v>
      </c>
      <c r="O556">
        <v>151.38</v>
      </c>
      <c r="P556">
        <v>0</v>
      </c>
      <c r="Q556">
        <v>0</v>
      </c>
      <c r="R556">
        <v>151.38</v>
      </c>
      <c r="S556">
        <v>71.260000000000005</v>
      </c>
      <c r="T556">
        <v>80.12</v>
      </c>
      <c r="U556" t="s">
        <v>195</v>
      </c>
      <c r="V556" t="s">
        <v>159</v>
      </c>
      <c r="W556" t="s">
        <v>2093</v>
      </c>
      <c r="X556" t="s">
        <v>2100</v>
      </c>
      <c r="Y556">
        <v>208</v>
      </c>
      <c r="Z556">
        <v>63.23</v>
      </c>
      <c r="AA556">
        <v>56.39</v>
      </c>
      <c r="AB556" t="s">
        <v>66</v>
      </c>
      <c r="AC556" t="s">
        <v>20</v>
      </c>
      <c r="AD556" t="s">
        <v>2087</v>
      </c>
      <c r="AE556" t="s">
        <v>2109</v>
      </c>
    </row>
    <row r="557" spans="1:31">
      <c r="A557" t="s">
        <v>639</v>
      </c>
      <c r="B557" s="1">
        <v>45103</v>
      </c>
      <c r="C557" t="s">
        <v>153</v>
      </c>
      <c r="D557">
        <v>2023</v>
      </c>
      <c r="E557" t="s">
        <v>154</v>
      </c>
      <c r="F557" t="s">
        <v>640</v>
      </c>
      <c r="G557" t="s">
        <v>25</v>
      </c>
      <c r="H557" t="s">
        <v>26</v>
      </c>
      <c r="I557" t="s">
        <v>14</v>
      </c>
      <c r="J557" t="s">
        <v>27</v>
      </c>
      <c r="K557" t="s">
        <v>209</v>
      </c>
      <c r="L557" t="s">
        <v>232</v>
      </c>
      <c r="M557">
        <v>1</v>
      </c>
      <c r="N557">
        <v>18.39</v>
      </c>
      <c r="O557">
        <v>18.39</v>
      </c>
      <c r="P557">
        <v>5</v>
      </c>
      <c r="Q557">
        <v>0.92</v>
      </c>
      <c r="R557">
        <v>17.47</v>
      </c>
      <c r="S557">
        <v>8.26</v>
      </c>
      <c r="T557">
        <v>9.2100000000000009</v>
      </c>
      <c r="U557" t="s">
        <v>158</v>
      </c>
      <c r="V557" t="s">
        <v>159</v>
      </c>
      <c r="W557" t="s">
        <v>2085</v>
      </c>
      <c r="X557" t="s">
        <v>2111</v>
      </c>
      <c r="Y557">
        <v>152</v>
      </c>
      <c r="Z557">
        <v>1515.22</v>
      </c>
      <c r="AA557">
        <v>267.17</v>
      </c>
      <c r="AB557" t="s">
        <v>90</v>
      </c>
      <c r="AC557" t="s">
        <v>16</v>
      </c>
      <c r="AD557" t="s">
        <v>2106</v>
      </c>
      <c r="AE557" t="s">
        <v>2096</v>
      </c>
    </row>
    <row r="558" spans="1:31">
      <c r="A558" t="s">
        <v>1595</v>
      </c>
      <c r="B558" s="1">
        <v>45103</v>
      </c>
      <c r="C558" t="s">
        <v>153</v>
      </c>
      <c r="D558">
        <v>2023</v>
      </c>
      <c r="E558" t="s">
        <v>154</v>
      </c>
      <c r="F558" t="s">
        <v>1596</v>
      </c>
      <c r="G558" t="s">
        <v>62</v>
      </c>
      <c r="H558" t="s">
        <v>63</v>
      </c>
      <c r="I558" t="s">
        <v>41</v>
      </c>
      <c r="J558" t="s">
        <v>45</v>
      </c>
      <c r="K558" t="s">
        <v>209</v>
      </c>
      <c r="L558" t="s">
        <v>232</v>
      </c>
      <c r="M558">
        <v>3</v>
      </c>
      <c r="N558">
        <v>160.35</v>
      </c>
      <c r="O558">
        <v>481.04999999999995</v>
      </c>
      <c r="P558">
        <v>5</v>
      </c>
      <c r="Q558">
        <v>24.05</v>
      </c>
      <c r="R558">
        <v>457</v>
      </c>
      <c r="S558">
        <v>217.41</v>
      </c>
      <c r="T558">
        <v>239.59</v>
      </c>
      <c r="U558" t="s">
        <v>166</v>
      </c>
      <c r="V558" t="s">
        <v>186</v>
      </c>
      <c r="W558" t="s">
        <v>2085</v>
      </c>
      <c r="X558" t="s">
        <v>2111</v>
      </c>
      <c r="Y558">
        <v>156</v>
      </c>
      <c r="Z558">
        <v>1389.43</v>
      </c>
      <c r="AA558">
        <v>143.02000000000001</v>
      </c>
      <c r="AB558" t="s">
        <v>115</v>
      </c>
      <c r="AC558" t="s">
        <v>16</v>
      </c>
      <c r="AD558" t="s">
        <v>2087</v>
      </c>
      <c r="AE558" t="s">
        <v>2109</v>
      </c>
    </row>
    <row r="559" spans="1:31">
      <c r="A559" t="s">
        <v>1742</v>
      </c>
      <c r="B559" s="1">
        <v>45103</v>
      </c>
      <c r="C559" t="s">
        <v>153</v>
      </c>
      <c r="D559">
        <v>2023</v>
      </c>
      <c r="E559" t="s">
        <v>154</v>
      </c>
      <c r="F559" t="s">
        <v>1743</v>
      </c>
      <c r="G559" t="s">
        <v>23</v>
      </c>
      <c r="H559" t="s">
        <v>24</v>
      </c>
      <c r="I559" t="s">
        <v>14</v>
      </c>
      <c r="J559" t="s">
        <v>19</v>
      </c>
      <c r="K559" t="s">
        <v>164</v>
      </c>
      <c r="L559" t="s">
        <v>232</v>
      </c>
      <c r="M559">
        <v>1</v>
      </c>
      <c r="N559">
        <v>154.03</v>
      </c>
      <c r="O559">
        <v>154.03</v>
      </c>
      <c r="P559">
        <v>0</v>
      </c>
      <c r="Q559">
        <v>0</v>
      </c>
      <c r="R559">
        <v>154.03</v>
      </c>
      <c r="S559">
        <v>76.790000000000006</v>
      </c>
      <c r="T559">
        <v>77.239999999999995</v>
      </c>
      <c r="U559" t="s">
        <v>166</v>
      </c>
      <c r="V559" t="s">
        <v>159</v>
      </c>
      <c r="W559" t="s">
        <v>2113</v>
      </c>
      <c r="X559" t="s">
        <v>2100</v>
      </c>
      <c r="Y559">
        <v>24</v>
      </c>
      <c r="Z559">
        <v>469.79</v>
      </c>
      <c r="AA559">
        <v>60.53</v>
      </c>
      <c r="AB559" t="s">
        <v>115</v>
      </c>
      <c r="AC559" t="s">
        <v>16</v>
      </c>
      <c r="AD559" t="s">
        <v>2087</v>
      </c>
      <c r="AE559" t="s">
        <v>2088</v>
      </c>
    </row>
    <row r="560" spans="1:31">
      <c r="A560" t="s">
        <v>1129</v>
      </c>
      <c r="B560" s="1">
        <v>45103</v>
      </c>
      <c r="C560" t="s">
        <v>153</v>
      </c>
      <c r="D560">
        <v>2023</v>
      </c>
      <c r="E560" t="s">
        <v>154</v>
      </c>
      <c r="F560" t="s">
        <v>1130</v>
      </c>
      <c r="G560" t="s">
        <v>127</v>
      </c>
      <c r="H560" t="s">
        <v>128</v>
      </c>
      <c r="I560" t="s">
        <v>115</v>
      </c>
      <c r="J560" t="s">
        <v>124</v>
      </c>
      <c r="K560" t="s">
        <v>156</v>
      </c>
      <c r="L560" t="s">
        <v>165</v>
      </c>
      <c r="M560">
        <v>3</v>
      </c>
      <c r="N560">
        <v>94.76</v>
      </c>
      <c r="O560">
        <v>284.28000000000003</v>
      </c>
      <c r="P560">
        <v>15</v>
      </c>
      <c r="Q560">
        <v>42.64</v>
      </c>
      <c r="R560">
        <v>241.64</v>
      </c>
      <c r="S560">
        <v>236.46</v>
      </c>
      <c r="T560">
        <v>5.18</v>
      </c>
      <c r="U560" t="s">
        <v>190</v>
      </c>
      <c r="V560" t="s">
        <v>181</v>
      </c>
      <c r="W560" t="s">
        <v>2090</v>
      </c>
      <c r="X560" t="s">
        <v>2111</v>
      </c>
      <c r="Y560">
        <v>259</v>
      </c>
      <c r="Z560">
        <v>399.74</v>
      </c>
      <c r="AA560">
        <v>62.66</v>
      </c>
      <c r="AB560" t="s">
        <v>90</v>
      </c>
      <c r="AC560" t="s">
        <v>16</v>
      </c>
      <c r="AD560" t="s">
        <v>2095</v>
      </c>
      <c r="AE560" t="s">
        <v>2107</v>
      </c>
    </row>
    <row r="561" spans="1:31">
      <c r="A561" t="s">
        <v>590</v>
      </c>
      <c r="B561" s="1">
        <v>45102</v>
      </c>
      <c r="C561" t="s">
        <v>153</v>
      </c>
      <c r="D561">
        <v>2023</v>
      </c>
      <c r="E561" t="s">
        <v>154</v>
      </c>
      <c r="F561" t="s">
        <v>591</v>
      </c>
      <c r="G561" t="s">
        <v>43</v>
      </c>
      <c r="H561" t="s">
        <v>44</v>
      </c>
      <c r="I561" t="s">
        <v>41</v>
      </c>
      <c r="J561" t="s">
        <v>45</v>
      </c>
      <c r="K561" t="s">
        <v>178</v>
      </c>
      <c r="L561" t="s">
        <v>165</v>
      </c>
      <c r="M561">
        <v>4</v>
      </c>
      <c r="N561">
        <v>67.56</v>
      </c>
      <c r="O561">
        <v>270.24</v>
      </c>
      <c r="P561">
        <v>10</v>
      </c>
      <c r="Q561">
        <v>27.02</v>
      </c>
      <c r="R561">
        <v>243.22</v>
      </c>
      <c r="S561">
        <v>172.84</v>
      </c>
      <c r="T561">
        <v>70.38</v>
      </c>
      <c r="U561" t="s">
        <v>195</v>
      </c>
      <c r="V561" t="s">
        <v>181</v>
      </c>
      <c r="W561" t="s">
        <v>2093</v>
      </c>
      <c r="X561" t="s">
        <v>2094</v>
      </c>
      <c r="Y561">
        <v>344</v>
      </c>
      <c r="Z561">
        <v>149.83000000000001</v>
      </c>
      <c r="AA561">
        <v>42.87</v>
      </c>
      <c r="AB561" t="s">
        <v>115</v>
      </c>
      <c r="AC561" t="s">
        <v>16</v>
      </c>
      <c r="AD561" t="s">
        <v>2087</v>
      </c>
      <c r="AE561" t="s">
        <v>2088</v>
      </c>
    </row>
    <row r="562" spans="1:31">
      <c r="A562" t="s">
        <v>766</v>
      </c>
      <c r="B562" s="1">
        <v>45102</v>
      </c>
      <c r="C562" t="s">
        <v>153</v>
      </c>
      <c r="D562">
        <v>2023</v>
      </c>
      <c r="E562" t="s">
        <v>154</v>
      </c>
      <c r="F562" t="s">
        <v>767</v>
      </c>
      <c r="G562" t="s">
        <v>21</v>
      </c>
      <c r="H562" t="s">
        <v>22</v>
      </c>
      <c r="I562" t="s">
        <v>14</v>
      </c>
      <c r="J562" t="s">
        <v>15</v>
      </c>
      <c r="K562" t="s">
        <v>209</v>
      </c>
      <c r="L562" t="s">
        <v>165</v>
      </c>
      <c r="M562">
        <v>1</v>
      </c>
      <c r="N562">
        <v>65.430000000000007</v>
      </c>
      <c r="O562">
        <v>65.430000000000007</v>
      </c>
      <c r="P562">
        <v>0</v>
      </c>
      <c r="Q562">
        <v>0</v>
      </c>
      <c r="R562">
        <v>65.430000000000007</v>
      </c>
      <c r="S562">
        <v>38.69</v>
      </c>
      <c r="T562">
        <v>26.74</v>
      </c>
      <c r="U562" t="s">
        <v>190</v>
      </c>
      <c r="V562" t="s">
        <v>159</v>
      </c>
      <c r="W562" t="s">
        <v>2099</v>
      </c>
      <c r="X562" t="s">
        <v>2086</v>
      </c>
      <c r="Y562">
        <v>168</v>
      </c>
      <c r="Z562">
        <v>124.88</v>
      </c>
      <c r="AA562">
        <v>23.9</v>
      </c>
      <c r="AB562" t="s">
        <v>115</v>
      </c>
      <c r="AC562" t="s">
        <v>20</v>
      </c>
      <c r="AD562" t="s">
        <v>2095</v>
      </c>
      <c r="AE562" t="s">
        <v>2088</v>
      </c>
    </row>
    <row r="563" spans="1:31">
      <c r="A563" t="s">
        <v>1854</v>
      </c>
      <c r="B563" s="1">
        <v>45102</v>
      </c>
      <c r="C563" t="s">
        <v>153</v>
      </c>
      <c r="D563">
        <v>2023</v>
      </c>
      <c r="E563" t="s">
        <v>154</v>
      </c>
      <c r="F563" t="s">
        <v>1855</v>
      </c>
      <c r="G563" t="s">
        <v>95</v>
      </c>
      <c r="H563" t="s">
        <v>96</v>
      </c>
      <c r="I563" t="s">
        <v>90</v>
      </c>
      <c r="J563" t="s">
        <v>97</v>
      </c>
      <c r="K563" t="s">
        <v>209</v>
      </c>
      <c r="L563" t="s">
        <v>179</v>
      </c>
      <c r="M563">
        <v>3</v>
      </c>
      <c r="N563">
        <v>177.41</v>
      </c>
      <c r="O563">
        <v>532.23</v>
      </c>
      <c r="P563">
        <v>10</v>
      </c>
      <c r="Q563">
        <v>53.22</v>
      </c>
      <c r="R563">
        <v>479.01</v>
      </c>
      <c r="S563">
        <v>224.97</v>
      </c>
      <c r="T563">
        <v>254.04</v>
      </c>
      <c r="U563" t="s">
        <v>158</v>
      </c>
      <c r="V563" t="s">
        <v>186</v>
      </c>
      <c r="W563" t="s">
        <v>2097</v>
      </c>
      <c r="X563" t="s">
        <v>2094</v>
      </c>
      <c r="Y563">
        <v>343</v>
      </c>
      <c r="Z563">
        <v>481.4</v>
      </c>
      <c r="AA563">
        <v>137.78</v>
      </c>
      <c r="AB563" t="s">
        <v>41</v>
      </c>
      <c r="AC563" t="s">
        <v>16</v>
      </c>
      <c r="AD563" t="s">
        <v>2095</v>
      </c>
      <c r="AE563" t="s">
        <v>2088</v>
      </c>
    </row>
    <row r="564" spans="1:31">
      <c r="A564" t="s">
        <v>1465</v>
      </c>
      <c r="B564" s="1">
        <v>45101</v>
      </c>
      <c r="C564" t="s">
        <v>153</v>
      </c>
      <c r="D564">
        <v>2023</v>
      </c>
      <c r="E564" t="s">
        <v>154</v>
      </c>
      <c r="F564" t="s">
        <v>1466</v>
      </c>
      <c r="G564" t="s">
        <v>57</v>
      </c>
      <c r="H564" t="s">
        <v>58</v>
      </c>
      <c r="I564" t="s">
        <v>41</v>
      </c>
      <c r="J564" t="s">
        <v>59</v>
      </c>
      <c r="K564" t="s">
        <v>164</v>
      </c>
      <c r="L564" t="s">
        <v>165</v>
      </c>
      <c r="M564">
        <v>2</v>
      </c>
      <c r="N564">
        <v>56.33</v>
      </c>
      <c r="O564">
        <v>112.66</v>
      </c>
      <c r="P564">
        <v>0</v>
      </c>
      <c r="Q564">
        <v>0</v>
      </c>
      <c r="R564">
        <v>112.66</v>
      </c>
      <c r="S564">
        <v>82.9</v>
      </c>
      <c r="T564">
        <v>29.76</v>
      </c>
      <c r="U564" t="s">
        <v>190</v>
      </c>
      <c r="V564" t="s">
        <v>159</v>
      </c>
      <c r="W564" t="s">
        <v>2097</v>
      </c>
      <c r="X564" t="s">
        <v>2108</v>
      </c>
      <c r="Y564">
        <v>115</v>
      </c>
      <c r="Z564">
        <v>458.64</v>
      </c>
      <c r="AA564">
        <v>63.55</v>
      </c>
      <c r="AB564" t="s">
        <v>14</v>
      </c>
      <c r="AC564" t="s">
        <v>16</v>
      </c>
      <c r="AD564" t="s">
        <v>2087</v>
      </c>
      <c r="AE564" t="s">
        <v>2121</v>
      </c>
    </row>
    <row r="565" spans="1:31">
      <c r="A565" t="s">
        <v>406</v>
      </c>
      <c r="B565" s="1">
        <v>45101</v>
      </c>
      <c r="C565" t="s">
        <v>153</v>
      </c>
      <c r="D565">
        <v>2023</v>
      </c>
      <c r="E565" t="s">
        <v>154</v>
      </c>
      <c r="F565" t="s">
        <v>407</v>
      </c>
      <c r="G565" t="s">
        <v>76</v>
      </c>
      <c r="H565" t="s">
        <v>77</v>
      </c>
      <c r="I565" t="s">
        <v>66</v>
      </c>
      <c r="J565" t="s">
        <v>67</v>
      </c>
      <c r="K565" t="s">
        <v>178</v>
      </c>
      <c r="L565" t="s">
        <v>194</v>
      </c>
      <c r="M565">
        <v>4</v>
      </c>
      <c r="N565">
        <v>118.07</v>
      </c>
      <c r="O565">
        <v>472.28</v>
      </c>
      <c r="P565">
        <v>5</v>
      </c>
      <c r="Q565">
        <v>23.61</v>
      </c>
      <c r="R565">
        <v>448.67</v>
      </c>
      <c r="S565">
        <v>158.80000000000001</v>
      </c>
      <c r="T565">
        <v>289.87</v>
      </c>
      <c r="U565" t="s">
        <v>195</v>
      </c>
      <c r="V565" t="s">
        <v>181</v>
      </c>
      <c r="W565" t="s">
        <v>2090</v>
      </c>
      <c r="X565" t="s">
        <v>2108</v>
      </c>
      <c r="Y565">
        <v>89</v>
      </c>
      <c r="Z565">
        <v>394.47</v>
      </c>
      <c r="AA565">
        <v>51.6</v>
      </c>
      <c r="AB565" t="s">
        <v>41</v>
      </c>
      <c r="AC565" t="s">
        <v>20</v>
      </c>
      <c r="AD565" t="s">
        <v>2095</v>
      </c>
      <c r="AE565" t="s">
        <v>2109</v>
      </c>
    </row>
    <row r="566" spans="1:31">
      <c r="A566" t="s">
        <v>1568</v>
      </c>
      <c r="B566" s="1">
        <v>45100</v>
      </c>
      <c r="C566" t="s">
        <v>153</v>
      </c>
      <c r="D566">
        <v>2023</v>
      </c>
      <c r="E566" t="s">
        <v>154</v>
      </c>
      <c r="F566" t="s">
        <v>1569</v>
      </c>
      <c r="G566" t="s">
        <v>25</v>
      </c>
      <c r="H566" t="s">
        <v>26</v>
      </c>
      <c r="I566" t="s">
        <v>14</v>
      </c>
      <c r="J566" t="s">
        <v>27</v>
      </c>
      <c r="K566" t="s">
        <v>164</v>
      </c>
      <c r="L566" t="s">
        <v>174</v>
      </c>
      <c r="M566">
        <v>3</v>
      </c>
      <c r="N566">
        <v>18.39</v>
      </c>
      <c r="O566">
        <v>55.17</v>
      </c>
      <c r="P566">
        <v>10</v>
      </c>
      <c r="Q566">
        <v>5.52</v>
      </c>
      <c r="R566">
        <v>49.65</v>
      </c>
      <c r="S566">
        <v>24.78</v>
      </c>
      <c r="T566">
        <v>24.87</v>
      </c>
      <c r="U566" t="s">
        <v>190</v>
      </c>
      <c r="V566" t="s">
        <v>159</v>
      </c>
      <c r="W566" t="s">
        <v>2085</v>
      </c>
      <c r="X566" t="s">
        <v>2100</v>
      </c>
      <c r="Y566">
        <v>320</v>
      </c>
      <c r="Z566">
        <v>1966.43</v>
      </c>
      <c r="AA566">
        <v>168.7</v>
      </c>
      <c r="AB566" t="s">
        <v>66</v>
      </c>
      <c r="AC566" t="s">
        <v>20</v>
      </c>
      <c r="AD566" t="s">
        <v>2106</v>
      </c>
      <c r="AE566" t="s">
        <v>2121</v>
      </c>
    </row>
    <row r="567" spans="1:31">
      <c r="A567" t="s">
        <v>1094</v>
      </c>
      <c r="B567" s="1">
        <v>45100</v>
      </c>
      <c r="C567" t="s">
        <v>153</v>
      </c>
      <c r="D567">
        <v>2023</v>
      </c>
      <c r="E567" t="s">
        <v>154</v>
      </c>
      <c r="F567" t="s">
        <v>1095</v>
      </c>
      <c r="G567" t="s">
        <v>129</v>
      </c>
      <c r="H567" t="s">
        <v>130</v>
      </c>
      <c r="I567" t="s">
        <v>115</v>
      </c>
      <c r="J567" t="s">
        <v>124</v>
      </c>
      <c r="K567" t="s">
        <v>209</v>
      </c>
      <c r="L567" t="s">
        <v>204</v>
      </c>
      <c r="M567">
        <v>2</v>
      </c>
      <c r="N567">
        <v>99.34</v>
      </c>
      <c r="O567">
        <v>198.68</v>
      </c>
      <c r="P567">
        <v>15</v>
      </c>
      <c r="Q567">
        <v>29.8</v>
      </c>
      <c r="R567">
        <v>168.88</v>
      </c>
      <c r="S567">
        <v>74.7</v>
      </c>
      <c r="T567">
        <v>94.18</v>
      </c>
      <c r="U567" t="s">
        <v>190</v>
      </c>
      <c r="V567" t="s">
        <v>186</v>
      </c>
      <c r="W567" t="s">
        <v>2085</v>
      </c>
      <c r="X567" t="s">
        <v>2094</v>
      </c>
      <c r="Y567">
        <v>147</v>
      </c>
      <c r="Z567">
        <v>2522.94</v>
      </c>
      <c r="AA567">
        <v>144.51</v>
      </c>
      <c r="AB567" t="s">
        <v>14</v>
      </c>
      <c r="AC567" t="s">
        <v>20</v>
      </c>
      <c r="AD567" t="s">
        <v>2106</v>
      </c>
      <c r="AE567" t="s">
        <v>2121</v>
      </c>
    </row>
    <row r="568" spans="1:31">
      <c r="A568" t="s">
        <v>576</v>
      </c>
      <c r="B568" s="1">
        <v>45099</v>
      </c>
      <c r="C568" t="s">
        <v>153</v>
      </c>
      <c r="D568">
        <v>2023</v>
      </c>
      <c r="E568" t="s">
        <v>154</v>
      </c>
      <c r="F568" t="s">
        <v>577</v>
      </c>
      <c r="G568" t="s">
        <v>78</v>
      </c>
      <c r="H568" t="s">
        <v>79</v>
      </c>
      <c r="I568" t="s">
        <v>66</v>
      </c>
      <c r="J568" t="s">
        <v>70</v>
      </c>
      <c r="K568" t="s">
        <v>164</v>
      </c>
      <c r="L568" t="s">
        <v>165</v>
      </c>
      <c r="M568">
        <v>3</v>
      </c>
      <c r="N568">
        <v>218.05</v>
      </c>
      <c r="O568">
        <v>654.15000000000009</v>
      </c>
      <c r="P568">
        <v>10</v>
      </c>
      <c r="Q568">
        <v>65.42</v>
      </c>
      <c r="R568">
        <v>588.73</v>
      </c>
      <c r="S568">
        <v>223.44</v>
      </c>
      <c r="T568">
        <v>365.29</v>
      </c>
      <c r="U568" t="s">
        <v>166</v>
      </c>
      <c r="V568" t="s">
        <v>159</v>
      </c>
      <c r="W568" t="s">
        <v>2097</v>
      </c>
      <c r="X568" t="s">
        <v>2108</v>
      </c>
      <c r="Y568">
        <v>170</v>
      </c>
      <c r="Z568">
        <v>732.82</v>
      </c>
      <c r="AA568">
        <v>78.7</v>
      </c>
      <c r="AB568" t="s">
        <v>90</v>
      </c>
      <c r="AC568" t="s">
        <v>16</v>
      </c>
      <c r="AD568" t="s">
        <v>2095</v>
      </c>
      <c r="AE568" t="s">
        <v>2096</v>
      </c>
    </row>
    <row r="569" spans="1:31">
      <c r="A569" t="s">
        <v>614</v>
      </c>
      <c r="B569" s="1">
        <v>45099</v>
      </c>
      <c r="C569" t="s">
        <v>153</v>
      </c>
      <c r="D569">
        <v>2023</v>
      </c>
      <c r="E569" t="s">
        <v>154</v>
      </c>
      <c r="F569" t="s">
        <v>615</v>
      </c>
      <c r="G569" t="s">
        <v>127</v>
      </c>
      <c r="H569" t="s">
        <v>128</v>
      </c>
      <c r="I569" t="s">
        <v>115</v>
      </c>
      <c r="J569" t="s">
        <v>124</v>
      </c>
      <c r="K569" t="s">
        <v>178</v>
      </c>
      <c r="L569" t="s">
        <v>232</v>
      </c>
      <c r="M569">
        <v>2</v>
      </c>
      <c r="N569">
        <v>94.76</v>
      </c>
      <c r="O569">
        <v>189.52</v>
      </c>
      <c r="P569">
        <v>0</v>
      </c>
      <c r="Q569">
        <v>0</v>
      </c>
      <c r="R569">
        <v>189.52</v>
      </c>
      <c r="S569">
        <v>157.63999999999999</v>
      </c>
      <c r="T569">
        <v>31.88</v>
      </c>
      <c r="U569" t="s">
        <v>190</v>
      </c>
      <c r="V569" t="s">
        <v>159</v>
      </c>
      <c r="W569" t="s">
        <v>2085</v>
      </c>
      <c r="X569" t="s">
        <v>2094</v>
      </c>
      <c r="Y569">
        <v>268</v>
      </c>
      <c r="Z569">
        <v>1338.79</v>
      </c>
      <c r="AA569">
        <v>141.11000000000001</v>
      </c>
      <c r="AB569" t="s">
        <v>14</v>
      </c>
      <c r="AC569" t="s">
        <v>16</v>
      </c>
      <c r="AD569" t="s">
        <v>2087</v>
      </c>
      <c r="AE569" t="s">
        <v>2096</v>
      </c>
    </row>
    <row r="570" spans="1:31">
      <c r="A570" t="s">
        <v>459</v>
      </c>
      <c r="B570" s="1">
        <v>45099</v>
      </c>
      <c r="C570" t="s">
        <v>153</v>
      </c>
      <c r="D570">
        <v>2023</v>
      </c>
      <c r="E570" t="s">
        <v>154</v>
      </c>
      <c r="F570" t="s">
        <v>345</v>
      </c>
      <c r="G570" t="s">
        <v>95</v>
      </c>
      <c r="H570" t="s">
        <v>96</v>
      </c>
      <c r="I570" t="s">
        <v>90</v>
      </c>
      <c r="J570" t="s">
        <v>97</v>
      </c>
      <c r="K570" t="s">
        <v>156</v>
      </c>
      <c r="L570" t="s">
        <v>232</v>
      </c>
      <c r="M570">
        <v>1</v>
      </c>
      <c r="N570">
        <v>177.41</v>
      </c>
      <c r="O570">
        <v>177.41</v>
      </c>
      <c r="P570">
        <v>15</v>
      </c>
      <c r="Q570">
        <v>26.61</v>
      </c>
      <c r="R570">
        <v>150.80000000000001</v>
      </c>
      <c r="S570">
        <v>74.989999999999995</v>
      </c>
      <c r="T570">
        <v>75.81</v>
      </c>
      <c r="U570" t="s">
        <v>180</v>
      </c>
      <c r="V570" t="s">
        <v>159</v>
      </c>
      <c r="W570" t="s">
        <v>2085</v>
      </c>
      <c r="X570" t="s">
        <v>2108</v>
      </c>
      <c r="Y570">
        <v>54</v>
      </c>
      <c r="Z570">
        <v>1491.12</v>
      </c>
      <c r="AA570">
        <v>204.64</v>
      </c>
      <c r="AB570" t="s">
        <v>14</v>
      </c>
      <c r="AC570" t="s">
        <v>20</v>
      </c>
      <c r="AD570" t="s">
        <v>2095</v>
      </c>
      <c r="AE570" t="s">
        <v>2121</v>
      </c>
    </row>
    <row r="571" spans="1:31">
      <c r="A571" t="s">
        <v>1427</v>
      </c>
      <c r="B571" s="1">
        <v>45098</v>
      </c>
      <c r="C571" t="s">
        <v>153</v>
      </c>
      <c r="D571">
        <v>2023</v>
      </c>
      <c r="E571" t="s">
        <v>154</v>
      </c>
      <c r="F571" t="s">
        <v>286</v>
      </c>
      <c r="G571" t="s">
        <v>28</v>
      </c>
      <c r="H571" t="s">
        <v>29</v>
      </c>
      <c r="I571" t="s">
        <v>14</v>
      </c>
      <c r="J571" t="s">
        <v>19</v>
      </c>
      <c r="K571" t="s">
        <v>164</v>
      </c>
      <c r="L571" t="s">
        <v>204</v>
      </c>
      <c r="M571">
        <v>1</v>
      </c>
      <c r="N571">
        <v>26.46</v>
      </c>
      <c r="O571">
        <v>26.46</v>
      </c>
      <c r="P571">
        <v>20</v>
      </c>
      <c r="Q571">
        <v>5.29</v>
      </c>
      <c r="R571">
        <v>21.17</v>
      </c>
      <c r="S571">
        <v>19.420000000000002</v>
      </c>
      <c r="T571">
        <v>1.75</v>
      </c>
      <c r="U571" t="s">
        <v>158</v>
      </c>
      <c r="V571" t="s">
        <v>159</v>
      </c>
      <c r="W571" t="s">
        <v>2113</v>
      </c>
      <c r="X571" t="s">
        <v>2108</v>
      </c>
      <c r="Y571">
        <v>68</v>
      </c>
      <c r="Z571">
        <v>151.47999999999999</v>
      </c>
      <c r="AA571">
        <v>62.52</v>
      </c>
      <c r="AB571" t="s">
        <v>41</v>
      </c>
      <c r="AC571" t="s">
        <v>20</v>
      </c>
      <c r="AD571" t="s">
        <v>2106</v>
      </c>
      <c r="AE571" t="s">
        <v>2096</v>
      </c>
    </row>
    <row r="572" spans="1:31">
      <c r="A572" t="s">
        <v>1314</v>
      </c>
      <c r="B572" s="1">
        <v>45098</v>
      </c>
      <c r="C572" t="s">
        <v>153</v>
      </c>
      <c r="D572">
        <v>2023</v>
      </c>
      <c r="E572" t="s">
        <v>154</v>
      </c>
      <c r="F572" t="s">
        <v>1315</v>
      </c>
      <c r="G572" t="s">
        <v>88</v>
      </c>
      <c r="H572" t="s">
        <v>89</v>
      </c>
      <c r="I572" t="s">
        <v>90</v>
      </c>
      <c r="J572" t="s">
        <v>91</v>
      </c>
      <c r="K572" t="s">
        <v>178</v>
      </c>
      <c r="L572" t="s">
        <v>194</v>
      </c>
      <c r="M572">
        <v>1</v>
      </c>
      <c r="N572">
        <v>54.64</v>
      </c>
      <c r="O572">
        <v>54.64</v>
      </c>
      <c r="P572">
        <v>5</v>
      </c>
      <c r="Q572">
        <v>2.73</v>
      </c>
      <c r="R572">
        <v>51.91</v>
      </c>
      <c r="S572">
        <v>20.32</v>
      </c>
      <c r="T572">
        <v>31.59</v>
      </c>
      <c r="U572" t="s">
        <v>166</v>
      </c>
      <c r="V572" t="s">
        <v>181</v>
      </c>
      <c r="W572" t="s">
        <v>2113</v>
      </c>
      <c r="X572" t="s">
        <v>2100</v>
      </c>
      <c r="Y572">
        <v>141</v>
      </c>
      <c r="Z572">
        <v>209.51</v>
      </c>
      <c r="AA572">
        <v>36.56</v>
      </c>
      <c r="AB572" t="s">
        <v>66</v>
      </c>
      <c r="AC572" t="s">
        <v>16</v>
      </c>
      <c r="AD572" t="s">
        <v>2106</v>
      </c>
      <c r="AE572" t="s">
        <v>2121</v>
      </c>
    </row>
    <row r="573" spans="1:31">
      <c r="A573" t="s">
        <v>306</v>
      </c>
      <c r="B573" s="1">
        <v>45097</v>
      </c>
      <c r="C573" t="s">
        <v>153</v>
      </c>
      <c r="D573">
        <v>2023</v>
      </c>
      <c r="E573" t="s">
        <v>154</v>
      </c>
      <c r="F573" t="s">
        <v>307</v>
      </c>
      <c r="G573" t="s">
        <v>101</v>
      </c>
      <c r="H573" t="s">
        <v>102</v>
      </c>
      <c r="I573" t="s">
        <v>90</v>
      </c>
      <c r="J573" t="s">
        <v>100</v>
      </c>
      <c r="K573" t="s">
        <v>164</v>
      </c>
      <c r="L573" t="s">
        <v>204</v>
      </c>
      <c r="M573">
        <v>4</v>
      </c>
      <c r="N573">
        <v>196.28</v>
      </c>
      <c r="O573">
        <v>785.12</v>
      </c>
      <c r="P573">
        <v>0</v>
      </c>
      <c r="Q573">
        <v>0</v>
      </c>
      <c r="R573">
        <v>785.12</v>
      </c>
      <c r="S573">
        <v>286.92</v>
      </c>
      <c r="T573">
        <v>498.2</v>
      </c>
      <c r="U573" t="s">
        <v>195</v>
      </c>
      <c r="V573" t="s">
        <v>159</v>
      </c>
      <c r="W573" t="s">
        <v>2113</v>
      </c>
      <c r="X573" t="s">
        <v>2086</v>
      </c>
      <c r="Y573">
        <v>327</v>
      </c>
      <c r="Z573">
        <v>537.66999999999996</v>
      </c>
      <c r="AA573">
        <v>77.849999999999994</v>
      </c>
      <c r="AB573" t="s">
        <v>41</v>
      </c>
      <c r="AC573" t="s">
        <v>20</v>
      </c>
      <c r="AD573" t="s">
        <v>2087</v>
      </c>
      <c r="AE573" t="s">
        <v>2121</v>
      </c>
    </row>
    <row r="574" spans="1:31">
      <c r="A574" t="s">
        <v>1922</v>
      </c>
      <c r="B574" s="1">
        <v>45097</v>
      </c>
      <c r="C574" t="s">
        <v>153</v>
      </c>
      <c r="D574">
        <v>2023</v>
      </c>
      <c r="E574" t="s">
        <v>154</v>
      </c>
      <c r="F574" t="s">
        <v>1923</v>
      </c>
      <c r="G574" t="s">
        <v>88</v>
      </c>
      <c r="H574" t="s">
        <v>89</v>
      </c>
      <c r="I574" t="s">
        <v>90</v>
      </c>
      <c r="J574" t="s">
        <v>91</v>
      </c>
      <c r="K574" t="s">
        <v>164</v>
      </c>
      <c r="L574" t="s">
        <v>179</v>
      </c>
      <c r="M574">
        <v>4</v>
      </c>
      <c r="N574">
        <v>54.64</v>
      </c>
      <c r="O574">
        <v>218.56</v>
      </c>
      <c r="P574">
        <v>20</v>
      </c>
      <c r="Q574">
        <v>43.71</v>
      </c>
      <c r="R574">
        <v>174.85</v>
      </c>
      <c r="S574">
        <v>81.28</v>
      </c>
      <c r="T574">
        <v>93.57</v>
      </c>
      <c r="U574" t="s">
        <v>158</v>
      </c>
      <c r="V574" t="s">
        <v>159</v>
      </c>
      <c r="W574" t="s">
        <v>2090</v>
      </c>
      <c r="X574" t="s">
        <v>2111</v>
      </c>
      <c r="Y574">
        <v>243</v>
      </c>
      <c r="Z574">
        <v>132.54</v>
      </c>
      <c r="AA574">
        <v>83.1</v>
      </c>
      <c r="AB574" t="s">
        <v>66</v>
      </c>
      <c r="AC574" t="s">
        <v>16</v>
      </c>
      <c r="AD574" t="s">
        <v>2095</v>
      </c>
      <c r="AE574" t="s">
        <v>2109</v>
      </c>
    </row>
    <row r="575" spans="1:31">
      <c r="A575" t="s">
        <v>1617</v>
      </c>
      <c r="B575" s="1">
        <v>45096</v>
      </c>
      <c r="C575" t="s">
        <v>153</v>
      </c>
      <c r="D575">
        <v>2023</v>
      </c>
      <c r="E575" t="s">
        <v>154</v>
      </c>
      <c r="F575" t="s">
        <v>1618</v>
      </c>
      <c r="G575" t="s">
        <v>86</v>
      </c>
      <c r="H575" t="s">
        <v>87</v>
      </c>
      <c r="I575" t="s">
        <v>66</v>
      </c>
      <c r="J575" t="s">
        <v>67</v>
      </c>
      <c r="K575" t="s">
        <v>178</v>
      </c>
      <c r="L575" t="s">
        <v>179</v>
      </c>
      <c r="M575">
        <v>4</v>
      </c>
      <c r="N575">
        <v>124.77</v>
      </c>
      <c r="O575">
        <v>499.08</v>
      </c>
      <c r="P575">
        <v>10</v>
      </c>
      <c r="Q575">
        <v>49.91</v>
      </c>
      <c r="R575">
        <v>449.17</v>
      </c>
      <c r="S575">
        <v>278.56</v>
      </c>
      <c r="T575">
        <v>170.61</v>
      </c>
      <c r="U575" t="s">
        <v>195</v>
      </c>
      <c r="V575" t="s">
        <v>159</v>
      </c>
      <c r="W575" t="s">
        <v>2099</v>
      </c>
      <c r="X575" t="s">
        <v>2086</v>
      </c>
      <c r="Y575">
        <v>38</v>
      </c>
      <c r="Z575">
        <v>119.09</v>
      </c>
      <c r="AA575">
        <v>46.77</v>
      </c>
      <c r="AB575" t="s">
        <v>14</v>
      </c>
      <c r="AC575" t="s">
        <v>16</v>
      </c>
      <c r="AD575" t="s">
        <v>2087</v>
      </c>
      <c r="AE575" t="s">
        <v>2096</v>
      </c>
    </row>
    <row r="576" spans="1:31">
      <c r="A576" t="s">
        <v>1227</v>
      </c>
      <c r="B576" s="1">
        <v>45096</v>
      </c>
      <c r="C576" t="s">
        <v>153</v>
      </c>
      <c r="D576">
        <v>2023</v>
      </c>
      <c r="E576" t="s">
        <v>154</v>
      </c>
      <c r="F576" t="s">
        <v>1228</v>
      </c>
      <c r="G576" t="s">
        <v>120</v>
      </c>
      <c r="H576" t="s">
        <v>121</v>
      </c>
      <c r="I576" t="s">
        <v>115</v>
      </c>
      <c r="J576" t="s">
        <v>119</v>
      </c>
      <c r="K576" t="s">
        <v>209</v>
      </c>
      <c r="L576" t="s">
        <v>204</v>
      </c>
      <c r="M576">
        <v>2</v>
      </c>
      <c r="N576">
        <v>197.52</v>
      </c>
      <c r="O576">
        <v>395.04</v>
      </c>
      <c r="P576">
        <v>5</v>
      </c>
      <c r="Q576">
        <v>19.75</v>
      </c>
      <c r="R576">
        <v>375.29</v>
      </c>
      <c r="S576">
        <v>133.08000000000001</v>
      </c>
      <c r="T576">
        <v>242.21</v>
      </c>
      <c r="U576" t="s">
        <v>180</v>
      </c>
      <c r="V576" t="s">
        <v>186</v>
      </c>
      <c r="W576" t="s">
        <v>2093</v>
      </c>
      <c r="X576" t="s">
        <v>2100</v>
      </c>
      <c r="Y576">
        <v>347</v>
      </c>
      <c r="Z576">
        <v>116.95</v>
      </c>
      <c r="AA576">
        <v>51.62</v>
      </c>
      <c r="AB576" t="s">
        <v>90</v>
      </c>
      <c r="AC576" t="s">
        <v>20</v>
      </c>
      <c r="AD576" t="s">
        <v>2095</v>
      </c>
      <c r="AE576" t="s">
        <v>2096</v>
      </c>
    </row>
    <row r="577" spans="1:31">
      <c r="A577" t="s">
        <v>757</v>
      </c>
      <c r="B577" s="1">
        <v>45096</v>
      </c>
      <c r="C577" t="s">
        <v>153</v>
      </c>
      <c r="D577">
        <v>2023</v>
      </c>
      <c r="E577" t="s">
        <v>154</v>
      </c>
      <c r="F577" t="s">
        <v>758</v>
      </c>
      <c r="G577" t="s">
        <v>105</v>
      </c>
      <c r="H577" t="s">
        <v>106</v>
      </c>
      <c r="I577" t="s">
        <v>90</v>
      </c>
      <c r="J577" t="s">
        <v>91</v>
      </c>
      <c r="K577" t="s">
        <v>164</v>
      </c>
      <c r="L577" t="s">
        <v>174</v>
      </c>
      <c r="M577">
        <v>4</v>
      </c>
      <c r="N577">
        <v>36.35</v>
      </c>
      <c r="O577">
        <v>145.4</v>
      </c>
      <c r="P577">
        <v>20</v>
      </c>
      <c r="Q577">
        <v>29.08</v>
      </c>
      <c r="R577">
        <v>116.32</v>
      </c>
      <c r="S577">
        <v>120.08</v>
      </c>
      <c r="T577">
        <v>-3.76</v>
      </c>
      <c r="U577" t="s">
        <v>158</v>
      </c>
      <c r="V577" t="s">
        <v>159</v>
      </c>
      <c r="W577" t="s">
        <v>2097</v>
      </c>
      <c r="X577" t="s">
        <v>2086</v>
      </c>
      <c r="Y577">
        <v>239</v>
      </c>
      <c r="Z577">
        <v>722.22</v>
      </c>
      <c r="AA577">
        <v>110.69</v>
      </c>
      <c r="AB577" t="s">
        <v>66</v>
      </c>
      <c r="AC577" t="s">
        <v>16</v>
      </c>
      <c r="AD577" t="s">
        <v>2106</v>
      </c>
      <c r="AE577" t="s">
        <v>2109</v>
      </c>
    </row>
    <row r="578" spans="1:31">
      <c r="A578" t="s">
        <v>578</v>
      </c>
      <c r="B578" s="1">
        <v>45096</v>
      </c>
      <c r="C578" t="s">
        <v>153</v>
      </c>
      <c r="D578">
        <v>2023</v>
      </c>
      <c r="E578" t="s">
        <v>154</v>
      </c>
      <c r="F578" t="s">
        <v>579</v>
      </c>
      <c r="G578" t="s">
        <v>88</v>
      </c>
      <c r="H578" t="s">
        <v>89</v>
      </c>
      <c r="I578" t="s">
        <v>90</v>
      </c>
      <c r="J578" t="s">
        <v>91</v>
      </c>
      <c r="K578" t="s">
        <v>209</v>
      </c>
      <c r="L578" t="s">
        <v>204</v>
      </c>
      <c r="M578">
        <v>1</v>
      </c>
      <c r="N578">
        <v>54.64</v>
      </c>
      <c r="O578">
        <v>54.64</v>
      </c>
      <c r="P578">
        <v>0</v>
      </c>
      <c r="Q578">
        <v>0</v>
      </c>
      <c r="R578">
        <v>54.64</v>
      </c>
      <c r="S578">
        <v>20.32</v>
      </c>
      <c r="T578">
        <v>34.32</v>
      </c>
      <c r="U578" t="s">
        <v>166</v>
      </c>
      <c r="V578" t="s">
        <v>159</v>
      </c>
      <c r="W578" t="s">
        <v>2099</v>
      </c>
      <c r="X578" t="s">
        <v>2086</v>
      </c>
      <c r="Y578">
        <v>13</v>
      </c>
      <c r="Z578">
        <v>147.47</v>
      </c>
      <c r="AA578">
        <v>50.18</v>
      </c>
      <c r="AB578" t="s">
        <v>41</v>
      </c>
      <c r="AC578" t="s">
        <v>16</v>
      </c>
      <c r="AD578" t="s">
        <v>2106</v>
      </c>
      <c r="AE578" t="s">
        <v>2088</v>
      </c>
    </row>
    <row r="579" spans="1:31">
      <c r="A579" t="s">
        <v>1148</v>
      </c>
      <c r="B579" s="1">
        <v>45096</v>
      </c>
      <c r="C579" t="s">
        <v>153</v>
      </c>
      <c r="D579">
        <v>2023</v>
      </c>
      <c r="E579" t="s">
        <v>154</v>
      </c>
      <c r="F579" t="s">
        <v>554</v>
      </c>
      <c r="G579" t="s">
        <v>39</v>
      </c>
      <c r="H579" t="s">
        <v>40</v>
      </c>
      <c r="I579" t="s">
        <v>41</v>
      </c>
      <c r="J579" t="s">
        <v>42</v>
      </c>
      <c r="K579" t="s">
        <v>156</v>
      </c>
      <c r="L579" t="s">
        <v>174</v>
      </c>
      <c r="M579">
        <v>3</v>
      </c>
      <c r="N579">
        <v>35.11</v>
      </c>
      <c r="O579">
        <v>105.33</v>
      </c>
      <c r="P579">
        <v>0</v>
      </c>
      <c r="Q579">
        <v>0</v>
      </c>
      <c r="R579">
        <v>105.33</v>
      </c>
      <c r="S579">
        <v>74.61</v>
      </c>
      <c r="T579">
        <v>30.72</v>
      </c>
      <c r="U579" t="s">
        <v>190</v>
      </c>
      <c r="V579" t="s">
        <v>159</v>
      </c>
      <c r="W579" t="s">
        <v>2099</v>
      </c>
      <c r="X579" t="s">
        <v>2108</v>
      </c>
      <c r="Y579">
        <v>344</v>
      </c>
      <c r="Z579">
        <v>110.04</v>
      </c>
      <c r="AA579">
        <v>68.56</v>
      </c>
      <c r="AB579" t="s">
        <v>115</v>
      </c>
      <c r="AC579" t="s">
        <v>16</v>
      </c>
      <c r="AD579" t="s">
        <v>2087</v>
      </c>
      <c r="AE579" t="s">
        <v>2088</v>
      </c>
    </row>
    <row r="580" spans="1:31">
      <c r="A580" t="s">
        <v>739</v>
      </c>
      <c r="B580" s="1">
        <v>45095</v>
      </c>
      <c r="C580" t="s">
        <v>153</v>
      </c>
      <c r="D580">
        <v>2023</v>
      </c>
      <c r="E580" t="s">
        <v>154</v>
      </c>
      <c r="F580" t="s">
        <v>740</v>
      </c>
      <c r="G580" t="s">
        <v>111</v>
      </c>
      <c r="H580" t="s">
        <v>112</v>
      </c>
      <c r="I580" t="s">
        <v>90</v>
      </c>
      <c r="J580" t="s">
        <v>97</v>
      </c>
      <c r="K580" t="s">
        <v>178</v>
      </c>
      <c r="L580" t="s">
        <v>204</v>
      </c>
      <c r="M580">
        <v>4</v>
      </c>
      <c r="N580">
        <v>189.99</v>
      </c>
      <c r="O580">
        <v>759.96</v>
      </c>
      <c r="P580">
        <v>20</v>
      </c>
      <c r="Q580">
        <v>151.99</v>
      </c>
      <c r="R580">
        <v>607.97</v>
      </c>
      <c r="S580">
        <v>254.04</v>
      </c>
      <c r="T580">
        <v>353.93</v>
      </c>
      <c r="U580" t="s">
        <v>166</v>
      </c>
      <c r="V580" t="s">
        <v>159</v>
      </c>
      <c r="W580" t="s">
        <v>2085</v>
      </c>
      <c r="X580" t="s">
        <v>2100</v>
      </c>
      <c r="Y580">
        <v>245</v>
      </c>
      <c r="Z580">
        <v>1209.3399999999999</v>
      </c>
      <c r="AA580">
        <v>185.56</v>
      </c>
      <c r="AB580" t="s">
        <v>90</v>
      </c>
      <c r="AC580" t="s">
        <v>20</v>
      </c>
      <c r="AD580" t="s">
        <v>2106</v>
      </c>
      <c r="AE580" t="s">
        <v>2088</v>
      </c>
    </row>
    <row r="581" spans="1:31">
      <c r="A581" t="s">
        <v>453</v>
      </c>
      <c r="B581" s="1">
        <v>45095</v>
      </c>
      <c r="C581" t="s">
        <v>153</v>
      </c>
      <c r="D581">
        <v>2023</v>
      </c>
      <c r="E581" t="s">
        <v>154</v>
      </c>
      <c r="F581" t="s">
        <v>454</v>
      </c>
      <c r="G581" t="s">
        <v>62</v>
      </c>
      <c r="H581" t="s">
        <v>63</v>
      </c>
      <c r="I581" t="s">
        <v>41</v>
      </c>
      <c r="J581" t="s">
        <v>45</v>
      </c>
      <c r="K581" t="s">
        <v>156</v>
      </c>
      <c r="L581" t="s">
        <v>165</v>
      </c>
      <c r="M581">
        <v>4</v>
      </c>
      <c r="N581">
        <v>160.35</v>
      </c>
      <c r="O581">
        <v>641.4</v>
      </c>
      <c r="P581">
        <v>15</v>
      </c>
      <c r="Q581">
        <v>96.21</v>
      </c>
      <c r="R581">
        <v>545.19000000000005</v>
      </c>
      <c r="S581">
        <v>289.88</v>
      </c>
      <c r="T581">
        <v>255.31</v>
      </c>
      <c r="U581" t="s">
        <v>166</v>
      </c>
      <c r="V581" t="s">
        <v>159</v>
      </c>
      <c r="W581" t="s">
        <v>2090</v>
      </c>
      <c r="X581" t="s">
        <v>2086</v>
      </c>
      <c r="Y581">
        <v>342</v>
      </c>
      <c r="Z581">
        <v>136.88999999999999</v>
      </c>
      <c r="AA581">
        <v>109.85</v>
      </c>
      <c r="AB581" t="s">
        <v>14</v>
      </c>
      <c r="AC581" t="s">
        <v>16</v>
      </c>
      <c r="AD581" t="s">
        <v>2106</v>
      </c>
      <c r="AE581" t="s">
        <v>2088</v>
      </c>
    </row>
    <row r="582" spans="1:31">
      <c r="A582" t="s">
        <v>415</v>
      </c>
      <c r="B582" s="1">
        <v>45094</v>
      </c>
      <c r="C582" t="s">
        <v>153</v>
      </c>
      <c r="D582">
        <v>2023</v>
      </c>
      <c r="E582" t="s">
        <v>154</v>
      </c>
      <c r="F582" t="s">
        <v>416</v>
      </c>
      <c r="G582" t="s">
        <v>133</v>
      </c>
      <c r="H582" t="s">
        <v>134</v>
      </c>
      <c r="I582" t="s">
        <v>115</v>
      </c>
      <c r="J582" t="s">
        <v>119</v>
      </c>
      <c r="K582" t="s">
        <v>209</v>
      </c>
      <c r="L582" t="s">
        <v>204</v>
      </c>
      <c r="M582">
        <v>3</v>
      </c>
      <c r="N582">
        <v>78.84</v>
      </c>
      <c r="O582">
        <v>236.52</v>
      </c>
      <c r="P582">
        <v>0</v>
      </c>
      <c r="Q582">
        <v>0</v>
      </c>
      <c r="R582">
        <v>236.52</v>
      </c>
      <c r="S582">
        <v>143.04</v>
      </c>
      <c r="T582">
        <v>93.48</v>
      </c>
      <c r="U582" t="s">
        <v>180</v>
      </c>
      <c r="V582" t="s">
        <v>159</v>
      </c>
      <c r="W582" t="s">
        <v>2093</v>
      </c>
      <c r="X582" t="s">
        <v>2091</v>
      </c>
      <c r="Y582">
        <v>268</v>
      </c>
      <c r="Z582">
        <v>90.93</v>
      </c>
      <c r="AA582">
        <v>79.72</v>
      </c>
      <c r="AB582" t="s">
        <v>14</v>
      </c>
      <c r="AC582" t="s">
        <v>20</v>
      </c>
      <c r="AD582" t="s">
        <v>2087</v>
      </c>
      <c r="AE582" t="s">
        <v>2088</v>
      </c>
    </row>
    <row r="583" spans="1:31">
      <c r="A583" t="s">
        <v>557</v>
      </c>
      <c r="B583" s="1">
        <v>45094</v>
      </c>
      <c r="C583" t="s">
        <v>153</v>
      </c>
      <c r="D583">
        <v>2023</v>
      </c>
      <c r="E583" t="s">
        <v>154</v>
      </c>
      <c r="F583" t="s">
        <v>558</v>
      </c>
      <c r="G583" t="s">
        <v>53</v>
      </c>
      <c r="H583" t="s">
        <v>54</v>
      </c>
      <c r="I583" t="s">
        <v>41</v>
      </c>
      <c r="J583" t="s">
        <v>45</v>
      </c>
      <c r="K583" t="s">
        <v>178</v>
      </c>
      <c r="L583" t="s">
        <v>157</v>
      </c>
      <c r="M583">
        <v>2</v>
      </c>
      <c r="N583">
        <v>51.98</v>
      </c>
      <c r="O583">
        <v>103.96</v>
      </c>
      <c r="P583">
        <v>20</v>
      </c>
      <c r="Q583">
        <v>20.79</v>
      </c>
      <c r="R583">
        <v>83.17</v>
      </c>
      <c r="S583">
        <v>66.08</v>
      </c>
      <c r="T583">
        <v>17.09</v>
      </c>
      <c r="U583" t="s">
        <v>190</v>
      </c>
      <c r="V583" t="s">
        <v>186</v>
      </c>
      <c r="W583" t="s">
        <v>2093</v>
      </c>
      <c r="X583" t="s">
        <v>2086</v>
      </c>
      <c r="Y583">
        <v>14</v>
      </c>
      <c r="Z583">
        <v>164.92</v>
      </c>
      <c r="AA583">
        <v>79.290000000000006</v>
      </c>
      <c r="AB583" t="s">
        <v>41</v>
      </c>
      <c r="AC583" t="s">
        <v>16</v>
      </c>
      <c r="AD583" t="s">
        <v>2087</v>
      </c>
      <c r="AE583" t="s">
        <v>2096</v>
      </c>
    </row>
    <row r="584" spans="1:31">
      <c r="A584" t="s">
        <v>1722</v>
      </c>
      <c r="B584" s="1">
        <v>45094</v>
      </c>
      <c r="C584" t="s">
        <v>153</v>
      </c>
      <c r="D584">
        <v>2023</v>
      </c>
      <c r="E584" t="s">
        <v>154</v>
      </c>
      <c r="F584" t="s">
        <v>1723</v>
      </c>
      <c r="G584" t="s">
        <v>131</v>
      </c>
      <c r="H584" t="s">
        <v>132</v>
      </c>
      <c r="I584" t="s">
        <v>115</v>
      </c>
      <c r="J584" t="s">
        <v>119</v>
      </c>
      <c r="K584" t="s">
        <v>156</v>
      </c>
      <c r="L584" t="s">
        <v>232</v>
      </c>
      <c r="M584">
        <v>2</v>
      </c>
      <c r="N584">
        <v>75.69</v>
      </c>
      <c r="O584">
        <v>151.38</v>
      </c>
      <c r="P584">
        <v>0</v>
      </c>
      <c r="Q584">
        <v>0</v>
      </c>
      <c r="R584">
        <v>151.38</v>
      </c>
      <c r="S584">
        <v>71.260000000000005</v>
      </c>
      <c r="T584">
        <v>80.12</v>
      </c>
      <c r="U584" t="s">
        <v>190</v>
      </c>
      <c r="V584" t="s">
        <v>181</v>
      </c>
      <c r="W584" t="s">
        <v>2097</v>
      </c>
      <c r="X584" t="s">
        <v>2086</v>
      </c>
      <c r="Y584">
        <v>245</v>
      </c>
      <c r="Z584">
        <v>542.28</v>
      </c>
      <c r="AA584">
        <v>93.15</v>
      </c>
      <c r="AB584" t="s">
        <v>115</v>
      </c>
      <c r="AC584" t="s">
        <v>16</v>
      </c>
      <c r="AD584" t="s">
        <v>2095</v>
      </c>
      <c r="AE584" t="s">
        <v>2109</v>
      </c>
    </row>
    <row r="585" spans="1:31">
      <c r="A585" t="s">
        <v>1555</v>
      </c>
      <c r="B585" s="1">
        <v>45094</v>
      </c>
      <c r="C585" t="s">
        <v>153</v>
      </c>
      <c r="D585">
        <v>2023</v>
      </c>
      <c r="E585" t="s">
        <v>154</v>
      </c>
      <c r="F585" t="s">
        <v>1556</v>
      </c>
      <c r="G585" t="s">
        <v>129</v>
      </c>
      <c r="H585" t="s">
        <v>130</v>
      </c>
      <c r="I585" t="s">
        <v>115</v>
      </c>
      <c r="J585" t="s">
        <v>124</v>
      </c>
      <c r="K585" t="s">
        <v>209</v>
      </c>
      <c r="L585" t="s">
        <v>179</v>
      </c>
      <c r="M585">
        <v>3</v>
      </c>
      <c r="N585">
        <v>99.34</v>
      </c>
      <c r="O585">
        <v>298.02</v>
      </c>
      <c r="P585">
        <v>20</v>
      </c>
      <c r="Q585">
        <v>59.6</v>
      </c>
      <c r="R585">
        <v>238.42</v>
      </c>
      <c r="S585">
        <v>112.05</v>
      </c>
      <c r="T585">
        <v>126.37</v>
      </c>
      <c r="U585" t="s">
        <v>166</v>
      </c>
      <c r="V585" t="s">
        <v>159</v>
      </c>
      <c r="W585" t="s">
        <v>2090</v>
      </c>
      <c r="X585" t="s">
        <v>2091</v>
      </c>
      <c r="Y585">
        <v>23</v>
      </c>
      <c r="Z585">
        <v>296.76</v>
      </c>
      <c r="AA585">
        <v>113.34</v>
      </c>
      <c r="AB585" t="s">
        <v>66</v>
      </c>
      <c r="AC585" t="s">
        <v>16</v>
      </c>
      <c r="AD585" t="s">
        <v>2106</v>
      </c>
      <c r="AE585" t="s">
        <v>2088</v>
      </c>
    </row>
    <row r="586" spans="1:31">
      <c r="A586" t="s">
        <v>717</v>
      </c>
      <c r="B586" s="1">
        <v>45094</v>
      </c>
      <c r="C586" t="s">
        <v>153</v>
      </c>
      <c r="D586">
        <v>2023</v>
      </c>
      <c r="E586" t="s">
        <v>154</v>
      </c>
      <c r="F586" t="s">
        <v>718</v>
      </c>
      <c r="G586" t="s">
        <v>109</v>
      </c>
      <c r="H586" t="s">
        <v>110</v>
      </c>
      <c r="I586" t="s">
        <v>90</v>
      </c>
      <c r="J586" t="s">
        <v>100</v>
      </c>
      <c r="K586" t="s">
        <v>178</v>
      </c>
      <c r="L586" t="s">
        <v>179</v>
      </c>
      <c r="M586">
        <v>4</v>
      </c>
      <c r="N586">
        <v>77.67</v>
      </c>
      <c r="O586">
        <v>310.68</v>
      </c>
      <c r="P586">
        <v>20</v>
      </c>
      <c r="Q586">
        <v>62.14</v>
      </c>
      <c r="R586">
        <v>248.54</v>
      </c>
      <c r="S586">
        <v>112.48</v>
      </c>
      <c r="T586">
        <v>136.06</v>
      </c>
      <c r="U586" t="s">
        <v>180</v>
      </c>
      <c r="V586" t="s">
        <v>186</v>
      </c>
      <c r="W586" t="s">
        <v>2113</v>
      </c>
      <c r="X586" t="s">
        <v>2094</v>
      </c>
      <c r="Y586">
        <v>149</v>
      </c>
      <c r="Z586">
        <v>395.03</v>
      </c>
      <c r="AA586">
        <v>39.49</v>
      </c>
      <c r="AB586" t="s">
        <v>66</v>
      </c>
      <c r="AC586" t="s">
        <v>20</v>
      </c>
      <c r="AD586" t="s">
        <v>2095</v>
      </c>
      <c r="AE586" t="s">
        <v>2088</v>
      </c>
    </row>
    <row r="587" spans="1:31">
      <c r="A587" t="s">
        <v>588</v>
      </c>
      <c r="B587" s="1">
        <v>45093</v>
      </c>
      <c r="C587" t="s">
        <v>153</v>
      </c>
      <c r="D587">
        <v>2023</v>
      </c>
      <c r="E587" t="s">
        <v>154</v>
      </c>
      <c r="F587" t="s">
        <v>589</v>
      </c>
      <c r="G587" t="s">
        <v>98</v>
      </c>
      <c r="H587" t="s">
        <v>99</v>
      </c>
      <c r="I587" t="s">
        <v>90</v>
      </c>
      <c r="J587" t="s">
        <v>100</v>
      </c>
      <c r="K587" t="s">
        <v>164</v>
      </c>
      <c r="L587" t="s">
        <v>232</v>
      </c>
      <c r="M587">
        <v>2</v>
      </c>
      <c r="N587">
        <v>194.87</v>
      </c>
      <c r="O587">
        <v>389.74</v>
      </c>
      <c r="P587">
        <v>10</v>
      </c>
      <c r="Q587">
        <v>38.97</v>
      </c>
      <c r="R587">
        <v>350.77</v>
      </c>
      <c r="S587">
        <v>157.58000000000001</v>
      </c>
      <c r="T587">
        <v>193.19</v>
      </c>
      <c r="U587" t="s">
        <v>180</v>
      </c>
      <c r="V587" t="s">
        <v>159</v>
      </c>
      <c r="W587" t="s">
        <v>2085</v>
      </c>
      <c r="X587" t="s">
        <v>2111</v>
      </c>
      <c r="Y587">
        <v>11</v>
      </c>
      <c r="Z587">
        <v>969.41</v>
      </c>
      <c r="AA587">
        <v>239.97</v>
      </c>
      <c r="AB587" t="s">
        <v>90</v>
      </c>
      <c r="AC587" t="s">
        <v>20</v>
      </c>
      <c r="AD587" t="s">
        <v>2095</v>
      </c>
      <c r="AE587" t="s">
        <v>2088</v>
      </c>
    </row>
    <row r="588" spans="1:31">
      <c r="A588" t="s">
        <v>1484</v>
      </c>
      <c r="B588" s="1">
        <v>45093</v>
      </c>
      <c r="C588" t="s">
        <v>153</v>
      </c>
      <c r="D588">
        <v>2023</v>
      </c>
      <c r="E588" t="s">
        <v>154</v>
      </c>
      <c r="F588" t="s">
        <v>1485</v>
      </c>
      <c r="G588" t="s">
        <v>111</v>
      </c>
      <c r="H588" t="s">
        <v>112</v>
      </c>
      <c r="I588" t="s">
        <v>90</v>
      </c>
      <c r="J588" t="s">
        <v>97</v>
      </c>
      <c r="K588" t="s">
        <v>164</v>
      </c>
      <c r="L588" t="s">
        <v>157</v>
      </c>
      <c r="M588">
        <v>4</v>
      </c>
      <c r="N588">
        <v>189.99</v>
      </c>
      <c r="O588">
        <v>759.96</v>
      </c>
      <c r="P588">
        <v>15</v>
      </c>
      <c r="Q588">
        <v>113.99</v>
      </c>
      <c r="R588">
        <v>645.97</v>
      </c>
      <c r="S588">
        <v>254.04</v>
      </c>
      <c r="T588">
        <v>391.93</v>
      </c>
      <c r="U588" t="s">
        <v>180</v>
      </c>
      <c r="V588" t="s">
        <v>186</v>
      </c>
      <c r="W588" t="s">
        <v>2097</v>
      </c>
      <c r="X588" t="s">
        <v>2111</v>
      </c>
      <c r="Y588">
        <v>350</v>
      </c>
      <c r="Z588">
        <v>681.44</v>
      </c>
      <c r="AA588">
        <v>88.88</v>
      </c>
      <c r="AB588" t="s">
        <v>115</v>
      </c>
      <c r="AC588" t="s">
        <v>16</v>
      </c>
      <c r="AD588" t="s">
        <v>2087</v>
      </c>
      <c r="AE588" t="s">
        <v>2096</v>
      </c>
    </row>
    <row r="589" spans="1:31">
      <c r="A589" t="s">
        <v>1411</v>
      </c>
      <c r="B589" s="1">
        <v>45092</v>
      </c>
      <c r="C589" t="s">
        <v>153</v>
      </c>
      <c r="D589">
        <v>2023</v>
      </c>
      <c r="E589" t="s">
        <v>154</v>
      </c>
      <c r="F589" t="s">
        <v>1412</v>
      </c>
      <c r="G589" t="s">
        <v>133</v>
      </c>
      <c r="H589" t="s">
        <v>134</v>
      </c>
      <c r="I589" t="s">
        <v>115</v>
      </c>
      <c r="J589" t="s">
        <v>119</v>
      </c>
      <c r="K589" t="s">
        <v>156</v>
      </c>
      <c r="L589" t="s">
        <v>232</v>
      </c>
      <c r="M589">
        <v>4</v>
      </c>
      <c r="N589">
        <v>78.84</v>
      </c>
      <c r="O589">
        <v>315.36</v>
      </c>
      <c r="P589">
        <v>20</v>
      </c>
      <c r="Q589">
        <v>63.07</v>
      </c>
      <c r="R589">
        <v>252.29</v>
      </c>
      <c r="S589">
        <v>190.72</v>
      </c>
      <c r="T589">
        <v>61.57</v>
      </c>
      <c r="U589" t="s">
        <v>166</v>
      </c>
      <c r="V589" t="s">
        <v>159</v>
      </c>
      <c r="W589" t="s">
        <v>2097</v>
      </c>
      <c r="X589" t="s">
        <v>2100</v>
      </c>
      <c r="Y589">
        <v>7</v>
      </c>
      <c r="Z589">
        <v>666.32</v>
      </c>
      <c r="AA589">
        <v>142.78</v>
      </c>
      <c r="AB589" t="s">
        <v>90</v>
      </c>
      <c r="AC589" t="s">
        <v>20</v>
      </c>
      <c r="AD589" t="s">
        <v>2095</v>
      </c>
      <c r="AE589" t="s">
        <v>2088</v>
      </c>
    </row>
    <row r="590" spans="1:31">
      <c r="A590" t="s">
        <v>618</v>
      </c>
      <c r="B590" s="1">
        <v>45092</v>
      </c>
      <c r="C590" t="s">
        <v>153</v>
      </c>
      <c r="D590">
        <v>2023</v>
      </c>
      <c r="E590" t="s">
        <v>154</v>
      </c>
      <c r="F590" t="s">
        <v>619</v>
      </c>
      <c r="G590" t="s">
        <v>43</v>
      </c>
      <c r="H590" t="s">
        <v>44</v>
      </c>
      <c r="I590" t="s">
        <v>41</v>
      </c>
      <c r="J590" t="s">
        <v>45</v>
      </c>
      <c r="K590" t="s">
        <v>156</v>
      </c>
      <c r="L590" t="s">
        <v>174</v>
      </c>
      <c r="M590">
        <v>2</v>
      </c>
      <c r="N590">
        <v>67.56</v>
      </c>
      <c r="O590">
        <v>135.12</v>
      </c>
      <c r="P590">
        <v>5</v>
      </c>
      <c r="Q590">
        <v>6.76</v>
      </c>
      <c r="R590">
        <v>128.36000000000001</v>
      </c>
      <c r="S590">
        <v>86.42</v>
      </c>
      <c r="T590">
        <v>41.94</v>
      </c>
      <c r="U590" t="s">
        <v>195</v>
      </c>
      <c r="V590" t="s">
        <v>186</v>
      </c>
      <c r="W590" t="s">
        <v>2093</v>
      </c>
      <c r="X590" t="s">
        <v>2091</v>
      </c>
      <c r="Y590">
        <v>12</v>
      </c>
      <c r="Z590">
        <v>139.01</v>
      </c>
      <c r="AA590">
        <v>50.5</v>
      </c>
      <c r="AB590" t="s">
        <v>66</v>
      </c>
      <c r="AC590" t="s">
        <v>20</v>
      </c>
      <c r="AD590" t="s">
        <v>2095</v>
      </c>
      <c r="AE590" t="s">
        <v>2088</v>
      </c>
    </row>
    <row r="591" spans="1:31">
      <c r="A591" t="s">
        <v>1804</v>
      </c>
      <c r="B591" s="1">
        <v>45092</v>
      </c>
      <c r="C591" t="s">
        <v>153</v>
      </c>
      <c r="D591">
        <v>2023</v>
      </c>
      <c r="E591" t="s">
        <v>154</v>
      </c>
      <c r="F591" t="s">
        <v>1805</v>
      </c>
      <c r="G591" t="s">
        <v>133</v>
      </c>
      <c r="H591" t="s">
        <v>134</v>
      </c>
      <c r="I591" t="s">
        <v>115</v>
      </c>
      <c r="J591" t="s">
        <v>119</v>
      </c>
      <c r="K591" t="s">
        <v>178</v>
      </c>
      <c r="L591" t="s">
        <v>179</v>
      </c>
      <c r="M591">
        <v>2</v>
      </c>
      <c r="N591">
        <v>78.84</v>
      </c>
      <c r="O591">
        <v>157.68</v>
      </c>
      <c r="P591">
        <v>10</v>
      </c>
      <c r="Q591">
        <v>15.77</v>
      </c>
      <c r="R591">
        <v>141.91</v>
      </c>
      <c r="S591">
        <v>95.36</v>
      </c>
      <c r="T591">
        <v>46.55</v>
      </c>
      <c r="U591" t="s">
        <v>195</v>
      </c>
      <c r="V591" t="s">
        <v>159</v>
      </c>
      <c r="W591" t="s">
        <v>2090</v>
      </c>
      <c r="X591" t="s">
        <v>2111</v>
      </c>
      <c r="Y591">
        <v>15</v>
      </c>
      <c r="Z591">
        <v>330.05</v>
      </c>
      <c r="AA591">
        <v>114.99</v>
      </c>
      <c r="AB591" t="s">
        <v>115</v>
      </c>
      <c r="AC591" t="s">
        <v>16</v>
      </c>
      <c r="AD591" t="s">
        <v>2087</v>
      </c>
      <c r="AE591" t="s">
        <v>2096</v>
      </c>
    </row>
    <row r="592" spans="1:31">
      <c r="A592" t="s">
        <v>1000</v>
      </c>
      <c r="B592" s="1">
        <v>45091</v>
      </c>
      <c r="C592" t="s">
        <v>153</v>
      </c>
      <c r="D592">
        <v>2023</v>
      </c>
      <c r="E592" t="s">
        <v>154</v>
      </c>
      <c r="F592" t="s">
        <v>1001</v>
      </c>
      <c r="G592" t="s">
        <v>62</v>
      </c>
      <c r="H592" t="s">
        <v>63</v>
      </c>
      <c r="I592" t="s">
        <v>41</v>
      </c>
      <c r="J592" t="s">
        <v>45</v>
      </c>
      <c r="K592" t="s">
        <v>164</v>
      </c>
      <c r="L592" t="s">
        <v>232</v>
      </c>
      <c r="M592">
        <v>4</v>
      </c>
      <c r="N592">
        <v>160.35</v>
      </c>
      <c r="O592">
        <v>641.4</v>
      </c>
      <c r="P592">
        <v>20</v>
      </c>
      <c r="Q592">
        <v>128.28</v>
      </c>
      <c r="R592">
        <v>513.12</v>
      </c>
      <c r="S592">
        <v>289.88</v>
      </c>
      <c r="T592">
        <v>223.24</v>
      </c>
      <c r="U592" t="s">
        <v>158</v>
      </c>
      <c r="V592" t="s">
        <v>159</v>
      </c>
      <c r="W592" t="s">
        <v>2099</v>
      </c>
      <c r="X592" t="s">
        <v>2100</v>
      </c>
      <c r="Y592">
        <v>233</v>
      </c>
      <c r="Z592">
        <v>140</v>
      </c>
      <c r="AA592">
        <v>80.959999999999994</v>
      </c>
      <c r="AB592" t="s">
        <v>90</v>
      </c>
      <c r="AC592" t="s">
        <v>16</v>
      </c>
      <c r="AD592" t="s">
        <v>2087</v>
      </c>
      <c r="AE592" t="s">
        <v>2121</v>
      </c>
    </row>
    <row r="593" spans="1:31">
      <c r="A593" t="s">
        <v>873</v>
      </c>
      <c r="B593" s="1">
        <v>45091</v>
      </c>
      <c r="C593" t="s">
        <v>153</v>
      </c>
      <c r="D593">
        <v>2023</v>
      </c>
      <c r="E593" t="s">
        <v>154</v>
      </c>
      <c r="F593" t="s">
        <v>874</v>
      </c>
      <c r="G593" t="s">
        <v>127</v>
      </c>
      <c r="H593" t="s">
        <v>128</v>
      </c>
      <c r="I593" t="s">
        <v>115</v>
      </c>
      <c r="J593" t="s">
        <v>124</v>
      </c>
      <c r="K593" t="s">
        <v>164</v>
      </c>
      <c r="L593" t="s">
        <v>165</v>
      </c>
      <c r="M593">
        <v>4</v>
      </c>
      <c r="N593">
        <v>94.76</v>
      </c>
      <c r="O593">
        <v>379.04</v>
      </c>
      <c r="P593">
        <v>0</v>
      </c>
      <c r="Q593">
        <v>0</v>
      </c>
      <c r="R593">
        <v>379.04</v>
      </c>
      <c r="S593">
        <v>315.27999999999997</v>
      </c>
      <c r="T593">
        <v>63.76</v>
      </c>
      <c r="U593" t="s">
        <v>195</v>
      </c>
      <c r="V593" t="s">
        <v>159</v>
      </c>
      <c r="W593" t="s">
        <v>2113</v>
      </c>
      <c r="X593" t="s">
        <v>2091</v>
      </c>
      <c r="Y593">
        <v>70</v>
      </c>
      <c r="Z593">
        <v>489.75</v>
      </c>
      <c r="AA593">
        <v>36.32</v>
      </c>
      <c r="AB593" t="s">
        <v>41</v>
      </c>
      <c r="AC593" t="s">
        <v>16</v>
      </c>
      <c r="AD593" t="s">
        <v>2087</v>
      </c>
      <c r="AE593" t="s">
        <v>2088</v>
      </c>
    </row>
    <row r="594" spans="1:31">
      <c r="A594" t="s">
        <v>1441</v>
      </c>
      <c r="B594" s="1">
        <v>45091</v>
      </c>
      <c r="C594" t="s">
        <v>153</v>
      </c>
      <c r="D594">
        <v>2023</v>
      </c>
      <c r="E594" t="s">
        <v>154</v>
      </c>
      <c r="F594" t="s">
        <v>1442</v>
      </c>
      <c r="G594" t="s">
        <v>73</v>
      </c>
      <c r="H594" t="s">
        <v>74</v>
      </c>
      <c r="I594" t="s">
        <v>66</v>
      </c>
      <c r="J594" t="s">
        <v>75</v>
      </c>
      <c r="K594" t="s">
        <v>209</v>
      </c>
      <c r="L594" t="s">
        <v>179</v>
      </c>
      <c r="M594">
        <v>3</v>
      </c>
      <c r="N594">
        <v>53.95</v>
      </c>
      <c r="O594">
        <v>161.85000000000002</v>
      </c>
      <c r="P594">
        <v>0</v>
      </c>
      <c r="Q594">
        <v>0</v>
      </c>
      <c r="R594">
        <v>161.85</v>
      </c>
      <c r="S594">
        <v>105.6</v>
      </c>
      <c r="T594">
        <v>56.25</v>
      </c>
      <c r="U594" t="s">
        <v>195</v>
      </c>
      <c r="V594" t="s">
        <v>159</v>
      </c>
      <c r="W594" t="s">
        <v>2099</v>
      </c>
      <c r="X594" t="s">
        <v>2100</v>
      </c>
      <c r="Y594">
        <v>158</v>
      </c>
      <c r="Z594">
        <v>103.8</v>
      </c>
      <c r="AA594">
        <v>73.27</v>
      </c>
      <c r="AB594" t="s">
        <v>14</v>
      </c>
      <c r="AC594" t="s">
        <v>20</v>
      </c>
      <c r="AD594" t="s">
        <v>2095</v>
      </c>
      <c r="AE594" t="s">
        <v>2107</v>
      </c>
    </row>
    <row r="595" spans="1:31">
      <c r="A595" t="s">
        <v>809</v>
      </c>
      <c r="B595" s="1">
        <v>45091</v>
      </c>
      <c r="C595" t="s">
        <v>153</v>
      </c>
      <c r="D595">
        <v>2023</v>
      </c>
      <c r="E595" t="s">
        <v>154</v>
      </c>
      <c r="F595" t="s">
        <v>810</v>
      </c>
      <c r="G595" t="s">
        <v>53</v>
      </c>
      <c r="H595" t="s">
        <v>54</v>
      </c>
      <c r="I595" t="s">
        <v>41</v>
      </c>
      <c r="J595" t="s">
        <v>45</v>
      </c>
      <c r="K595" t="s">
        <v>156</v>
      </c>
      <c r="L595" t="s">
        <v>179</v>
      </c>
      <c r="M595">
        <v>2</v>
      </c>
      <c r="N595">
        <v>51.98</v>
      </c>
      <c r="O595">
        <v>103.96</v>
      </c>
      <c r="P595">
        <v>15</v>
      </c>
      <c r="Q595">
        <v>15.59</v>
      </c>
      <c r="R595">
        <v>88.37</v>
      </c>
      <c r="S595">
        <v>66.08</v>
      </c>
      <c r="T595">
        <v>22.29</v>
      </c>
      <c r="U595" t="s">
        <v>180</v>
      </c>
      <c r="V595" t="s">
        <v>186</v>
      </c>
      <c r="W595" t="s">
        <v>2113</v>
      </c>
      <c r="X595" t="s">
        <v>2108</v>
      </c>
      <c r="Y595">
        <v>11</v>
      </c>
      <c r="Z595">
        <v>362.65</v>
      </c>
      <c r="AA595">
        <v>77.430000000000007</v>
      </c>
      <c r="AB595" t="s">
        <v>66</v>
      </c>
      <c r="AC595" t="s">
        <v>20</v>
      </c>
      <c r="AD595" t="s">
        <v>2095</v>
      </c>
      <c r="AE595" t="s">
        <v>2109</v>
      </c>
    </row>
    <row r="596" spans="1:31">
      <c r="A596" t="s">
        <v>1159</v>
      </c>
      <c r="B596" s="1">
        <v>45091</v>
      </c>
      <c r="C596" t="s">
        <v>153</v>
      </c>
      <c r="D596">
        <v>2023</v>
      </c>
      <c r="E596" t="s">
        <v>154</v>
      </c>
      <c r="F596" t="s">
        <v>1160</v>
      </c>
      <c r="G596" t="s">
        <v>53</v>
      </c>
      <c r="H596" t="s">
        <v>54</v>
      </c>
      <c r="I596" t="s">
        <v>41</v>
      </c>
      <c r="J596" t="s">
        <v>45</v>
      </c>
      <c r="K596" t="s">
        <v>209</v>
      </c>
      <c r="L596" t="s">
        <v>204</v>
      </c>
      <c r="M596">
        <v>1</v>
      </c>
      <c r="N596">
        <v>51.98</v>
      </c>
      <c r="O596">
        <v>51.98</v>
      </c>
      <c r="P596">
        <v>15</v>
      </c>
      <c r="Q596">
        <v>7.8</v>
      </c>
      <c r="R596">
        <v>44.18</v>
      </c>
      <c r="S596">
        <v>33.04</v>
      </c>
      <c r="T596">
        <v>11.14</v>
      </c>
      <c r="U596" t="s">
        <v>195</v>
      </c>
      <c r="V596" t="s">
        <v>181</v>
      </c>
      <c r="W596" t="s">
        <v>2097</v>
      </c>
      <c r="X596" t="s">
        <v>2100</v>
      </c>
      <c r="Y596">
        <v>44</v>
      </c>
      <c r="Z596">
        <v>498.24</v>
      </c>
      <c r="AA596">
        <v>94.4</v>
      </c>
      <c r="AB596" t="s">
        <v>115</v>
      </c>
      <c r="AC596" t="s">
        <v>20</v>
      </c>
      <c r="AD596" t="s">
        <v>2095</v>
      </c>
      <c r="AE596" t="s">
        <v>2109</v>
      </c>
    </row>
    <row r="597" spans="1:31">
      <c r="A597" t="s">
        <v>1798</v>
      </c>
      <c r="B597" s="1">
        <v>45090</v>
      </c>
      <c r="C597" t="s">
        <v>153</v>
      </c>
      <c r="D597">
        <v>2023</v>
      </c>
      <c r="E597" t="s">
        <v>154</v>
      </c>
      <c r="F597" t="s">
        <v>1799</v>
      </c>
      <c r="G597" t="s">
        <v>107</v>
      </c>
      <c r="H597" t="s">
        <v>108</v>
      </c>
      <c r="I597" t="s">
        <v>90</v>
      </c>
      <c r="J597" t="s">
        <v>100</v>
      </c>
      <c r="K597" t="s">
        <v>156</v>
      </c>
      <c r="L597" t="s">
        <v>194</v>
      </c>
      <c r="M597">
        <v>1</v>
      </c>
      <c r="N597">
        <v>26.61</v>
      </c>
      <c r="O597">
        <v>26.61</v>
      </c>
      <c r="P597">
        <v>0</v>
      </c>
      <c r="Q597">
        <v>0</v>
      </c>
      <c r="R597">
        <v>26.61</v>
      </c>
      <c r="S597">
        <v>10.64</v>
      </c>
      <c r="T597">
        <v>15.97</v>
      </c>
      <c r="U597" t="s">
        <v>190</v>
      </c>
      <c r="V597" t="s">
        <v>159</v>
      </c>
      <c r="W597" t="s">
        <v>2113</v>
      </c>
      <c r="X597" t="s">
        <v>2100</v>
      </c>
      <c r="Y597">
        <v>157</v>
      </c>
      <c r="Z597">
        <v>368.64</v>
      </c>
      <c r="AA597">
        <v>67.39</v>
      </c>
      <c r="AB597" t="s">
        <v>66</v>
      </c>
      <c r="AC597" t="s">
        <v>16</v>
      </c>
      <c r="AD597" t="s">
        <v>2087</v>
      </c>
      <c r="AE597" t="s">
        <v>2107</v>
      </c>
    </row>
    <row r="598" spans="1:31">
      <c r="A598" t="s">
        <v>551</v>
      </c>
      <c r="B598" s="1">
        <v>45090</v>
      </c>
      <c r="C598" t="s">
        <v>153</v>
      </c>
      <c r="D598">
        <v>2023</v>
      </c>
      <c r="E598" t="s">
        <v>154</v>
      </c>
      <c r="F598" t="s">
        <v>552</v>
      </c>
      <c r="G598" t="s">
        <v>109</v>
      </c>
      <c r="H598" t="s">
        <v>110</v>
      </c>
      <c r="I598" t="s">
        <v>90</v>
      </c>
      <c r="J598" t="s">
        <v>100</v>
      </c>
      <c r="K598" t="s">
        <v>178</v>
      </c>
      <c r="L598" t="s">
        <v>204</v>
      </c>
      <c r="M598">
        <v>2</v>
      </c>
      <c r="N598">
        <v>77.67</v>
      </c>
      <c r="O598">
        <v>155.34</v>
      </c>
      <c r="P598">
        <v>0</v>
      </c>
      <c r="Q598">
        <v>0</v>
      </c>
      <c r="R598">
        <v>155.34</v>
      </c>
      <c r="S598">
        <v>56.24</v>
      </c>
      <c r="T598">
        <v>99.1</v>
      </c>
      <c r="U598" t="s">
        <v>190</v>
      </c>
      <c r="V598" t="s">
        <v>159</v>
      </c>
      <c r="W598" t="s">
        <v>2097</v>
      </c>
      <c r="X598" t="s">
        <v>2091</v>
      </c>
      <c r="Y598">
        <v>223</v>
      </c>
      <c r="Z598">
        <v>599.54</v>
      </c>
      <c r="AA598">
        <v>91.19</v>
      </c>
      <c r="AB598" t="s">
        <v>66</v>
      </c>
      <c r="AC598" t="s">
        <v>16</v>
      </c>
      <c r="AD598" t="s">
        <v>2106</v>
      </c>
      <c r="AE598" t="s">
        <v>2109</v>
      </c>
    </row>
    <row r="599" spans="1:31">
      <c r="A599" t="s">
        <v>1473</v>
      </c>
      <c r="B599" s="1">
        <v>45089</v>
      </c>
      <c r="C599" t="s">
        <v>153</v>
      </c>
      <c r="D599">
        <v>2023</v>
      </c>
      <c r="E599" t="s">
        <v>154</v>
      </c>
      <c r="F599" t="s">
        <v>1474</v>
      </c>
      <c r="G599" t="s">
        <v>101</v>
      </c>
      <c r="H599" t="s">
        <v>102</v>
      </c>
      <c r="I599" t="s">
        <v>90</v>
      </c>
      <c r="J599" t="s">
        <v>100</v>
      </c>
      <c r="K599" t="s">
        <v>156</v>
      </c>
      <c r="L599" t="s">
        <v>165</v>
      </c>
      <c r="M599">
        <v>1</v>
      </c>
      <c r="N599">
        <v>196.28</v>
      </c>
      <c r="O599">
        <v>196.28</v>
      </c>
      <c r="P599">
        <v>0</v>
      </c>
      <c r="Q599">
        <v>0</v>
      </c>
      <c r="R599">
        <v>196.28</v>
      </c>
      <c r="S599">
        <v>71.73</v>
      </c>
      <c r="T599">
        <v>124.55</v>
      </c>
      <c r="U599" t="s">
        <v>158</v>
      </c>
      <c r="V599" t="s">
        <v>159</v>
      </c>
      <c r="W599" t="s">
        <v>2113</v>
      </c>
      <c r="X599" t="s">
        <v>2111</v>
      </c>
      <c r="Y599">
        <v>224</v>
      </c>
      <c r="Z599">
        <v>323.04000000000002</v>
      </c>
      <c r="AA599">
        <v>66.59</v>
      </c>
      <c r="AB599" t="s">
        <v>115</v>
      </c>
      <c r="AC599" t="s">
        <v>16</v>
      </c>
      <c r="AD599" t="s">
        <v>2106</v>
      </c>
      <c r="AE599" t="s">
        <v>2109</v>
      </c>
    </row>
    <row r="600" spans="1:31">
      <c r="A600" t="s">
        <v>1958</v>
      </c>
      <c r="B600" s="1">
        <v>45089</v>
      </c>
      <c r="C600" t="s">
        <v>153</v>
      </c>
      <c r="D600">
        <v>2023</v>
      </c>
      <c r="E600" t="s">
        <v>154</v>
      </c>
      <c r="F600" t="s">
        <v>1959</v>
      </c>
      <c r="G600" t="s">
        <v>86</v>
      </c>
      <c r="H600" t="s">
        <v>87</v>
      </c>
      <c r="I600" t="s">
        <v>66</v>
      </c>
      <c r="J600" t="s">
        <v>67</v>
      </c>
      <c r="K600" t="s">
        <v>164</v>
      </c>
      <c r="L600" t="s">
        <v>157</v>
      </c>
      <c r="M600">
        <v>2</v>
      </c>
      <c r="N600">
        <v>124.77</v>
      </c>
      <c r="O600">
        <v>249.54</v>
      </c>
      <c r="P600">
        <v>0</v>
      </c>
      <c r="Q600">
        <v>0</v>
      </c>
      <c r="R600">
        <v>249.54</v>
      </c>
      <c r="S600">
        <v>139.28</v>
      </c>
      <c r="T600">
        <v>110.26</v>
      </c>
      <c r="U600" t="s">
        <v>195</v>
      </c>
      <c r="V600" t="s">
        <v>159</v>
      </c>
      <c r="W600" t="s">
        <v>2093</v>
      </c>
      <c r="X600" t="s">
        <v>2100</v>
      </c>
      <c r="Y600">
        <v>241</v>
      </c>
      <c r="Z600">
        <v>137.24</v>
      </c>
      <c r="AA600">
        <v>63.71</v>
      </c>
      <c r="AB600" t="s">
        <v>115</v>
      </c>
      <c r="AC600" t="s">
        <v>16</v>
      </c>
      <c r="AD600" t="s">
        <v>2106</v>
      </c>
      <c r="AE600" t="s">
        <v>2088</v>
      </c>
    </row>
    <row r="601" spans="1:31">
      <c r="A601" t="s">
        <v>1377</v>
      </c>
      <c r="B601" s="1">
        <v>45089</v>
      </c>
      <c r="C601" t="s">
        <v>153</v>
      </c>
      <c r="D601">
        <v>2023</v>
      </c>
      <c r="E601" t="s">
        <v>154</v>
      </c>
      <c r="F601" t="s">
        <v>1378</v>
      </c>
      <c r="G601" t="s">
        <v>35</v>
      </c>
      <c r="H601" t="s">
        <v>36</v>
      </c>
      <c r="I601" t="s">
        <v>14</v>
      </c>
      <c r="J601" t="s">
        <v>19</v>
      </c>
      <c r="K601" t="s">
        <v>178</v>
      </c>
      <c r="L601" t="s">
        <v>179</v>
      </c>
      <c r="M601">
        <v>4</v>
      </c>
      <c r="N601">
        <v>81.599999999999994</v>
      </c>
      <c r="O601">
        <v>326.39999999999998</v>
      </c>
      <c r="P601">
        <v>0</v>
      </c>
      <c r="Q601">
        <v>0</v>
      </c>
      <c r="R601">
        <v>326.39999999999998</v>
      </c>
      <c r="S601">
        <v>117.28</v>
      </c>
      <c r="T601">
        <v>209.12</v>
      </c>
      <c r="U601" t="s">
        <v>180</v>
      </c>
      <c r="V601" t="s">
        <v>159</v>
      </c>
      <c r="W601" t="s">
        <v>2113</v>
      </c>
      <c r="X601" t="s">
        <v>2086</v>
      </c>
      <c r="Y601">
        <v>307</v>
      </c>
      <c r="Z601">
        <v>599.47</v>
      </c>
      <c r="AA601">
        <v>35.630000000000003</v>
      </c>
      <c r="AB601" t="s">
        <v>90</v>
      </c>
      <c r="AC601" t="s">
        <v>16</v>
      </c>
      <c r="AD601" t="s">
        <v>2095</v>
      </c>
      <c r="AE601" t="s">
        <v>2107</v>
      </c>
    </row>
    <row r="602" spans="1:31">
      <c r="A602" t="s">
        <v>1762</v>
      </c>
      <c r="B602" s="1">
        <v>45089</v>
      </c>
      <c r="C602" t="s">
        <v>153</v>
      </c>
      <c r="D602">
        <v>2023</v>
      </c>
      <c r="E602" t="s">
        <v>154</v>
      </c>
      <c r="F602" t="s">
        <v>1763</v>
      </c>
      <c r="G602" t="s">
        <v>103</v>
      </c>
      <c r="H602" t="s">
        <v>104</v>
      </c>
      <c r="I602" t="s">
        <v>90</v>
      </c>
      <c r="J602" t="s">
        <v>94</v>
      </c>
      <c r="K602" t="s">
        <v>156</v>
      </c>
      <c r="L602" t="s">
        <v>194</v>
      </c>
      <c r="M602">
        <v>1</v>
      </c>
      <c r="N602">
        <v>98.58</v>
      </c>
      <c r="O602">
        <v>98.58</v>
      </c>
      <c r="P602">
        <v>15</v>
      </c>
      <c r="Q602">
        <v>14.79</v>
      </c>
      <c r="R602">
        <v>83.79</v>
      </c>
      <c r="S602">
        <v>52.57</v>
      </c>
      <c r="T602">
        <v>31.22</v>
      </c>
      <c r="U602" t="s">
        <v>180</v>
      </c>
      <c r="V602" t="s">
        <v>181</v>
      </c>
      <c r="W602" t="s">
        <v>2093</v>
      </c>
      <c r="X602" t="s">
        <v>2100</v>
      </c>
      <c r="Y602">
        <v>134</v>
      </c>
      <c r="Z602">
        <v>127.11</v>
      </c>
      <c r="AA602">
        <v>76.3</v>
      </c>
      <c r="AB602" t="s">
        <v>41</v>
      </c>
      <c r="AC602" t="s">
        <v>20</v>
      </c>
      <c r="AD602" t="s">
        <v>2095</v>
      </c>
      <c r="AE602" t="s">
        <v>2088</v>
      </c>
    </row>
    <row r="603" spans="1:31">
      <c r="A603" t="s">
        <v>1856</v>
      </c>
      <c r="B603" s="1">
        <v>45088</v>
      </c>
      <c r="C603" t="s">
        <v>153</v>
      </c>
      <c r="D603">
        <v>2023</v>
      </c>
      <c r="E603" t="s">
        <v>154</v>
      </c>
      <c r="F603" t="s">
        <v>1857</v>
      </c>
      <c r="G603" t="s">
        <v>33</v>
      </c>
      <c r="H603" t="s">
        <v>34</v>
      </c>
      <c r="I603" t="s">
        <v>14</v>
      </c>
      <c r="J603" t="s">
        <v>27</v>
      </c>
      <c r="K603" t="s">
        <v>164</v>
      </c>
      <c r="L603" t="s">
        <v>204</v>
      </c>
      <c r="M603">
        <v>4</v>
      </c>
      <c r="N603">
        <v>124.26</v>
      </c>
      <c r="O603">
        <v>497.04</v>
      </c>
      <c r="P603">
        <v>5</v>
      </c>
      <c r="Q603">
        <v>24.85</v>
      </c>
      <c r="R603">
        <v>472.19</v>
      </c>
      <c r="S603">
        <v>210.48</v>
      </c>
      <c r="T603">
        <v>261.70999999999998</v>
      </c>
      <c r="U603" t="s">
        <v>180</v>
      </c>
      <c r="V603" t="s">
        <v>159</v>
      </c>
      <c r="W603" t="s">
        <v>2093</v>
      </c>
      <c r="X603" t="s">
        <v>2094</v>
      </c>
      <c r="Y603">
        <v>153</v>
      </c>
      <c r="Z603">
        <v>87.45</v>
      </c>
      <c r="AA603">
        <v>57.91</v>
      </c>
      <c r="AB603" t="s">
        <v>41</v>
      </c>
      <c r="AC603" t="s">
        <v>16</v>
      </c>
      <c r="AD603" t="s">
        <v>2106</v>
      </c>
      <c r="AE603" t="s">
        <v>2109</v>
      </c>
    </row>
    <row r="604" spans="1:31">
      <c r="A604" t="s">
        <v>1409</v>
      </c>
      <c r="B604" s="1">
        <v>45088</v>
      </c>
      <c r="C604" t="s">
        <v>153</v>
      </c>
      <c r="D604">
        <v>2023</v>
      </c>
      <c r="E604" t="s">
        <v>154</v>
      </c>
      <c r="F604" t="s">
        <v>1410</v>
      </c>
      <c r="G604" t="s">
        <v>101</v>
      </c>
      <c r="H604" t="s">
        <v>102</v>
      </c>
      <c r="I604" t="s">
        <v>90</v>
      </c>
      <c r="J604" t="s">
        <v>100</v>
      </c>
      <c r="K604" t="s">
        <v>178</v>
      </c>
      <c r="L604" t="s">
        <v>179</v>
      </c>
      <c r="M604">
        <v>4</v>
      </c>
      <c r="N604">
        <v>196.28</v>
      </c>
      <c r="O604">
        <v>785.12</v>
      </c>
      <c r="P604">
        <v>0</v>
      </c>
      <c r="Q604">
        <v>0</v>
      </c>
      <c r="R604">
        <v>785.12</v>
      </c>
      <c r="S604">
        <v>286.92</v>
      </c>
      <c r="T604">
        <v>498.2</v>
      </c>
      <c r="U604" t="s">
        <v>195</v>
      </c>
      <c r="V604" t="s">
        <v>186</v>
      </c>
      <c r="W604" t="s">
        <v>2093</v>
      </c>
      <c r="X604" t="s">
        <v>2108</v>
      </c>
      <c r="Y604">
        <v>300</v>
      </c>
      <c r="Z604">
        <v>131.09</v>
      </c>
      <c r="AA604">
        <v>32.380000000000003</v>
      </c>
      <c r="AB604" t="s">
        <v>14</v>
      </c>
      <c r="AC604" t="s">
        <v>16</v>
      </c>
      <c r="AD604" t="s">
        <v>2095</v>
      </c>
      <c r="AE604" t="s">
        <v>2096</v>
      </c>
    </row>
    <row r="605" spans="1:31">
      <c r="A605" t="s">
        <v>893</v>
      </c>
      <c r="B605" s="1">
        <v>45088</v>
      </c>
      <c r="C605" t="s">
        <v>153</v>
      </c>
      <c r="D605">
        <v>2023</v>
      </c>
      <c r="E605" t="s">
        <v>154</v>
      </c>
      <c r="F605" t="s">
        <v>894</v>
      </c>
      <c r="G605" t="s">
        <v>60</v>
      </c>
      <c r="H605" t="s">
        <v>61</v>
      </c>
      <c r="I605" t="s">
        <v>41</v>
      </c>
      <c r="J605" t="s">
        <v>59</v>
      </c>
      <c r="K605" t="s">
        <v>164</v>
      </c>
      <c r="L605" t="s">
        <v>165</v>
      </c>
      <c r="M605">
        <v>3</v>
      </c>
      <c r="N605">
        <v>103.56</v>
      </c>
      <c r="O605">
        <v>310.68</v>
      </c>
      <c r="P605">
        <v>20</v>
      </c>
      <c r="Q605">
        <v>62.14</v>
      </c>
      <c r="R605">
        <v>248.54</v>
      </c>
      <c r="S605">
        <v>133.74</v>
      </c>
      <c r="T605">
        <v>114.8</v>
      </c>
      <c r="U605" t="s">
        <v>195</v>
      </c>
      <c r="V605" t="s">
        <v>159</v>
      </c>
      <c r="W605" t="s">
        <v>2085</v>
      </c>
      <c r="X605" t="s">
        <v>2100</v>
      </c>
      <c r="Y605">
        <v>65</v>
      </c>
      <c r="Z605">
        <v>2300.35</v>
      </c>
      <c r="AA605">
        <v>283.25</v>
      </c>
      <c r="AB605" t="s">
        <v>14</v>
      </c>
      <c r="AC605" t="s">
        <v>16</v>
      </c>
      <c r="AD605" t="s">
        <v>2095</v>
      </c>
      <c r="AE605" t="s">
        <v>2096</v>
      </c>
    </row>
    <row r="606" spans="1:31">
      <c r="A606" t="s">
        <v>1194</v>
      </c>
      <c r="B606" s="1">
        <v>45088</v>
      </c>
      <c r="C606" t="s">
        <v>153</v>
      </c>
      <c r="D606">
        <v>2023</v>
      </c>
      <c r="E606" t="s">
        <v>154</v>
      </c>
      <c r="F606" t="s">
        <v>1195</v>
      </c>
      <c r="G606" t="s">
        <v>37</v>
      </c>
      <c r="H606" t="s">
        <v>38</v>
      </c>
      <c r="I606" t="s">
        <v>14</v>
      </c>
      <c r="J606" t="s">
        <v>27</v>
      </c>
      <c r="K606" t="s">
        <v>164</v>
      </c>
      <c r="L606" t="s">
        <v>157</v>
      </c>
      <c r="M606">
        <v>3</v>
      </c>
      <c r="N606">
        <v>133.99</v>
      </c>
      <c r="O606">
        <v>401.97</v>
      </c>
      <c r="P606">
        <v>20</v>
      </c>
      <c r="Q606">
        <v>80.39</v>
      </c>
      <c r="R606">
        <v>321.58</v>
      </c>
      <c r="S606">
        <v>220.47</v>
      </c>
      <c r="T606">
        <v>101.11</v>
      </c>
      <c r="U606" t="s">
        <v>158</v>
      </c>
      <c r="V606" t="s">
        <v>159</v>
      </c>
      <c r="W606" t="s">
        <v>2099</v>
      </c>
      <c r="X606" t="s">
        <v>2094</v>
      </c>
      <c r="Y606">
        <v>256</v>
      </c>
      <c r="Z606">
        <v>62.52</v>
      </c>
      <c r="AA606">
        <v>42.79</v>
      </c>
      <c r="AB606" t="s">
        <v>66</v>
      </c>
      <c r="AC606" t="s">
        <v>20</v>
      </c>
      <c r="AD606" t="s">
        <v>2106</v>
      </c>
      <c r="AE606" t="s">
        <v>2109</v>
      </c>
    </row>
    <row r="607" spans="1:31">
      <c r="A607" t="s">
        <v>495</v>
      </c>
      <c r="B607" s="1">
        <v>45088</v>
      </c>
      <c r="C607" t="s">
        <v>153</v>
      </c>
      <c r="D607">
        <v>2023</v>
      </c>
      <c r="E607" t="s">
        <v>154</v>
      </c>
      <c r="F607" t="s">
        <v>496</v>
      </c>
      <c r="G607" t="s">
        <v>21</v>
      </c>
      <c r="H607" t="s">
        <v>22</v>
      </c>
      <c r="I607" t="s">
        <v>14</v>
      </c>
      <c r="J607" t="s">
        <v>15</v>
      </c>
      <c r="K607" t="s">
        <v>178</v>
      </c>
      <c r="L607" t="s">
        <v>232</v>
      </c>
      <c r="M607">
        <v>2</v>
      </c>
      <c r="N607">
        <v>65.430000000000007</v>
      </c>
      <c r="O607">
        <v>130.86000000000001</v>
      </c>
      <c r="P607">
        <v>0</v>
      </c>
      <c r="Q607">
        <v>0</v>
      </c>
      <c r="R607">
        <v>130.86000000000001</v>
      </c>
      <c r="S607">
        <v>77.38</v>
      </c>
      <c r="T607">
        <v>53.48</v>
      </c>
      <c r="U607" t="s">
        <v>180</v>
      </c>
      <c r="V607" t="s">
        <v>181</v>
      </c>
      <c r="W607" t="s">
        <v>2099</v>
      </c>
      <c r="X607" t="s">
        <v>2094</v>
      </c>
      <c r="Y607">
        <v>234</v>
      </c>
      <c r="Z607">
        <v>98.35</v>
      </c>
      <c r="AA607">
        <v>21.81</v>
      </c>
      <c r="AB607" t="s">
        <v>115</v>
      </c>
      <c r="AC607" t="s">
        <v>20</v>
      </c>
      <c r="AD607" t="s">
        <v>2087</v>
      </c>
      <c r="AE607" t="s">
        <v>2088</v>
      </c>
    </row>
    <row r="608" spans="1:31">
      <c r="A608" t="s">
        <v>289</v>
      </c>
      <c r="B608" s="1">
        <v>45088</v>
      </c>
      <c r="C608" t="s">
        <v>153</v>
      </c>
      <c r="D608">
        <v>2023</v>
      </c>
      <c r="E608" t="s">
        <v>154</v>
      </c>
      <c r="F608" t="s">
        <v>213</v>
      </c>
      <c r="G608" t="s">
        <v>21</v>
      </c>
      <c r="H608" t="s">
        <v>22</v>
      </c>
      <c r="I608" t="s">
        <v>14</v>
      </c>
      <c r="J608" t="s">
        <v>15</v>
      </c>
      <c r="K608" t="s">
        <v>178</v>
      </c>
      <c r="L608" t="s">
        <v>174</v>
      </c>
      <c r="M608">
        <v>4</v>
      </c>
      <c r="N608">
        <v>65.430000000000007</v>
      </c>
      <c r="O608">
        <v>261.72000000000003</v>
      </c>
      <c r="P608">
        <v>0</v>
      </c>
      <c r="Q608">
        <v>0</v>
      </c>
      <c r="R608">
        <v>261.72000000000003</v>
      </c>
      <c r="S608">
        <v>154.76</v>
      </c>
      <c r="T608">
        <v>106.96</v>
      </c>
      <c r="U608" t="s">
        <v>180</v>
      </c>
      <c r="V608" t="s">
        <v>181</v>
      </c>
      <c r="W608" t="s">
        <v>2093</v>
      </c>
      <c r="X608" t="s">
        <v>2091</v>
      </c>
      <c r="Y608">
        <v>313</v>
      </c>
      <c r="Z608">
        <v>154.21</v>
      </c>
      <c r="AA608">
        <v>59.96</v>
      </c>
      <c r="AB608" t="s">
        <v>14</v>
      </c>
      <c r="AC608" t="s">
        <v>16</v>
      </c>
      <c r="AD608" t="s">
        <v>2095</v>
      </c>
      <c r="AE608" t="s">
        <v>2088</v>
      </c>
    </row>
    <row r="609" spans="1:31">
      <c r="A609" t="s">
        <v>833</v>
      </c>
      <c r="B609" s="1">
        <v>45087</v>
      </c>
      <c r="C609" t="s">
        <v>153</v>
      </c>
      <c r="D609">
        <v>2023</v>
      </c>
      <c r="E609" t="s">
        <v>154</v>
      </c>
      <c r="F609" t="s">
        <v>399</v>
      </c>
      <c r="G609" t="s">
        <v>129</v>
      </c>
      <c r="H609" t="s">
        <v>130</v>
      </c>
      <c r="I609" t="s">
        <v>115</v>
      </c>
      <c r="J609" t="s">
        <v>124</v>
      </c>
      <c r="K609" t="s">
        <v>178</v>
      </c>
      <c r="L609" t="s">
        <v>157</v>
      </c>
      <c r="M609">
        <v>1</v>
      </c>
      <c r="N609">
        <v>99.34</v>
      </c>
      <c r="O609">
        <v>99.34</v>
      </c>
      <c r="P609">
        <v>0</v>
      </c>
      <c r="Q609">
        <v>0</v>
      </c>
      <c r="R609">
        <v>99.34</v>
      </c>
      <c r="S609">
        <v>37.35</v>
      </c>
      <c r="T609">
        <v>61.99</v>
      </c>
      <c r="U609" t="s">
        <v>180</v>
      </c>
      <c r="V609" t="s">
        <v>159</v>
      </c>
      <c r="W609" t="s">
        <v>2090</v>
      </c>
      <c r="X609" t="s">
        <v>2094</v>
      </c>
      <c r="Y609">
        <v>164</v>
      </c>
      <c r="Z609">
        <v>119.78</v>
      </c>
      <c r="AA609">
        <v>40.299999999999997</v>
      </c>
      <c r="AB609" t="s">
        <v>41</v>
      </c>
      <c r="AC609" t="s">
        <v>16</v>
      </c>
      <c r="AD609" t="s">
        <v>2106</v>
      </c>
      <c r="AE609" t="s">
        <v>2109</v>
      </c>
    </row>
    <row r="610" spans="1:31">
      <c r="A610" t="s">
        <v>1324</v>
      </c>
      <c r="B610" s="1">
        <v>45087</v>
      </c>
      <c r="C610" t="s">
        <v>153</v>
      </c>
      <c r="D610">
        <v>2023</v>
      </c>
      <c r="E610" t="s">
        <v>154</v>
      </c>
      <c r="F610" t="s">
        <v>724</v>
      </c>
      <c r="G610" t="s">
        <v>39</v>
      </c>
      <c r="H610" t="s">
        <v>40</v>
      </c>
      <c r="I610" t="s">
        <v>41</v>
      </c>
      <c r="J610" t="s">
        <v>42</v>
      </c>
      <c r="K610" t="s">
        <v>178</v>
      </c>
      <c r="L610" t="s">
        <v>165</v>
      </c>
      <c r="M610">
        <v>3</v>
      </c>
      <c r="N610">
        <v>35.11</v>
      </c>
      <c r="O610">
        <v>105.33</v>
      </c>
      <c r="P610">
        <v>0</v>
      </c>
      <c r="Q610">
        <v>0</v>
      </c>
      <c r="R610">
        <v>105.33</v>
      </c>
      <c r="S610">
        <v>74.61</v>
      </c>
      <c r="T610">
        <v>30.72</v>
      </c>
      <c r="U610" t="s">
        <v>195</v>
      </c>
      <c r="V610" t="s">
        <v>181</v>
      </c>
      <c r="W610" t="s">
        <v>2097</v>
      </c>
      <c r="X610" t="s">
        <v>2091</v>
      </c>
      <c r="Y610">
        <v>321</v>
      </c>
      <c r="Z610">
        <v>797.23</v>
      </c>
      <c r="AA610">
        <v>51.74</v>
      </c>
      <c r="AB610" t="s">
        <v>115</v>
      </c>
      <c r="AC610" t="s">
        <v>16</v>
      </c>
      <c r="AD610" t="s">
        <v>2106</v>
      </c>
      <c r="AE610" t="s">
        <v>2121</v>
      </c>
    </row>
    <row r="611" spans="1:31">
      <c r="A611" t="s">
        <v>1830</v>
      </c>
      <c r="B611" s="1">
        <v>45087</v>
      </c>
      <c r="C611" t="s">
        <v>153</v>
      </c>
      <c r="D611">
        <v>2023</v>
      </c>
      <c r="E611" t="s">
        <v>154</v>
      </c>
      <c r="F611" t="s">
        <v>1831</v>
      </c>
      <c r="G611" t="s">
        <v>80</v>
      </c>
      <c r="H611" t="s">
        <v>81</v>
      </c>
      <c r="I611" t="s">
        <v>66</v>
      </c>
      <c r="J611" t="s">
        <v>70</v>
      </c>
      <c r="K611" t="s">
        <v>164</v>
      </c>
      <c r="L611" t="s">
        <v>174</v>
      </c>
      <c r="M611">
        <v>1</v>
      </c>
      <c r="N611">
        <v>106.06</v>
      </c>
      <c r="O611">
        <v>106.06</v>
      </c>
      <c r="P611">
        <v>20</v>
      </c>
      <c r="Q611">
        <v>21.21</v>
      </c>
      <c r="R611">
        <v>84.85</v>
      </c>
      <c r="S611">
        <v>33.42</v>
      </c>
      <c r="T611">
        <v>51.43</v>
      </c>
      <c r="U611" t="s">
        <v>166</v>
      </c>
      <c r="V611" t="s">
        <v>159</v>
      </c>
      <c r="W611" t="s">
        <v>2090</v>
      </c>
      <c r="X611" t="s">
        <v>2094</v>
      </c>
      <c r="Y611">
        <v>100</v>
      </c>
      <c r="Z611">
        <v>292.24</v>
      </c>
      <c r="AA611">
        <v>93.44</v>
      </c>
      <c r="AB611" t="s">
        <v>14</v>
      </c>
      <c r="AC611" t="s">
        <v>16</v>
      </c>
      <c r="AD611" t="s">
        <v>2087</v>
      </c>
      <c r="AE611" t="s">
        <v>2088</v>
      </c>
    </row>
    <row r="612" spans="1:31">
      <c r="A612" t="s">
        <v>1004</v>
      </c>
      <c r="B612" s="1">
        <v>45086</v>
      </c>
      <c r="C612" t="s">
        <v>153</v>
      </c>
      <c r="D612">
        <v>2023</v>
      </c>
      <c r="E612" t="s">
        <v>154</v>
      </c>
      <c r="F612" t="s">
        <v>524</v>
      </c>
      <c r="G612" t="s">
        <v>23</v>
      </c>
      <c r="H612" t="s">
        <v>24</v>
      </c>
      <c r="I612" t="s">
        <v>14</v>
      </c>
      <c r="J612" t="s">
        <v>19</v>
      </c>
      <c r="K612" t="s">
        <v>164</v>
      </c>
      <c r="L612" t="s">
        <v>157</v>
      </c>
      <c r="M612">
        <v>2</v>
      </c>
      <c r="N612">
        <v>154.03</v>
      </c>
      <c r="O612">
        <v>308.06</v>
      </c>
      <c r="P612">
        <v>0</v>
      </c>
      <c r="Q612">
        <v>0</v>
      </c>
      <c r="R612">
        <v>308.06</v>
      </c>
      <c r="S612">
        <v>153.58000000000001</v>
      </c>
      <c r="T612">
        <v>154.47999999999999</v>
      </c>
      <c r="U612" t="s">
        <v>166</v>
      </c>
      <c r="V612" t="s">
        <v>181</v>
      </c>
      <c r="W612" t="s">
        <v>2099</v>
      </c>
      <c r="X612" t="s">
        <v>2111</v>
      </c>
      <c r="Y612">
        <v>105</v>
      </c>
      <c r="Z612">
        <v>36.61</v>
      </c>
      <c r="AA612">
        <v>41.77</v>
      </c>
      <c r="AB612" t="s">
        <v>14</v>
      </c>
      <c r="AC612" t="s">
        <v>20</v>
      </c>
      <c r="AD612" t="s">
        <v>2087</v>
      </c>
      <c r="AE612" t="s">
        <v>2121</v>
      </c>
    </row>
    <row r="613" spans="1:31">
      <c r="A613" t="s">
        <v>1359</v>
      </c>
      <c r="B613" s="1">
        <v>45086</v>
      </c>
      <c r="C613" t="s">
        <v>153</v>
      </c>
      <c r="D613">
        <v>2023</v>
      </c>
      <c r="E613" t="s">
        <v>154</v>
      </c>
      <c r="F613" t="s">
        <v>1360</v>
      </c>
      <c r="G613" t="s">
        <v>48</v>
      </c>
      <c r="H613" t="s">
        <v>49</v>
      </c>
      <c r="I613" t="s">
        <v>41</v>
      </c>
      <c r="J613" t="s">
        <v>42</v>
      </c>
      <c r="K613" t="s">
        <v>164</v>
      </c>
      <c r="L613" t="s">
        <v>194</v>
      </c>
      <c r="M613">
        <v>3</v>
      </c>
      <c r="N613">
        <v>84.95</v>
      </c>
      <c r="O613">
        <v>254.85000000000002</v>
      </c>
      <c r="P613">
        <v>5</v>
      </c>
      <c r="Q613">
        <v>12.74</v>
      </c>
      <c r="R613">
        <v>242.11</v>
      </c>
      <c r="S613">
        <v>159.21</v>
      </c>
      <c r="T613">
        <v>82.9</v>
      </c>
      <c r="U613" t="s">
        <v>180</v>
      </c>
      <c r="V613" t="s">
        <v>159</v>
      </c>
      <c r="W613" t="s">
        <v>2097</v>
      </c>
      <c r="X613" t="s">
        <v>2100</v>
      </c>
      <c r="Y613">
        <v>7</v>
      </c>
      <c r="Z613">
        <v>281.01</v>
      </c>
      <c r="AA613">
        <v>115.06</v>
      </c>
      <c r="AB613" t="s">
        <v>66</v>
      </c>
      <c r="AC613" t="s">
        <v>16</v>
      </c>
      <c r="AD613" t="s">
        <v>2095</v>
      </c>
      <c r="AE613" t="s">
        <v>2107</v>
      </c>
    </row>
    <row r="614" spans="1:31">
      <c r="A614" t="s">
        <v>762</v>
      </c>
      <c r="B614" s="1">
        <v>45086</v>
      </c>
      <c r="C614" t="s">
        <v>153</v>
      </c>
      <c r="D614">
        <v>2023</v>
      </c>
      <c r="E614" t="s">
        <v>154</v>
      </c>
      <c r="F614" t="s">
        <v>763</v>
      </c>
      <c r="G614" t="s">
        <v>33</v>
      </c>
      <c r="H614" t="s">
        <v>34</v>
      </c>
      <c r="I614" t="s">
        <v>14</v>
      </c>
      <c r="J614" t="s">
        <v>27</v>
      </c>
      <c r="K614" t="s">
        <v>164</v>
      </c>
      <c r="L614" t="s">
        <v>179</v>
      </c>
      <c r="M614">
        <v>2</v>
      </c>
      <c r="N614">
        <v>124.26</v>
      </c>
      <c r="O614">
        <v>248.52</v>
      </c>
      <c r="P614">
        <v>0</v>
      </c>
      <c r="Q614">
        <v>0</v>
      </c>
      <c r="R614">
        <v>248.52</v>
      </c>
      <c r="S614">
        <v>105.24</v>
      </c>
      <c r="T614">
        <v>143.28</v>
      </c>
      <c r="U614" t="s">
        <v>190</v>
      </c>
      <c r="V614" t="s">
        <v>181</v>
      </c>
      <c r="W614" t="s">
        <v>2093</v>
      </c>
      <c r="X614" t="s">
        <v>2094</v>
      </c>
      <c r="Y614">
        <v>231</v>
      </c>
      <c r="Z614">
        <v>79.91</v>
      </c>
      <c r="AA614">
        <v>47.34</v>
      </c>
      <c r="AB614" t="s">
        <v>41</v>
      </c>
      <c r="AC614" t="s">
        <v>16</v>
      </c>
      <c r="AD614" t="s">
        <v>2095</v>
      </c>
      <c r="AE614" t="s">
        <v>2109</v>
      </c>
    </row>
    <row r="615" spans="1:31">
      <c r="A615" t="s">
        <v>425</v>
      </c>
      <c r="B615" s="1">
        <v>45085</v>
      </c>
      <c r="C615" t="s">
        <v>153</v>
      </c>
      <c r="D615">
        <v>2023</v>
      </c>
      <c r="E615" t="s">
        <v>154</v>
      </c>
      <c r="F615" t="s">
        <v>426</v>
      </c>
      <c r="G615" t="s">
        <v>78</v>
      </c>
      <c r="H615" t="s">
        <v>79</v>
      </c>
      <c r="I615" t="s">
        <v>66</v>
      </c>
      <c r="J615" t="s">
        <v>70</v>
      </c>
      <c r="K615" t="s">
        <v>178</v>
      </c>
      <c r="L615" t="s">
        <v>157</v>
      </c>
      <c r="M615">
        <v>1</v>
      </c>
      <c r="N615">
        <v>218.05</v>
      </c>
      <c r="O615">
        <v>218.05</v>
      </c>
      <c r="P615">
        <v>5</v>
      </c>
      <c r="Q615">
        <v>10.9</v>
      </c>
      <c r="R615">
        <v>207.15</v>
      </c>
      <c r="S615">
        <v>74.48</v>
      </c>
      <c r="T615">
        <v>132.66999999999999</v>
      </c>
      <c r="U615" t="s">
        <v>195</v>
      </c>
      <c r="V615" t="s">
        <v>159</v>
      </c>
      <c r="W615" t="s">
        <v>2099</v>
      </c>
      <c r="X615" t="s">
        <v>2108</v>
      </c>
      <c r="Y615">
        <v>113</v>
      </c>
      <c r="Z615">
        <v>57.97</v>
      </c>
      <c r="AA615">
        <v>96.79</v>
      </c>
      <c r="AB615" t="s">
        <v>90</v>
      </c>
      <c r="AC615" t="s">
        <v>20</v>
      </c>
      <c r="AD615" t="s">
        <v>2095</v>
      </c>
      <c r="AE615" t="s">
        <v>2107</v>
      </c>
    </row>
    <row r="616" spans="1:31">
      <c r="A616" t="s">
        <v>152</v>
      </c>
      <c r="B616" s="1">
        <v>45085</v>
      </c>
      <c r="C616" t="s">
        <v>153</v>
      </c>
      <c r="D616">
        <v>2023</v>
      </c>
      <c r="E616" t="s">
        <v>154</v>
      </c>
      <c r="F616" t="s">
        <v>155</v>
      </c>
      <c r="G616" t="s">
        <v>133</v>
      </c>
      <c r="H616" t="s">
        <v>134</v>
      </c>
      <c r="I616" t="s">
        <v>115</v>
      </c>
      <c r="J616" t="s">
        <v>119</v>
      </c>
      <c r="K616" t="s">
        <v>156</v>
      </c>
      <c r="L616" t="s">
        <v>157</v>
      </c>
      <c r="M616">
        <v>2</v>
      </c>
      <c r="N616">
        <v>78.84</v>
      </c>
      <c r="O616">
        <v>157.68</v>
      </c>
      <c r="P616">
        <v>15</v>
      </c>
      <c r="Q616">
        <v>23.65</v>
      </c>
      <c r="R616">
        <v>134.03</v>
      </c>
      <c r="S616">
        <v>95.36</v>
      </c>
      <c r="T616">
        <v>38.67</v>
      </c>
      <c r="U616" t="s">
        <v>158</v>
      </c>
      <c r="V616" t="s">
        <v>159</v>
      </c>
      <c r="W616" t="s">
        <v>2113</v>
      </c>
      <c r="X616" t="s">
        <v>2111</v>
      </c>
      <c r="Y616">
        <v>286</v>
      </c>
      <c r="Z616">
        <v>206.01</v>
      </c>
      <c r="AA616">
        <v>31.35</v>
      </c>
      <c r="AB616" t="s">
        <v>41</v>
      </c>
      <c r="AC616" t="s">
        <v>16</v>
      </c>
      <c r="AD616" t="s">
        <v>2095</v>
      </c>
      <c r="AE616" t="s">
        <v>2121</v>
      </c>
    </row>
    <row r="617" spans="1:31">
      <c r="A617" t="s">
        <v>451</v>
      </c>
      <c r="B617" s="1">
        <v>45085</v>
      </c>
      <c r="C617" t="s">
        <v>153</v>
      </c>
      <c r="D617">
        <v>2023</v>
      </c>
      <c r="E617" t="s">
        <v>154</v>
      </c>
      <c r="F617" t="s">
        <v>452</v>
      </c>
      <c r="G617" t="s">
        <v>120</v>
      </c>
      <c r="H617" t="s">
        <v>121</v>
      </c>
      <c r="I617" t="s">
        <v>115</v>
      </c>
      <c r="J617" t="s">
        <v>119</v>
      </c>
      <c r="K617" t="s">
        <v>164</v>
      </c>
      <c r="L617" t="s">
        <v>157</v>
      </c>
      <c r="M617">
        <v>2</v>
      </c>
      <c r="N617">
        <v>197.52</v>
      </c>
      <c r="O617">
        <v>395.04</v>
      </c>
      <c r="P617">
        <v>0</v>
      </c>
      <c r="Q617">
        <v>0</v>
      </c>
      <c r="R617">
        <v>395.04</v>
      </c>
      <c r="S617">
        <v>133.08000000000001</v>
      </c>
      <c r="T617">
        <v>261.95999999999998</v>
      </c>
      <c r="U617" t="s">
        <v>166</v>
      </c>
      <c r="V617" t="s">
        <v>159</v>
      </c>
      <c r="W617" t="s">
        <v>2090</v>
      </c>
      <c r="X617" t="s">
        <v>2100</v>
      </c>
      <c r="Y617">
        <v>110</v>
      </c>
      <c r="Z617">
        <v>359.69</v>
      </c>
      <c r="AA617">
        <v>66.22</v>
      </c>
      <c r="AB617" t="s">
        <v>41</v>
      </c>
      <c r="AC617" t="s">
        <v>20</v>
      </c>
      <c r="AD617" t="s">
        <v>2095</v>
      </c>
      <c r="AE617" t="s">
        <v>2088</v>
      </c>
    </row>
    <row r="618" spans="1:31">
      <c r="A618" t="s">
        <v>402</v>
      </c>
      <c r="B618" s="1">
        <v>45085</v>
      </c>
      <c r="C618" t="s">
        <v>153</v>
      </c>
      <c r="D618">
        <v>2023</v>
      </c>
      <c r="E618" t="s">
        <v>154</v>
      </c>
      <c r="F618" t="s">
        <v>403</v>
      </c>
      <c r="G618" t="s">
        <v>43</v>
      </c>
      <c r="H618" t="s">
        <v>44</v>
      </c>
      <c r="I618" t="s">
        <v>41</v>
      </c>
      <c r="J618" t="s">
        <v>45</v>
      </c>
      <c r="K618" t="s">
        <v>178</v>
      </c>
      <c r="L618" t="s">
        <v>194</v>
      </c>
      <c r="M618">
        <v>3</v>
      </c>
      <c r="N618">
        <v>67.56</v>
      </c>
      <c r="O618">
        <v>202.68</v>
      </c>
      <c r="P618">
        <v>15</v>
      </c>
      <c r="Q618">
        <v>30.4</v>
      </c>
      <c r="R618">
        <v>172.28</v>
      </c>
      <c r="S618">
        <v>129.63</v>
      </c>
      <c r="T618">
        <v>42.65</v>
      </c>
      <c r="U618" t="s">
        <v>158</v>
      </c>
      <c r="V618" t="s">
        <v>159</v>
      </c>
      <c r="W618" t="s">
        <v>2085</v>
      </c>
      <c r="X618" t="s">
        <v>2091</v>
      </c>
      <c r="Y618">
        <v>15</v>
      </c>
      <c r="Z618">
        <v>1808.52</v>
      </c>
      <c r="AA618">
        <v>234.25</v>
      </c>
      <c r="AB618" t="s">
        <v>14</v>
      </c>
      <c r="AC618" t="s">
        <v>16</v>
      </c>
      <c r="AD618" t="s">
        <v>2087</v>
      </c>
      <c r="AE618" t="s">
        <v>2096</v>
      </c>
    </row>
    <row r="619" spans="1:31">
      <c r="A619" t="s">
        <v>1036</v>
      </c>
      <c r="B619" s="1">
        <v>45084</v>
      </c>
      <c r="C619" t="s">
        <v>153</v>
      </c>
      <c r="D619">
        <v>2023</v>
      </c>
      <c r="E619" t="s">
        <v>154</v>
      </c>
      <c r="F619" t="s">
        <v>1037</v>
      </c>
      <c r="G619" t="s">
        <v>50</v>
      </c>
      <c r="H619" t="s">
        <v>51</v>
      </c>
      <c r="I619" t="s">
        <v>41</v>
      </c>
      <c r="J619" t="s">
        <v>52</v>
      </c>
      <c r="K619" t="s">
        <v>178</v>
      </c>
      <c r="L619" t="s">
        <v>194</v>
      </c>
      <c r="M619">
        <v>3</v>
      </c>
      <c r="N619">
        <v>143.80000000000001</v>
      </c>
      <c r="O619">
        <v>431.40000000000003</v>
      </c>
      <c r="P619">
        <v>0</v>
      </c>
      <c r="Q619">
        <v>0</v>
      </c>
      <c r="R619">
        <v>431.4</v>
      </c>
      <c r="S619">
        <v>186.45</v>
      </c>
      <c r="T619">
        <v>244.95</v>
      </c>
      <c r="U619" t="s">
        <v>195</v>
      </c>
      <c r="V619" t="s">
        <v>181</v>
      </c>
      <c r="W619" t="s">
        <v>2113</v>
      </c>
      <c r="X619" t="s">
        <v>2091</v>
      </c>
      <c r="Y619">
        <v>179</v>
      </c>
      <c r="Z619">
        <v>593.21</v>
      </c>
      <c r="AA619">
        <v>48.99</v>
      </c>
      <c r="AB619" t="s">
        <v>90</v>
      </c>
      <c r="AC619" t="s">
        <v>20</v>
      </c>
      <c r="AD619" t="s">
        <v>2095</v>
      </c>
      <c r="AE619" t="s">
        <v>2096</v>
      </c>
    </row>
    <row r="620" spans="1:31">
      <c r="A620" t="s">
        <v>898</v>
      </c>
      <c r="B620" s="1">
        <v>45084</v>
      </c>
      <c r="C620" t="s">
        <v>153</v>
      </c>
      <c r="D620">
        <v>2023</v>
      </c>
      <c r="E620" t="s">
        <v>154</v>
      </c>
      <c r="F620" t="s">
        <v>899</v>
      </c>
      <c r="G620" t="s">
        <v>71</v>
      </c>
      <c r="H620" t="s">
        <v>72</v>
      </c>
      <c r="I620" t="s">
        <v>66</v>
      </c>
      <c r="J620" t="s">
        <v>70</v>
      </c>
      <c r="K620" t="s">
        <v>178</v>
      </c>
      <c r="L620" t="s">
        <v>179</v>
      </c>
      <c r="M620">
        <v>2</v>
      </c>
      <c r="N620">
        <v>26.7</v>
      </c>
      <c r="O620">
        <v>53.4</v>
      </c>
      <c r="P620">
        <v>5</v>
      </c>
      <c r="Q620">
        <v>2.67</v>
      </c>
      <c r="R620">
        <v>50.73</v>
      </c>
      <c r="S620">
        <v>24.54</v>
      </c>
      <c r="T620">
        <v>26.19</v>
      </c>
      <c r="U620" t="s">
        <v>158</v>
      </c>
      <c r="V620" t="s">
        <v>159</v>
      </c>
      <c r="W620" t="s">
        <v>2093</v>
      </c>
      <c r="X620" t="s">
        <v>2091</v>
      </c>
      <c r="Y620">
        <v>201</v>
      </c>
      <c r="Z620">
        <v>91.62</v>
      </c>
      <c r="AA620">
        <v>70.94</v>
      </c>
      <c r="AB620" t="s">
        <v>14</v>
      </c>
      <c r="AC620" t="s">
        <v>16</v>
      </c>
      <c r="AD620" t="s">
        <v>2095</v>
      </c>
      <c r="AE620" t="s">
        <v>2096</v>
      </c>
    </row>
    <row r="621" spans="1:31">
      <c r="A621" t="s">
        <v>559</v>
      </c>
      <c r="B621" s="1">
        <v>45084</v>
      </c>
      <c r="C621" t="s">
        <v>153</v>
      </c>
      <c r="D621">
        <v>2023</v>
      </c>
      <c r="E621" t="s">
        <v>154</v>
      </c>
      <c r="F621" t="s">
        <v>502</v>
      </c>
      <c r="G621" t="s">
        <v>95</v>
      </c>
      <c r="H621" t="s">
        <v>96</v>
      </c>
      <c r="I621" t="s">
        <v>90</v>
      </c>
      <c r="J621" t="s">
        <v>97</v>
      </c>
      <c r="K621" t="s">
        <v>209</v>
      </c>
      <c r="L621" t="s">
        <v>174</v>
      </c>
      <c r="M621">
        <v>4</v>
      </c>
      <c r="N621">
        <v>177.41</v>
      </c>
      <c r="O621">
        <v>709.64</v>
      </c>
      <c r="P621">
        <v>5</v>
      </c>
      <c r="Q621">
        <v>35.479999999999997</v>
      </c>
      <c r="R621">
        <v>674.16</v>
      </c>
      <c r="S621">
        <v>299.95999999999998</v>
      </c>
      <c r="T621">
        <v>374.2</v>
      </c>
      <c r="U621" t="s">
        <v>180</v>
      </c>
      <c r="V621" t="s">
        <v>181</v>
      </c>
      <c r="W621" t="s">
        <v>2097</v>
      </c>
      <c r="X621" t="s">
        <v>2094</v>
      </c>
      <c r="Y621">
        <v>34</v>
      </c>
      <c r="Z621">
        <v>523.89</v>
      </c>
      <c r="AA621">
        <v>113.74</v>
      </c>
      <c r="AB621" t="s">
        <v>115</v>
      </c>
      <c r="AC621" t="s">
        <v>16</v>
      </c>
      <c r="AD621" t="s">
        <v>2106</v>
      </c>
      <c r="AE621" t="s">
        <v>2109</v>
      </c>
    </row>
    <row r="622" spans="1:31">
      <c r="A622" t="s">
        <v>1505</v>
      </c>
      <c r="B622" s="1">
        <v>45084</v>
      </c>
      <c r="C622" t="s">
        <v>153</v>
      </c>
      <c r="D622">
        <v>2023</v>
      </c>
      <c r="E622" t="s">
        <v>154</v>
      </c>
      <c r="F622" t="s">
        <v>1334</v>
      </c>
      <c r="G622" t="s">
        <v>135</v>
      </c>
      <c r="H622" t="s">
        <v>136</v>
      </c>
      <c r="I622" t="s">
        <v>115</v>
      </c>
      <c r="J622" t="s">
        <v>119</v>
      </c>
      <c r="K622" t="s">
        <v>164</v>
      </c>
      <c r="L622" t="s">
        <v>194</v>
      </c>
      <c r="M622">
        <v>1</v>
      </c>
      <c r="N622">
        <v>89.62</v>
      </c>
      <c r="O622">
        <v>89.62</v>
      </c>
      <c r="P622">
        <v>5</v>
      </c>
      <c r="Q622">
        <v>4.4800000000000004</v>
      </c>
      <c r="R622">
        <v>85.14</v>
      </c>
      <c r="S622">
        <v>38.130000000000003</v>
      </c>
      <c r="T622">
        <v>47.01</v>
      </c>
      <c r="U622" t="s">
        <v>190</v>
      </c>
      <c r="V622" t="s">
        <v>159</v>
      </c>
      <c r="W622" t="s">
        <v>2093</v>
      </c>
      <c r="X622" t="s">
        <v>2086</v>
      </c>
      <c r="Y622">
        <v>87</v>
      </c>
      <c r="Z622">
        <v>41.91</v>
      </c>
      <c r="AA622">
        <v>41.62</v>
      </c>
      <c r="AB622" t="s">
        <v>14</v>
      </c>
      <c r="AC622" t="s">
        <v>16</v>
      </c>
      <c r="AD622" t="s">
        <v>2087</v>
      </c>
      <c r="AE622" t="s">
        <v>2088</v>
      </c>
    </row>
    <row r="623" spans="1:31">
      <c r="A623" t="s">
        <v>1342</v>
      </c>
      <c r="B623" s="1">
        <v>45082</v>
      </c>
      <c r="C623" t="s">
        <v>153</v>
      </c>
      <c r="D623">
        <v>2023</v>
      </c>
      <c r="E623" t="s">
        <v>154</v>
      </c>
      <c r="F623" t="s">
        <v>1343</v>
      </c>
      <c r="G623" t="s">
        <v>80</v>
      </c>
      <c r="H623" t="s">
        <v>81</v>
      </c>
      <c r="I623" t="s">
        <v>66</v>
      </c>
      <c r="J623" t="s">
        <v>70</v>
      </c>
      <c r="K623" t="s">
        <v>209</v>
      </c>
      <c r="L623" t="s">
        <v>232</v>
      </c>
      <c r="M623">
        <v>3</v>
      </c>
      <c r="N623">
        <v>106.06</v>
      </c>
      <c r="O623">
        <v>318.18</v>
      </c>
      <c r="P623">
        <v>0</v>
      </c>
      <c r="Q623">
        <v>0</v>
      </c>
      <c r="R623">
        <v>318.18</v>
      </c>
      <c r="S623">
        <v>100.26</v>
      </c>
      <c r="T623">
        <v>217.92</v>
      </c>
      <c r="U623" t="s">
        <v>190</v>
      </c>
      <c r="V623" t="s">
        <v>159</v>
      </c>
      <c r="W623" t="s">
        <v>2113</v>
      </c>
      <c r="X623" t="s">
        <v>2094</v>
      </c>
      <c r="Y623">
        <v>216</v>
      </c>
      <c r="Z623">
        <v>173.7</v>
      </c>
      <c r="AA623">
        <v>45.43</v>
      </c>
      <c r="AB623" t="s">
        <v>14</v>
      </c>
      <c r="AC623" t="s">
        <v>20</v>
      </c>
      <c r="AD623" t="s">
        <v>2106</v>
      </c>
      <c r="AE623" t="s">
        <v>2107</v>
      </c>
    </row>
    <row r="624" spans="1:31">
      <c r="A624" t="s">
        <v>1850</v>
      </c>
      <c r="B624" s="1">
        <v>45082</v>
      </c>
      <c r="C624" t="s">
        <v>153</v>
      </c>
      <c r="D624">
        <v>2023</v>
      </c>
      <c r="E624" t="s">
        <v>154</v>
      </c>
      <c r="F624" t="s">
        <v>1851</v>
      </c>
      <c r="G624" t="s">
        <v>76</v>
      </c>
      <c r="H624" t="s">
        <v>77</v>
      </c>
      <c r="I624" t="s">
        <v>66</v>
      </c>
      <c r="J624" t="s">
        <v>67</v>
      </c>
      <c r="K624" t="s">
        <v>209</v>
      </c>
      <c r="L624" t="s">
        <v>179</v>
      </c>
      <c r="M624">
        <v>3</v>
      </c>
      <c r="N624">
        <v>118.07</v>
      </c>
      <c r="O624">
        <v>354.21</v>
      </c>
      <c r="P624">
        <v>0</v>
      </c>
      <c r="Q624">
        <v>0</v>
      </c>
      <c r="R624">
        <v>354.21</v>
      </c>
      <c r="S624">
        <v>119.1</v>
      </c>
      <c r="T624">
        <v>235.11</v>
      </c>
      <c r="U624" t="s">
        <v>158</v>
      </c>
      <c r="V624" t="s">
        <v>181</v>
      </c>
      <c r="W624" t="s">
        <v>2090</v>
      </c>
      <c r="X624" t="s">
        <v>2108</v>
      </c>
      <c r="Y624">
        <v>24</v>
      </c>
      <c r="Z624">
        <v>190.31</v>
      </c>
      <c r="AA624">
        <v>107.52</v>
      </c>
      <c r="AB624" t="s">
        <v>115</v>
      </c>
      <c r="AC624" t="s">
        <v>16</v>
      </c>
      <c r="AD624" t="s">
        <v>2087</v>
      </c>
      <c r="AE624" t="s">
        <v>2109</v>
      </c>
    </row>
    <row r="625" spans="1:31">
      <c r="A625" t="s">
        <v>1492</v>
      </c>
      <c r="B625" s="1">
        <v>45082</v>
      </c>
      <c r="C625" t="s">
        <v>153</v>
      </c>
      <c r="D625">
        <v>2023</v>
      </c>
      <c r="E625" t="s">
        <v>154</v>
      </c>
      <c r="F625" t="s">
        <v>1493</v>
      </c>
      <c r="G625" t="s">
        <v>60</v>
      </c>
      <c r="H625" t="s">
        <v>61</v>
      </c>
      <c r="I625" t="s">
        <v>41</v>
      </c>
      <c r="J625" t="s">
        <v>59</v>
      </c>
      <c r="K625" t="s">
        <v>178</v>
      </c>
      <c r="L625" t="s">
        <v>204</v>
      </c>
      <c r="M625">
        <v>4</v>
      </c>
      <c r="N625">
        <v>103.56</v>
      </c>
      <c r="O625">
        <v>414.24</v>
      </c>
      <c r="P625">
        <v>5</v>
      </c>
      <c r="Q625">
        <v>20.71</v>
      </c>
      <c r="R625">
        <v>393.53</v>
      </c>
      <c r="S625">
        <v>178.32</v>
      </c>
      <c r="T625">
        <v>215.21</v>
      </c>
      <c r="U625" t="s">
        <v>190</v>
      </c>
      <c r="V625" t="s">
        <v>186</v>
      </c>
      <c r="W625" t="s">
        <v>2085</v>
      </c>
      <c r="X625" t="s">
        <v>2111</v>
      </c>
      <c r="Y625">
        <v>282</v>
      </c>
      <c r="Z625">
        <v>1660.93</v>
      </c>
      <c r="AA625">
        <v>286</v>
      </c>
      <c r="AB625" t="s">
        <v>66</v>
      </c>
      <c r="AC625" t="s">
        <v>16</v>
      </c>
      <c r="AD625" t="s">
        <v>2087</v>
      </c>
      <c r="AE625" t="s">
        <v>2107</v>
      </c>
    </row>
    <row r="626" spans="1:31">
      <c r="A626" t="s">
        <v>1583</v>
      </c>
      <c r="B626" s="1">
        <v>45081</v>
      </c>
      <c r="C626" t="s">
        <v>153</v>
      </c>
      <c r="D626">
        <v>2023</v>
      </c>
      <c r="E626" t="s">
        <v>154</v>
      </c>
      <c r="F626" t="s">
        <v>1584</v>
      </c>
      <c r="G626" t="s">
        <v>103</v>
      </c>
      <c r="H626" t="s">
        <v>104</v>
      </c>
      <c r="I626" t="s">
        <v>90</v>
      </c>
      <c r="J626" t="s">
        <v>94</v>
      </c>
      <c r="K626" t="s">
        <v>164</v>
      </c>
      <c r="L626" t="s">
        <v>204</v>
      </c>
      <c r="M626">
        <v>1</v>
      </c>
      <c r="N626">
        <v>98.58</v>
      </c>
      <c r="O626">
        <v>98.58</v>
      </c>
      <c r="P626">
        <v>20</v>
      </c>
      <c r="Q626">
        <v>19.72</v>
      </c>
      <c r="R626">
        <v>78.86</v>
      </c>
      <c r="S626">
        <v>52.57</v>
      </c>
      <c r="T626">
        <v>26.29</v>
      </c>
      <c r="U626" t="s">
        <v>166</v>
      </c>
      <c r="V626" t="s">
        <v>186</v>
      </c>
      <c r="W626" t="s">
        <v>2090</v>
      </c>
      <c r="X626" t="s">
        <v>2094</v>
      </c>
      <c r="Y626">
        <v>4</v>
      </c>
      <c r="Z626">
        <v>96.34</v>
      </c>
      <c r="AA626">
        <v>117.56</v>
      </c>
      <c r="AB626" t="s">
        <v>90</v>
      </c>
      <c r="AC626" t="s">
        <v>16</v>
      </c>
      <c r="AD626" t="s">
        <v>2087</v>
      </c>
      <c r="AE626" t="s">
        <v>2088</v>
      </c>
    </row>
    <row r="627" spans="1:31">
      <c r="A627" t="s">
        <v>2005</v>
      </c>
      <c r="B627" s="1">
        <v>45081</v>
      </c>
      <c r="C627" t="s">
        <v>153</v>
      </c>
      <c r="D627">
        <v>2023</v>
      </c>
      <c r="E627" t="s">
        <v>154</v>
      </c>
      <c r="F627" t="s">
        <v>2006</v>
      </c>
      <c r="G627" t="s">
        <v>73</v>
      </c>
      <c r="H627" t="s">
        <v>74</v>
      </c>
      <c r="I627" t="s">
        <v>66</v>
      </c>
      <c r="J627" t="s">
        <v>75</v>
      </c>
      <c r="K627" t="s">
        <v>156</v>
      </c>
      <c r="L627" t="s">
        <v>157</v>
      </c>
      <c r="M627">
        <v>4</v>
      </c>
      <c r="N627">
        <v>53.95</v>
      </c>
      <c r="O627">
        <v>215.8</v>
      </c>
      <c r="P627">
        <v>20</v>
      </c>
      <c r="Q627">
        <v>43.16</v>
      </c>
      <c r="R627">
        <v>172.64</v>
      </c>
      <c r="S627">
        <v>140.80000000000001</v>
      </c>
      <c r="T627">
        <v>31.84</v>
      </c>
      <c r="U627" t="s">
        <v>158</v>
      </c>
      <c r="V627" t="s">
        <v>159</v>
      </c>
      <c r="W627" t="s">
        <v>2099</v>
      </c>
      <c r="X627" t="s">
        <v>2111</v>
      </c>
      <c r="Y627">
        <v>144</v>
      </c>
      <c r="Z627">
        <v>111.89</v>
      </c>
      <c r="AA627">
        <v>45.18</v>
      </c>
      <c r="AB627" t="s">
        <v>115</v>
      </c>
      <c r="AC627" t="s">
        <v>16</v>
      </c>
      <c r="AD627" t="s">
        <v>2095</v>
      </c>
      <c r="AE627" t="s">
        <v>2096</v>
      </c>
    </row>
    <row r="628" spans="1:31">
      <c r="A628" t="s">
        <v>1919</v>
      </c>
      <c r="B628" s="1">
        <v>45081</v>
      </c>
      <c r="C628" t="s">
        <v>153</v>
      </c>
      <c r="D628">
        <v>2023</v>
      </c>
      <c r="E628" t="s">
        <v>154</v>
      </c>
      <c r="F628" t="s">
        <v>343</v>
      </c>
      <c r="G628" t="s">
        <v>12</v>
      </c>
      <c r="H628" t="s">
        <v>13</v>
      </c>
      <c r="I628" t="s">
        <v>14</v>
      </c>
      <c r="J628" t="s">
        <v>15</v>
      </c>
      <c r="K628" t="s">
        <v>156</v>
      </c>
      <c r="L628" t="s">
        <v>194</v>
      </c>
      <c r="M628">
        <v>4</v>
      </c>
      <c r="N628">
        <v>76.53</v>
      </c>
      <c r="O628">
        <v>306.12</v>
      </c>
      <c r="P628">
        <v>0</v>
      </c>
      <c r="Q628">
        <v>0</v>
      </c>
      <c r="R628">
        <v>306.12</v>
      </c>
      <c r="S628">
        <v>211.84</v>
      </c>
      <c r="T628">
        <v>94.28</v>
      </c>
      <c r="U628" t="s">
        <v>190</v>
      </c>
      <c r="V628" t="s">
        <v>159</v>
      </c>
      <c r="W628" t="s">
        <v>2097</v>
      </c>
      <c r="X628" t="s">
        <v>2100</v>
      </c>
      <c r="Y628">
        <v>91</v>
      </c>
      <c r="Z628">
        <v>498.06</v>
      </c>
      <c r="AA628">
        <v>148.52000000000001</v>
      </c>
      <c r="AB628" t="s">
        <v>41</v>
      </c>
      <c r="AC628" t="s">
        <v>16</v>
      </c>
      <c r="AD628" t="s">
        <v>2095</v>
      </c>
      <c r="AE628" t="s">
        <v>2109</v>
      </c>
    </row>
    <row r="629" spans="1:31">
      <c r="A629" t="s">
        <v>332</v>
      </c>
      <c r="B629" s="1">
        <v>45081</v>
      </c>
      <c r="C629" t="s">
        <v>153</v>
      </c>
      <c r="D629">
        <v>2023</v>
      </c>
      <c r="E629" t="s">
        <v>154</v>
      </c>
      <c r="F629" t="s">
        <v>333</v>
      </c>
      <c r="G629" t="s">
        <v>125</v>
      </c>
      <c r="H629" t="s">
        <v>126</v>
      </c>
      <c r="I629" t="s">
        <v>115</v>
      </c>
      <c r="J629" t="s">
        <v>116</v>
      </c>
      <c r="K629" t="s">
        <v>164</v>
      </c>
      <c r="L629" t="s">
        <v>179</v>
      </c>
      <c r="M629">
        <v>3</v>
      </c>
      <c r="N629">
        <v>144.94999999999999</v>
      </c>
      <c r="O629">
        <v>434.84999999999997</v>
      </c>
      <c r="P629">
        <v>5</v>
      </c>
      <c r="Q629">
        <v>21.74</v>
      </c>
      <c r="R629">
        <v>413.11</v>
      </c>
      <c r="S629">
        <v>231.57</v>
      </c>
      <c r="T629">
        <v>181.54</v>
      </c>
      <c r="U629" t="s">
        <v>180</v>
      </c>
      <c r="V629" t="s">
        <v>159</v>
      </c>
      <c r="W629" t="s">
        <v>2113</v>
      </c>
      <c r="X629" t="s">
        <v>2086</v>
      </c>
      <c r="Y629">
        <v>220</v>
      </c>
      <c r="Z629">
        <v>418.42</v>
      </c>
      <c r="AA629">
        <v>54.87</v>
      </c>
      <c r="AB629" t="s">
        <v>14</v>
      </c>
      <c r="AC629" t="s">
        <v>20</v>
      </c>
      <c r="AD629" t="s">
        <v>2087</v>
      </c>
      <c r="AE629" t="s">
        <v>2107</v>
      </c>
    </row>
    <row r="630" spans="1:31">
      <c r="A630" t="s">
        <v>1885</v>
      </c>
      <c r="B630" s="1">
        <v>45080</v>
      </c>
      <c r="C630" t="s">
        <v>153</v>
      </c>
      <c r="D630">
        <v>2023</v>
      </c>
      <c r="E630" t="s">
        <v>154</v>
      </c>
      <c r="F630" t="s">
        <v>1886</v>
      </c>
      <c r="G630" t="s">
        <v>25</v>
      </c>
      <c r="H630" t="s">
        <v>26</v>
      </c>
      <c r="I630" t="s">
        <v>14</v>
      </c>
      <c r="J630" t="s">
        <v>27</v>
      </c>
      <c r="K630" t="s">
        <v>178</v>
      </c>
      <c r="L630" t="s">
        <v>157</v>
      </c>
      <c r="M630">
        <v>3</v>
      </c>
      <c r="N630">
        <v>18.39</v>
      </c>
      <c r="O630">
        <v>55.17</v>
      </c>
      <c r="P630">
        <v>10</v>
      </c>
      <c r="Q630">
        <v>5.52</v>
      </c>
      <c r="R630">
        <v>49.65</v>
      </c>
      <c r="S630">
        <v>24.78</v>
      </c>
      <c r="T630">
        <v>24.87</v>
      </c>
      <c r="U630" t="s">
        <v>180</v>
      </c>
      <c r="V630" t="s">
        <v>186</v>
      </c>
      <c r="W630" t="s">
        <v>2113</v>
      </c>
      <c r="X630" t="s">
        <v>2108</v>
      </c>
      <c r="Y630">
        <v>56</v>
      </c>
      <c r="Z630">
        <v>229.77</v>
      </c>
      <c r="AA630">
        <v>67.83</v>
      </c>
      <c r="AB630" t="s">
        <v>14</v>
      </c>
      <c r="AC630" t="s">
        <v>20</v>
      </c>
      <c r="AD630" t="s">
        <v>2095</v>
      </c>
      <c r="AE630" t="s">
        <v>2096</v>
      </c>
    </row>
    <row r="631" spans="1:31">
      <c r="A631" t="s">
        <v>659</v>
      </c>
      <c r="B631" s="1">
        <v>45080</v>
      </c>
      <c r="C631" t="s">
        <v>153</v>
      </c>
      <c r="D631">
        <v>2023</v>
      </c>
      <c r="E631" t="s">
        <v>154</v>
      </c>
      <c r="F631" t="s">
        <v>660</v>
      </c>
      <c r="G631" t="s">
        <v>120</v>
      </c>
      <c r="H631" t="s">
        <v>121</v>
      </c>
      <c r="I631" t="s">
        <v>115</v>
      </c>
      <c r="J631" t="s">
        <v>119</v>
      </c>
      <c r="K631" t="s">
        <v>209</v>
      </c>
      <c r="L631" t="s">
        <v>232</v>
      </c>
      <c r="M631">
        <v>2</v>
      </c>
      <c r="N631">
        <v>197.52</v>
      </c>
      <c r="O631">
        <v>395.04</v>
      </c>
      <c r="P631">
        <v>5</v>
      </c>
      <c r="Q631">
        <v>19.75</v>
      </c>
      <c r="R631">
        <v>375.29</v>
      </c>
      <c r="S631">
        <v>133.08000000000001</v>
      </c>
      <c r="T631">
        <v>242.21</v>
      </c>
      <c r="U631" t="s">
        <v>166</v>
      </c>
      <c r="V631" t="s">
        <v>159</v>
      </c>
      <c r="W631" t="s">
        <v>2099</v>
      </c>
      <c r="X631" t="s">
        <v>2094</v>
      </c>
      <c r="Y631">
        <v>325</v>
      </c>
      <c r="Z631">
        <v>107.67</v>
      </c>
      <c r="AA631">
        <v>54.13</v>
      </c>
      <c r="AB631" t="s">
        <v>115</v>
      </c>
      <c r="AC631" t="s">
        <v>16</v>
      </c>
      <c r="AD631" t="s">
        <v>2106</v>
      </c>
      <c r="AE631" t="s">
        <v>2088</v>
      </c>
    </row>
    <row r="632" spans="1:31">
      <c r="A632" t="s">
        <v>1726</v>
      </c>
      <c r="B632" s="1">
        <v>45078</v>
      </c>
      <c r="C632" t="s">
        <v>153</v>
      </c>
      <c r="D632">
        <v>2023</v>
      </c>
      <c r="E632" t="s">
        <v>154</v>
      </c>
      <c r="F632" t="s">
        <v>1727</v>
      </c>
      <c r="G632" t="s">
        <v>48</v>
      </c>
      <c r="H632" t="s">
        <v>49</v>
      </c>
      <c r="I632" t="s">
        <v>41</v>
      </c>
      <c r="J632" t="s">
        <v>42</v>
      </c>
      <c r="K632" t="s">
        <v>209</v>
      </c>
      <c r="L632" t="s">
        <v>174</v>
      </c>
      <c r="M632">
        <v>2</v>
      </c>
      <c r="N632">
        <v>84.95</v>
      </c>
      <c r="O632">
        <v>169.9</v>
      </c>
      <c r="P632">
        <v>0</v>
      </c>
      <c r="Q632">
        <v>0</v>
      </c>
      <c r="R632">
        <v>169.9</v>
      </c>
      <c r="S632">
        <v>106.14</v>
      </c>
      <c r="T632">
        <v>63.76</v>
      </c>
      <c r="U632" t="s">
        <v>180</v>
      </c>
      <c r="V632" t="s">
        <v>159</v>
      </c>
      <c r="W632" t="s">
        <v>2113</v>
      </c>
      <c r="X632" t="s">
        <v>2091</v>
      </c>
      <c r="Y632">
        <v>231</v>
      </c>
      <c r="Z632">
        <v>167.46</v>
      </c>
      <c r="AA632">
        <v>65.91</v>
      </c>
      <c r="AB632" t="s">
        <v>90</v>
      </c>
      <c r="AC632" t="s">
        <v>16</v>
      </c>
      <c r="AD632" t="s">
        <v>2095</v>
      </c>
      <c r="AE632" t="s">
        <v>2096</v>
      </c>
    </row>
    <row r="633" spans="1:31">
      <c r="A633" t="s">
        <v>2025</v>
      </c>
      <c r="B633" s="1">
        <v>45077</v>
      </c>
      <c r="C633" t="s">
        <v>192</v>
      </c>
      <c r="D633">
        <v>2023</v>
      </c>
      <c r="E633" t="s">
        <v>154</v>
      </c>
      <c r="F633" t="s">
        <v>2026</v>
      </c>
      <c r="G633" t="s">
        <v>127</v>
      </c>
      <c r="H633" t="s">
        <v>128</v>
      </c>
      <c r="I633" t="s">
        <v>115</v>
      </c>
      <c r="J633" t="s">
        <v>124</v>
      </c>
      <c r="K633" t="s">
        <v>164</v>
      </c>
      <c r="L633" t="s">
        <v>204</v>
      </c>
      <c r="M633">
        <v>4</v>
      </c>
      <c r="N633">
        <v>94.76</v>
      </c>
      <c r="O633">
        <v>379.04</v>
      </c>
      <c r="P633">
        <v>0</v>
      </c>
      <c r="Q633">
        <v>0</v>
      </c>
      <c r="R633">
        <v>379.04</v>
      </c>
      <c r="S633">
        <v>315.27999999999997</v>
      </c>
      <c r="T633">
        <v>63.76</v>
      </c>
      <c r="U633" t="s">
        <v>195</v>
      </c>
      <c r="V633" t="s">
        <v>186</v>
      </c>
      <c r="W633" t="s">
        <v>2099</v>
      </c>
      <c r="X633" t="s">
        <v>2111</v>
      </c>
      <c r="Y633">
        <v>58</v>
      </c>
      <c r="Z633">
        <v>148.29</v>
      </c>
      <c r="AA633">
        <v>30.87</v>
      </c>
      <c r="AB633" t="s">
        <v>41</v>
      </c>
      <c r="AC633" t="s">
        <v>20</v>
      </c>
      <c r="AD633" t="s">
        <v>2087</v>
      </c>
      <c r="AE633" t="s">
        <v>2107</v>
      </c>
    </row>
    <row r="634" spans="1:31">
      <c r="A634" t="s">
        <v>1649</v>
      </c>
      <c r="B634" s="1">
        <v>45077</v>
      </c>
      <c r="C634" t="s">
        <v>192</v>
      </c>
      <c r="D634">
        <v>2023</v>
      </c>
      <c r="E634" t="s">
        <v>154</v>
      </c>
      <c r="F634" t="s">
        <v>1650</v>
      </c>
      <c r="G634" t="s">
        <v>33</v>
      </c>
      <c r="H634" t="s">
        <v>34</v>
      </c>
      <c r="I634" t="s">
        <v>14</v>
      </c>
      <c r="J634" t="s">
        <v>27</v>
      </c>
      <c r="K634" t="s">
        <v>209</v>
      </c>
      <c r="L634" t="s">
        <v>165</v>
      </c>
      <c r="M634">
        <v>2</v>
      </c>
      <c r="N634">
        <v>124.26</v>
      </c>
      <c r="O634">
        <v>248.52</v>
      </c>
      <c r="P634">
        <v>0</v>
      </c>
      <c r="Q634">
        <v>0</v>
      </c>
      <c r="R634">
        <v>248.52</v>
      </c>
      <c r="S634">
        <v>105.24</v>
      </c>
      <c r="T634">
        <v>143.28</v>
      </c>
      <c r="U634" t="s">
        <v>180</v>
      </c>
      <c r="V634" t="s">
        <v>159</v>
      </c>
      <c r="W634" t="s">
        <v>2099</v>
      </c>
      <c r="X634" t="s">
        <v>2086</v>
      </c>
      <c r="Y634">
        <v>105</v>
      </c>
      <c r="Z634">
        <v>48.67</v>
      </c>
      <c r="AA634">
        <v>64.709999999999994</v>
      </c>
      <c r="AB634" t="s">
        <v>90</v>
      </c>
      <c r="AC634" t="s">
        <v>20</v>
      </c>
      <c r="AD634" t="s">
        <v>2087</v>
      </c>
      <c r="AE634" t="s">
        <v>2088</v>
      </c>
    </row>
    <row r="635" spans="1:31">
      <c r="A635" t="s">
        <v>298</v>
      </c>
      <c r="B635" s="1">
        <v>45076</v>
      </c>
      <c r="C635" t="s">
        <v>192</v>
      </c>
      <c r="D635">
        <v>2023</v>
      </c>
      <c r="E635" t="s">
        <v>154</v>
      </c>
      <c r="F635" t="s">
        <v>299</v>
      </c>
      <c r="G635" t="s">
        <v>33</v>
      </c>
      <c r="H635" t="s">
        <v>34</v>
      </c>
      <c r="I635" t="s">
        <v>14</v>
      </c>
      <c r="J635" t="s">
        <v>27</v>
      </c>
      <c r="K635" t="s">
        <v>178</v>
      </c>
      <c r="L635" t="s">
        <v>204</v>
      </c>
      <c r="M635">
        <v>2</v>
      </c>
      <c r="N635">
        <v>124.26</v>
      </c>
      <c r="O635">
        <v>248.52</v>
      </c>
      <c r="P635">
        <v>5</v>
      </c>
      <c r="Q635">
        <v>12.43</v>
      </c>
      <c r="R635">
        <v>236.09</v>
      </c>
      <c r="S635">
        <v>105.24</v>
      </c>
      <c r="T635">
        <v>130.85</v>
      </c>
      <c r="U635" t="s">
        <v>180</v>
      </c>
      <c r="V635" t="s">
        <v>186</v>
      </c>
      <c r="W635" t="s">
        <v>2093</v>
      </c>
      <c r="X635" t="s">
        <v>2086</v>
      </c>
      <c r="Y635">
        <v>303</v>
      </c>
      <c r="Z635">
        <v>168.07</v>
      </c>
      <c r="AA635">
        <v>75.209999999999994</v>
      </c>
      <c r="AB635" t="s">
        <v>41</v>
      </c>
      <c r="AC635" t="s">
        <v>20</v>
      </c>
      <c r="AD635" t="s">
        <v>2106</v>
      </c>
      <c r="AE635" t="s">
        <v>2109</v>
      </c>
    </row>
    <row r="636" spans="1:31">
      <c r="A636" t="s">
        <v>2042</v>
      </c>
      <c r="B636" s="1">
        <v>45076</v>
      </c>
      <c r="C636" t="s">
        <v>192</v>
      </c>
      <c r="D636">
        <v>2023</v>
      </c>
      <c r="E636" t="s">
        <v>154</v>
      </c>
      <c r="F636" t="s">
        <v>2043</v>
      </c>
      <c r="G636" t="s">
        <v>73</v>
      </c>
      <c r="H636" t="s">
        <v>74</v>
      </c>
      <c r="I636" t="s">
        <v>66</v>
      </c>
      <c r="J636" t="s">
        <v>75</v>
      </c>
      <c r="K636" t="s">
        <v>164</v>
      </c>
      <c r="L636" t="s">
        <v>179</v>
      </c>
      <c r="M636">
        <v>2</v>
      </c>
      <c r="N636">
        <v>53.95</v>
      </c>
      <c r="O636">
        <v>107.9</v>
      </c>
      <c r="P636">
        <v>15</v>
      </c>
      <c r="Q636">
        <v>16.18</v>
      </c>
      <c r="R636">
        <v>91.72</v>
      </c>
      <c r="S636">
        <v>70.400000000000006</v>
      </c>
      <c r="T636">
        <v>21.32</v>
      </c>
      <c r="U636" t="s">
        <v>166</v>
      </c>
      <c r="V636" t="s">
        <v>186</v>
      </c>
      <c r="W636" t="s">
        <v>2085</v>
      </c>
      <c r="X636" t="s">
        <v>2100</v>
      </c>
      <c r="Y636">
        <v>121</v>
      </c>
      <c r="Z636">
        <v>2808.5</v>
      </c>
      <c r="AA636">
        <v>223.56</v>
      </c>
      <c r="AB636" t="s">
        <v>41</v>
      </c>
      <c r="AC636" t="s">
        <v>16</v>
      </c>
      <c r="AD636" t="s">
        <v>2095</v>
      </c>
      <c r="AE636" t="s">
        <v>2109</v>
      </c>
    </row>
    <row r="637" spans="1:31">
      <c r="A637" t="s">
        <v>1346</v>
      </c>
      <c r="B637" s="1">
        <v>45076</v>
      </c>
      <c r="C637" t="s">
        <v>192</v>
      </c>
      <c r="D637">
        <v>2023</v>
      </c>
      <c r="E637" t="s">
        <v>154</v>
      </c>
      <c r="F637" t="s">
        <v>1347</v>
      </c>
      <c r="G637" t="s">
        <v>12</v>
      </c>
      <c r="H637" t="s">
        <v>13</v>
      </c>
      <c r="I637" t="s">
        <v>14</v>
      </c>
      <c r="J637" t="s">
        <v>15</v>
      </c>
      <c r="K637" t="s">
        <v>156</v>
      </c>
      <c r="L637" t="s">
        <v>179</v>
      </c>
      <c r="M637">
        <v>4</v>
      </c>
      <c r="N637">
        <v>76.53</v>
      </c>
      <c r="O637">
        <v>306.12</v>
      </c>
      <c r="P637">
        <v>20</v>
      </c>
      <c r="Q637">
        <v>61.22</v>
      </c>
      <c r="R637">
        <v>244.9</v>
      </c>
      <c r="S637">
        <v>211.84</v>
      </c>
      <c r="T637">
        <v>33.06</v>
      </c>
      <c r="U637" t="s">
        <v>158</v>
      </c>
      <c r="V637" t="s">
        <v>181</v>
      </c>
      <c r="W637" t="s">
        <v>2113</v>
      </c>
      <c r="X637" t="s">
        <v>2108</v>
      </c>
      <c r="Y637">
        <v>184</v>
      </c>
      <c r="Z637">
        <v>586.22</v>
      </c>
      <c r="AA637">
        <v>67.23</v>
      </c>
      <c r="AB637" t="s">
        <v>41</v>
      </c>
      <c r="AC637" t="s">
        <v>16</v>
      </c>
      <c r="AD637" t="s">
        <v>2087</v>
      </c>
      <c r="AE637" t="s">
        <v>2121</v>
      </c>
    </row>
    <row r="638" spans="1:31">
      <c r="A638" t="s">
        <v>555</v>
      </c>
      <c r="B638" s="1">
        <v>45075</v>
      </c>
      <c r="C638" t="s">
        <v>192</v>
      </c>
      <c r="D638">
        <v>2023</v>
      </c>
      <c r="E638" t="s">
        <v>154</v>
      </c>
      <c r="F638" t="s">
        <v>556</v>
      </c>
      <c r="G638" t="s">
        <v>37</v>
      </c>
      <c r="H638" t="s">
        <v>38</v>
      </c>
      <c r="I638" t="s">
        <v>14</v>
      </c>
      <c r="J638" t="s">
        <v>27</v>
      </c>
      <c r="K638" t="s">
        <v>164</v>
      </c>
      <c r="L638" t="s">
        <v>179</v>
      </c>
      <c r="M638">
        <v>1</v>
      </c>
      <c r="N638">
        <v>133.99</v>
      </c>
      <c r="O638">
        <v>133.99</v>
      </c>
      <c r="P638">
        <v>0</v>
      </c>
      <c r="Q638">
        <v>0</v>
      </c>
      <c r="R638">
        <v>133.99</v>
      </c>
      <c r="S638">
        <v>73.489999999999995</v>
      </c>
      <c r="T638">
        <v>60.5</v>
      </c>
      <c r="U638" t="s">
        <v>166</v>
      </c>
      <c r="V638" t="s">
        <v>186</v>
      </c>
      <c r="W638" t="s">
        <v>2113</v>
      </c>
      <c r="X638" t="s">
        <v>2111</v>
      </c>
      <c r="Y638">
        <v>310</v>
      </c>
      <c r="Z638">
        <v>230.99</v>
      </c>
      <c r="AA638">
        <v>39.29</v>
      </c>
      <c r="AB638" t="s">
        <v>66</v>
      </c>
      <c r="AC638" t="s">
        <v>16</v>
      </c>
      <c r="AD638" t="s">
        <v>2106</v>
      </c>
      <c r="AE638" t="s">
        <v>2088</v>
      </c>
    </row>
    <row r="639" spans="1:31">
      <c r="A639" t="s">
        <v>1530</v>
      </c>
      <c r="B639" s="1">
        <v>45075</v>
      </c>
      <c r="C639" t="s">
        <v>192</v>
      </c>
      <c r="D639">
        <v>2023</v>
      </c>
      <c r="E639" t="s">
        <v>154</v>
      </c>
      <c r="F639" t="s">
        <v>1531</v>
      </c>
      <c r="G639" t="s">
        <v>43</v>
      </c>
      <c r="H639" t="s">
        <v>44</v>
      </c>
      <c r="I639" t="s">
        <v>41</v>
      </c>
      <c r="J639" t="s">
        <v>45</v>
      </c>
      <c r="K639" t="s">
        <v>209</v>
      </c>
      <c r="L639" t="s">
        <v>174</v>
      </c>
      <c r="M639">
        <v>2</v>
      </c>
      <c r="N639">
        <v>67.56</v>
      </c>
      <c r="O639">
        <v>135.12</v>
      </c>
      <c r="P639">
        <v>15</v>
      </c>
      <c r="Q639">
        <v>20.27</v>
      </c>
      <c r="R639">
        <v>114.85</v>
      </c>
      <c r="S639">
        <v>86.42</v>
      </c>
      <c r="T639">
        <v>28.43</v>
      </c>
      <c r="U639" t="s">
        <v>158</v>
      </c>
      <c r="V639" t="s">
        <v>186</v>
      </c>
      <c r="W639" t="s">
        <v>2093</v>
      </c>
      <c r="X639" t="s">
        <v>2091</v>
      </c>
      <c r="Y639">
        <v>200</v>
      </c>
      <c r="Z639">
        <v>176.69</v>
      </c>
      <c r="AA639">
        <v>63.39</v>
      </c>
      <c r="AB639" t="s">
        <v>115</v>
      </c>
      <c r="AC639" t="s">
        <v>16</v>
      </c>
      <c r="AD639" t="s">
        <v>2095</v>
      </c>
      <c r="AE639" t="s">
        <v>2096</v>
      </c>
    </row>
    <row r="640" spans="1:31">
      <c r="A640" t="s">
        <v>1832</v>
      </c>
      <c r="B640" s="1">
        <v>45074</v>
      </c>
      <c r="C640" t="s">
        <v>192</v>
      </c>
      <c r="D640">
        <v>2023</v>
      </c>
      <c r="E640" t="s">
        <v>154</v>
      </c>
      <c r="F640" t="s">
        <v>1833</v>
      </c>
      <c r="G640" t="s">
        <v>92</v>
      </c>
      <c r="H640" t="s">
        <v>93</v>
      </c>
      <c r="I640" t="s">
        <v>90</v>
      </c>
      <c r="J640" t="s">
        <v>94</v>
      </c>
      <c r="K640" t="s">
        <v>209</v>
      </c>
      <c r="L640" t="s">
        <v>174</v>
      </c>
      <c r="M640">
        <v>3</v>
      </c>
      <c r="N640">
        <v>230.34</v>
      </c>
      <c r="O640">
        <v>691.02</v>
      </c>
      <c r="P640">
        <v>15</v>
      </c>
      <c r="Q640">
        <v>103.65</v>
      </c>
      <c r="R640">
        <v>587.37</v>
      </c>
      <c r="S640">
        <v>224.04</v>
      </c>
      <c r="T640">
        <v>363.33</v>
      </c>
      <c r="U640" t="s">
        <v>195</v>
      </c>
      <c r="V640" t="s">
        <v>186</v>
      </c>
      <c r="W640" t="s">
        <v>2099</v>
      </c>
      <c r="X640" t="s">
        <v>2091</v>
      </c>
      <c r="Y640">
        <v>239</v>
      </c>
      <c r="Z640">
        <v>131.97</v>
      </c>
      <c r="AA640">
        <v>30.95</v>
      </c>
      <c r="AB640" t="s">
        <v>90</v>
      </c>
      <c r="AC640" t="s">
        <v>16</v>
      </c>
      <c r="AD640" t="s">
        <v>2095</v>
      </c>
      <c r="AE640" t="s">
        <v>2121</v>
      </c>
    </row>
    <row r="641" spans="1:31">
      <c r="A641" t="s">
        <v>1746</v>
      </c>
      <c r="B641" s="1">
        <v>45074</v>
      </c>
      <c r="C641" t="s">
        <v>192</v>
      </c>
      <c r="D641">
        <v>2023</v>
      </c>
      <c r="E641" t="s">
        <v>154</v>
      </c>
      <c r="F641" t="s">
        <v>1747</v>
      </c>
      <c r="G641" t="s">
        <v>28</v>
      </c>
      <c r="H641" t="s">
        <v>29</v>
      </c>
      <c r="I641" t="s">
        <v>14</v>
      </c>
      <c r="J641" t="s">
        <v>19</v>
      </c>
      <c r="K641" t="s">
        <v>209</v>
      </c>
      <c r="L641" t="s">
        <v>174</v>
      </c>
      <c r="M641">
        <v>4</v>
      </c>
      <c r="N641">
        <v>26.46</v>
      </c>
      <c r="O641">
        <v>105.84</v>
      </c>
      <c r="P641">
        <v>0</v>
      </c>
      <c r="Q641">
        <v>0</v>
      </c>
      <c r="R641">
        <v>105.84</v>
      </c>
      <c r="S641">
        <v>77.680000000000007</v>
      </c>
      <c r="T641">
        <v>28.16</v>
      </c>
      <c r="U641" t="s">
        <v>190</v>
      </c>
      <c r="V641" t="s">
        <v>159</v>
      </c>
      <c r="W641" t="s">
        <v>2113</v>
      </c>
      <c r="X641" t="s">
        <v>2108</v>
      </c>
      <c r="Y641">
        <v>37</v>
      </c>
      <c r="Z641">
        <v>331.41</v>
      </c>
      <c r="AA641">
        <v>41.75</v>
      </c>
      <c r="AB641" t="s">
        <v>14</v>
      </c>
      <c r="AC641" t="s">
        <v>20</v>
      </c>
      <c r="AD641" t="s">
        <v>2106</v>
      </c>
      <c r="AE641" t="s">
        <v>2121</v>
      </c>
    </row>
    <row r="642" spans="1:31">
      <c r="A642" t="s">
        <v>785</v>
      </c>
      <c r="B642" s="1">
        <v>45074</v>
      </c>
      <c r="C642" t="s">
        <v>192</v>
      </c>
      <c r="D642">
        <v>2023</v>
      </c>
      <c r="E642" t="s">
        <v>154</v>
      </c>
      <c r="F642" t="s">
        <v>786</v>
      </c>
      <c r="G642" t="s">
        <v>103</v>
      </c>
      <c r="H642" t="s">
        <v>104</v>
      </c>
      <c r="I642" t="s">
        <v>90</v>
      </c>
      <c r="J642" t="s">
        <v>94</v>
      </c>
      <c r="K642" t="s">
        <v>156</v>
      </c>
      <c r="L642" t="s">
        <v>194</v>
      </c>
      <c r="M642">
        <v>2</v>
      </c>
      <c r="N642">
        <v>98.58</v>
      </c>
      <c r="O642">
        <v>197.16</v>
      </c>
      <c r="P642">
        <v>5</v>
      </c>
      <c r="Q642">
        <v>9.86</v>
      </c>
      <c r="R642">
        <v>187.3</v>
      </c>
      <c r="S642">
        <v>105.14</v>
      </c>
      <c r="T642">
        <v>82.16</v>
      </c>
      <c r="U642" t="s">
        <v>180</v>
      </c>
      <c r="V642" t="s">
        <v>181</v>
      </c>
      <c r="W642" t="s">
        <v>2097</v>
      </c>
      <c r="X642" t="s">
        <v>2100</v>
      </c>
      <c r="Y642">
        <v>158</v>
      </c>
      <c r="Z642">
        <v>231.27</v>
      </c>
      <c r="AA642">
        <v>112.65</v>
      </c>
      <c r="AB642" t="s">
        <v>90</v>
      </c>
      <c r="AC642" t="s">
        <v>16</v>
      </c>
      <c r="AD642" t="s">
        <v>2106</v>
      </c>
      <c r="AE642" t="s">
        <v>2109</v>
      </c>
    </row>
    <row r="643" spans="1:31">
      <c r="A643" t="s">
        <v>479</v>
      </c>
      <c r="B643" s="1">
        <v>45074</v>
      </c>
      <c r="C643" t="s">
        <v>192</v>
      </c>
      <c r="D643">
        <v>2023</v>
      </c>
      <c r="E643" t="s">
        <v>154</v>
      </c>
      <c r="F643" t="s">
        <v>480</v>
      </c>
      <c r="G643" t="s">
        <v>37</v>
      </c>
      <c r="H643" t="s">
        <v>38</v>
      </c>
      <c r="I643" t="s">
        <v>14</v>
      </c>
      <c r="J643" t="s">
        <v>27</v>
      </c>
      <c r="K643" t="s">
        <v>178</v>
      </c>
      <c r="L643" t="s">
        <v>174</v>
      </c>
      <c r="M643">
        <v>4</v>
      </c>
      <c r="N643">
        <v>133.99</v>
      </c>
      <c r="O643">
        <v>535.96</v>
      </c>
      <c r="P643">
        <v>0</v>
      </c>
      <c r="Q643">
        <v>0</v>
      </c>
      <c r="R643">
        <v>535.96</v>
      </c>
      <c r="S643">
        <v>293.95999999999998</v>
      </c>
      <c r="T643">
        <v>242</v>
      </c>
      <c r="U643" t="s">
        <v>158</v>
      </c>
      <c r="V643" t="s">
        <v>159</v>
      </c>
      <c r="W643" t="s">
        <v>2097</v>
      </c>
      <c r="X643" t="s">
        <v>2108</v>
      </c>
      <c r="Y643">
        <v>299</v>
      </c>
      <c r="Z643">
        <v>317.76</v>
      </c>
      <c r="AA643">
        <v>90.44</v>
      </c>
      <c r="AB643" t="s">
        <v>41</v>
      </c>
      <c r="AC643" t="s">
        <v>16</v>
      </c>
      <c r="AD643" t="s">
        <v>2087</v>
      </c>
      <c r="AE643" t="s">
        <v>2096</v>
      </c>
    </row>
    <row r="644" spans="1:31">
      <c r="A644" t="s">
        <v>437</v>
      </c>
      <c r="B644" s="1">
        <v>45073</v>
      </c>
      <c r="C644" t="s">
        <v>192</v>
      </c>
      <c r="D644">
        <v>2023</v>
      </c>
      <c r="E644" t="s">
        <v>154</v>
      </c>
      <c r="F644" t="s">
        <v>438</v>
      </c>
      <c r="G644" t="s">
        <v>23</v>
      </c>
      <c r="H644" t="s">
        <v>24</v>
      </c>
      <c r="I644" t="s">
        <v>14</v>
      </c>
      <c r="J644" t="s">
        <v>19</v>
      </c>
      <c r="K644" t="s">
        <v>209</v>
      </c>
      <c r="L644" t="s">
        <v>232</v>
      </c>
      <c r="M644">
        <v>3</v>
      </c>
      <c r="N644">
        <v>154.03</v>
      </c>
      <c r="O644">
        <v>462.09000000000003</v>
      </c>
      <c r="P644">
        <v>20</v>
      </c>
      <c r="Q644">
        <v>92.42</v>
      </c>
      <c r="R644">
        <v>369.67</v>
      </c>
      <c r="S644">
        <v>230.37</v>
      </c>
      <c r="T644">
        <v>139.30000000000001</v>
      </c>
      <c r="U644" t="s">
        <v>166</v>
      </c>
      <c r="V644" t="s">
        <v>181</v>
      </c>
      <c r="W644" t="s">
        <v>2097</v>
      </c>
      <c r="X644" t="s">
        <v>2111</v>
      </c>
      <c r="Y644">
        <v>26</v>
      </c>
      <c r="Z644">
        <v>505.61</v>
      </c>
      <c r="AA644">
        <v>123.39</v>
      </c>
      <c r="AB644" t="s">
        <v>41</v>
      </c>
      <c r="AC644" t="s">
        <v>16</v>
      </c>
      <c r="AD644" t="s">
        <v>2095</v>
      </c>
      <c r="AE644" t="s">
        <v>2096</v>
      </c>
    </row>
    <row r="645" spans="1:31">
      <c r="A645" t="s">
        <v>191</v>
      </c>
      <c r="B645" s="1">
        <v>45073</v>
      </c>
      <c r="C645" t="s">
        <v>192</v>
      </c>
      <c r="D645">
        <v>2023</v>
      </c>
      <c r="E645" t="s">
        <v>154</v>
      </c>
      <c r="F645" t="s">
        <v>193</v>
      </c>
      <c r="G645" t="s">
        <v>84</v>
      </c>
      <c r="H645" t="s">
        <v>85</v>
      </c>
      <c r="I645" t="s">
        <v>66</v>
      </c>
      <c r="J645" t="s">
        <v>67</v>
      </c>
      <c r="K645" t="s">
        <v>178</v>
      </c>
      <c r="L645" t="s">
        <v>194</v>
      </c>
      <c r="M645">
        <v>1</v>
      </c>
      <c r="N645">
        <v>174.23</v>
      </c>
      <c r="O645">
        <v>174.23</v>
      </c>
      <c r="P645">
        <v>15</v>
      </c>
      <c r="Q645">
        <v>26.13</v>
      </c>
      <c r="R645">
        <v>148.1</v>
      </c>
      <c r="S645">
        <v>73.95</v>
      </c>
      <c r="T645">
        <v>74.150000000000006</v>
      </c>
      <c r="U645" t="s">
        <v>195</v>
      </c>
      <c r="V645" t="s">
        <v>181</v>
      </c>
      <c r="W645" t="s">
        <v>2113</v>
      </c>
      <c r="X645" t="s">
        <v>2091</v>
      </c>
      <c r="Y645">
        <v>349</v>
      </c>
      <c r="Z645">
        <v>408.14</v>
      </c>
      <c r="AA645">
        <v>51.45</v>
      </c>
      <c r="AB645" t="s">
        <v>66</v>
      </c>
      <c r="AC645" t="s">
        <v>16</v>
      </c>
      <c r="AD645" t="s">
        <v>2095</v>
      </c>
      <c r="AE645" t="s">
        <v>2109</v>
      </c>
    </row>
    <row r="646" spans="1:31">
      <c r="A646" t="s">
        <v>851</v>
      </c>
      <c r="B646" s="1">
        <v>45073</v>
      </c>
      <c r="C646" t="s">
        <v>192</v>
      </c>
      <c r="D646">
        <v>2023</v>
      </c>
      <c r="E646" t="s">
        <v>154</v>
      </c>
      <c r="F646" t="s">
        <v>852</v>
      </c>
      <c r="G646" t="s">
        <v>23</v>
      </c>
      <c r="H646" t="s">
        <v>24</v>
      </c>
      <c r="I646" t="s">
        <v>14</v>
      </c>
      <c r="J646" t="s">
        <v>19</v>
      </c>
      <c r="K646" t="s">
        <v>164</v>
      </c>
      <c r="L646" t="s">
        <v>204</v>
      </c>
      <c r="M646">
        <v>4</v>
      </c>
      <c r="N646">
        <v>154.03</v>
      </c>
      <c r="O646">
        <v>616.12</v>
      </c>
      <c r="P646">
        <v>10</v>
      </c>
      <c r="Q646">
        <v>61.61</v>
      </c>
      <c r="R646">
        <v>554.51</v>
      </c>
      <c r="S646">
        <v>307.16000000000003</v>
      </c>
      <c r="T646">
        <v>247.35</v>
      </c>
      <c r="U646" t="s">
        <v>180</v>
      </c>
      <c r="V646" t="s">
        <v>159</v>
      </c>
      <c r="W646" t="s">
        <v>2090</v>
      </c>
      <c r="X646" t="s">
        <v>2091</v>
      </c>
      <c r="Y646">
        <v>138</v>
      </c>
      <c r="Z646">
        <v>81.27</v>
      </c>
      <c r="AA646">
        <v>106.92</v>
      </c>
      <c r="AB646" t="s">
        <v>66</v>
      </c>
      <c r="AC646" t="s">
        <v>16</v>
      </c>
      <c r="AD646" t="s">
        <v>2087</v>
      </c>
      <c r="AE646" t="s">
        <v>2096</v>
      </c>
    </row>
    <row r="647" spans="1:31">
      <c r="A647" t="s">
        <v>1778</v>
      </c>
      <c r="B647" s="1">
        <v>45072</v>
      </c>
      <c r="C647" t="s">
        <v>192</v>
      </c>
      <c r="D647">
        <v>2023</v>
      </c>
      <c r="E647" t="s">
        <v>154</v>
      </c>
      <c r="F647" t="s">
        <v>1779</v>
      </c>
      <c r="G647" t="s">
        <v>76</v>
      </c>
      <c r="H647" t="s">
        <v>77</v>
      </c>
      <c r="I647" t="s">
        <v>66</v>
      </c>
      <c r="J647" t="s">
        <v>67</v>
      </c>
      <c r="K647" t="s">
        <v>178</v>
      </c>
      <c r="L647" t="s">
        <v>194</v>
      </c>
      <c r="M647">
        <v>3</v>
      </c>
      <c r="N647">
        <v>118.07</v>
      </c>
      <c r="O647">
        <v>354.21</v>
      </c>
      <c r="P647">
        <v>0</v>
      </c>
      <c r="Q647">
        <v>0</v>
      </c>
      <c r="R647">
        <v>354.21</v>
      </c>
      <c r="S647">
        <v>119.1</v>
      </c>
      <c r="T647">
        <v>235.11</v>
      </c>
      <c r="U647" t="s">
        <v>180</v>
      </c>
      <c r="V647" t="s">
        <v>181</v>
      </c>
      <c r="W647" t="s">
        <v>2099</v>
      </c>
      <c r="X647" t="s">
        <v>2094</v>
      </c>
      <c r="Y647">
        <v>37</v>
      </c>
      <c r="Z647">
        <v>135.41999999999999</v>
      </c>
      <c r="AA647">
        <v>58.03</v>
      </c>
      <c r="AB647" t="s">
        <v>14</v>
      </c>
      <c r="AC647" t="s">
        <v>20</v>
      </c>
      <c r="AD647" t="s">
        <v>2095</v>
      </c>
      <c r="AE647" t="s">
        <v>2088</v>
      </c>
    </row>
    <row r="648" spans="1:31">
      <c r="A648" t="s">
        <v>1318</v>
      </c>
      <c r="B648" s="1">
        <v>45072</v>
      </c>
      <c r="C648" t="s">
        <v>192</v>
      </c>
      <c r="D648">
        <v>2023</v>
      </c>
      <c r="E648" t="s">
        <v>154</v>
      </c>
      <c r="F648" t="s">
        <v>1319</v>
      </c>
      <c r="G648" t="s">
        <v>105</v>
      </c>
      <c r="H648" t="s">
        <v>106</v>
      </c>
      <c r="I648" t="s">
        <v>90</v>
      </c>
      <c r="J648" t="s">
        <v>91</v>
      </c>
      <c r="K648" t="s">
        <v>178</v>
      </c>
      <c r="L648" t="s">
        <v>165</v>
      </c>
      <c r="M648">
        <v>2</v>
      </c>
      <c r="N648">
        <v>36.35</v>
      </c>
      <c r="O648">
        <v>72.7</v>
      </c>
      <c r="P648">
        <v>20</v>
      </c>
      <c r="Q648">
        <v>14.54</v>
      </c>
      <c r="R648">
        <v>58.16</v>
      </c>
      <c r="S648">
        <v>60.04</v>
      </c>
      <c r="T648">
        <v>-1.88</v>
      </c>
      <c r="U648" t="s">
        <v>166</v>
      </c>
      <c r="V648" t="s">
        <v>186</v>
      </c>
      <c r="W648" t="s">
        <v>2090</v>
      </c>
      <c r="X648" t="s">
        <v>2108</v>
      </c>
      <c r="Y648">
        <v>32</v>
      </c>
      <c r="Z648">
        <v>393.01</v>
      </c>
      <c r="AA648">
        <v>52.23</v>
      </c>
      <c r="AB648" t="s">
        <v>66</v>
      </c>
      <c r="AC648" t="s">
        <v>16</v>
      </c>
      <c r="AD648" t="s">
        <v>2087</v>
      </c>
      <c r="AE648" t="s">
        <v>2121</v>
      </c>
    </row>
    <row r="649" spans="1:31">
      <c r="A649" t="s">
        <v>611</v>
      </c>
      <c r="B649" s="1">
        <v>45072</v>
      </c>
      <c r="C649" t="s">
        <v>192</v>
      </c>
      <c r="D649">
        <v>2023</v>
      </c>
      <c r="E649" t="s">
        <v>154</v>
      </c>
      <c r="F649" t="s">
        <v>612</v>
      </c>
      <c r="G649" t="s">
        <v>105</v>
      </c>
      <c r="H649" t="s">
        <v>106</v>
      </c>
      <c r="I649" t="s">
        <v>90</v>
      </c>
      <c r="J649" t="s">
        <v>91</v>
      </c>
      <c r="K649" t="s">
        <v>164</v>
      </c>
      <c r="L649" t="s">
        <v>157</v>
      </c>
      <c r="M649">
        <v>1</v>
      </c>
      <c r="N649">
        <v>36.35</v>
      </c>
      <c r="O649">
        <v>36.35</v>
      </c>
      <c r="P649">
        <v>0</v>
      </c>
      <c r="Q649">
        <v>0</v>
      </c>
      <c r="R649">
        <v>36.35</v>
      </c>
      <c r="S649">
        <v>30.02</v>
      </c>
      <c r="T649">
        <v>6.33</v>
      </c>
      <c r="U649" t="s">
        <v>166</v>
      </c>
      <c r="V649" t="s">
        <v>186</v>
      </c>
      <c r="W649" t="s">
        <v>2090</v>
      </c>
      <c r="X649" t="s">
        <v>2100</v>
      </c>
      <c r="Y649">
        <v>277</v>
      </c>
      <c r="Z649">
        <v>358.81</v>
      </c>
      <c r="AA649">
        <v>119.92</v>
      </c>
      <c r="AB649" t="s">
        <v>66</v>
      </c>
      <c r="AC649" t="s">
        <v>20</v>
      </c>
      <c r="AD649" t="s">
        <v>2095</v>
      </c>
      <c r="AE649" t="s">
        <v>2107</v>
      </c>
    </row>
    <row r="650" spans="1:31">
      <c r="A650" t="s">
        <v>1772</v>
      </c>
      <c r="B650" s="1">
        <v>45069</v>
      </c>
      <c r="C650" t="s">
        <v>192</v>
      </c>
      <c r="D650">
        <v>2023</v>
      </c>
      <c r="E650" t="s">
        <v>154</v>
      </c>
      <c r="F650" t="s">
        <v>1773</v>
      </c>
      <c r="G650" t="s">
        <v>98</v>
      </c>
      <c r="H650" t="s">
        <v>99</v>
      </c>
      <c r="I650" t="s">
        <v>90</v>
      </c>
      <c r="J650" t="s">
        <v>100</v>
      </c>
      <c r="K650" t="s">
        <v>209</v>
      </c>
      <c r="L650" t="s">
        <v>174</v>
      </c>
      <c r="M650">
        <v>2</v>
      </c>
      <c r="N650">
        <v>194.87</v>
      </c>
      <c r="O650">
        <v>389.74</v>
      </c>
      <c r="P650">
        <v>20</v>
      </c>
      <c r="Q650">
        <v>77.95</v>
      </c>
      <c r="R650">
        <v>311.79000000000002</v>
      </c>
      <c r="S650">
        <v>157.58000000000001</v>
      </c>
      <c r="T650">
        <v>154.21</v>
      </c>
      <c r="U650" t="s">
        <v>166</v>
      </c>
      <c r="V650" t="s">
        <v>186</v>
      </c>
      <c r="W650" t="s">
        <v>2113</v>
      </c>
      <c r="X650" t="s">
        <v>2094</v>
      </c>
      <c r="Y650">
        <v>363</v>
      </c>
      <c r="Z650">
        <v>545.1</v>
      </c>
      <c r="AA650">
        <v>75.760000000000005</v>
      </c>
      <c r="AB650" t="s">
        <v>66</v>
      </c>
      <c r="AC650" t="s">
        <v>20</v>
      </c>
      <c r="AD650" t="s">
        <v>2095</v>
      </c>
      <c r="AE650" t="s">
        <v>2109</v>
      </c>
    </row>
    <row r="651" spans="1:31">
      <c r="A651" t="s">
        <v>592</v>
      </c>
      <c r="B651" s="1">
        <v>45069</v>
      </c>
      <c r="C651" t="s">
        <v>192</v>
      </c>
      <c r="D651">
        <v>2023</v>
      </c>
      <c r="E651" t="s">
        <v>154</v>
      </c>
      <c r="F651" t="s">
        <v>264</v>
      </c>
      <c r="G651" t="s">
        <v>88</v>
      </c>
      <c r="H651" t="s">
        <v>89</v>
      </c>
      <c r="I651" t="s">
        <v>90</v>
      </c>
      <c r="J651" t="s">
        <v>91</v>
      </c>
      <c r="K651" t="s">
        <v>178</v>
      </c>
      <c r="L651" t="s">
        <v>157</v>
      </c>
      <c r="M651">
        <v>2</v>
      </c>
      <c r="N651">
        <v>54.64</v>
      </c>
      <c r="O651">
        <v>109.28</v>
      </c>
      <c r="P651">
        <v>0</v>
      </c>
      <c r="Q651">
        <v>0</v>
      </c>
      <c r="R651">
        <v>109.28</v>
      </c>
      <c r="S651">
        <v>40.64</v>
      </c>
      <c r="T651">
        <v>68.64</v>
      </c>
      <c r="U651" t="s">
        <v>195</v>
      </c>
      <c r="V651" t="s">
        <v>159</v>
      </c>
      <c r="W651" t="s">
        <v>2093</v>
      </c>
      <c r="X651" t="s">
        <v>2091</v>
      </c>
      <c r="Y651">
        <v>278</v>
      </c>
      <c r="Z651">
        <v>123.85</v>
      </c>
      <c r="AA651">
        <v>57.38</v>
      </c>
      <c r="AB651" t="s">
        <v>90</v>
      </c>
      <c r="AC651" t="s">
        <v>16</v>
      </c>
      <c r="AD651" t="s">
        <v>2106</v>
      </c>
      <c r="AE651" t="s">
        <v>2088</v>
      </c>
    </row>
    <row r="652" spans="1:31">
      <c r="A652" t="s">
        <v>1256</v>
      </c>
      <c r="B652" s="1">
        <v>45068</v>
      </c>
      <c r="C652" t="s">
        <v>192</v>
      </c>
      <c r="D652">
        <v>2023</v>
      </c>
      <c r="E652" t="s">
        <v>154</v>
      </c>
      <c r="F652" t="s">
        <v>1257</v>
      </c>
      <c r="G652" t="s">
        <v>105</v>
      </c>
      <c r="H652" t="s">
        <v>106</v>
      </c>
      <c r="I652" t="s">
        <v>90</v>
      </c>
      <c r="J652" t="s">
        <v>91</v>
      </c>
      <c r="K652" t="s">
        <v>164</v>
      </c>
      <c r="L652" t="s">
        <v>179</v>
      </c>
      <c r="M652">
        <v>3</v>
      </c>
      <c r="N652">
        <v>36.35</v>
      </c>
      <c r="O652">
        <v>109.05000000000001</v>
      </c>
      <c r="P652">
        <v>10</v>
      </c>
      <c r="Q652">
        <v>10.9</v>
      </c>
      <c r="R652">
        <v>98.15</v>
      </c>
      <c r="S652">
        <v>90.06</v>
      </c>
      <c r="T652">
        <v>8.09</v>
      </c>
      <c r="U652" t="s">
        <v>190</v>
      </c>
      <c r="V652" t="s">
        <v>186</v>
      </c>
      <c r="W652" t="s">
        <v>2090</v>
      </c>
      <c r="X652" t="s">
        <v>2086</v>
      </c>
      <c r="Y652">
        <v>362</v>
      </c>
      <c r="Z652">
        <v>219.57</v>
      </c>
      <c r="AA652">
        <v>88.8</v>
      </c>
      <c r="AB652" t="s">
        <v>41</v>
      </c>
      <c r="AC652" t="s">
        <v>16</v>
      </c>
      <c r="AD652" t="s">
        <v>2106</v>
      </c>
      <c r="AE652" t="s">
        <v>2121</v>
      </c>
    </row>
    <row r="653" spans="1:31">
      <c r="A653" t="s">
        <v>695</v>
      </c>
      <c r="B653" s="1">
        <v>45067</v>
      </c>
      <c r="C653" t="s">
        <v>192</v>
      </c>
      <c r="D653">
        <v>2023</v>
      </c>
      <c r="E653" t="s">
        <v>154</v>
      </c>
      <c r="F653" t="s">
        <v>696</v>
      </c>
      <c r="G653" t="s">
        <v>12</v>
      </c>
      <c r="H653" t="s">
        <v>13</v>
      </c>
      <c r="I653" t="s">
        <v>14</v>
      </c>
      <c r="J653" t="s">
        <v>15</v>
      </c>
      <c r="K653" t="s">
        <v>178</v>
      </c>
      <c r="L653" t="s">
        <v>174</v>
      </c>
      <c r="M653">
        <v>1</v>
      </c>
      <c r="N653">
        <v>76.53</v>
      </c>
      <c r="O653">
        <v>76.53</v>
      </c>
      <c r="P653">
        <v>10</v>
      </c>
      <c r="Q653">
        <v>7.65</v>
      </c>
      <c r="R653">
        <v>68.88</v>
      </c>
      <c r="S653">
        <v>52.96</v>
      </c>
      <c r="T653">
        <v>15.92</v>
      </c>
      <c r="U653" t="s">
        <v>166</v>
      </c>
      <c r="V653" t="s">
        <v>186</v>
      </c>
      <c r="W653" t="s">
        <v>2099</v>
      </c>
      <c r="X653" t="s">
        <v>2111</v>
      </c>
      <c r="Y653">
        <v>11</v>
      </c>
      <c r="Z653">
        <v>21.71</v>
      </c>
      <c r="AA653">
        <v>65.430000000000007</v>
      </c>
      <c r="AB653" t="s">
        <v>90</v>
      </c>
      <c r="AC653" t="s">
        <v>16</v>
      </c>
      <c r="AD653" t="s">
        <v>2087</v>
      </c>
      <c r="AE653" t="s">
        <v>2121</v>
      </c>
    </row>
    <row r="654" spans="1:31">
      <c r="A654" t="s">
        <v>725</v>
      </c>
      <c r="B654" s="1">
        <v>45065</v>
      </c>
      <c r="C654" t="s">
        <v>192</v>
      </c>
      <c r="D654">
        <v>2023</v>
      </c>
      <c r="E654" t="s">
        <v>154</v>
      </c>
      <c r="F654" t="s">
        <v>726</v>
      </c>
      <c r="G654" t="s">
        <v>62</v>
      </c>
      <c r="H654" t="s">
        <v>63</v>
      </c>
      <c r="I654" t="s">
        <v>41</v>
      </c>
      <c r="J654" t="s">
        <v>45</v>
      </c>
      <c r="K654" t="s">
        <v>156</v>
      </c>
      <c r="L654" t="s">
        <v>174</v>
      </c>
      <c r="M654">
        <v>4</v>
      </c>
      <c r="N654">
        <v>160.35</v>
      </c>
      <c r="O654">
        <v>641.4</v>
      </c>
      <c r="P654">
        <v>0</v>
      </c>
      <c r="Q654">
        <v>0</v>
      </c>
      <c r="R654">
        <v>641.4</v>
      </c>
      <c r="S654">
        <v>289.88</v>
      </c>
      <c r="T654">
        <v>351.52</v>
      </c>
      <c r="U654" t="s">
        <v>190</v>
      </c>
      <c r="V654" t="s">
        <v>186</v>
      </c>
      <c r="W654" t="s">
        <v>2090</v>
      </c>
      <c r="X654" t="s">
        <v>2111</v>
      </c>
      <c r="Y654">
        <v>65</v>
      </c>
      <c r="Z654">
        <v>250.92</v>
      </c>
      <c r="AA654">
        <v>67.75</v>
      </c>
      <c r="AB654" t="s">
        <v>41</v>
      </c>
      <c r="AC654" t="s">
        <v>20</v>
      </c>
      <c r="AD654" t="s">
        <v>2095</v>
      </c>
      <c r="AE654" t="s">
        <v>2121</v>
      </c>
    </row>
    <row r="655" spans="1:31">
      <c r="A655" t="s">
        <v>1693</v>
      </c>
      <c r="B655" s="1">
        <v>45065</v>
      </c>
      <c r="C655" t="s">
        <v>192</v>
      </c>
      <c r="D655">
        <v>2023</v>
      </c>
      <c r="E655" t="s">
        <v>154</v>
      </c>
      <c r="F655" t="s">
        <v>1694</v>
      </c>
      <c r="G655" t="s">
        <v>48</v>
      </c>
      <c r="H655" t="s">
        <v>49</v>
      </c>
      <c r="I655" t="s">
        <v>41</v>
      </c>
      <c r="J655" t="s">
        <v>42</v>
      </c>
      <c r="K655" t="s">
        <v>164</v>
      </c>
      <c r="L655" t="s">
        <v>204</v>
      </c>
      <c r="M655">
        <v>2</v>
      </c>
      <c r="N655">
        <v>84.95</v>
      </c>
      <c r="O655">
        <v>169.9</v>
      </c>
      <c r="P655">
        <v>15</v>
      </c>
      <c r="Q655">
        <v>25.48</v>
      </c>
      <c r="R655">
        <v>144.41999999999999</v>
      </c>
      <c r="S655">
        <v>106.14</v>
      </c>
      <c r="T655">
        <v>38.28</v>
      </c>
      <c r="U655" t="s">
        <v>190</v>
      </c>
      <c r="V655" t="s">
        <v>159</v>
      </c>
      <c r="W655" t="s">
        <v>2097</v>
      </c>
      <c r="X655" t="s">
        <v>2091</v>
      </c>
      <c r="Y655">
        <v>95</v>
      </c>
      <c r="Z655">
        <v>359.46</v>
      </c>
      <c r="AA655">
        <v>65.349999999999994</v>
      </c>
      <c r="AB655" t="s">
        <v>14</v>
      </c>
      <c r="AC655" t="s">
        <v>20</v>
      </c>
      <c r="AD655" t="s">
        <v>2095</v>
      </c>
      <c r="AE655" t="s">
        <v>2107</v>
      </c>
    </row>
    <row r="656" spans="1:31">
      <c r="A656" t="s">
        <v>1639</v>
      </c>
      <c r="B656" s="1">
        <v>45065</v>
      </c>
      <c r="C656" t="s">
        <v>192</v>
      </c>
      <c r="D656">
        <v>2023</v>
      </c>
      <c r="E656" t="s">
        <v>154</v>
      </c>
      <c r="F656" t="s">
        <v>1640</v>
      </c>
      <c r="G656" t="s">
        <v>82</v>
      </c>
      <c r="H656" t="s">
        <v>83</v>
      </c>
      <c r="I656" t="s">
        <v>66</v>
      </c>
      <c r="J656" t="s">
        <v>67</v>
      </c>
      <c r="K656" t="s">
        <v>209</v>
      </c>
      <c r="L656" t="s">
        <v>194</v>
      </c>
      <c r="M656">
        <v>3</v>
      </c>
      <c r="N656">
        <v>34.479999999999997</v>
      </c>
      <c r="O656">
        <v>103.44</v>
      </c>
      <c r="P656">
        <v>0</v>
      </c>
      <c r="Q656">
        <v>0</v>
      </c>
      <c r="R656">
        <v>103.44</v>
      </c>
      <c r="S656">
        <v>57.72</v>
      </c>
      <c r="T656">
        <v>45.72</v>
      </c>
      <c r="U656" t="s">
        <v>166</v>
      </c>
      <c r="V656" t="s">
        <v>186</v>
      </c>
      <c r="W656" t="s">
        <v>2113</v>
      </c>
      <c r="X656" t="s">
        <v>2111</v>
      </c>
      <c r="Y656">
        <v>347</v>
      </c>
      <c r="Z656">
        <v>424.54</v>
      </c>
      <c r="AA656">
        <v>62.91</v>
      </c>
      <c r="AB656" t="s">
        <v>41</v>
      </c>
      <c r="AC656" t="s">
        <v>16</v>
      </c>
      <c r="AD656" t="s">
        <v>2106</v>
      </c>
      <c r="AE656" t="s">
        <v>2107</v>
      </c>
    </row>
    <row r="657" spans="1:31">
      <c r="A657" t="s">
        <v>620</v>
      </c>
      <c r="B657" s="1">
        <v>45063</v>
      </c>
      <c r="C657" t="s">
        <v>192</v>
      </c>
      <c r="D657">
        <v>2023</v>
      </c>
      <c r="E657" t="s">
        <v>154</v>
      </c>
      <c r="F657" t="s">
        <v>621</v>
      </c>
      <c r="G657" t="s">
        <v>53</v>
      </c>
      <c r="H657" t="s">
        <v>54</v>
      </c>
      <c r="I657" t="s">
        <v>41</v>
      </c>
      <c r="J657" t="s">
        <v>45</v>
      </c>
      <c r="K657" t="s">
        <v>178</v>
      </c>
      <c r="L657" t="s">
        <v>194</v>
      </c>
      <c r="M657">
        <v>4</v>
      </c>
      <c r="N657">
        <v>51.98</v>
      </c>
      <c r="O657">
        <v>207.92</v>
      </c>
      <c r="P657">
        <v>20</v>
      </c>
      <c r="Q657">
        <v>41.58</v>
      </c>
      <c r="R657">
        <v>166.34</v>
      </c>
      <c r="S657">
        <v>132.16</v>
      </c>
      <c r="T657">
        <v>34.18</v>
      </c>
      <c r="U657" t="s">
        <v>166</v>
      </c>
      <c r="V657" t="s">
        <v>181</v>
      </c>
      <c r="W657" t="s">
        <v>2085</v>
      </c>
      <c r="X657" t="s">
        <v>2091</v>
      </c>
      <c r="Y657">
        <v>208</v>
      </c>
      <c r="Z657">
        <v>1264.05</v>
      </c>
      <c r="AA657">
        <v>156.34</v>
      </c>
      <c r="AB657" t="s">
        <v>14</v>
      </c>
      <c r="AC657" t="s">
        <v>16</v>
      </c>
      <c r="AD657" t="s">
        <v>2095</v>
      </c>
      <c r="AE657" t="s">
        <v>2109</v>
      </c>
    </row>
    <row r="658" spans="1:31">
      <c r="A658" t="s">
        <v>292</v>
      </c>
      <c r="B658" s="1">
        <v>45063</v>
      </c>
      <c r="C658" t="s">
        <v>192</v>
      </c>
      <c r="D658">
        <v>2023</v>
      </c>
      <c r="E658" t="s">
        <v>154</v>
      </c>
      <c r="F658" t="s">
        <v>293</v>
      </c>
      <c r="G658" t="s">
        <v>133</v>
      </c>
      <c r="H658" t="s">
        <v>134</v>
      </c>
      <c r="I658" t="s">
        <v>115</v>
      </c>
      <c r="J658" t="s">
        <v>119</v>
      </c>
      <c r="K658" t="s">
        <v>156</v>
      </c>
      <c r="L658" t="s">
        <v>194</v>
      </c>
      <c r="M658">
        <v>1</v>
      </c>
      <c r="N658">
        <v>78.84</v>
      </c>
      <c r="O658">
        <v>78.84</v>
      </c>
      <c r="P658">
        <v>0</v>
      </c>
      <c r="Q658">
        <v>0</v>
      </c>
      <c r="R658">
        <v>78.84</v>
      </c>
      <c r="S658">
        <v>47.68</v>
      </c>
      <c r="T658">
        <v>31.16</v>
      </c>
      <c r="U658" t="s">
        <v>180</v>
      </c>
      <c r="V658" t="s">
        <v>186</v>
      </c>
      <c r="W658" t="s">
        <v>2099</v>
      </c>
      <c r="X658" t="s">
        <v>2100</v>
      </c>
      <c r="Y658">
        <v>190</v>
      </c>
      <c r="Z658">
        <v>50.27</v>
      </c>
      <c r="AA658">
        <v>51.28</v>
      </c>
      <c r="AB658" t="s">
        <v>115</v>
      </c>
      <c r="AC658" t="s">
        <v>16</v>
      </c>
      <c r="AD658" t="s">
        <v>2087</v>
      </c>
      <c r="AE658" t="s">
        <v>2121</v>
      </c>
    </row>
    <row r="659" spans="1:31">
      <c r="A659" t="s">
        <v>1292</v>
      </c>
      <c r="B659" s="1">
        <v>45062</v>
      </c>
      <c r="C659" t="s">
        <v>192</v>
      </c>
      <c r="D659">
        <v>2023</v>
      </c>
      <c r="E659" t="s">
        <v>154</v>
      </c>
      <c r="F659" t="s">
        <v>1293</v>
      </c>
      <c r="G659" t="s">
        <v>131</v>
      </c>
      <c r="H659" t="s">
        <v>132</v>
      </c>
      <c r="I659" t="s">
        <v>115</v>
      </c>
      <c r="J659" t="s">
        <v>119</v>
      </c>
      <c r="K659" t="s">
        <v>156</v>
      </c>
      <c r="L659" t="s">
        <v>157</v>
      </c>
      <c r="M659">
        <v>2</v>
      </c>
      <c r="N659">
        <v>75.69</v>
      </c>
      <c r="O659">
        <v>151.38</v>
      </c>
      <c r="P659">
        <v>20</v>
      </c>
      <c r="Q659">
        <v>30.28</v>
      </c>
      <c r="R659">
        <v>121.1</v>
      </c>
      <c r="S659">
        <v>71.260000000000005</v>
      </c>
      <c r="T659">
        <v>49.84</v>
      </c>
      <c r="U659" t="s">
        <v>190</v>
      </c>
      <c r="V659" t="s">
        <v>181</v>
      </c>
      <c r="W659" t="s">
        <v>2097</v>
      </c>
      <c r="X659" t="s">
        <v>2108</v>
      </c>
      <c r="Y659">
        <v>97</v>
      </c>
      <c r="Z659">
        <v>649.91999999999996</v>
      </c>
      <c r="AA659">
        <v>76.349999999999994</v>
      </c>
      <c r="AB659" t="s">
        <v>115</v>
      </c>
      <c r="AC659" t="s">
        <v>16</v>
      </c>
      <c r="AD659" t="s">
        <v>2095</v>
      </c>
      <c r="AE659" t="s">
        <v>2107</v>
      </c>
    </row>
    <row r="660" spans="1:31">
      <c r="A660" t="s">
        <v>350</v>
      </c>
      <c r="B660" s="1">
        <v>45062</v>
      </c>
      <c r="C660" t="s">
        <v>192</v>
      </c>
      <c r="D660">
        <v>2023</v>
      </c>
      <c r="E660" t="s">
        <v>154</v>
      </c>
      <c r="F660" t="s">
        <v>351</v>
      </c>
      <c r="G660" t="s">
        <v>28</v>
      </c>
      <c r="H660" t="s">
        <v>29</v>
      </c>
      <c r="I660" t="s">
        <v>14</v>
      </c>
      <c r="J660" t="s">
        <v>19</v>
      </c>
      <c r="K660" t="s">
        <v>209</v>
      </c>
      <c r="L660" t="s">
        <v>204</v>
      </c>
      <c r="M660">
        <v>4</v>
      </c>
      <c r="N660">
        <v>26.46</v>
      </c>
      <c r="O660">
        <v>105.84</v>
      </c>
      <c r="P660">
        <v>0</v>
      </c>
      <c r="Q660">
        <v>0</v>
      </c>
      <c r="R660">
        <v>105.84</v>
      </c>
      <c r="S660">
        <v>77.680000000000007</v>
      </c>
      <c r="T660">
        <v>28.16</v>
      </c>
      <c r="U660" t="s">
        <v>195</v>
      </c>
      <c r="V660" t="s">
        <v>159</v>
      </c>
      <c r="W660" t="s">
        <v>2099</v>
      </c>
      <c r="X660" t="s">
        <v>2100</v>
      </c>
      <c r="Y660">
        <v>55</v>
      </c>
      <c r="Z660">
        <v>38.5</v>
      </c>
      <c r="AA660">
        <v>69.19</v>
      </c>
      <c r="AB660" t="s">
        <v>41</v>
      </c>
      <c r="AC660" t="s">
        <v>20</v>
      </c>
      <c r="AD660" t="s">
        <v>2087</v>
      </c>
      <c r="AE660" t="s">
        <v>2088</v>
      </c>
    </row>
    <row r="661" spans="1:31">
      <c r="A661" t="s">
        <v>1962</v>
      </c>
      <c r="B661" s="1">
        <v>45062</v>
      </c>
      <c r="C661" t="s">
        <v>192</v>
      </c>
      <c r="D661">
        <v>2023</v>
      </c>
      <c r="E661" t="s">
        <v>154</v>
      </c>
      <c r="F661" t="s">
        <v>1963</v>
      </c>
      <c r="G661" t="s">
        <v>60</v>
      </c>
      <c r="H661" t="s">
        <v>61</v>
      </c>
      <c r="I661" t="s">
        <v>41</v>
      </c>
      <c r="J661" t="s">
        <v>59</v>
      </c>
      <c r="K661" t="s">
        <v>178</v>
      </c>
      <c r="L661" t="s">
        <v>204</v>
      </c>
      <c r="M661">
        <v>3</v>
      </c>
      <c r="N661">
        <v>103.56</v>
      </c>
      <c r="O661">
        <v>310.68</v>
      </c>
      <c r="P661">
        <v>10</v>
      </c>
      <c r="Q661">
        <v>31.07</v>
      </c>
      <c r="R661">
        <v>279.61</v>
      </c>
      <c r="S661">
        <v>133.74</v>
      </c>
      <c r="T661">
        <v>145.87</v>
      </c>
      <c r="U661" t="s">
        <v>190</v>
      </c>
      <c r="V661" t="s">
        <v>159</v>
      </c>
      <c r="W661" t="s">
        <v>2099</v>
      </c>
      <c r="X661" t="s">
        <v>2094</v>
      </c>
      <c r="Y661">
        <v>334</v>
      </c>
      <c r="Z661">
        <v>45.56</v>
      </c>
      <c r="AA661">
        <v>94.57</v>
      </c>
      <c r="AB661" t="s">
        <v>66</v>
      </c>
      <c r="AC661" t="s">
        <v>20</v>
      </c>
      <c r="AD661" t="s">
        <v>2095</v>
      </c>
      <c r="AE661" t="s">
        <v>2109</v>
      </c>
    </row>
    <row r="662" spans="1:31">
      <c r="A662" t="s">
        <v>519</v>
      </c>
      <c r="B662" s="1">
        <v>45060</v>
      </c>
      <c r="C662" t="s">
        <v>192</v>
      </c>
      <c r="D662">
        <v>2023</v>
      </c>
      <c r="E662" t="s">
        <v>154</v>
      </c>
      <c r="F662" t="s">
        <v>520</v>
      </c>
      <c r="G662" t="s">
        <v>103</v>
      </c>
      <c r="H662" t="s">
        <v>104</v>
      </c>
      <c r="I662" t="s">
        <v>90</v>
      </c>
      <c r="J662" t="s">
        <v>94</v>
      </c>
      <c r="K662" t="s">
        <v>164</v>
      </c>
      <c r="L662" t="s">
        <v>157</v>
      </c>
      <c r="M662">
        <v>1</v>
      </c>
      <c r="N662">
        <v>98.58</v>
      </c>
      <c r="O662">
        <v>98.58</v>
      </c>
      <c r="P662">
        <v>0</v>
      </c>
      <c r="Q662">
        <v>0</v>
      </c>
      <c r="R662">
        <v>98.58</v>
      </c>
      <c r="S662">
        <v>52.57</v>
      </c>
      <c r="T662">
        <v>46.01</v>
      </c>
      <c r="U662" t="s">
        <v>166</v>
      </c>
      <c r="V662" t="s">
        <v>159</v>
      </c>
      <c r="W662" t="s">
        <v>2093</v>
      </c>
      <c r="X662" t="s">
        <v>2111</v>
      </c>
      <c r="Y662">
        <v>25</v>
      </c>
      <c r="Z662">
        <v>125.57</v>
      </c>
      <c r="AA662">
        <v>31.99</v>
      </c>
      <c r="AB662" t="s">
        <v>14</v>
      </c>
      <c r="AC662" t="s">
        <v>16</v>
      </c>
      <c r="AD662" t="s">
        <v>2106</v>
      </c>
      <c r="AE662" t="s">
        <v>2096</v>
      </c>
    </row>
    <row r="663" spans="1:31">
      <c r="A663" t="s">
        <v>677</v>
      </c>
      <c r="B663" s="1">
        <v>45060</v>
      </c>
      <c r="C663" t="s">
        <v>192</v>
      </c>
      <c r="D663">
        <v>2023</v>
      </c>
      <c r="E663" t="s">
        <v>154</v>
      </c>
      <c r="F663" t="s">
        <v>678</v>
      </c>
      <c r="G663" t="s">
        <v>86</v>
      </c>
      <c r="H663" t="s">
        <v>87</v>
      </c>
      <c r="I663" t="s">
        <v>66</v>
      </c>
      <c r="J663" t="s">
        <v>67</v>
      </c>
      <c r="K663" t="s">
        <v>164</v>
      </c>
      <c r="L663" t="s">
        <v>204</v>
      </c>
      <c r="M663">
        <v>3</v>
      </c>
      <c r="N663">
        <v>124.77</v>
      </c>
      <c r="O663">
        <v>374.31</v>
      </c>
      <c r="P663">
        <v>0</v>
      </c>
      <c r="Q663">
        <v>0</v>
      </c>
      <c r="R663">
        <v>374.31</v>
      </c>
      <c r="S663">
        <v>208.92</v>
      </c>
      <c r="T663">
        <v>165.39</v>
      </c>
      <c r="U663" t="s">
        <v>158</v>
      </c>
      <c r="V663" t="s">
        <v>186</v>
      </c>
      <c r="W663" t="s">
        <v>2113</v>
      </c>
      <c r="X663" t="s">
        <v>2108</v>
      </c>
      <c r="Y663">
        <v>270</v>
      </c>
      <c r="Z663">
        <v>271.45999999999998</v>
      </c>
      <c r="AA663">
        <v>70.02</v>
      </c>
      <c r="AB663" t="s">
        <v>14</v>
      </c>
      <c r="AC663" t="s">
        <v>16</v>
      </c>
      <c r="AD663" t="s">
        <v>2106</v>
      </c>
      <c r="AE663" t="s">
        <v>2096</v>
      </c>
    </row>
    <row r="664" spans="1:31">
      <c r="A664" t="s">
        <v>1755</v>
      </c>
      <c r="B664" s="1">
        <v>45060</v>
      </c>
      <c r="C664" t="s">
        <v>192</v>
      </c>
      <c r="D664">
        <v>2023</v>
      </c>
      <c r="E664" t="s">
        <v>154</v>
      </c>
      <c r="F664" t="s">
        <v>1756</v>
      </c>
      <c r="G664" t="s">
        <v>35</v>
      </c>
      <c r="H664" t="s">
        <v>36</v>
      </c>
      <c r="I664" t="s">
        <v>14</v>
      </c>
      <c r="J664" t="s">
        <v>19</v>
      </c>
      <c r="K664" t="s">
        <v>164</v>
      </c>
      <c r="L664" t="s">
        <v>194</v>
      </c>
      <c r="M664">
        <v>3</v>
      </c>
      <c r="N664">
        <v>81.599999999999994</v>
      </c>
      <c r="O664">
        <v>244.79999999999998</v>
      </c>
      <c r="P664">
        <v>0</v>
      </c>
      <c r="Q664">
        <v>0</v>
      </c>
      <c r="R664">
        <v>244.8</v>
      </c>
      <c r="S664">
        <v>87.96</v>
      </c>
      <c r="T664">
        <v>156.84</v>
      </c>
      <c r="U664" t="s">
        <v>195</v>
      </c>
      <c r="V664" t="s">
        <v>159</v>
      </c>
      <c r="W664" t="s">
        <v>2085</v>
      </c>
      <c r="X664" t="s">
        <v>2111</v>
      </c>
      <c r="Y664">
        <v>136</v>
      </c>
      <c r="Z664">
        <v>1014.34</v>
      </c>
      <c r="AA664">
        <v>245.35</v>
      </c>
      <c r="AB664" t="s">
        <v>41</v>
      </c>
      <c r="AC664" t="s">
        <v>20</v>
      </c>
      <c r="AD664" t="s">
        <v>2095</v>
      </c>
      <c r="AE664" t="s">
        <v>2096</v>
      </c>
    </row>
    <row r="665" spans="1:31">
      <c r="A665" t="s">
        <v>681</v>
      </c>
      <c r="B665" s="1">
        <v>45060</v>
      </c>
      <c r="C665" t="s">
        <v>192</v>
      </c>
      <c r="D665">
        <v>2023</v>
      </c>
      <c r="E665" t="s">
        <v>154</v>
      </c>
      <c r="F665" t="s">
        <v>682</v>
      </c>
      <c r="G665" t="s">
        <v>131</v>
      </c>
      <c r="H665" t="s">
        <v>132</v>
      </c>
      <c r="I665" t="s">
        <v>115</v>
      </c>
      <c r="J665" t="s">
        <v>119</v>
      </c>
      <c r="K665" t="s">
        <v>164</v>
      </c>
      <c r="L665" t="s">
        <v>194</v>
      </c>
      <c r="M665">
        <v>2</v>
      </c>
      <c r="N665">
        <v>75.69</v>
      </c>
      <c r="O665">
        <v>151.38</v>
      </c>
      <c r="P665">
        <v>0</v>
      </c>
      <c r="Q665">
        <v>0</v>
      </c>
      <c r="R665">
        <v>151.38</v>
      </c>
      <c r="S665">
        <v>71.260000000000005</v>
      </c>
      <c r="T665">
        <v>80.12</v>
      </c>
      <c r="U665" t="s">
        <v>190</v>
      </c>
      <c r="V665" t="s">
        <v>159</v>
      </c>
      <c r="W665" t="s">
        <v>2090</v>
      </c>
      <c r="X665" t="s">
        <v>2111</v>
      </c>
      <c r="Y665">
        <v>83</v>
      </c>
      <c r="Z665">
        <v>108.88</v>
      </c>
      <c r="AA665">
        <v>103.78</v>
      </c>
      <c r="AB665" t="s">
        <v>66</v>
      </c>
      <c r="AC665" t="s">
        <v>20</v>
      </c>
      <c r="AD665" t="s">
        <v>2106</v>
      </c>
      <c r="AE665" t="s">
        <v>2109</v>
      </c>
    </row>
    <row r="666" spans="1:31">
      <c r="A666" t="s">
        <v>210</v>
      </c>
      <c r="B666" s="1">
        <v>45060</v>
      </c>
      <c r="C666" t="s">
        <v>192</v>
      </c>
      <c r="D666">
        <v>2023</v>
      </c>
      <c r="E666" t="s">
        <v>154</v>
      </c>
      <c r="F666" t="s">
        <v>211</v>
      </c>
      <c r="G666" t="s">
        <v>86</v>
      </c>
      <c r="H666" t="s">
        <v>87</v>
      </c>
      <c r="I666" t="s">
        <v>66</v>
      </c>
      <c r="J666" t="s">
        <v>67</v>
      </c>
      <c r="K666" t="s">
        <v>178</v>
      </c>
      <c r="L666" t="s">
        <v>157</v>
      </c>
      <c r="M666">
        <v>2</v>
      </c>
      <c r="N666">
        <v>124.77</v>
      </c>
      <c r="O666">
        <v>249.54</v>
      </c>
      <c r="P666">
        <v>0</v>
      </c>
      <c r="Q666">
        <v>0</v>
      </c>
      <c r="R666">
        <v>249.54</v>
      </c>
      <c r="S666">
        <v>139.28</v>
      </c>
      <c r="T666">
        <v>110.26</v>
      </c>
      <c r="U666" t="s">
        <v>180</v>
      </c>
      <c r="V666" t="s">
        <v>159</v>
      </c>
      <c r="W666" t="s">
        <v>2097</v>
      </c>
      <c r="X666" t="s">
        <v>2108</v>
      </c>
      <c r="Y666">
        <v>351</v>
      </c>
      <c r="Z666">
        <v>758.18</v>
      </c>
      <c r="AA666">
        <v>128.63999999999999</v>
      </c>
      <c r="AB666" t="s">
        <v>66</v>
      </c>
      <c r="AC666" t="s">
        <v>20</v>
      </c>
      <c r="AD666" t="s">
        <v>2095</v>
      </c>
      <c r="AE666" t="s">
        <v>2088</v>
      </c>
    </row>
    <row r="667" spans="1:31">
      <c r="A667" t="s">
        <v>1029</v>
      </c>
      <c r="B667" s="1">
        <v>45059</v>
      </c>
      <c r="C667" t="s">
        <v>192</v>
      </c>
      <c r="D667">
        <v>2023</v>
      </c>
      <c r="E667" t="s">
        <v>154</v>
      </c>
      <c r="F667" t="s">
        <v>1030</v>
      </c>
      <c r="G667" t="s">
        <v>117</v>
      </c>
      <c r="H667" t="s">
        <v>118</v>
      </c>
      <c r="I667" t="s">
        <v>115</v>
      </c>
      <c r="J667" t="s">
        <v>119</v>
      </c>
      <c r="K667" t="s">
        <v>164</v>
      </c>
      <c r="L667" t="s">
        <v>204</v>
      </c>
      <c r="M667">
        <v>4</v>
      </c>
      <c r="N667">
        <v>93.41</v>
      </c>
      <c r="O667">
        <v>373.64</v>
      </c>
      <c r="P667">
        <v>0</v>
      </c>
      <c r="Q667">
        <v>0</v>
      </c>
      <c r="R667">
        <v>373.64</v>
      </c>
      <c r="S667">
        <v>256.2</v>
      </c>
      <c r="T667">
        <v>117.44</v>
      </c>
      <c r="U667" t="s">
        <v>180</v>
      </c>
      <c r="V667" t="s">
        <v>159</v>
      </c>
      <c r="W667" t="s">
        <v>2097</v>
      </c>
      <c r="X667" t="s">
        <v>2091</v>
      </c>
      <c r="Y667">
        <v>56</v>
      </c>
      <c r="Z667">
        <v>522.74</v>
      </c>
      <c r="AA667">
        <v>77.13</v>
      </c>
      <c r="AB667" t="s">
        <v>66</v>
      </c>
      <c r="AC667" t="s">
        <v>16</v>
      </c>
      <c r="AD667" t="s">
        <v>2087</v>
      </c>
      <c r="AE667" t="s">
        <v>2088</v>
      </c>
    </row>
    <row r="668" spans="1:31">
      <c r="A668" t="s">
        <v>1421</v>
      </c>
      <c r="B668" s="1">
        <v>45058</v>
      </c>
      <c r="C668" t="s">
        <v>192</v>
      </c>
      <c r="D668">
        <v>2023</v>
      </c>
      <c r="E668" t="s">
        <v>154</v>
      </c>
      <c r="F668" t="s">
        <v>1422</v>
      </c>
      <c r="G668" t="s">
        <v>73</v>
      </c>
      <c r="H668" t="s">
        <v>74</v>
      </c>
      <c r="I668" t="s">
        <v>66</v>
      </c>
      <c r="J668" t="s">
        <v>75</v>
      </c>
      <c r="K668" t="s">
        <v>178</v>
      </c>
      <c r="L668" t="s">
        <v>174</v>
      </c>
      <c r="M668">
        <v>2</v>
      </c>
      <c r="N668">
        <v>53.95</v>
      </c>
      <c r="O668">
        <v>107.9</v>
      </c>
      <c r="P668">
        <v>0</v>
      </c>
      <c r="Q668">
        <v>0</v>
      </c>
      <c r="R668">
        <v>107.9</v>
      </c>
      <c r="S668">
        <v>70.400000000000006</v>
      </c>
      <c r="T668">
        <v>37.5</v>
      </c>
      <c r="U668" t="s">
        <v>166</v>
      </c>
      <c r="V668" t="s">
        <v>186</v>
      </c>
      <c r="W668" t="s">
        <v>2085</v>
      </c>
      <c r="X668" t="s">
        <v>2111</v>
      </c>
      <c r="Y668">
        <v>288</v>
      </c>
      <c r="Z668">
        <v>1251.6600000000001</v>
      </c>
      <c r="AA668">
        <v>290.14</v>
      </c>
      <c r="AB668" t="s">
        <v>66</v>
      </c>
      <c r="AC668" t="s">
        <v>16</v>
      </c>
      <c r="AD668" t="s">
        <v>2087</v>
      </c>
      <c r="AE668" t="s">
        <v>2121</v>
      </c>
    </row>
    <row r="669" spans="1:31">
      <c r="A669" t="s">
        <v>219</v>
      </c>
      <c r="B669" s="1">
        <v>45058</v>
      </c>
      <c r="C669" t="s">
        <v>192</v>
      </c>
      <c r="D669">
        <v>2023</v>
      </c>
      <c r="E669" t="s">
        <v>154</v>
      </c>
      <c r="F669" t="s">
        <v>220</v>
      </c>
      <c r="G669" t="s">
        <v>48</v>
      </c>
      <c r="H669" t="s">
        <v>49</v>
      </c>
      <c r="I669" t="s">
        <v>41</v>
      </c>
      <c r="J669" t="s">
        <v>42</v>
      </c>
      <c r="K669" t="s">
        <v>178</v>
      </c>
      <c r="L669" t="s">
        <v>157</v>
      </c>
      <c r="M669">
        <v>4</v>
      </c>
      <c r="N669">
        <v>84.95</v>
      </c>
      <c r="O669">
        <v>339.8</v>
      </c>
      <c r="P669">
        <v>15</v>
      </c>
      <c r="Q669">
        <v>50.97</v>
      </c>
      <c r="R669">
        <v>288.83</v>
      </c>
      <c r="S669">
        <v>212.28</v>
      </c>
      <c r="T669">
        <v>76.55</v>
      </c>
      <c r="U669" t="s">
        <v>166</v>
      </c>
      <c r="V669" t="s">
        <v>181</v>
      </c>
      <c r="W669" t="s">
        <v>2093</v>
      </c>
      <c r="X669" t="s">
        <v>2100</v>
      </c>
      <c r="Y669">
        <v>317</v>
      </c>
      <c r="Z669">
        <v>45.22</v>
      </c>
      <c r="AA669">
        <v>40.21</v>
      </c>
      <c r="AB669" t="s">
        <v>14</v>
      </c>
      <c r="AC669" t="s">
        <v>16</v>
      </c>
      <c r="AD669" t="s">
        <v>2095</v>
      </c>
      <c r="AE669" t="s">
        <v>2096</v>
      </c>
    </row>
    <row r="670" spans="1:31">
      <c r="A670" t="s">
        <v>1625</v>
      </c>
      <c r="B670" s="1">
        <v>45058</v>
      </c>
      <c r="C670" t="s">
        <v>192</v>
      </c>
      <c r="D670">
        <v>2023</v>
      </c>
      <c r="E670" t="s">
        <v>154</v>
      </c>
      <c r="F670" t="s">
        <v>1626</v>
      </c>
      <c r="G670" t="s">
        <v>35</v>
      </c>
      <c r="H670" t="s">
        <v>36</v>
      </c>
      <c r="I670" t="s">
        <v>14</v>
      </c>
      <c r="J670" t="s">
        <v>19</v>
      </c>
      <c r="K670" t="s">
        <v>209</v>
      </c>
      <c r="L670" t="s">
        <v>232</v>
      </c>
      <c r="M670">
        <v>3</v>
      </c>
      <c r="N670">
        <v>81.599999999999994</v>
      </c>
      <c r="O670">
        <v>244.79999999999998</v>
      </c>
      <c r="P670">
        <v>0</v>
      </c>
      <c r="Q670">
        <v>0</v>
      </c>
      <c r="R670">
        <v>244.8</v>
      </c>
      <c r="S670">
        <v>87.96</v>
      </c>
      <c r="T670">
        <v>156.84</v>
      </c>
      <c r="U670" t="s">
        <v>190</v>
      </c>
      <c r="V670" t="s">
        <v>181</v>
      </c>
      <c r="W670" t="s">
        <v>2099</v>
      </c>
      <c r="X670" t="s">
        <v>2094</v>
      </c>
      <c r="Y670">
        <v>111</v>
      </c>
      <c r="Z670">
        <v>80.78</v>
      </c>
      <c r="AA670">
        <v>52.72</v>
      </c>
      <c r="AB670" t="s">
        <v>66</v>
      </c>
      <c r="AC670" t="s">
        <v>16</v>
      </c>
      <c r="AD670" t="s">
        <v>2095</v>
      </c>
      <c r="AE670" t="s">
        <v>2107</v>
      </c>
    </row>
    <row r="671" spans="1:31">
      <c r="A671" t="s">
        <v>637</v>
      </c>
      <c r="B671" s="1">
        <v>45057</v>
      </c>
      <c r="C671" t="s">
        <v>192</v>
      </c>
      <c r="D671">
        <v>2023</v>
      </c>
      <c r="E671" t="s">
        <v>154</v>
      </c>
      <c r="F671" t="s">
        <v>638</v>
      </c>
      <c r="G671" t="s">
        <v>129</v>
      </c>
      <c r="H671" t="s">
        <v>130</v>
      </c>
      <c r="I671" t="s">
        <v>115</v>
      </c>
      <c r="J671" t="s">
        <v>124</v>
      </c>
      <c r="K671" t="s">
        <v>209</v>
      </c>
      <c r="L671" t="s">
        <v>165</v>
      </c>
      <c r="M671">
        <v>1</v>
      </c>
      <c r="N671">
        <v>99.34</v>
      </c>
      <c r="O671">
        <v>99.34</v>
      </c>
      <c r="P671">
        <v>5</v>
      </c>
      <c r="Q671">
        <v>4.97</v>
      </c>
      <c r="R671">
        <v>94.37</v>
      </c>
      <c r="S671">
        <v>37.35</v>
      </c>
      <c r="T671">
        <v>57.02</v>
      </c>
      <c r="U671" t="s">
        <v>190</v>
      </c>
      <c r="V671" t="s">
        <v>181</v>
      </c>
      <c r="W671" t="s">
        <v>2090</v>
      </c>
      <c r="X671" t="s">
        <v>2086</v>
      </c>
      <c r="Y671">
        <v>250</v>
      </c>
      <c r="Z671">
        <v>365.85</v>
      </c>
      <c r="AA671">
        <v>86.71</v>
      </c>
      <c r="AB671" t="s">
        <v>90</v>
      </c>
      <c r="AC671" t="s">
        <v>20</v>
      </c>
      <c r="AD671" t="s">
        <v>2095</v>
      </c>
      <c r="AE671" t="s">
        <v>2107</v>
      </c>
    </row>
    <row r="672" spans="1:31">
      <c r="A672" t="s">
        <v>390</v>
      </c>
      <c r="B672" s="1">
        <v>45057</v>
      </c>
      <c r="C672" t="s">
        <v>192</v>
      </c>
      <c r="D672">
        <v>2023</v>
      </c>
      <c r="E672" t="s">
        <v>154</v>
      </c>
      <c r="F672" t="s">
        <v>391</v>
      </c>
      <c r="G672" t="s">
        <v>82</v>
      </c>
      <c r="H672" t="s">
        <v>83</v>
      </c>
      <c r="I672" t="s">
        <v>66</v>
      </c>
      <c r="J672" t="s">
        <v>67</v>
      </c>
      <c r="K672" t="s">
        <v>156</v>
      </c>
      <c r="L672" t="s">
        <v>165</v>
      </c>
      <c r="M672">
        <v>3</v>
      </c>
      <c r="N672">
        <v>34.479999999999997</v>
      </c>
      <c r="O672">
        <v>103.44</v>
      </c>
      <c r="P672">
        <v>15</v>
      </c>
      <c r="Q672">
        <v>15.52</v>
      </c>
      <c r="R672">
        <v>87.92</v>
      </c>
      <c r="S672">
        <v>57.72</v>
      </c>
      <c r="T672">
        <v>30.2</v>
      </c>
      <c r="U672" t="s">
        <v>180</v>
      </c>
      <c r="V672" t="s">
        <v>159</v>
      </c>
      <c r="W672" t="s">
        <v>2113</v>
      </c>
      <c r="X672" t="s">
        <v>2086</v>
      </c>
      <c r="Y672">
        <v>166</v>
      </c>
      <c r="Z672">
        <v>377.62</v>
      </c>
      <c r="AA672">
        <v>35.479999999999997</v>
      </c>
      <c r="AB672" t="s">
        <v>66</v>
      </c>
      <c r="AC672" t="s">
        <v>20</v>
      </c>
      <c r="AD672" t="s">
        <v>2095</v>
      </c>
      <c r="AE672" t="s">
        <v>2096</v>
      </c>
    </row>
    <row r="673" spans="1:31">
      <c r="A673" t="s">
        <v>328</v>
      </c>
      <c r="B673" s="1">
        <v>45057</v>
      </c>
      <c r="C673" t="s">
        <v>192</v>
      </c>
      <c r="D673">
        <v>2023</v>
      </c>
      <c r="E673" t="s">
        <v>154</v>
      </c>
      <c r="F673" t="s">
        <v>329</v>
      </c>
      <c r="G673" t="s">
        <v>86</v>
      </c>
      <c r="H673" t="s">
        <v>87</v>
      </c>
      <c r="I673" t="s">
        <v>66</v>
      </c>
      <c r="J673" t="s">
        <v>67</v>
      </c>
      <c r="K673" t="s">
        <v>209</v>
      </c>
      <c r="L673" t="s">
        <v>179</v>
      </c>
      <c r="M673">
        <v>3</v>
      </c>
      <c r="N673">
        <v>124.77</v>
      </c>
      <c r="O673">
        <v>374.31</v>
      </c>
      <c r="P673">
        <v>5</v>
      </c>
      <c r="Q673">
        <v>18.72</v>
      </c>
      <c r="R673">
        <v>355.59</v>
      </c>
      <c r="S673">
        <v>208.92</v>
      </c>
      <c r="T673">
        <v>146.66999999999999</v>
      </c>
      <c r="U673" t="s">
        <v>180</v>
      </c>
      <c r="V673" t="s">
        <v>159</v>
      </c>
      <c r="W673" t="s">
        <v>2097</v>
      </c>
      <c r="X673" t="s">
        <v>2100</v>
      </c>
      <c r="Y673">
        <v>54</v>
      </c>
      <c r="Z673">
        <v>185.17</v>
      </c>
      <c r="AA673">
        <v>108.43</v>
      </c>
      <c r="AB673" t="s">
        <v>14</v>
      </c>
      <c r="AC673" t="s">
        <v>16</v>
      </c>
      <c r="AD673" t="s">
        <v>2087</v>
      </c>
      <c r="AE673" t="s">
        <v>2121</v>
      </c>
    </row>
    <row r="674" spans="1:31">
      <c r="A674" t="s">
        <v>1995</v>
      </c>
      <c r="B674" s="1">
        <v>45057</v>
      </c>
      <c r="C674" t="s">
        <v>192</v>
      </c>
      <c r="D674">
        <v>2023</v>
      </c>
      <c r="E674" t="s">
        <v>154</v>
      </c>
      <c r="F674" t="s">
        <v>1972</v>
      </c>
      <c r="G674" t="s">
        <v>120</v>
      </c>
      <c r="H674" t="s">
        <v>121</v>
      </c>
      <c r="I674" t="s">
        <v>115</v>
      </c>
      <c r="J674" t="s">
        <v>119</v>
      </c>
      <c r="K674" t="s">
        <v>209</v>
      </c>
      <c r="L674" t="s">
        <v>179</v>
      </c>
      <c r="M674">
        <v>3</v>
      </c>
      <c r="N674">
        <v>197.52</v>
      </c>
      <c r="O674">
        <v>592.56000000000006</v>
      </c>
      <c r="P674">
        <v>0</v>
      </c>
      <c r="Q674">
        <v>0</v>
      </c>
      <c r="R674">
        <v>592.55999999999995</v>
      </c>
      <c r="S674">
        <v>199.62</v>
      </c>
      <c r="T674">
        <v>392.94</v>
      </c>
      <c r="U674" t="s">
        <v>166</v>
      </c>
      <c r="V674" t="s">
        <v>159</v>
      </c>
      <c r="W674" t="s">
        <v>2097</v>
      </c>
      <c r="X674" t="s">
        <v>2094</v>
      </c>
      <c r="Y674">
        <v>69</v>
      </c>
      <c r="Z674">
        <v>154.31</v>
      </c>
      <c r="AA674">
        <v>58.52</v>
      </c>
      <c r="AB674" t="s">
        <v>66</v>
      </c>
      <c r="AC674" t="s">
        <v>20</v>
      </c>
      <c r="AD674" t="s">
        <v>2095</v>
      </c>
      <c r="AE674" t="s">
        <v>2121</v>
      </c>
    </row>
    <row r="675" spans="1:31">
      <c r="A675" t="s">
        <v>1954</v>
      </c>
      <c r="B675" s="1">
        <v>45056</v>
      </c>
      <c r="C675" t="s">
        <v>192</v>
      </c>
      <c r="D675">
        <v>2023</v>
      </c>
      <c r="E675" t="s">
        <v>154</v>
      </c>
      <c r="F675" t="s">
        <v>1955</v>
      </c>
      <c r="G675" t="s">
        <v>109</v>
      </c>
      <c r="H675" t="s">
        <v>110</v>
      </c>
      <c r="I675" t="s">
        <v>90</v>
      </c>
      <c r="J675" t="s">
        <v>100</v>
      </c>
      <c r="K675" t="s">
        <v>164</v>
      </c>
      <c r="L675" t="s">
        <v>194</v>
      </c>
      <c r="M675">
        <v>1</v>
      </c>
      <c r="N675">
        <v>77.67</v>
      </c>
      <c r="O675">
        <v>77.67</v>
      </c>
      <c r="P675">
        <v>0</v>
      </c>
      <c r="Q675">
        <v>0</v>
      </c>
      <c r="R675">
        <v>77.67</v>
      </c>
      <c r="S675">
        <v>28.12</v>
      </c>
      <c r="T675">
        <v>49.55</v>
      </c>
      <c r="U675" t="s">
        <v>180</v>
      </c>
      <c r="V675" t="s">
        <v>159</v>
      </c>
      <c r="W675" t="s">
        <v>2085</v>
      </c>
      <c r="X675" t="s">
        <v>2091</v>
      </c>
      <c r="Y675">
        <v>160</v>
      </c>
      <c r="Z675">
        <v>2271.44</v>
      </c>
      <c r="AA675">
        <v>259.12</v>
      </c>
      <c r="AB675" t="s">
        <v>66</v>
      </c>
      <c r="AC675" t="s">
        <v>16</v>
      </c>
      <c r="AD675" t="s">
        <v>2095</v>
      </c>
      <c r="AE675" t="s">
        <v>2109</v>
      </c>
    </row>
    <row r="676" spans="1:31">
      <c r="A676" t="s">
        <v>449</v>
      </c>
      <c r="B676" s="1">
        <v>45056</v>
      </c>
      <c r="C676" t="s">
        <v>192</v>
      </c>
      <c r="D676">
        <v>2023</v>
      </c>
      <c r="E676" t="s">
        <v>154</v>
      </c>
      <c r="F676" t="s">
        <v>450</v>
      </c>
      <c r="G676" t="s">
        <v>103</v>
      </c>
      <c r="H676" t="s">
        <v>104</v>
      </c>
      <c r="I676" t="s">
        <v>90</v>
      </c>
      <c r="J676" t="s">
        <v>94</v>
      </c>
      <c r="K676" t="s">
        <v>156</v>
      </c>
      <c r="L676" t="s">
        <v>194</v>
      </c>
      <c r="M676">
        <v>4</v>
      </c>
      <c r="N676">
        <v>98.58</v>
      </c>
      <c r="O676">
        <v>394.32</v>
      </c>
      <c r="P676">
        <v>0</v>
      </c>
      <c r="Q676">
        <v>0</v>
      </c>
      <c r="R676">
        <v>394.32</v>
      </c>
      <c r="S676">
        <v>210.28</v>
      </c>
      <c r="T676">
        <v>184.04</v>
      </c>
      <c r="U676" t="s">
        <v>158</v>
      </c>
      <c r="V676" t="s">
        <v>181</v>
      </c>
      <c r="W676" t="s">
        <v>2090</v>
      </c>
      <c r="X676" t="s">
        <v>2108</v>
      </c>
      <c r="Y676">
        <v>183</v>
      </c>
      <c r="Z676">
        <v>129.4</v>
      </c>
      <c r="AA676">
        <v>98.51</v>
      </c>
      <c r="AB676" t="s">
        <v>115</v>
      </c>
      <c r="AC676" t="s">
        <v>16</v>
      </c>
      <c r="AD676" t="s">
        <v>2095</v>
      </c>
      <c r="AE676" t="s">
        <v>2088</v>
      </c>
    </row>
    <row r="677" spans="1:31">
      <c r="A677" t="s">
        <v>259</v>
      </c>
      <c r="B677" s="1">
        <v>45056</v>
      </c>
      <c r="C677" t="s">
        <v>192</v>
      </c>
      <c r="D677">
        <v>2023</v>
      </c>
      <c r="E677" t="s">
        <v>154</v>
      </c>
      <c r="F677" t="s">
        <v>260</v>
      </c>
      <c r="G677" t="s">
        <v>68</v>
      </c>
      <c r="H677" t="s">
        <v>69</v>
      </c>
      <c r="I677" t="s">
        <v>66</v>
      </c>
      <c r="J677" t="s">
        <v>70</v>
      </c>
      <c r="K677" t="s">
        <v>164</v>
      </c>
      <c r="L677" t="s">
        <v>174</v>
      </c>
      <c r="M677">
        <v>2</v>
      </c>
      <c r="N677">
        <v>98.51</v>
      </c>
      <c r="O677">
        <v>197.02</v>
      </c>
      <c r="P677">
        <v>0</v>
      </c>
      <c r="Q677">
        <v>0</v>
      </c>
      <c r="R677">
        <v>197.02</v>
      </c>
      <c r="S677">
        <v>110.34</v>
      </c>
      <c r="T677">
        <v>86.68</v>
      </c>
      <c r="U677" t="s">
        <v>158</v>
      </c>
      <c r="V677" t="s">
        <v>186</v>
      </c>
      <c r="W677" t="s">
        <v>2085</v>
      </c>
      <c r="X677" t="s">
        <v>2086</v>
      </c>
      <c r="Y677">
        <v>130</v>
      </c>
      <c r="Z677">
        <v>1388.87</v>
      </c>
      <c r="AA677">
        <v>233.12</v>
      </c>
      <c r="AB677" t="s">
        <v>41</v>
      </c>
      <c r="AC677" t="s">
        <v>16</v>
      </c>
      <c r="AD677" t="s">
        <v>2087</v>
      </c>
      <c r="AE677" t="s">
        <v>2107</v>
      </c>
    </row>
    <row r="678" spans="1:31">
      <c r="A678" t="s">
        <v>1142</v>
      </c>
      <c r="B678" s="1">
        <v>45055</v>
      </c>
      <c r="C678" t="s">
        <v>192</v>
      </c>
      <c r="D678">
        <v>2023</v>
      </c>
      <c r="E678" t="s">
        <v>154</v>
      </c>
      <c r="F678" t="s">
        <v>1143</v>
      </c>
      <c r="G678" t="s">
        <v>103</v>
      </c>
      <c r="H678" t="s">
        <v>104</v>
      </c>
      <c r="I678" t="s">
        <v>90</v>
      </c>
      <c r="J678" t="s">
        <v>94</v>
      </c>
      <c r="K678" t="s">
        <v>164</v>
      </c>
      <c r="L678" t="s">
        <v>179</v>
      </c>
      <c r="M678">
        <v>1</v>
      </c>
      <c r="N678">
        <v>98.58</v>
      </c>
      <c r="O678">
        <v>98.58</v>
      </c>
      <c r="P678">
        <v>0</v>
      </c>
      <c r="Q678">
        <v>0</v>
      </c>
      <c r="R678">
        <v>98.58</v>
      </c>
      <c r="S678">
        <v>52.57</v>
      </c>
      <c r="T678">
        <v>46.01</v>
      </c>
      <c r="U678" t="s">
        <v>190</v>
      </c>
      <c r="V678" t="s">
        <v>159</v>
      </c>
      <c r="W678" t="s">
        <v>2090</v>
      </c>
      <c r="X678" t="s">
        <v>2086</v>
      </c>
      <c r="Y678">
        <v>74</v>
      </c>
      <c r="Z678">
        <v>174.21</v>
      </c>
      <c r="AA678">
        <v>101.78</v>
      </c>
      <c r="AB678" t="s">
        <v>41</v>
      </c>
      <c r="AC678" t="s">
        <v>16</v>
      </c>
      <c r="AD678" t="s">
        <v>2095</v>
      </c>
      <c r="AE678" t="s">
        <v>2107</v>
      </c>
    </row>
    <row r="679" spans="1:31">
      <c r="A679" t="s">
        <v>755</v>
      </c>
      <c r="B679" s="1">
        <v>45054</v>
      </c>
      <c r="C679" t="s">
        <v>192</v>
      </c>
      <c r="D679">
        <v>2023</v>
      </c>
      <c r="E679" t="s">
        <v>154</v>
      </c>
      <c r="F679" t="s">
        <v>756</v>
      </c>
      <c r="G679" t="s">
        <v>125</v>
      </c>
      <c r="H679" t="s">
        <v>126</v>
      </c>
      <c r="I679" t="s">
        <v>115</v>
      </c>
      <c r="J679" t="s">
        <v>116</v>
      </c>
      <c r="K679" t="s">
        <v>178</v>
      </c>
      <c r="L679" t="s">
        <v>157</v>
      </c>
      <c r="M679">
        <v>1</v>
      </c>
      <c r="N679">
        <v>144.94999999999999</v>
      </c>
      <c r="O679">
        <v>144.94999999999999</v>
      </c>
      <c r="P679">
        <v>0</v>
      </c>
      <c r="Q679">
        <v>0</v>
      </c>
      <c r="R679">
        <v>144.94999999999999</v>
      </c>
      <c r="S679">
        <v>77.19</v>
      </c>
      <c r="T679">
        <v>67.760000000000005</v>
      </c>
      <c r="U679" t="s">
        <v>166</v>
      </c>
      <c r="V679" t="s">
        <v>159</v>
      </c>
      <c r="W679" t="s">
        <v>2085</v>
      </c>
      <c r="X679" t="s">
        <v>2091</v>
      </c>
      <c r="Y679">
        <v>328</v>
      </c>
      <c r="Z679">
        <v>1601.25</v>
      </c>
      <c r="AA679">
        <v>278.20999999999998</v>
      </c>
      <c r="AB679" t="s">
        <v>41</v>
      </c>
      <c r="AC679" t="s">
        <v>16</v>
      </c>
      <c r="AD679" t="s">
        <v>2095</v>
      </c>
      <c r="AE679" t="s">
        <v>2121</v>
      </c>
    </row>
    <row r="680" spans="1:31">
      <c r="A680" t="s">
        <v>1992</v>
      </c>
      <c r="B680" s="1">
        <v>45054</v>
      </c>
      <c r="C680" t="s">
        <v>192</v>
      </c>
      <c r="D680">
        <v>2023</v>
      </c>
      <c r="E680" t="s">
        <v>154</v>
      </c>
      <c r="F680" t="s">
        <v>1694</v>
      </c>
      <c r="G680" t="s">
        <v>122</v>
      </c>
      <c r="H680" t="s">
        <v>123</v>
      </c>
      <c r="I680" t="s">
        <v>115</v>
      </c>
      <c r="J680" t="s">
        <v>124</v>
      </c>
      <c r="K680" t="s">
        <v>164</v>
      </c>
      <c r="L680" t="s">
        <v>194</v>
      </c>
      <c r="M680">
        <v>3</v>
      </c>
      <c r="N680">
        <v>93.88</v>
      </c>
      <c r="O680">
        <v>281.64</v>
      </c>
      <c r="P680">
        <v>20</v>
      </c>
      <c r="Q680">
        <v>56.33</v>
      </c>
      <c r="R680">
        <v>225.31</v>
      </c>
      <c r="S680">
        <v>159.33000000000001</v>
      </c>
      <c r="T680">
        <v>65.98</v>
      </c>
      <c r="U680" t="s">
        <v>166</v>
      </c>
      <c r="V680" t="s">
        <v>159</v>
      </c>
      <c r="W680" t="s">
        <v>2097</v>
      </c>
      <c r="X680" t="s">
        <v>2091</v>
      </c>
      <c r="Y680">
        <v>95</v>
      </c>
      <c r="Z680">
        <v>359.46</v>
      </c>
      <c r="AA680">
        <v>65.349999999999994</v>
      </c>
      <c r="AB680" t="s">
        <v>14</v>
      </c>
      <c r="AC680" t="s">
        <v>20</v>
      </c>
      <c r="AD680" t="s">
        <v>2095</v>
      </c>
      <c r="AE680" t="s">
        <v>2107</v>
      </c>
    </row>
    <row r="681" spans="1:31">
      <c r="A681" t="s">
        <v>721</v>
      </c>
      <c r="B681" s="1">
        <v>45053</v>
      </c>
      <c r="C681" t="s">
        <v>192</v>
      </c>
      <c r="D681">
        <v>2023</v>
      </c>
      <c r="E681" t="s">
        <v>154</v>
      </c>
      <c r="F681" t="s">
        <v>722</v>
      </c>
      <c r="G681" t="s">
        <v>28</v>
      </c>
      <c r="H681" t="s">
        <v>29</v>
      </c>
      <c r="I681" t="s">
        <v>14</v>
      </c>
      <c r="J681" t="s">
        <v>19</v>
      </c>
      <c r="K681" t="s">
        <v>209</v>
      </c>
      <c r="L681" t="s">
        <v>174</v>
      </c>
      <c r="M681">
        <v>3</v>
      </c>
      <c r="N681">
        <v>26.46</v>
      </c>
      <c r="O681">
        <v>79.38</v>
      </c>
      <c r="P681">
        <v>20</v>
      </c>
      <c r="Q681">
        <v>15.88</v>
      </c>
      <c r="R681">
        <v>63.5</v>
      </c>
      <c r="S681">
        <v>58.26</v>
      </c>
      <c r="T681">
        <v>5.24</v>
      </c>
      <c r="U681" t="s">
        <v>195</v>
      </c>
      <c r="V681" t="s">
        <v>159</v>
      </c>
      <c r="W681" t="s">
        <v>2099</v>
      </c>
      <c r="X681" t="s">
        <v>2086</v>
      </c>
      <c r="Y681">
        <v>25</v>
      </c>
      <c r="Z681">
        <v>84.13</v>
      </c>
      <c r="AA681">
        <v>67.430000000000007</v>
      </c>
      <c r="AB681" t="s">
        <v>115</v>
      </c>
      <c r="AC681" t="s">
        <v>20</v>
      </c>
      <c r="AD681" t="s">
        <v>2095</v>
      </c>
      <c r="AE681" t="s">
        <v>2107</v>
      </c>
    </row>
    <row r="682" spans="1:31">
      <c r="A682" t="s">
        <v>1460</v>
      </c>
      <c r="B682" s="1">
        <v>45053</v>
      </c>
      <c r="C682" t="s">
        <v>192</v>
      </c>
      <c r="D682">
        <v>2023</v>
      </c>
      <c r="E682" t="s">
        <v>154</v>
      </c>
      <c r="F682" t="s">
        <v>1461</v>
      </c>
      <c r="G682" t="s">
        <v>86</v>
      </c>
      <c r="H682" t="s">
        <v>87</v>
      </c>
      <c r="I682" t="s">
        <v>66</v>
      </c>
      <c r="J682" t="s">
        <v>67</v>
      </c>
      <c r="K682" t="s">
        <v>178</v>
      </c>
      <c r="L682" t="s">
        <v>194</v>
      </c>
      <c r="M682">
        <v>1</v>
      </c>
      <c r="N682">
        <v>124.77</v>
      </c>
      <c r="O682">
        <v>124.77</v>
      </c>
      <c r="P682">
        <v>0</v>
      </c>
      <c r="Q682">
        <v>0</v>
      </c>
      <c r="R682">
        <v>124.77</v>
      </c>
      <c r="S682">
        <v>69.64</v>
      </c>
      <c r="T682">
        <v>55.13</v>
      </c>
      <c r="U682" t="s">
        <v>180</v>
      </c>
      <c r="V682" t="s">
        <v>186</v>
      </c>
      <c r="W682" t="s">
        <v>2113</v>
      </c>
      <c r="X682" t="s">
        <v>2111</v>
      </c>
      <c r="Y682">
        <v>123</v>
      </c>
      <c r="Z682">
        <v>232.92</v>
      </c>
      <c r="AA682">
        <v>36.58</v>
      </c>
      <c r="AB682" t="s">
        <v>41</v>
      </c>
      <c r="AC682" t="s">
        <v>16</v>
      </c>
      <c r="AD682" t="s">
        <v>2087</v>
      </c>
      <c r="AE682" t="s">
        <v>2109</v>
      </c>
    </row>
    <row r="683" spans="1:31">
      <c r="A683" t="s">
        <v>547</v>
      </c>
      <c r="B683" s="1">
        <v>45052</v>
      </c>
      <c r="C683" t="s">
        <v>192</v>
      </c>
      <c r="D683">
        <v>2023</v>
      </c>
      <c r="E683" t="s">
        <v>154</v>
      </c>
      <c r="F683" t="s">
        <v>548</v>
      </c>
      <c r="G683" t="s">
        <v>117</v>
      </c>
      <c r="H683" t="s">
        <v>118</v>
      </c>
      <c r="I683" t="s">
        <v>115</v>
      </c>
      <c r="J683" t="s">
        <v>119</v>
      </c>
      <c r="K683" t="s">
        <v>164</v>
      </c>
      <c r="L683" t="s">
        <v>194</v>
      </c>
      <c r="M683">
        <v>3</v>
      </c>
      <c r="N683">
        <v>93.41</v>
      </c>
      <c r="O683">
        <v>280.23</v>
      </c>
      <c r="P683">
        <v>5</v>
      </c>
      <c r="Q683">
        <v>14.01</v>
      </c>
      <c r="R683">
        <v>266.22000000000003</v>
      </c>
      <c r="S683">
        <v>192.15</v>
      </c>
      <c r="T683">
        <v>74.069999999999993</v>
      </c>
      <c r="U683" t="s">
        <v>180</v>
      </c>
      <c r="V683" t="s">
        <v>159</v>
      </c>
      <c r="W683" t="s">
        <v>2085</v>
      </c>
      <c r="X683" t="s">
        <v>2094</v>
      </c>
      <c r="Y683">
        <v>355</v>
      </c>
      <c r="Z683">
        <v>1930.34</v>
      </c>
      <c r="AA683">
        <v>128.15</v>
      </c>
      <c r="AB683" t="s">
        <v>14</v>
      </c>
      <c r="AC683" t="s">
        <v>20</v>
      </c>
      <c r="AD683" t="s">
        <v>2095</v>
      </c>
      <c r="AE683" t="s">
        <v>2096</v>
      </c>
    </row>
    <row r="684" spans="1:31">
      <c r="A684" t="s">
        <v>1371</v>
      </c>
      <c r="B684" s="1">
        <v>45051</v>
      </c>
      <c r="C684" t="s">
        <v>192</v>
      </c>
      <c r="D684">
        <v>2023</v>
      </c>
      <c r="E684" t="s">
        <v>154</v>
      </c>
      <c r="F684" t="s">
        <v>1372</v>
      </c>
      <c r="G684" t="s">
        <v>57</v>
      </c>
      <c r="H684" t="s">
        <v>58</v>
      </c>
      <c r="I684" t="s">
        <v>41</v>
      </c>
      <c r="J684" t="s">
        <v>59</v>
      </c>
      <c r="K684" t="s">
        <v>209</v>
      </c>
      <c r="L684" t="s">
        <v>232</v>
      </c>
      <c r="M684">
        <v>1</v>
      </c>
      <c r="N684">
        <v>56.33</v>
      </c>
      <c r="O684">
        <v>56.33</v>
      </c>
      <c r="P684">
        <v>5</v>
      </c>
      <c r="Q684">
        <v>2.82</v>
      </c>
      <c r="R684">
        <v>53.51</v>
      </c>
      <c r="S684">
        <v>41.45</v>
      </c>
      <c r="T684">
        <v>12.06</v>
      </c>
      <c r="U684" t="s">
        <v>180</v>
      </c>
      <c r="V684" t="s">
        <v>181</v>
      </c>
      <c r="W684" t="s">
        <v>2097</v>
      </c>
      <c r="X684" t="s">
        <v>2094</v>
      </c>
      <c r="Y684">
        <v>338</v>
      </c>
      <c r="Z684">
        <v>457.82</v>
      </c>
      <c r="AA684">
        <v>145.88</v>
      </c>
      <c r="AB684" t="s">
        <v>115</v>
      </c>
      <c r="AC684" t="s">
        <v>16</v>
      </c>
      <c r="AD684" t="s">
        <v>2095</v>
      </c>
      <c r="AE684" t="s">
        <v>2109</v>
      </c>
    </row>
    <row r="685" spans="1:31">
      <c r="A685" t="s">
        <v>667</v>
      </c>
      <c r="B685" s="1">
        <v>45051</v>
      </c>
      <c r="C685" t="s">
        <v>192</v>
      </c>
      <c r="D685">
        <v>2023</v>
      </c>
      <c r="E685" t="s">
        <v>154</v>
      </c>
      <c r="F685" t="s">
        <v>668</v>
      </c>
      <c r="G685" t="s">
        <v>80</v>
      </c>
      <c r="H685" t="s">
        <v>81</v>
      </c>
      <c r="I685" t="s">
        <v>66</v>
      </c>
      <c r="J685" t="s">
        <v>70</v>
      </c>
      <c r="K685" t="s">
        <v>156</v>
      </c>
      <c r="L685" t="s">
        <v>194</v>
      </c>
      <c r="M685">
        <v>2</v>
      </c>
      <c r="N685">
        <v>106.06</v>
      </c>
      <c r="O685">
        <v>212.12</v>
      </c>
      <c r="P685">
        <v>5</v>
      </c>
      <c r="Q685">
        <v>10.61</v>
      </c>
      <c r="R685">
        <v>201.51</v>
      </c>
      <c r="S685">
        <v>66.84</v>
      </c>
      <c r="T685">
        <v>134.66999999999999</v>
      </c>
      <c r="U685" t="s">
        <v>158</v>
      </c>
      <c r="V685" t="s">
        <v>186</v>
      </c>
      <c r="W685" t="s">
        <v>2090</v>
      </c>
      <c r="X685" t="s">
        <v>2094</v>
      </c>
      <c r="Y685">
        <v>121</v>
      </c>
      <c r="Z685">
        <v>103.58</v>
      </c>
      <c r="AA685">
        <v>70.95</v>
      </c>
      <c r="AB685" t="s">
        <v>14</v>
      </c>
      <c r="AC685" t="s">
        <v>20</v>
      </c>
      <c r="AD685" t="s">
        <v>2095</v>
      </c>
      <c r="AE685" t="s">
        <v>2121</v>
      </c>
    </row>
    <row r="686" spans="1:31">
      <c r="A686" t="s">
        <v>489</v>
      </c>
      <c r="B686" s="1">
        <v>45050</v>
      </c>
      <c r="C686" t="s">
        <v>192</v>
      </c>
      <c r="D686">
        <v>2023</v>
      </c>
      <c r="E686" t="s">
        <v>154</v>
      </c>
      <c r="F686" t="s">
        <v>490</v>
      </c>
      <c r="G686" t="s">
        <v>71</v>
      </c>
      <c r="H686" t="s">
        <v>72</v>
      </c>
      <c r="I686" t="s">
        <v>66</v>
      </c>
      <c r="J686" t="s">
        <v>70</v>
      </c>
      <c r="K686" t="s">
        <v>209</v>
      </c>
      <c r="L686" t="s">
        <v>179</v>
      </c>
      <c r="M686">
        <v>1</v>
      </c>
      <c r="N686">
        <v>26.7</v>
      </c>
      <c r="O686">
        <v>26.7</v>
      </c>
      <c r="P686">
        <v>0</v>
      </c>
      <c r="Q686">
        <v>0</v>
      </c>
      <c r="R686">
        <v>26.7</v>
      </c>
      <c r="S686">
        <v>12.27</v>
      </c>
      <c r="T686">
        <v>14.43</v>
      </c>
      <c r="U686" t="s">
        <v>166</v>
      </c>
      <c r="V686" t="s">
        <v>159</v>
      </c>
      <c r="W686" t="s">
        <v>2093</v>
      </c>
      <c r="X686" t="s">
        <v>2091</v>
      </c>
      <c r="Y686">
        <v>38</v>
      </c>
      <c r="Z686">
        <v>83.04</v>
      </c>
      <c r="AA686">
        <v>77.05</v>
      </c>
      <c r="AB686" t="s">
        <v>115</v>
      </c>
      <c r="AC686" t="s">
        <v>16</v>
      </c>
      <c r="AD686" t="s">
        <v>2087</v>
      </c>
      <c r="AE686" t="s">
        <v>2109</v>
      </c>
    </row>
    <row r="687" spans="1:31">
      <c r="A687" t="s">
        <v>553</v>
      </c>
      <c r="B687" s="1">
        <v>45050</v>
      </c>
      <c r="C687" t="s">
        <v>192</v>
      </c>
      <c r="D687">
        <v>2023</v>
      </c>
      <c r="E687" t="s">
        <v>154</v>
      </c>
      <c r="F687" t="s">
        <v>554</v>
      </c>
      <c r="G687" t="s">
        <v>95</v>
      </c>
      <c r="H687" t="s">
        <v>96</v>
      </c>
      <c r="I687" t="s">
        <v>90</v>
      </c>
      <c r="J687" t="s">
        <v>97</v>
      </c>
      <c r="K687" t="s">
        <v>209</v>
      </c>
      <c r="L687" t="s">
        <v>194</v>
      </c>
      <c r="M687">
        <v>1</v>
      </c>
      <c r="N687">
        <v>177.41</v>
      </c>
      <c r="O687">
        <v>177.41</v>
      </c>
      <c r="P687">
        <v>0</v>
      </c>
      <c r="Q687">
        <v>0</v>
      </c>
      <c r="R687">
        <v>177.41</v>
      </c>
      <c r="S687">
        <v>74.989999999999995</v>
      </c>
      <c r="T687">
        <v>102.42</v>
      </c>
      <c r="U687" t="s">
        <v>180</v>
      </c>
      <c r="V687" t="s">
        <v>159</v>
      </c>
      <c r="W687" t="s">
        <v>2099</v>
      </c>
      <c r="X687" t="s">
        <v>2108</v>
      </c>
      <c r="Y687">
        <v>344</v>
      </c>
      <c r="Z687">
        <v>110.04</v>
      </c>
      <c r="AA687">
        <v>68.56</v>
      </c>
      <c r="AB687" t="s">
        <v>115</v>
      </c>
      <c r="AC687" t="s">
        <v>16</v>
      </c>
      <c r="AD687" t="s">
        <v>2087</v>
      </c>
      <c r="AE687" t="s">
        <v>2088</v>
      </c>
    </row>
    <row r="688" spans="1:31">
      <c r="A688" t="s">
        <v>1895</v>
      </c>
      <c r="B688" s="1">
        <v>45049</v>
      </c>
      <c r="C688" t="s">
        <v>192</v>
      </c>
      <c r="D688">
        <v>2023</v>
      </c>
      <c r="E688" t="s">
        <v>154</v>
      </c>
      <c r="F688" t="s">
        <v>1896</v>
      </c>
      <c r="G688" t="s">
        <v>55</v>
      </c>
      <c r="H688" t="s">
        <v>56</v>
      </c>
      <c r="I688" t="s">
        <v>41</v>
      </c>
      <c r="J688" t="s">
        <v>45</v>
      </c>
      <c r="K688" t="s">
        <v>156</v>
      </c>
      <c r="L688" t="s">
        <v>157</v>
      </c>
      <c r="M688">
        <v>2</v>
      </c>
      <c r="N688">
        <v>205.4</v>
      </c>
      <c r="O688">
        <v>410.8</v>
      </c>
      <c r="P688">
        <v>5</v>
      </c>
      <c r="Q688">
        <v>20.54</v>
      </c>
      <c r="R688">
        <v>390.26</v>
      </c>
      <c r="S688">
        <v>141.80000000000001</v>
      </c>
      <c r="T688">
        <v>248.46</v>
      </c>
      <c r="U688" t="s">
        <v>158</v>
      </c>
      <c r="V688" t="s">
        <v>159</v>
      </c>
      <c r="W688" t="s">
        <v>2093</v>
      </c>
      <c r="X688" t="s">
        <v>2086</v>
      </c>
      <c r="Y688">
        <v>40</v>
      </c>
      <c r="Z688">
        <v>162.16</v>
      </c>
      <c r="AA688">
        <v>31.69</v>
      </c>
      <c r="AB688" t="s">
        <v>90</v>
      </c>
      <c r="AC688" t="s">
        <v>16</v>
      </c>
      <c r="AD688" t="s">
        <v>2087</v>
      </c>
      <c r="AE688" t="s">
        <v>2121</v>
      </c>
    </row>
    <row r="689" spans="1:31">
      <c r="A689" t="s">
        <v>675</v>
      </c>
      <c r="B689" s="1">
        <v>45049</v>
      </c>
      <c r="C689" t="s">
        <v>192</v>
      </c>
      <c r="D689">
        <v>2023</v>
      </c>
      <c r="E689" t="s">
        <v>154</v>
      </c>
      <c r="F689" t="s">
        <v>676</v>
      </c>
      <c r="G689" t="s">
        <v>125</v>
      </c>
      <c r="H689" t="s">
        <v>126</v>
      </c>
      <c r="I689" t="s">
        <v>115</v>
      </c>
      <c r="J689" t="s">
        <v>116</v>
      </c>
      <c r="K689" t="s">
        <v>178</v>
      </c>
      <c r="L689" t="s">
        <v>179</v>
      </c>
      <c r="M689">
        <v>2</v>
      </c>
      <c r="N689">
        <v>144.94999999999999</v>
      </c>
      <c r="O689">
        <v>289.89999999999998</v>
      </c>
      <c r="P689">
        <v>5</v>
      </c>
      <c r="Q689">
        <v>14.49</v>
      </c>
      <c r="R689">
        <v>275.41000000000003</v>
      </c>
      <c r="S689">
        <v>154.38</v>
      </c>
      <c r="T689">
        <v>121.03</v>
      </c>
      <c r="U689" t="s">
        <v>195</v>
      </c>
      <c r="V689" t="s">
        <v>186</v>
      </c>
      <c r="W689" t="s">
        <v>2097</v>
      </c>
      <c r="X689" t="s">
        <v>2086</v>
      </c>
      <c r="Y689">
        <v>23</v>
      </c>
      <c r="Z689">
        <v>243.22</v>
      </c>
      <c r="AA689">
        <v>143.30000000000001</v>
      </c>
      <c r="AB689" t="s">
        <v>115</v>
      </c>
      <c r="AC689" t="s">
        <v>16</v>
      </c>
      <c r="AD689" t="s">
        <v>2095</v>
      </c>
      <c r="AE689" t="s">
        <v>2121</v>
      </c>
    </row>
    <row r="690" spans="1:31">
      <c r="A690" t="s">
        <v>462</v>
      </c>
      <c r="B690" s="1">
        <v>45048</v>
      </c>
      <c r="C690" t="s">
        <v>192</v>
      </c>
      <c r="D690">
        <v>2023</v>
      </c>
      <c r="E690" t="s">
        <v>154</v>
      </c>
      <c r="F690" t="s">
        <v>463</v>
      </c>
      <c r="G690" t="s">
        <v>80</v>
      </c>
      <c r="H690" t="s">
        <v>81</v>
      </c>
      <c r="I690" t="s">
        <v>66</v>
      </c>
      <c r="J690" t="s">
        <v>70</v>
      </c>
      <c r="K690" t="s">
        <v>164</v>
      </c>
      <c r="L690" t="s">
        <v>232</v>
      </c>
      <c r="M690">
        <v>3</v>
      </c>
      <c r="N690">
        <v>106.06</v>
      </c>
      <c r="O690">
        <v>318.18</v>
      </c>
      <c r="P690">
        <v>15</v>
      </c>
      <c r="Q690">
        <v>47.73</v>
      </c>
      <c r="R690">
        <v>270.45</v>
      </c>
      <c r="S690">
        <v>100.26</v>
      </c>
      <c r="T690">
        <v>170.19</v>
      </c>
      <c r="U690" t="s">
        <v>195</v>
      </c>
      <c r="V690" t="s">
        <v>186</v>
      </c>
      <c r="W690" t="s">
        <v>2093</v>
      </c>
      <c r="X690" t="s">
        <v>2094</v>
      </c>
      <c r="Y690">
        <v>128</v>
      </c>
      <c r="Z690">
        <v>191.39</v>
      </c>
      <c r="AA690">
        <v>77.02</v>
      </c>
      <c r="AB690" t="s">
        <v>41</v>
      </c>
      <c r="AC690" t="s">
        <v>20</v>
      </c>
      <c r="AD690" t="s">
        <v>2106</v>
      </c>
      <c r="AE690" t="s">
        <v>2121</v>
      </c>
    </row>
    <row r="691" spans="1:31">
      <c r="A691" t="s">
        <v>963</v>
      </c>
      <c r="B691" s="1">
        <v>45048</v>
      </c>
      <c r="C691" t="s">
        <v>192</v>
      </c>
      <c r="D691">
        <v>2023</v>
      </c>
      <c r="E691" t="s">
        <v>154</v>
      </c>
      <c r="F691" t="s">
        <v>964</v>
      </c>
      <c r="G691" t="s">
        <v>55</v>
      </c>
      <c r="H691" t="s">
        <v>56</v>
      </c>
      <c r="I691" t="s">
        <v>41</v>
      </c>
      <c r="J691" t="s">
        <v>45</v>
      </c>
      <c r="K691" t="s">
        <v>209</v>
      </c>
      <c r="L691" t="s">
        <v>204</v>
      </c>
      <c r="M691">
        <v>3</v>
      </c>
      <c r="N691">
        <v>205.4</v>
      </c>
      <c r="O691">
        <v>616.20000000000005</v>
      </c>
      <c r="P691">
        <v>0</v>
      </c>
      <c r="Q691">
        <v>0</v>
      </c>
      <c r="R691">
        <v>616.20000000000005</v>
      </c>
      <c r="S691">
        <v>212.7</v>
      </c>
      <c r="T691">
        <v>403.5</v>
      </c>
      <c r="U691" t="s">
        <v>166</v>
      </c>
      <c r="V691" t="s">
        <v>181</v>
      </c>
      <c r="W691" t="s">
        <v>2113</v>
      </c>
      <c r="X691" t="s">
        <v>2094</v>
      </c>
      <c r="Y691">
        <v>41</v>
      </c>
      <c r="Z691">
        <v>541.64</v>
      </c>
      <c r="AA691">
        <v>72.11</v>
      </c>
      <c r="AB691" t="s">
        <v>41</v>
      </c>
      <c r="AC691" t="s">
        <v>16</v>
      </c>
      <c r="AD691" t="s">
        <v>2106</v>
      </c>
      <c r="AE691" t="s">
        <v>2121</v>
      </c>
    </row>
    <row r="692" spans="1:31">
      <c r="A692" t="s">
        <v>1906</v>
      </c>
      <c r="B692" s="1">
        <v>45048</v>
      </c>
      <c r="C692" t="s">
        <v>192</v>
      </c>
      <c r="D692">
        <v>2023</v>
      </c>
      <c r="E692" t="s">
        <v>154</v>
      </c>
      <c r="F692" t="s">
        <v>1244</v>
      </c>
      <c r="G692" t="s">
        <v>55</v>
      </c>
      <c r="H692" t="s">
        <v>56</v>
      </c>
      <c r="I692" t="s">
        <v>41</v>
      </c>
      <c r="J692" t="s">
        <v>45</v>
      </c>
      <c r="K692" t="s">
        <v>209</v>
      </c>
      <c r="L692" t="s">
        <v>179</v>
      </c>
      <c r="M692">
        <v>4</v>
      </c>
      <c r="N692">
        <v>205.4</v>
      </c>
      <c r="O692">
        <v>821.6</v>
      </c>
      <c r="P692">
        <v>0</v>
      </c>
      <c r="Q692">
        <v>0</v>
      </c>
      <c r="R692">
        <v>821.6</v>
      </c>
      <c r="S692">
        <v>283.60000000000002</v>
      </c>
      <c r="T692">
        <v>538</v>
      </c>
      <c r="U692" t="s">
        <v>195</v>
      </c>
      <c r="V692" t="s">
        <v>159</v>
      </c>
      <c r="W692" t="s">
        <v>2113</v>
      </c>
      <c r="X692" t="s">
        <v>2091</v>
      </c>
      <c r="Y692">
        <v>100</v>
      </c>
      <c r="Z692">
        <v>337.89</v>
      </c>
      <c r="AA692">
        <v>61.69</v>
      </c>
      <c r="AB692" t="s">
        <v>41</v>
      </c>
      <c r="AC692" t="s">
        <v>16</v>
      </c>
      <c r="AD692" t="s">
        <v>2087</v>
      </c>
      <c r="AE692" t="s">
        <v>2121</v>
      </c>
    </row>
    <row r="693" spans="1:31">
      <c r="A693" t="s">
        <v>1870</v>
      </c>
      <c r="B693" s="1">
        <v>45047</v>
      </c>
      <c r="C693" t="s">
        <v>192</v>
      </c>
      <c r="D693">
        <v>2023</v>
      </c>
      <c r="E693" t="s">
        <v>154</v>
      </c>
      <c r="F693" t="s">
        <v>767</v>
      </c>
      <c r="G693" t="s">
        <v>23</v>
      </c>
      <c r="H693" t="s">
        <v>24</v>
      </c>
      <c r="I693" t="s">
        <v>14</v>
      </c>
      <c r="J693" t="s">
        <v>19</v>
      </c>
      <c r="K693" t="s">
        <v>178</v>
      </c>
      <c r="L693" t="s">
        <v>232</v>
      </c>
      <c r="M693">
        <v>2</v>
      </c>
      <c r="N693">
        <v>154.03</v>
      </c>
      <c r="O693">
        <v>308.06</v>
      </c>
      <c r="P693">
        <v>0</v>
      </c>
      <c r="Q693">
        <v>0</v>
      </c>
      <c r="R693">
        <v>308.06</v>
      </c>
      <c r="S693">
        <v>153.58000000000001</v>
      </c>
      <c r="T693">
        <v>154.47999999999999</v>
      </c>
      <c r="U693" t="s">
        <v>158</v>
      </c>
      <c r="V693" t="s">
        <v>159</v>
      </c>
      <c r="W693" t="s">
        <v>2099</v>
      </c>
      <c r="X693" t="s">
        <v>2086</v>
      </c>
      <c r="Y693">
        <v>168</v>
      </c>
      <c r="Z693">
        <v>124.88</v>
      </c>
      <c r="AA693">
        <v>23.9</v>
      </c>
      <c r="AB693" t="s">
        <v>115</v>
      </c>
      <c r="AC693" t="s">
        <v>20</v>
      </c>
      <c r="AD693" t="s">
        <v>2095</v>
      </c>
      <c r="AE693" t="s">
        <v>2088</v>
      </c>
    </row>
    <row r="694" spans="1:31">
      <c r="A694" t="s">
        <v>1907</v>
      </c>
      <c r="B694" s="1">
        <v>45047</v>
      </c>
      <c r="C694" t="s">
        <v>192</v>
      </c>
      <c r="D694">
        <v>2023</v>
      </c>
      <c r="E694" t="s">
        <v>154</v>
      </c>
      <c r="F694" t="s">
        <v>1908</v>
      </c>
      <c r="G694" t="s">
        <v>107</v>
      </c>
      <c r="H694" t="s">
        <v>108</v>
      </c>
      <c r="I694" t="s">
        <v>90</v>
      </c>
      <c r="J694" t="s">
        <v>100</v>
      </c>
      <c r="K694" t="s">
        <v>164</v>
      </c>
      <c r="L694" t="s">
        <v>157</v>
      </c>
      <c r="M694">
        <v>4</v>
      </c>
      <c r="N694">
        <v>26.61</v>
      </c>
      <c r="O694">
        <v>106.44</v>
      </c>
      <c r="P694">
        <v>20</v>
      </c>
      <c r="Q694">
        <v>21.29</v>
      </c>
      <c r="R694">
        <v>85.15</v>
      </c>
      <c r="S694">
        <v>42.56</v>
      </c>
      <c r="T694">
        <v>42.59</v>
      </c>
      <c r="U694" t="s">
        <v>190</v>
      </c>
      <c r="V694" t="s">
        <v>159</v>
      </c>
      <c r="W694" t="s">
        <v>2093</v>
      </c>
      <c r="X694" t="s">
        <v>2091</v>
      </c>
      <c r="Y694">
        <v>259</v>
      </c>
      <c r="Z694">
        <v>140.88999999999999</v>
      </c>
      <c r="AA694">
        <v>43.55</v>
      </c>
      <c r="AB694" t="s">
        <v>90</v>
      </c>
      <c r="AC694" t="s">
        <v>16</v>
      </c>
      <c r="AD694" t="s">
        <v>2087</v>
      </c>
      <c r="AE694" t="s">
        <v>2109</v>
      </c>
    </row>
    <row r="695" spans="1:31">
      <c r="A695" t="s">
        <v>1370</v>
      </c>
      <c r="B695" s="1">
        <v>45047</v>
      </c>
      <c r="C695" t="s">
        <v>192</v>
      </c>
      <c r="D695">
        <v>2023</v>
      </c>
      <c r="E695" t="s">
        <v>154</v>
      </c>
      <c r="F695" t="s">
        <v>744</v>
      </c>
      <c r="G695" t="s">
        <v>120</v>
      </c>
      <c r="H695" t="s">
        <v>121</v>
      </c>
      <c r="I695" t="s">
        <v>115</v>
      </c>
      <c r="J695" t="s">
        <v>119</v>
      </c>
      <c r="K695" t="s">
        <v>164</v>
      </c>
      <c r="L695" t="s">
        <v>194</v>
      </c>
      <c r="M695">
        <v>2</v>
      </c>
      <c r="N695">
        <v>197.52</v>
      </c>
      <c r="O695">
        <v>395.04</v>
      </c>
      <c r="P695">
        <v>0</v>
      </c>
      <c r="Q695">
        <v>0</v>
      </c>
      <c r="R695">
        <v>395.04</v>
      </c>
      <c r="S695">
        <v>133.08000000000001</v>
      </c>
      <c r="T695">
        <v>261.95999999999998</v>
      </c>
      <c r="U695" t="s">
        <v>158</v>
      </c>
      <c r="V695" t="s">
        <v>159</v>
      </c>
      <c r="W695" t="s">
        <v>2090</v>
      </c>
      <c r="X695" t="s">
        <v>2100</v>
      </c>
      <c r="Y695">
        <v>3</v>
      </c>
      <c r="Z695">
        <v>284.73</v>
      </c>
      <c r="AA695">
        <v>112.79</v>
      </c>
      <c r="AB695" t="s">
        <v>90</v>
      </c>
      <c r="AC695" t="s">
        <v>16</v>
      </c>
      <c r="AD695" t="s">
        <v>2095</v>
      </c>
      <c r="AE695" t="s">
        <v>2109</v>
      </c>
    </row>
    <row r="696" spans="1:31">
      <c r="A696" t="s">
        <v>1946</v>
      </c>
      <c r="B696" s="1">
        <v>45047</v>
      </c>
      <c r="C696" t="s">
        <v>192</v>
      </c>
      <c r="D696">
        <v>2023</v>
      </c>
      <c r="E696" t="s">
        <v>154</v>
      </c>
      <c r="F696" t="s">
        <v>1947</v>
      </c>
      <c r="G696" t="s">
        <v>17</v>
      </c>
      <c r="H696" t="s">
        <v>18</v>
      </c>
      <c r="I696" t="s">
        <v>14</v>
      </c>
      <c r="J696" t="s">
        <v>19</v>
      </c>
      <c r="K696" t="s">
        <v>164</v>
      </c>
      <c r="L696" t="s">
        <v>157</v>
      </c>
      <c r="M696">
        <v>3</v>
      </c>
      <c r="N696">
        <v>53.26</v>
      </c>
      <c r="O696">
        <v>159.78</v>
      </c>
      <c r="P696">
        <v>0</v>
      </c>
      <c r="Q696">
        <v>0</v>
      </c>
      <c r="R696">
        <v>159.78</v>
      </c>
      <c r="S696">
        <v>109.92</v>
      </c>
      <c r="T696">
        <v>49.86</v>
      </c>
      <c r="U696" t="s">
        <v>195</v>
      </c>
      <c r="V696" t="s">
        <v>181</v>
      </c>
      <c r="W696" t="s">
        <v>2113</v>
      </c>
      <c r="X696" t="s">
        <v>2094</v>
      </c>
      <c r="Y696">
        <v>151</v>
      </c>
      <c r="Z696">
        <v>467.04</v>
      </c>
      <c r="AA696">
        <v>65.040000000000006</v>
      </c>
      <c r="AB696" t="s">
        <v>90</v>
      </c>
      <c r="AC696" t="s">
        <v>16</v>
      </c>
      <c r="AD696" t="s">
        <v>2087</v>
      </c>
      <c r="AE696" t="s">
        <v>2107</v>
      </c>
    </row>
    <row r="697" spans="1:31">
      <c r="A697" t="s">
        <v>979</v>
      </c>
      <c r="B697" s="1">
        <v>45047</v>
      </c>
      <c r="C697" t="s">
        <v>192</v>
      </c>
      <c r="D697">
        <v>2023</v>
      </c>
      <c r="E697" t="s">
        <v>154</v>
      </c>
      <c r="F697" t="s">
        <v>980</v>
      </c>
      <c r="G697" t="s">
        <v>101</v>
      </c>
      <c r="H697" t="s">
        <v>102</v>
      </c>
      <c r="I697" t="s">
        <v>90</v>
      </c>
      <c r="J697" t="s">
        <v>100</v>
      </c>
      <c r="K697" t="s">
        <v>178</v>
      </c>
      <c r="L697" t="s">
        <v>174</v>
      </c>
      <c r="M697">
        <v>4</v>
      </c>
      <c r="N697">
        <v>196.28</v>
      </c>
      <c r="O697">
        <v>785.12</v>
      </c>
      <c r="P697">
        <v>10</v>
      </c>
      <c r="Q697">
        <v>78.510000000000005</v>
      </c>
      <c r="R697">
        <v>706.61</v>
      </c>
      <c r="S697">
        <v>286.92</v>
      </c>
      <c r="T697">
        <v>419.69</v>
      </c>
      <c r="U697" t="s">
        <v>180</v>
      </c>
      <c r="V697" t="s">
        <v>159</v>
      </c>
      <c r="W697" t="s">
        <v>2113</v>
      </c>
      <c r="X697" t="s">
        <v>2094</v>
      </c>
      <c r="Y697">
        <v>94</v>
      </c>
      <c r="Z697">
        <v>426.81</v>
      </c>
      <c r="AA697">
        <v>50.12</v>
      </c>
      <c r="AB697" t="s">
        <v>14</v>
      </c>
      <c r="AC697" t="s">
        <v>16</v>
      </c>
      <c r="AD697" t="s">
        <v>2087</v>
      </c>
      <c r="AE697" t="s">
        <v>2107</v>
      </c>
    </row>
    <row r="698" spans="1:31">
      <c r="A698" t="s">
        <v>1576</v>
      </c>
      <c r="B698" s="1">
        <v>45045</v>
      </c>
      <c r="C698" t="s">
        <v>172</v>
      </c>
      <c r="D698">
        <v>2023</v>
      </c>
      <c r="E698" t="s">
        <v>154</v>
      </c>
      <c r="F698" t="s">
        <v>1404</v>
      </c>
      <c r="G698" t="s">
        <v>122</v>
      </c>
      <c r="H698" t="s">
        <v>123</v>
      </c>
      <c r="I698" t="s">
        <v>115</v>
      </c>
      <c r="J698" t="s">
        <v>124</v>
      </c>
      <c r="K698" t="s">
        <v>156</v>
      </c>
      <c r="L698" t="s">
        <v>157</v>
      </c>
      <c r="M698">
        <v>4</v>
      </c>
      <c r="N698">
        <v>93.88</v>
      </c>
      <c r="O698">
        <v>375.52</v>
      </c>
      <c r="P698">
        <v>5</v>
      </c>
      <c r="Q698">
        <v>18.78</v>
      </c>
      <c r="R698">
        <v>356.74</v>
      </c>
      <c r="S698">
        <v>212.44</v>
      </c>
      <c r="T698">
        <v>144.30000000000001</v>
      </c>
      <c r="U698" t="s">
        <v>166</v>
      </c>
      <c r="V698" t="s">
        <v>159</v>
      </c>
      <c r="W698" t="s">
        <v>2113</v>
      </c>
      <c r="X698" t="s">
        <v>2108</v>
      </c>
      <c r="Y698">
        <v>74</v>
      </c>
      <c r="Z698">
        <v>590.79</v>
      </c>
      <c r="AA698">
        <v>34.86</v>
      </c>
      <c r="AB698" t="s">
        <v>41</v>
      </c>
      <c r="AC698" t="s">
        <v>16</v>
      </c>
      <c r="AD698" t="s">
        <v>2106</v>
      </c>
      <c r="AE698" t="s">
        <v>2121</v>
      </c>
    </row>
    <row r="699" spans="1:31">
      <c r="A699" t="s">
        <v>196</v>
      </c>
      <c r="B699" s="1">
        <v>45045</v>
      </c>
      <c r="C699" t="s">
        <v>172</v>
      </c>
      <c r="D699">
        <v>2023</v>
      </c>
      <c r="E699" t="s">
        <v>154</v>
      </c>
      <c r="F699" t="s">
        <v>197</v>
      </c>
      <c r="G699" t="s">
        <v>28</v>
      </c>
      <c r="H699" t="s">
        <v>29</v>
      </c>
      <c r="I699" t="s">
        <v>14</v>
      </c>
      <c r="J699" t="s">
        <v>19</v>
      </c>
      <c r="K699" t="s">
        <v>156</v>
      </c>
      <c r="L699" t="s">
        <v>165</v>
      </c>
      <c r="M699">
        <v>2</v>
      </c>
      <c r="N699">
        <v>26.46</v>
      </c>
      <c r="O699">
        <v>52.92</v>
      </c>
      <c r="P699">
        <v>0</v>
      </c>
      <c r="Q699">
        <v>0</v>
      </c>
      <c r="R699">
        <v>52.92</v>
      </c>
      <c r="S699">
        <v>38.840000000000003</v>
      </c>
      <c r="T699">
        <v>14.08</v>
      </c>
      <c r="U699" t="s">
        <v>190</v>
      </c>
      <c r="V699" t="s">
        <v>159</v>
      </c>
      <c r="W699" t="s">
        <v>2097</v>
      </c>
      <c r="X699" t="s">
        <v>2111</v>
      </c>
      <c r="Y699">
        <v>175</v>
      </c>
      <c r="Z699">
        <v>263.77999999999997</v>
      </c>
      <c r="AA699">
        <v>59.05</v>
      </c>
      <c r="AB699" t="s">
        <v>115</v>
      </c>
      <c r="AC699" t="s">
        <v>16</v>
      </c>
      <c r="AD699" t="s">
        <v>2106</v>
      </c>
      <c r="AE699" t="s">
        <v>2107</v>
      </c>
    </row>
    <row r="700" spans="1:31">
      <c r="A700" t="s">
        <v>271</v>
      </c>
      <c r="B700" s="1">
        <v>45045</v>
      </c>
      <c r="C700" t="s">
        <v>172</v>
      </c>
      <c r="D700">
        <v>2023</v>
      </c>
      <c r="E700" t="s">
        <v>154</v>
      </c>
      <c r="F700" t="s">
        <v>272</v>
      </c>
      <c r="G700" t="s">
        <v>88</v>
      </c>
      <c r="H700" t="s">
        <v>89</v>
      </c>
      <c r="I700" t="s">
        <v>90</v>
      </c>
      <c r="J700" t="s">
        <v>91</v>
      </c>
      <c r="K700" t="s">
        <v>178</v>
      </c>
      <c r="L700" t="s">
        <v>165</v>
      </c>
      <c r="M700">
        <v>3</v>
      </c>
      <c r="N700">
        <v>54.64</v>
      </c>
      <c r="O700">
        <v>163.92000000000002</v>
      </c>
      <c r="P700">
        <v>0</v>
      </c>
      <c r="Q700">
        <v>0</v>
      </c>
      <c r="R700">
        <v>163.92</v>
      </c>
      <c r="S700">
        <v>60.96</v>
      </c>
      <c r="T700">
        <v>102.96</v>
      </c>
      <c r="U700" t="s">
        <v>180</v>
      </c>
      <c r="V700" t="s">
        <v>159</v>
      </c>
      <c r="W700" t="s">
        <v>2093</v>
      </c>
      <c r="X700" t="s">
        <v>2086</v>
      </c>
      <c r="Y700">
        <v>283</v>
      </c>
      <c r="Z700">
        <v>40.61</v>
      </c>
      <c r="AA700">
        <v>40.869999999999997</v>
      </c>
      <c r="AB700" t="s">
        <v>66</v>
      </c>
      <c r="AC700" t="s">
        <v>16</v>
      </c>
      <c r="AD700" t="s">
        <v>2106</v>
      </c>
      <c r="AE700" t="s">
        <v>2096</v>
      </c>
    </row>
    <row r="701" spans="1:31">
      <c r="A701" t="s">
        <v>1401</v>
      </c>
      <c r="B701" s="1">
        <v>45045</v>
      </c>
      <c r="C701" t="s">
        <v>172</v>
      </c>
      <c r="D701">
        <v>2023</v>
      </c>
      <c r="E701" t="s">
        <v>154</v>
      </c>
      <c r="F701" t="s">
        <v>1402</v>
      </c>
      <c r="G701" t="s">
        <v>48</v>
      </c>
      <c r="H701" t="s">
        <v>49</v>
      </c>
      <c r="I701" t="s">
        <v>41</v>
      </c>
      <c r="J701" t="s">
        <v>42</v>
      </c>
      <c r="K701" t="s">
        <v>164</v>
      </c>
      <c r="L701" t="s">
        <v>157</v>
      </c>
      <c r="M701">
        <v>1</v>
      </c>
      <c r="N701">
        <v>84.95</v>
      </c>
      <c r="O701">
        <v>84.95</v>
      </c>
      <c r="P701">
        <v>0</v>
      </c>
      <c r="Q701">
        <v>0</v>
      </c>
      <c r="R701">
        <v>84.95</v>
      </c>
      <c r="S701">
        <v>53.07</v>
      </c>
      <c r="T701">
        <v>31.88</v>
      </c>
      <c r="U701" t="s">
        <v>190</v>
      </c>
      <c r="V701" t="s">
        <v>181</v>
      </c>
      <c r="W701" t="s">
        <v>2113</v>
      </c>
      <c r="X701" t="s">
        <v>2094</v>
      </c>
      <c r="Y701">
        <v>177</v>
      </c>
      <c r="Z701">
        <v>392.58</v>
      </c>
      <c r="AA701">
        <v>65.52</v>
      </c>
      <c r="AB701" t="s">
        <v>90</v>
      </c>
      <c r="AC701" t="s">
        <v>16</v>
      </c>
      <c r="AD701" t="s">
        <v>2095</v>
      </c>
      <c r="AE701" t="s">
        <v>2109</v>
      </c>
    </row>
    <row r="702" spans="1:31">
      <c r="A702" t="s">
        <v>2023</v>
      </c>
      <c r="B702" s="1">
        <v>45045</v>
      </c>
      <c r="C702" t="s">
        <v>172</v>
      </c>
      <c r="D702">
        <v>2023</v>
      </c>
      <c r="E702" t="s">
        <v>154</v>
      </c>
      <c r="F702" t="s">
        <v>2024</v>
      </c>
      <c r="G702" t="s">
        <v>88</v>
      </c>
      <c r="H702" t="s">
        <v>89</v>
      </c>
      <c r="I702" t="s">
        <v>90</v>
      </c>
      <c r="J702" t="s">
        <v>91</v>
      </c>
      <c r="K702" t="s">
        <v>156</v>
      </c>
      <c r="L702" t="s">
        <v>232</v>
      </c>
      <c r="M702">
        <v>3</v>
      </c>
      <c r="N702">
        <v>54.64</v>
      </c>
      <c r="O702">
        <v>163.92000000000002</v>
      </c>
      <c r="P702">
        <v>5</v>
      </c>
      <c r="Q702">
        <v>8.1999999999999993</v>
      </c>
      <c r="R702">
        <v>155.72</v>
      </c>
      <c r="S702">
        <v>60.96</v>
      </c>
      <c r="T702">
        <v>94.76</v>
      </c>
      <c r="U702" t="s">
        <v>195</v>
      </c>
      <c r="V702" t="s">
        <v>181</v>
      </c>
      <c r="W702" t="s">
        <v>2085</v>
      </c>
      <c r="X702" t="s">
        <v>2091</v>
      </c>
      <c r="Y702">
        <v>307</v>
      </c>
      <c r="Z702">
        <v>1685.6</v>
      </c>
      <c r="AA702">
        <v>108.69</v>
      </c>
      <c r="AB702" t="s">
        <v>41</v>
      </c>
      <c r="AC702" t="s">
        <v>20</v>
      </c>
      <c r="AD702" t="s">
        <v>2095</v>
      </c>
      <c r="AE702" t="s">
        <v>2088</v>
      </c>
    </row>
    <row r="703" spans="1:31">
      <c r="A703" t="s">
        <v>1751</v>
      </c>
      <c r="B703" s="1">
        <v>45045</v>
      </c>
      <c r="C703" t="s">
        <v>172</v>
      </c>
      <c r="D703">
        <v>2023</v>
      </c>
      <c r="E703" t="s">
        <v>154</v>
      </c>
      <c r="F703" t="s">
        <v>1752</v>
      </c>
      <c r="G703" t="s">
        <v>46</v>
      </c>
      <c r="H703" t="s">
        <v>47</v>
      </c>
      <c r="I703" t="s">
        <v>41</v>
      </c>
      <c r="J703" t="s">
        <v>45</v>
      </c>
      <c r="K703" t="s">
        <v>178</v>
      </c>
      <c r="L703" t="s">
        <v>204</v>
      </c>
      <c r="M703">
        <v>1</v>
      </c>
      <c r="N703">
        <v>16.95</v>
      </c>
      <c r="O703">
        <v>16.95</v>
      </c>
      <c r="P703">
        <v>0</v>
      </c>
      <c r="Q703">
        <v>0</v>
      </c>
      <c r="R703">
        <v>16.95</v>
      </c>
      <c r="S703">
        <v>9.76</v>
      </c>
      <c r="T703">
        <v>7.19</v>
      </c>
      <c r="U703" t="s">
        <v>166</v>
      </c>
      <c r="V703" t="s">
        <v>159</v>
      </c>
      <c r="W703" t="s">
        <v>2090</v>
      </c>
      <c r="X703" t="s">
        <v>2086</v>
      </c>
      <c r="Y703">
        <v>18</v>
      </c>
      <c r="Z703">
        <v>260.64</v>
      </c>
      <c r="AA703">
        <v>92.78</v>
      </c>
      <c r="AB703" t="s">
        <v>90</v>
      </c>
      <c r="AC703" t="s">
        <v>16</v>
      </c>
      <c r="AD703" t="s">
        <v>2106</v>
      </c>
      <c r="AE703" t="s">
        <v>2107</v>
      </c>
    </row>
    <row r="704" spans="1:31">
      <c r="A704" t="s">
        <v>281</v>
      </c>
      <c r="B704" s="1">
        <v>45044</v>
      </c>
      <c r="C704" t="s">
        <v>172</v>
      </c>
      <c r="D704">
        <v>2023</v>
      </c>
      <c r="E704" t="s">
        <v>154</v>
      </c>
      <c r="F704" t="s">
        <v>282</v>
      </c>
      <c r="G704" t="s">
        <v>55</v>
      </c>
      <c r="H704" t="s">
        <v>56</v>
      </c>
      <c r="I704" t="s">
        <v>41</v>
      </c>
      <c r="J704" t="s">
        <v>45</v>
      </c>
      <c r="K704" t="s">
        <v>209</v>
      </c>
      <c r="L704" t="s">
        <v>179</v>
      </c>
      <c r="M704">
        <v>1</v>
      </c>
      <c r="N704">
        <v>205.4</v>
      </c>
      <c r="O704">
        <v>205.4</v>
      </c>
      <c r="P704">
        <v>0</v>
      </c>
      <c r="Q704">
        <v>0</v>
      </c>
      <c r="R704">
        <v>205.4</v>
      </c>
      <c r="S704">
        <v>70.900000000000006</v>
      </c>
      <c r="T704">
        <v>134.5</v>
      </c>
      <c r="U704" t="s">
        <v>195</v>
      </c>
      <c r="V704" t="s">
        <v>181</v>
      </c>
      <c r="W704" t="s">
        <v>2085</v>
      </c>
      <c r="X704" t="s">
        <v>2100</v>
      </c>
      <c r="Y704">
        <v>57</v>
      </c>
      <c r="Z704">
        <v>2919.13</v>
      </c>
      <c r="AA704">
        <v>193.25</v>
      </c>
      <c r="AB704" t="s">
        <v>90</v>
      </c>
      <c r="AC704" t="s">
        <v>20</v>
      </c>
      <c r="AD704" t="s">
        <v>2095</v>
      </c>
      <c r="AE704" t="s">
        <v>2096</v>
      </c>
    </row>
    <row r="705" spans="1:31">
      <c r="A705" t="s">
        <v>1341</v>
      </c>
      <c r="B705" s="1">
        <v>45043</v>
      </c>
      <c r="C705" t="s">
        <v>172</v>
      </c>
      <c r="D705">
        <v>2023</v>
      </c>
      <c r="E705" t="s">
        <v>154</v>
      </c>
      <c r="F705" t="s">
        <v>548</v>
      </c>
      <c r="G705" t="s">
        <v>71</v>
      </c>
      <c r="H705" t="s">
        <v>72</v>
      </c>
      <c r="I705" t="s">
        <v>66</v>
      </c>
      <c r="J705" t="s">
        <v>70</v>
      </c>
      <c r="K705" t="s">
        <v>209</v>
      </c>
      <c r="L705" t="s">
        <v>204</v>
      </c>
      <c r="M705">
        <v>4</v>
      </c>
      <c r="N705">
        <v>26.7</v>
      </c>
      <c r="O705">
        <v>106.8</v>
      </c>
      <c r="P705">
        <v>10</v>
      </c>
      <c r="Q705">
        <v>10.68</v>
      </c>
      <c r="R705">
        <v>96.12</v>
      </c>
      <c r="S705">
        <v>49.08</v>
      </c>
      <c r="T705">
        <v>47.04</v>
      </c>
      <c r="U705" t="s">
        <v>195</v>
      </c>
      <c r="V705" t="s">
        <v>159</v>
      </c>
      <c r="W705" t="s">
        <v>2085</v>
      </c>
      <c r="X705" t="s">
        <v>2094</v>
      </c>
      <c r="Y705">
        <v>355</v>
      </c>
      <c r="Z705">
        <v>1930.34</v>
      </c>
      <c r="AA705">
        <v>128.15</v>
      </c>
      <c r="AB705" t="s">
        <v>14</v>
      </c>
      <c r="AC705" t="s">
        <v>20</v>
      </c>
      <c r="AD705" t="s">
        <v>2095</v>
      </c>
      <c r="AE705" t="s">
        <v>2096</v>
      </c>
    </row>
    <row r="706" spans="1:31">
      <c r="A706" t="s">
        <v>2050</v>
      </c>
      <c r="B706" s="1">
        <v>45043</v>
      </c>
      <c r="C706" t="s">
        <v>172</v>
      </c>
      <c r="D706">
        <v>2023</v>
      </c>
      <c r="E706" t="s">
        <v>154</v>
      </c>
      <c r="F706" t="s">
        <v>1126</v>
      </c>
      <c r="G706" t="s">
        <v>133</v>
      </c>
      <c r="H706" t="s">
        <v>134</v>
      </c>
      <c r="I706" t="s">
        <v>115</v>
      </c>
      <c r="J706" t="s">
        <v>119</v>
      </c>
      <c r="K706" t="s">
        <v>164</v>
      </c>
      <c r="L706" t="s">
        <v>204</v>
      </c>
      <c r="M706">
        <v>4</v>
      </c>
      <c r="N706">
        <v>78.84</v>
      </c>
      <c r="O706">
        <v>315.36</v>
      </c>
      <c r="P706">
        <v>20</v>
      </c>
      <c r="Q706">
        <v>63.07</v>
      </c>
      <c r="R706">
        <v>252.29</v>
      </c>
      <c r="S706">
        <v>190.72</v>
      </c>
      <c r="T706">
        <v>61.57</v>
      </c>
      <c r="U706" t="s">
        <v>180</v>
      </c>
      <c r="V706" t="s">
        <v>186</v>
      </c>
      <c r="W706" t="s">
        <v>2090</v>
      </c>
      <c r="X706" t="s">
        <v>2108</v>
      </c>
      <c r="Y706">
        <v>344</v>
      </c>
      <c r="Z706">
        <v>220.19</v>
      </c>
      <c r="AA706">
        <v>51.42</v>
      </c>
      <c r="AB706" t="s">
        <v>115</v>
      </c>
      <c r="AC706" t="s">
        <v>16</v>
      </c>
      <c r="AD706" t="s">
        <v>2095</v>
      </c>
      <c r="AE706" t="s">
        <v>2088</v>
      </c>
    </row>
    <row r="707" spans="1:31">
      <c r="A707" t="s">
        <v>1815</v>
      </c>
      <c r="B707" s="1">
        <v>45043</v>
      </c>
      <c r="C707" t="s">
        <v>172</v>
      </c>
      <c r="D707">
        <v>2023</v>
      </c>
      <c r="E707" t="s">
        <v>154</v>
      </c>
      <c r="F707" t="s">
        <v>1816</v>
      </c>
      <c r="G707" t="s">
        <v>35</v>
      </c>
      <c r="H707" t="s">
        <v>36</v>
      </c>
      <c r="I707" t="s">
        <v>14</v>
      </c>
      <c r="J707" t="s">
        <v>19</v>
      </c>
      <c r="K707" t="s">
        <v>156</v>
      </c>
      <c r="L707" t="s">
        <v>157</v>
      </c>
      <c r="M707">
        <v>2</v>
      </c>
      <c r="N707">
        <v>81.599999999999994</v>
      </c>
      <c r="O707">
        <v>163.19999999999999</v>
      </c>
      <c r="P707">
        <v>15</v>
      </c>
      <c r="Q707">
        <v>24.48</v>
      </c>
      <c r="R707">
        <v>138.72</v>
      </c>
      <c r="S707">
        <v>58.64</v>
      </c>
      <c r="T707">
        <v>80.08</v>
      </c>
      <c r="U707" t="s">
        <v>190</v>
      </c>
      <c r="V707" t="s">
        <v>159</v>
      </c>
      <c r="W707" t="s">
        <v>2097</v>
      </c>
      <c r="X707" t="s">
        <v>2111</v>
      </c>
      <c r="Y707">
        <v>231</v>
      </c>
      <c r="Z707">
        <v>321.93</v>
      </c>
      <c r="AA707">
        <v>66.69</v>
      </c>
      <c r="AB707" t="s">
        <v>41</v>
      </c>
      <c r="AC707" t="s">
        <v>16</v>
      </c>
      <c r="AD707" t="s">
        <v>2095</v>
      </c>
      <c r="AE707" t="s">
        <v>2121</v>
      </c>
    </row>
    <row r="708" spans="1:31">
      <c r="A708" t="s">
        <v>1663</v>
      </c>
      <c r="B708" s="1">
        <v>45042</v>
      </c>
      <c r="C708" t="s">
        <v>172</v>
      </c>
      <c r="D708">
        <v>2023</v>
      </c>
      <c r="E708" t="s">
        <v>154</v>
      </c>
      <c r="F708" t="s">
        <v>1664</v>
      </c>
      <c r="G708" t="s">
        <v>129</v>
      </c>
      <c r="H708" t="s">
        <v>130</v>
      </c>
      <c r="I708" t="s">
        <v>115</v>
      </c>
      <c r="J708" t="s">
        <v>124</v>
      </c>
      <c r="K708" t="s">
        <v>164</v>
      </c>
      <c r="L708" t="s">
        <v>165</v>
      </c>
      <c r="M708">
        <v>1</v>
      </c>
      <c r="N708">
        <v>99.34</v>
      </c>
      <c r="O708">
        <v>99.34</v>
      </c>
      <c r="P708">
        <v>10</v>
      </c>
      <c r="Q708">
        <v>9.93</v>
      </c>
      <c r="R708">
        <v>89.41</v>
      </c>
      <c r="S708">
        <v>37.35</v>
      </c>
      <c r="T708">
        <v>52.06</v>
      </c>
      <c r="U708" t="s">
        <v>180</v>
      </c>
      <c r="V708" t="s">
        <v>159</v>
      </c>
      <c r="W708" t="s">
        <v>2085</v>
      </c>
      <c r="X708" t="s">
        <v>2111</v>
      </c>
      <c r="Y708">
        <v>356</v>
      </c>
      <c r="Z708">
        <v>1947.86</v>
      </c>
      <c r="AA708">
        <v>250.11</v>
      </c>
      <c r="AB708" t="s">
        <v>115</v>
      </c>
      <c r="AC708" t="s">
        <v>16</v>
      </c>
      <c r="AD708" t="s">
        <v>2095</v>
      </c>
      <c r="AE708" t="s">
        <v>2107</v>
      </c>
    </row>
    <row r="709" spans="1:31">
      <c r="A709" t="s">
        <v>457</v>
      </c>
      <c r="B709" s="1">
        <v>45042</v>
      </c>
      <c r="C709" t="s">
        <v>172</v>
      </c>
      <c r="D709">
        <v>2023</v>
      </c>
      <c r="E709" t="s">
        <v>154</v>
      </c>
      <c r="F709" t="s">
        <v>458</v>
      </c>
      <c r="G709" t="s">
        <v>68</v>
      </c>
      <c r="H709" t="s">
        <v>69</v>
      </c>
      <c r="I709" t="s">
        <v>66</v>
      </c>
      <c r="J709" t="s">
        <v>70</v>
      </c>
      <c r="K709" t="s">
        <v>156</v>
      </c>
      <c r="L709" t="s">
        <v>174</v>
      </c>
      <c r="M709">
        <v>4</v>
      </c>
      <c r="N709">
        <v>98.51</v>
      </c>
      <c r="O709">
        <v>394.04</v>
      </c>
      <c r="P709">
        <v>0</v>
      </c>
      <c r="Q709">
        <v>0</v>
      </c>
      <c r="R709">
        <v>394.04</v>
      </c>
      <c r="S709">
        <v>220.68</v>
      </c>
      <c r="T709">
        <v>173.36</v>
      </c>
      <c r="U709" t="s">
        <v>195</v>
      </c>
      <c r="V709" t="s">
        <v>159</v>
      </c>
      <c r="W709" t="s">
        <v>2113</v>
      </c>
      <c r="X709" t="s">
        <v>2100</v>
      </c>
      <c r="Y709">
        <v>304</v>
      </c>
      <c r="Z709">
        <v>242.35</v>
      </c>
      <c r="AA709">
        <v>58.51</v>
      </c>
      <c r="AB709" t="s">
        <v>41</v>
      </c>
      <c r="AC709" t="s">
        <v>16</v>
      </c>
      <c r="AD709" t="s">
        <v>2106</v>
      </c>
      <c r="AE709" t="s">
        <v>2107</v>
      </c>
    </row>
    <row r="710" spans="1:31">
      <c r="A710" t="s">
        <v>1881</v>
      </c>
      <c r="B710" s="1">
        <v>45042</v>
      </c>
      <c r="C710" t="s">
        <v>172</v>
      </c>
      <c r="D710">
        <v>2023</v>
      </c>
      <c r="E710" t="s">
        <v>154</v>
      </c>
      <c r="F710" t="s">
        <v>1882</v>
      </c>
      <c r="G710" t="s">
        <v>105</v>
      </c>
      <c r="H710" t="s">
        <v>106</v>
      </c>
      <c r="I710" t="s">
        <v>90</v>
      </c>
      <c r="J710" t="s">
        <v>91</v>
      </c>
      <c r="K710" t="s">
        <v>209</v>
      </c>
      <c r="L710" t="s">
        <v>165</v>
      </c>
      <c r="M710">
        <v>4</v>
      </c>
      <c r="N710">
        <v>36.35</v>
      </c>
      <c r="O710">
        <v>145.4</v>
      </c>
      <c r="P710">
        <v>20</v>
      </c>
      <c r="Q710">
        <v>29.08</v>
      </c>
      <c r="R710">
        <v>116.32</v>
      </c>
      <c r="S710">
        <v>120.08</v>
      </c>
      <c r="T710">
        <v>-3.76</v>
      </c>
      <c r="U710" t="s">
        <v>166</v>
      </c>
      <c r="V710" t="s">
        <v>159</v>
      </c>
      <c r="W710" t="s">
        <v>2093</v>
      </c>
      <c r="X710" t="s">
        <v>2094</v>
      </c>
      <c r="Y710">
        <v>121</v>
      </c>
      <c r="Z710">
        <v>120.16</v>
      </c>
      <c r="AA710">
        <v>50.94</v>
      </c>
      <c r="AB710" t="s">
        <v>41</v>
      </c>
      <c r="AC710" t="s">
        <v>16</v>
      </c>
      <c r="AD710" t="s">
        <v>2087</v>
      </c>
      <c r="AE710" t="s">
        <v>2109</v>
      </c>
    </row>
    <row r="711" spans="1:31">
      <c r="A711" t="s">
        <v>348</v>
      </c>
      <c r="B711" s="1">
        <v>45042</v>
      </c>
      <c r="C711" t="s">
        <v>172</v>
      </c>
      <c r="D711">
        <v>2023</v>
      </c>
      <c r="E711" t="s">
        <v>154</v>
      </c>
      <c r="F711" t="s">
        <v>349</v>
      </c>
      <c r="G711" t="s">
        <v>86</v>
      </c>
      <c r="H711" t="s">
        <v>87</v>
      </c>
      <c r="I711" t="s">
        <v>66</v>
      </c>
      <c r="J711" t="s">
        <v>67</v>
      </c>
      <c r="K711" t="s">
        <v>164</v>
      </c>
      <c r="L711" t="s">
        <v>179</v>
      </c>
      <c r="M711">
        <v>1</v>
      </c>
      <c r="N711">
        <v>124.77</v>
      </c>
      <c r="O711">
        <v>124.77</v>
      </c>
      <c r="P711">
        <v>0</v>
      </c>
      <c r="Q711">
        <v>0</v>
      </c>
      <c r="R711">
        <v>124.77</v>
      </c>
      <c r="S711">
        <v>69.64</v>
      </c>
      <c r="T711">
        <v>55.13</v>
      </c>
      <c r="U711" t="s">
        <v>166</v>
      </c>
      <c r="V711" t="s">
        <v>159</v>
      </c>
      <c r="W711" t="s">
        <v>2097</v>
      </c>
      <c r="X711" t="s">
        <v>2108</v>
      </c>
      <c r="Y711">
        <v>83</v>
      </c>
      <c r="Z711">
        <v>445.49</v>
      </c>
      <c r="AA711">
        <v>93.4</v>
      </c>
      <c r="AB711" t="s">
        <v>66</v>
      </c>
      <c r="AC711" t="s">
        <v>16</v>
      </c>
      <c r="AD711" t="s">
        <v>2095</v>
      </c>
      <c r="AE711" t="s">
        <v>2121</v>
      </c>
    </row>
    <row r="712" spans="1:31">
      <c r="A712" t="s">
        <v>829</v>
      </c>
      <c r="B712" s="1">
        <v>45042</v>
      </c>
      <c r="C712" t="s">
        <v>172</v>
      </c>
      <c r="D712">
        <v>2023</v>
      </c>
      <c r="E712" t="s">
        <v>154</v>
      </c>
      <c r="F712" t="s">
        <v>830</v>
      </c>
      <c r="G712" t="s">
        <v>25</v>
      </c>
      <c r="H712" t="s">
        <v>26</v>
      </c>
      <c r="I712" t="s">
        <v>14</v>
      </c>
      <c r="J712" t="s">
        <v>27</v>
      </c>
      <c r="K712" t="s">
        <v>164</v>
      </c>
      <c r="L712" t="s">
        <v>174</v>
      </c>
      <c r="M712">
        <v>2</v>
      </c>
      <c r="N712">
        <v>18.39</v>
      </c>
      <c r="O712">
        <v>36.78</v>
      </c>
      <c r="P712">
        <v>10</v>
      </c>
      <c r="Q712">
        <v>3.68</v>
      </c>
      <c r="R712">
        <v>33.1</v>
      </c>
      <c r="S712">
        <v>16.52</v>
      </c>
      <c r="T712">
        <v>16.579999999999998</v>
      </c>
      <c r="U712" t="s">
        <v>158</v>
      </c>
      <c r="V712" t="s">
        <v>159</v>
      </c>
      <c r="W712" t="s">
        <v>2090</v>
      </c>
      <c r="X712" t="s">
        <v>2094</v>
      </c>
      <c r="Y712">
        <v>6</v>
      </c>
      <c r="Z712">
        <v>233.25</v>
      </c>
      <c r="AA712">
        <v>107.27</v>
      </c>
      <c r="AB712" t="s">
        <v>115</v>
      </c>
      <c r="AC712" t="s">
        <v>20</v>
      </c>
      <c r="AD712" t="s">
        <v>2106</v>
      </c>
      <c r="AE712" t="s">
        <v>2109</v>
      </c>
    </row>
    <row r="713" spans="1:31">
      <c r="A713" t="s">
        <v>1099</v>
      </c>
      <c r="B713" s="1">
        <v>45041</v>
      </c>
      <c r="C713" t="s">
        <v>172</v>
      </c>
      <c r="D713">
        <v>2023</v>
      </c>
      <c r="E713" t="s">
        <v>154</v>
      </c>
      <c r="F713" t="s">
        <v>1100</v>
      </c>
      <c r="G713" t="s">
        <v>57</v>
      </c>
      <c r="H713" t="s">
        <v>58</v>
      </c>
      <c r="I713" t="s">
        <v>41</v>
      </c>
      <c r="J713" t="s">
        <v>59</v>
      </c>
      <c r="K713" t="s">
        <v>164</v>
      </c>
      <c r="L713" t="s">
        <v>204</v>
      </c>
      <c r="M713">
        <v>1</v>
      </c>
      <c r="N713">
        <v>56.33</v>
      </c>
      <c r="O713">
        <v>56.33</v>
      </c>
      <c r="P713">
        <v>10</v>
      </c>
      <c r="Q713">
        <v>5.63</v>
      </c>
      <c r="R713">
        <v>50.7</v>
      </c>
      <c r="S713">
        <v>41.45</v>
      </c>
      <c r="T713">
        <v>9.25</v>
      </c>
      <c r="U713" t="s">
        <v>190</v>
      </c>
      <c r="V713" t="s">
        <v>159</v>
      </c>
      <c r="W713" t="s">
        <v>2093</v>
      </c>
      <c r="X713" t="s">
        <v>2100</v>
      </c>
      <c r="Y713">
        <v>319</v>
      </c>
      <c r="Z713">
        <v>71.03</v>
      </c>
      <c r="AA713">
        <v>76.72</v>
      </c>
      <c r="AB713" t="s">
        <v>41</v>
      </c>
      <c r="AC713" t="s">
        <v>20</v>
      </c>
      <c r="AD713" t="s">
        <v>2095</v>
      </c>
      <c r="AE713" t="s">
        <v>2109</v>
      </c>
    </row>
    <row r="714" spans="1:31">
      <c r="A714" t="s">
        <v>1031</v>
      </c>
      <c r="B714" s="1">
        <v>45040</v>
      </c>
      <c r="C714" t="s">
        <v>172</v>
      </c>
      <c r="D714">
        <v>2023</v>
      </c>
      <c r="E714" t="s">
        <v>154</v>
      </c>
      <c r="F714" t="s">
        <v>262</v>
      </c>
      <c r="G714" t="s">
        <v>107</v>
      </c>
      <c r="H714" t="s">
        <v>108</v>
      </c>
      <c r="I714" t="s">
        <v>90</v>
      </c>
      <c r="J714" t="s">
        <v>100</v>
      </c>
      <c r="K714" t="s">
        <v>164</v>
      </c>
      <c r="L714" t="s">
        <v>165</v>
      </c>
      <c r="M714">
        <v>2</v>
      </c>
      <c r="N714">
        <v>26.61</v>
      </c>
      <c r="O714">
        <v>53.22</v>
      </c>
      <c r="P714">
        <v>0</v>
      </c>
      <c r="Q714">
        <v>0</v>
      </c>
      <c r="R714">
        <v>53.22</v>
      </c>
      <c r="S714">
        <v>21.28</v>
      </c>
      <c r="T714">
        <v>31.94</v>
      </c>
      <c r="U714" t="s">
        <v>195</v>
      </c>
      <c r="V714" t="s">
        <v>181</v>
      </c>
      <c r="W714" t="s">
        <v>2085</v>
      </c>
      <c r="X714" t="s">
        <v>2108</v>
      </c>
      <c r="Y714">
        <v>114</v>
      </c>
      <c r="Z714">
        <v>2953.15</v>
      </c>
      <c r="AA714">
        <v>181.57</v>
      </c>
      <c r="AB714" t="s">
        <v>115</v>
      </c>
      <c r="AC714" t="s">
        <v>16</v>
      </c>
      <c r="AD714" t="s">
        <v>2087</v>
      </c>
      <c r="AE714" t="s">
        <v>2121</v>
      </c>
    </row>
    <row r="715" spans="1:31">
      <c r="A715" t="s">
        <v>354</v>
      </c>
      <c r="B715" s="1">
        <v>45040</v>
      </c>
      <c r="C715" t="s">
        <v>172</v>
      </c>
      <c r="D715">
        <v>2023</v>
      </c>
      <c r="E715" t="s">
        <v>154</v>
      </c>
      <c r="F715" t="s">
        <v>355</v>
      </c>
      <c r="G715" t="s">
        <v>17</v>
      </c>
      <c r="H715" t="s">
        <v>18</v>
      </c>
      <c r="I715" t="s">
        <v>14</v>
      </c>
      <c r="J715" t="s">
        <v>19</v>
      </c>
      <c r="K715" t="s">
        <v>209</v>
      </c>
      <c r="L715" t="s">
        <v>165</v>
      </c>
      <c r="M715">
        <v>3</v>
      </c>
      <c r="N715">
        <v>53.26</v>
      </c>
      <c r="O715">
        <v>159.78</v>
      </c>
      <c r="P715">
        <v>10</v>
      </c>
      <c r="Q715">
        <v>15.98</v>
      </c>
      <c r="R715">
        <v>143.80000000000001</v>
      </c>
      <c r="S715">
        <v>109.92</v>
      </c>
      <c r="T715">
        <v>33.880000000000003</v>
      </c>
      <c r="U715" t="s">
        <v>180</v>
      </c>
      <c r="V715" t="s">
        <v>159</v>
      </c>
      <c r="W715" t="s">
        <v>2090</v>
      </c>
      <c r="X715" t="s">
        <v>2094</v>
      </c>
      <c r="Y715">
        <v>257</v>
      </c>
      <c r="Z715">
        <v>362.41</v>
      </c>
      <c r="AA715">
        <v>90.44</v>
      </c>
      <c r="AB715" t="s">
        <v>66</v>
      </c>
      <c r="AC715" t="s">
        <v>16</v>
      </c>
      <c r="AD715" t="s">
        <v>2095</v>
      </c>
      <c r="AE715" t="s">
        <v>2121</v>
      </c>
    </row>
    <row r="716" spans="1:31">
      <c r="A716" t="s">
        <v>924</v>
      </c>
      <c r="B716" s="1">
        <v>45039</v>
      </c>
      <c r="C716" t="s">
        <v>172</v>
      </c>
      <c r="D716">
        <v>2023</v>
      </c>
      <c r="E716" t="s">
        <v>154</v>
      </c>
      <c r="F716" t="s">
        <v>925</v>
      </c>
      <c r="G716" t="s">
        <v>17</v>
      </c>
      <c r="H716" t="s">
        <v>18</v>
      </c>
      <c r="I716" t="s">
        <v>14</v>
      </c>
      <c r="J716" t="s">
        <v>19</v>
      </c>
      <c r="K716" t="s">
        <v>178</v>
      </c>
      <c r="L716" t="s">
        <v>174</v>
      </c>
      <c r="M716">
        <v>3</v>
      </c>
      <c r="N716">
        <v>53.26</v>
      </c>
      <c r="O716">
        <v>159.78</v>
      </c>
      <c r="P716">
        <v>10</v>
      </c>
      <c r="Q716">
        <v>15.98</v>
      </c>
      <c r="R716">
        <v>143.80000000000001</v>
      </c>
      <c r="S716">
        <v>109.92</v>
      </c>
      <c r="T716">
        <v>33.880000000000003</v>
      </c>
      <c r="U716" t="s">
        <v>180</v>
      </c>
      <c r="V716" t="s">
        <v>181</v>
      </c>
      <c r="W716" t="s">
        <v>2085</v>
      </c>
      <c r="X716" t="s">
        <v>2086</v>
      </c>
      <c r="Y716">
        <v>306</v>
      </c>
      <c r="Z716">
        <v>2429.2800000000002</v>
      </c>
      <c r="AA716">
        <v>287.44</v>
      </c>
      <c r="AB716" t="s">
        <v>66</v>
      </c>
      <c r="AC716" t="s">
        <v>16</v>
      </c>
      <c r="AD716" t="s">
        <v>2087</v>
      </c>
      <c r="AE716" t="s">
        <v>2096</v>
      </c>
    </row>
    <row r="717" spans="1:31">
      <c r="A717" t="s">
        <v>655</v>
      </c>
      <c r="B717" s="1">
        <v>45038</v>
      </c>
      <c r="C717" t="s">
        <v>172</v>
      </c>
      <c r="D717">
        <v>2023</v>
      </c>
      <c r="E717" t="s">
        <v>154</v>
      </c>
      <c r="F717" t="s">
        <v>656</v>
      </c>
      <c r="G717" t="s">
        <v>84</v>
      </c>
      <c r="H717" t="s">
        <v>85</v>
      </c>
      <c r="I717" t="s">
        <v>66</v>
      </c>
      <c r="J717" t="s">
        <v>67</v>
      </c>
      <c r="K717" t="s">
        <v>209</v>
      </c>
      <c r="L717" t="s">
        <v>157</v>
      </c>
      <c r="M717">
        <v>2</v>
      </c>
      <c r="N717">
        <v>174.23</v>
      </c>
      <c r="O717">
        <v>348.46</v>
      </c>
      <c r="P717">
        <v>10</v>
      </c>
      <c r="Q717">
        <v>34.85</v>
      </c>
      <c r="R717">
        <v>313.61</v>
      </c>
      <c r="S717">
        <v>147.9</v>
      </c>
      <c r="T717">
        <v>165.71</v>
      </c>
      <c r="U717" t="s">
        <v>166</v>
      </c>
      <c r="V717" t="s">
        <v>159</v>
      </c>
      <c r="W717" t="s">
        <v>2113</v>
      </c>
      <c r="X717" t="s">
        <v>2086</v>
      </c>
      <c r="Y717">
        <v>137</v>
      </c>
      <c r="Z717">
        <v>349.77</v>
      </c>
      <c r="AA717">
        <v>33.97</v>
      </c>
      <c r="AB717" t="s">
        <v>115</v>
      </c>
      <c r="AC717" t="s">
        <v>16</v>
      </c>
      <c r="AD717" t="s">
        <v>2087</v>
      </c>
      <c r="AE717" t="s">
        <v>2109</v>
      </c>
    </row>
    <row r="718" spans="1:31">
      <c r="A718" t="s">
        <v>1824</v>
      </c>
      <c r="B718" s="1">
        <v>45038</v>
      </c>
      <c r="C718" t="s">
        <v>172</v>
      </c>
      <c r="D718">
        <v>2023</v>
      </c>
      <c r="E718" t="s">
        <v>154</v>
      </c>
      <c r="F718" t="s">
        <v>1825</v>
      </c>
      <c r="G718" t="s">
        <v>30</v>
      </c>
      <c r="H718" t="s">
        <v>31</v>
      </c>
      <c r="I718" t="s">
        <v>14</v>
      </c>
      <c r="J718" t="s">
        <v>32</v>
      </c>
      <c r="K718" t="s">
        <v>156</v>
      </c>
      <c r="L718" t="s">
        <v>194</v>
      </c>
      <c r="M718">
        <v>1</v>
      </c>
      <c r="N718">
        <v>113.18</v>
      </c>
      <c r="O718">
        <v>113.18</v>
      </c>
      <c r="P718">
        <v>10</v>
      </c>
      <c r="Q718">
        <v>11.32</v>
      </c>
      <c r="R718">
        <v>101.86</v>
      </c>
      <c r="S718">
        <v>39.01</v>
      </c>
      <c r="T718">
        <v>62.85</v>
      </c>
      <c r="U718" t="s">
        <v>190</v>
      </c>
      <c r="V718" t="s">
        <v>181</v>
      </c>
      <c r="W718" t="s">
        <v>2097</v>
      </c>
      <c r="X718" t="s">
        <v>2094</v>
      </c>
      <c r="Y718">
        <v>326</v>
      </c>
      <c r="Z718">
        <v>650.04999999999995</v>
      </c>
      <c r="AA718">
        <v>95.21</v>
      </c>
      <c r="AB718" t="s">
        <v>66</v>
      </c>
      <c r="AC718" t="s">
        <v>20</v>
      </c>
      <c r="AD718" t="s">
        <v>2087</v>
      </c>
      <c r="AE718" t="s">
        <v>2107</v>
      </c>
    </row>
    <row r="719" spans="1:31">
      <c r="A719" t="s">
        <v>691</v>
      </c>
      <c r="B719" s="1">
        <v>45038</v>
      </c>
      <c r="C719" t="s">
        <v>172</v>
      </c>
      <c r="D719">
        <v>2023</v>
      </c>
      <c r="E719" t="s">
        <v>154</v>
      </c>
      <c r="F719" t="s">
        <v>692</v>
      </c>
      <c r="G719" t="s">
        <v>25</v>
      </c>
      <c r="H719" t="s">
        <v>26</v>
      </c>
      <c r="I719" t="s">
        <v>14</v>
      </c>
      <c r="J719" t="s">
        <v>27</v>
      </c>
      <c r="K719" t="s">
        <v>164</v>
      </c>
      <c r="L719" t="s">
        <v>194</v>
      </c>
      <c r="M719">
        <v>2</v>
      </c>
      <c r="N719">
        <v>18.39</v>
      </c>
      <c r="O719">
        <v>36.78</v>
      </c>
      <c r="P719">
        <v>0</v>
      </c>
      <c r="Q719">
        <v>0</v>
      </c>
      <c r="R719">
        <v>36.78</v>
      </c>
      <c r="S719">
        <v>16.52</v>
      </c>
      <c r="T719">
        <v>20.260000000000002</v>
      </c>
      <c r="U719" t="s">
        <v>158</v>
      </c>
      <c r="V719" t="s">
        <v>181</v>
      </c>
      <c r="W719" t="s">
        <v>2090</v>
      </c>
      <c r="X719" t="s">
        <v>2086</v>
      </c>
      <c r="Y719">
        <v>25</v>
      </c>
      <c r="Z719">
        <v>242.33</v>
      </c>
      <c r="AA719">
        <v>99.55</v>
      </c>
      <c r="AB719" t="s">
        <v>115</v>
      </c>
      <c r="AC719" t="s">
        <v>20</v>
      </c>
      <c r="AD719" t="s">
        <v>2095</v>
      </c>
      <c r="AE719" t="s">
        <v>2109</v>
      </c>
    </row>
    <row r="720" spans="1:31">
      <c r="A720" t="s">
        <v>251</v>
      </c>
      <c r="B720" s="1">
        <v>45037</v>
      </c>
      <c r="C720" t="s">
        <v>172</v>
      </c>
      <c r="D720">
        <v>2023</v>
      </c>
      <c r="E720" t="s">
        <v>154</v>
      </c>
      <c r="F720" t="s">
        <v>252</v>
      </c>
      <c r="G720" t="s">
        <v>133</v>
      </c>
      <c r="H720" t="s">
        <v>134</v>
      </c>
      <c r="I720" t="s">
        <v>115</v>
      </c>
      <c r="J720" t="s">
        <v>119</v>
      </c>
      <c r="K720" t="s">
        <v>164</v>
      </c>
      <c r="L720" t="s">
        <v>194</v>
      </c>
      <c r="M720">
        <v>2</v>
      </c>
      <c r="N720">
        <v>78.84</v>
      </c>
      <c r="O720">
        <v>157.68</v>
      </c>
      <c r="P720">
        <v>0</v>
      </c>
      <c r="Q720">
        <v>0</v>
      </c>
      <c r="R720">
        <v>157.68</v>
      </c>
      <c r="S720">
        <v>95.36</v>
      </c>
      <c r="T720">
        <v>62.32</v>
      </c>
      <c r="U720" t="s">
        <v>166</v>
      </c>
      <c r="V720" t="s">
        <v>181</v>
      </c>
      <c r="W720" t="s">
        <v>2097</v>
      </c>
      <c r="X720" t="s">
        <v>2086</v>
      </c>
      <c r="Y720">
        <v>188</v>
      </c>
      <c r="Z720">
        <v>224.59</v>
      </c>
      <c r="AA720">
        <v>120.57</v>
      </c>
      <c r="AB720" t="s">
        <v>115</v>
      </c>
      <c r="AC720" t="s">
        <v>16</v>
      </c>
      <c r="AD720" t="s">
        <v>2087</v>
      </c>
      <c r="AE720" t="s">
        <v>2109</v>
      </c>
    </row>
    <row r="721" spans="1:31">
      <c r="A721" t="s">
        <v>1235</v>
      </c>
      <c r="B721" s="1">
        <v>45037</v>
      </c>
      <c r="C721" t="s">
        <v>172</v>
      </c>
      <c r="D721">
        <v>2023</v>
      </c>
      <c r="E721" t="s">
        <v>154</v>
      </c>
      <c r="F721" t="s">
        <v>1236</v>
      </c>
      <c r="G721" t="s">
        <v>129</v>
      </c>
      <c r="H721" t="s">
        <v>130</v>
      </c>
      <c r="I721" t="s">
        <v>115</v>
      </c>
      <c r="J721" t="s">
        <v>124</v>
      </c>
      <c r="K721" t="s">
        <v>164</v>
      </c>
      <c r="L721" t="s">
        <v>179</v>
      </c>
      <c r="M721">
        <v>3</v>
      </c>
      <c r="N721">
        <v>99.34</v>
      </c>
      <c r="O721">
        <v>298.02</v>
      </c>
      <c r="P721">
        <v>0</v>
      </c>
      <c r="Q721">
        <v>0</v>
      </c>
      <c r="R721">
        <v>298.02</v>
      </c>
      <c r="S721">
        <v>112.05</v>
      </c>
      <c r="T721">
        <v>185.97</v>
      </c>
      <c r="U721" t="s">
        <v>180</v>
      </c>
      <c r="V721" t="s">
        <v>159</v>
      </c>
      <c r="W721" t="s">
        <v>2085</v>
      </c>
      <c r="X721" t="s">
        <v>2100</v>
      </c>
      <c r="Y721">
        <v>193</v>
      </c>
      <c r="Z721">
        <v>2418.84</v>
      </c>
      <c r="AA721">
        <v>185.16</v>
      </c>
      <c r="AB721" t="s">
        <v>66</v>
      </c>
      <c r="AC721" t="s">
        <v>16</v>
      </c>
      <c r="AD721" t="s">
        <v>2106</v>
      </c>
      <c r="AE721" t="s">
        <v>2096</v>
      </c>
    </row>
    <row r="722" spans="1:31">
      <c r="A722" t="s">
        <v>1262</v>
      </c>
      <c r="B722" s="1">
        <v>45036</v>
      </c>
      <c r="C722" t="s">
        <v>172</v>
      </c>
      <c r="D722">
        <v>2023</v>
      </c>
      <c r="E722" t="s">
        <v>154</v>
      </c>
      <c r="F722" t="s">
        <v>1263</v>
      </c>
      <c r="G722" t="s">
        <v>125</v>
      </c>
      <c r="H722" t="s">
        <v>126</v>
      </c>
      <c r="I722" t="s">
        <v>115</v>
      </c>
      <c r="J722" t="s">
        <v>116</v>
      </c>
      <c r="K722" t="s">
        <v>164</v>
      </c>
      <c r="L722" t="s">
        <v>179</v>
      </c>
      <c r="M722">
        <v>2</v>
      </c>
      <c r="N722">
        <v>144.94999999999999</v>
      </c>
      <c r="O722">
        <v>289.89999999999998</v>
      </c>
      <c r="P722">
        <v>0</v>
      </c>
      <c r="Q722">
        <v>0</v>
      </c>
      <c r="R722">
        <v>289.89999999999998</v>
      </c>
      <c r="S722">
        <v>154.38</v>
      </c>
      <c r="T722">
        <v>135.52000000000001</v>
      </c>
      <c r="U722" t="s">
        <v>195</v>
      </c>
      <c r="V722" t="s">
        <v>181</v>
      </c>
      <c r="W722" t="s">
        <v>2093</v>
      </c>
      <c r="X722" t="s">
        <v>2091</v>
      </c>
      <c r="Y722">
        <v>164</v>
      </c>
      <c r="Z722">
        <v>55.36</v>
      </c>
      <c r="AA722">
        <v>52.2</v>
      </c>
      <c r="AB722" t="s">
        <v>14</v>
      </c>
      <c r="AC722" t="s">
        <v>16</v>
      </c>
      <c r="AD722" t="s">
        <v>2087</v>
      </c>
      <c r="AE722" t="s">
        <v>2096</v>
      </c>
    </row>
    <row r="723" spans="1:31">
      <c r="A723" t="s">
        <v>237</v>
      </c>
      <c r="B723" s="1">
        <v>45035</v>
      </c>
      <c r="C723" t="s">
        <v>172</v>
      </c>
      <c r="D723">
        <v>2023</v>
      </c>
      <c r="E723" t="s">
        <v>154</v>
      </c>
      <c r="F723" t="s">
        <v>238</v>
      </c>
      <c r="G723" t="s">
        <v>64</v>
      </c>
      <c r="H723" t="s">
        <v>65</v>
      </c>
      <c r="I723" t="s">
        <v>66</v>
      </c>
      <c r="J723" t="s">
        <v>67</v>
      </c>
      <c r="K723" t="s">
        <v>178</v>
      </c>
      <c r="L723" t="s">
        <v>194</v>
      </c>
      <c r="M723">
        <v>2</v>
      </c>
      <c r="N723">
        <v>24.9</v>
      </c>
      <c r="O723">
        <v>49.8</v>
      </c>
      <c r="P723">
        <v>5</v>
      </c>
      <c r="Q723">
        <v>2.4900000000000002</v>
      </c>
      <c r="R723">
        <v>47.31</v>
      </c>
      <c r="S723">
        <v>43.04</v>
      </c>
      <c r="T723">
        <v>4.2699999999999996</v>
      </c>
      <c r="U723" t="s">
        <v>195</v>
      </c>
      <c r="V723" t="s">
        <v>181</v>
      </c>
      <c r="W723" t="s">
        <v>2085</v>
      </c>
      <c r="X723" t="s">
        <v>2100</v>
      </c>
      <c r="Y723">
        <v>364</v>
      </c>
      <c r="Z723">
        <v>1842.49</v>
      </c>
      <c r="AA723">
        <v>172.9</v>
      </c>
      <c r="AB723" t="s">
        <v>115</v>
      </c>
      <c r="AC723" t="s">
        <v>16</v>
      </c>
      <c r="AD723" t="s">
        <v>2087</v>
      </c>
      <c r="AE723" t="s">
        <v>2109</v>
      </c>
    </row>
    <row r="724" spans="1:31">
      <c r="A724" t="s">
        <v>817</v>
      </c>
      <c r="B724" s="1">
        <v>45035</v>
      </c>
      <c r="C724" t="s">
        <v>172</v>
      </c>
      <c r="D724">
        <v>2023</v>
      </c>
      <c r="E724" t="s">
        <v>154</v>
      </c>
      <c r="F724" t="s">
        <v>818</v>
      </c>
      <c r="G724" t="s">
        <v>78</v>
      </c>
      <c r="H724" t="s">
        <v>79</v>
      </c>
      <c r="I724" t="s">
        <v>66</v>
      </c>
      <c r="J724" t="s">
        <v>70</v>
      </c>
      <c r="K724" t="s">
        <v>178</v>
      </c>
      <c r="L724" t="s">
        <v>194</v>
      </c>
      <c r="M724">
        <v>2</v>
      </c>
      <c r="N724">
        <v>218.05</v>
      </c>
      <c r="O724">
        <v>436.1</v>
      </c>
      <c r="P724">
        <v>5</v>
      </c>
      <c r="Q724">
        <v>21.8</v>
      </c>
      <c r="R724">
        <v>414.3</v>
      </c>
      <c r="S724">
        <v>148.96</v>
      </c>
      <c r="T724">
        <v>265.33999999999997</v>
      </c>
      <c r="U724" t="s">
        <v>195</v>
      </c>
      <c r="V724" t="s">
        <v>159</v>
      </c>
      <c r="W724" t="s">
        <v>2097</v>
      </c>
      <c r="X724" t="s">
        <v>2100</v>
      </c>
      <c r="Y724">
        <v>67</v>
      </c>
      <c r="Z724">
        <v>514.84</v>
      </c>
      <c r="AA724">
        <v>96.77</v>
      </c>
      <c r="AB724" t="s">
        <v>41</v>
      </c>
      <c r="AC724" t="s">
        <v>16</v>
      </c>
      <c r="AD724" t="s">
        <v>2095</v>
      </c>
      <c r="AE724" t="s">
        <v>2096</v>
      </c>
    </row>
    <row r="725" spans="1:31">
      <c r="A725" t="s">
        <v>1561</v>
      </c>
      <c r="B725" s="1">
        <v>45034</v>
      </c>
      <c r="C725" t="s">
        <v>172</v>
      </c>
      <c r="D725">
        <v>2023</v>
      </c>
      <c r="E725" t="s">
        <v>154</v>
      </c>
      <c r="F725" t="s">
        <v>1562</v>
      </c>
      <c r="G725" t="s">
        <v>17</v>
      </c>
      <c r="H725" t="s">
        <v>18</v>
      </c>
      <c r="I725" t="s">
        <v>14</v>
      </c>
      <c r="J725" t="s">
        <v>19</v>
      </c>
      <c r="K725" t="s">
        <v>156</v>
      </c>
      <c r="L725" t="s">
        <v>157</v>
      </c>
      <c r="M725">
        <v>3</v>
      </c>
      <c r="N725">
        <v>53.26</v>
      </c>
      <c r="O725">
        <v>159.78</v>
      </c>
      <c r="P725">
        <v>15</v>
      </c>
      <c r="Q725">
        <v>23.97</v>
      </c>
      <c r="R725">
        <v>135.81</v>
      </c>
      <c r="S725">
        <v>109.92</v>
      </c>
      <c r="T725">
        <v>25.89</v>
      </c>
      <c r="U725" t="s">
        <v>195</v>
      </c>
      <c r="V725" t="s">
        <v>159</v>
      </c>
      <c r="W725" t="s">
        <v>2113</v>
      </c>
      <c r="X725" t="s">
        <v>2091</v>
      </c>
      <c r="Y725">
        <v>319</v>
      </c>
      <c r="Z725">
        <v>508.28</v>
      </c>
      <c r="AA725">
        <v>79.650000000000006</v>
      </c>
      <c r="AB725" t="s">
        <v>66</v>
      </c>
      <c r="AC725" t="s">
        <v>16</v>
      </c>
      <c r="AD725" t="s">
        <v>2095</v>
      </c>
      <c r="AE725" t="s">
        <v>2121</v>
      </c>
    </row>
    <row r="726" spans="1:31">
      <c r="A726" t="s">
        <v>951</v>
      </c>
      <c r="B726" s="1">
        <v>45034</v>
      </c>
      <c r="C726" t="s">
        <v>172</v>
      </c>
      <c r="D726">
        <v>2023</v>
      </c>
      <c r="E726" t="s">
        <v>154</v>
      </c>
      <c r="F726" t="s">
        <v>952</v>
      </c>
      <c r="G726" t="s">
        <v>84</v>
      </c>
      <c r="H726" t="s">
        <v>85</v>
      </c>
      <c r="I726" t="s">
        <v>66</v>
      </c>
      <c r="J726" t="s">
        <v>67</v>
      </c>
      <c r="K726" t="s">
        <v>209</v>
      </c>
      <c r="L726" t="s">
        <v>194</v>
      </c>
      <c r="M726">
        <v>1</v>
      </c>
      <c r="N726">
        <v>174.23</v>
      </c>
      <c r="O726">
        <v>174.23</v>
      </c>
      <c r="P726">
        <v>0</v>
      </c>
      <c r="Q726">
        <v>0</v>
      </c>
      <c r="R726">
        <v>174.23</v>
      </c>
      <c r="S726">
        <v>73.95</v>
      </c>
      <c r="T726">
        <v>100.28</v>
      </c>
      <c r="U726" t="s">
        <v>195</v>
      </c>
      <c r="V726" t="s">
        <v>159</v>
      </c>
      <c r="W726" t="s">
        <v>2085</v>
      </c>
      <c r="X726" t="s">
        <v>2111</v>
      </c>
      <c r="Y726">
        <v>140</v>
      </c>
      <c r="Z726">
        <v>2736.25</v>
      </c>
      <c r="AA726">
        <v>248.77</v>
      </c>
      <c r="AB726" t="s">
        <v>115</v>
      </c>
      <c r="AC726" t="s">
        <v>16</v>
      </c>
      <c r="AD726" t="s">
        <v>2095</v>
      </c>
      <c r="AE726" t="s">
        <v>2109</v>
      </c>
    </row>
    <row r="727" spans="1:31">
      <c r="A727" t="s">
        <v>1524</v>
      </c>
      <c r="B727" s="1">
        <v>45034</v>
      </c>
      <c r="C727" t="s">
        <v>172</v>
      </c>
      <c r="D727">
        <v>2023</v>
      </c>
      <c r="E727" t="s">
        <v>154</v>
      </c>
      <c r="F727" t="s">
        <v>1525</v>
      </c>
      <c r="G727" t="s">
        <v>98</v>
      </c>
      <c r="H727" t="s">
        <v>99</v>
      </c>
      <c r="I727" t="s">
        <v>90</v>
      </c>
      <c r="J727" t="s">
        <v>100</v>
      </c>
      <c r="K727" t="s">
        <v>209</v>
      </c>
      <c r="L727" t="s">
        <v>174</v>
      </c>
      <c r="M727">
        <v>2</v>
      </c>
      <c r="N727">
        <v>194.87</v>
      </c>
      <c r="O727">
        <v>389.74</v>
      </c>
      <c r="P727">
        <v>15</v>
      </c>
      <c r="Q727">
        <v>58.46</v>
      </c>
      <c r="R727">
        <v>331.28</v>
      </c>
      <c r="S727">
        <v>157.58000000000001</v>
      </c>
      <c r="T727">
        <v>173.7</v>
      </c>
      <c r="U727" t="s">
        <v>166</v>
      </c>
      <c r="V727" t="s">
        <v>181</v>
      </c>
      <c r="W727" t="s">
        <v>2085</v>
      </c>
      <c r="X727" t="s">
        <v>2086</v>
      </c>
      <c r="Y727">
        <v>360</v>
      </c>
      <c r="Z727">
        <v>2178.5300000000002</v>
      </c>
      <c r="AA727">
        <v>258.45</v>
      </c>
      <c r="AB727" t="s">
        <v>115</v>
      </c>
      <c r="AC727" t="s">
        <v>16</v>
      </c>
      <c r="AD727" t="s">
        <v>2087</v>
      </c>
      <c r="AE727" t="s">
        <v>2109</v>
      </c>
    </row>
    <row r="728" spans="1:31">
      <c r="A728" t="s">
        <v>1396</v>
      </c>
      <c r="B728" s="1">
        <v>45033</v>
      </c>
      <c r="C728" t="s">
        <v>172</v>
      </c>
      <c r="D728">
        <v>2023</v>
      </c>
      <c r="E728" t="s">
        <v>154</v>
      </c>
      <c r="F728" t="s">
        <v>1397</v>
      </c>
      <c r="G728" t="s">
        <v>109</v>
      </c>
      <c r="H728" t="s">
        <v>110</v>
      </c>
      <c r="I728" t="s">
        <v>90</v>
      </c>
      <c r="J728" t="s">
        <v>100</v>
      </c>
      <c r="K728" t="s">
        <v>164</v>
      </c>
      <c r="L728" t="s">
        <v>179</v>
      </c>
      <c r="M728">
        <v>1</v>
      </c>
      <c r="N728">
        <v>77.67</v>
      </c>
      <c r="O728">
        <v>77.67</v>
      </c>
      <c r="P728">
        <v>0</v>
      </c>
      <c r="Q728">
        <v>0</v>
      </c>
      <c r="R728">
        <v>77.67</v>
      </c>
      <c r="S728">
        <v>28.12</v>
      </c>
      <c r="T728">
        <v>49.55</v>
      </c>
      <c r="U728" t="s">
        <v>158</v>
      </c>
      <c r="V728" t="s">
        <v>186</v>
      </c>
      <c r="W728" t="s">
        <v>2113</v>
      </c>
      <c r="X728" t="s">
        <v>2094</v>
      </c>
      <c r="Y728">
        <v>72</v>
      </c>
      <c r="Z728">
        <v>564.53</v>
      </c>
      <c r="AA728">
        <v>60.24</v>
      </c>
      <c r="AB728" t="s">
        <v>14</v>
      </c>
      <c r="AC728" t="s">
        <v>16</v>
      </c>
      <c r="AD728" t="s">
        <v>2106</v>
      </c>
      <c r="AE728" t="s">
        <v>2121</v>
      </c>
    </row>
    <row r="729" spans="1:31">
      <c r="A729" t="s">
        <v>267</v>
      </c>
      <c r="B729" s="1">
        <v>45033</v>
      </c>
      <c r="C729" t="s">
        <v>172</v>
      </c>
      <c r="D729">
        <v>2023</v>
      </c>
      <c r="E729" t="s">
        <v>154</v>
      </c>
      <c r="F729" t="s">
        <v>268</v>
      </c>
      <c r="G729" t="s">
        <v>23</v>
      </c>
      <c r="H729" t="s">
        <v>24</v>
      </c>
      <c r="I729" t="s">
        <v>14</v>
      </c>
      <c r="J729" t="s">
        <v>19</v>
      </c>
      <c r="K729" t="s">
        <v>156</v>
      </c>
      <c r="L729" t="s">
        <v>194</v>
      </c>
      <c r="M729">
        <v>1</v>
      </c>
      <c r="N729">
        <v>154.03</v>
      </c>
      <c r="O729">
        <v>154.03</v>
      </c>
      <c r="P729">
        <v>20</v>
      </c>
      <c r="Q729">
        <v>30.81</v>
      </c>
      <c r="R729">
        <v>123.22</v>
      </c>
      <c r="S729">
        <v>76.790000000000006</v>
      </c>
      <c r="T729">
        <v>46.43</v>
      </c>
      <c r="U729" t="s">
        <v>158</v>
      </c>
      <c r="V729" t="s">
        <v>159</v>
      </c>
      <c r="W729" t="s">
        <v>2093</v>
      </c>
      <c r="X729" t="s">
        <v>2094</v>
      </c>
      <c r="Y729">
        <v>337</v>
      </c>
      <c r="Z729">
        <v>93.5</v>
      </c>
      <c r="AA729">
        <v>65.48</v>
      </c>
      <c r="AB729" t="s">
        <v>66</v>
      </c>
      <c r="AC729" t="s">
        <v>16</v>
      </c>
      <c r="AD729" t="s">
        <v>2106</v>
      </c>
      <c r="AE729" t="s">
        <v>2109</v>
      </c>
    </row>
    <row r="730" spans="1:31">
      <c r="A730" t="s">
        <v>1532</v>
      </c>
      <c r="B730" s="1">
        <v>45033</v>
      </c>
      <c r="C730" t="s">
        <v>172</v>
      </c>
      <c r="D730">
        <v>2023</v>
      </c>
      <c r="E730" t="s">
        <v>154</v>
      </c>
      <c r="F730" t="s">
        <v>1533</v>
      </c>
      <c r="G730" t="s">
        <v>113</v>
      </c>
      <c r="H730" t="s">
        <v>114</v>
      </c>
      <c r="I730" t="s">
        <v>115</v>
      </c>
      <c r="J730" t="s">
        <v>116</v>
      </c>
      <c r="K730" t="s">
        <v>164</v>
      </c>
      <c r="L730" t="s">
        <v>204</v>
      </c>
      <c r="M730">
        <v>1</v>
      </c>
      <c r="N730">
        <v>18.7</v>
      </c>
      <c r="O730">
        <v>18.7</v>
      </c>
      <c r="P730">
        <v>15</v>
      </c>
      <c r="Q730">
        <v>2.81</v>
      </c>
      <c r="R730">
        <v>15.89</v>
      </c>
      <c r="S730">
        <v>6.86</v>
      </c>
      <c r="T730">
        <v>9.0299999999999994</v>
      </c>
      <c r="U730" t="s">
        <v>158</v>
      </c>
      <c r="V730" t="s">
        <v>159</v>
      </c>
      <c r="W730" t="s">
        <v>2099</v>
      </c>
      <c r="X730" t="s">
        <v>2100</v>
      </c>
      <c r="Y730">
        <v>292</v>
      </c>
      <c r="Z730">
        <v>37</v>
      </c>
      <c r="AA730">
        <v>70</v>
      </c>
      <c r="AB730" t="s">
        <v>90</v>
      </c>
      <c r="AC730" t="s">
        <v>20</v>
      </c>
      <c r="AD730" t="s">
        <v>2087</v>
      </c>
      <c r="AE730" t="s">
        <v>2088</v>
      </c>
    </row>
    <row r="731" spans="1:31">
      <c r="A731" t="s">
        <v>962</v>
      </c>
      <c r="B731" s="1">
        <v>45032</v>
      </c>
      <c r="C731" t="s">
        <v>172</v>
      </c>
      <c r="D731">
        <v>2023</v>
      </c>
      <c r="E731" t="s">
        <v>154</v>
      </c>
      <c r="F731" t="s">
        <v>401</v>
      </c>
      <c r="G731" t="s">
        <v>23</v>
      </c>
      <c r="H731" t="s">
        <v>24</v>
      </c>
      <c r="I731" t="s">
        <v>14</v>
      </c>
      <c r="J731" t="s">
        <v>19</v>
      </c>
      <c r="K731" t="s">
        <v>156</v>
      </c>
      <c r="L731" t="s">
        <v>204</v>
      </c>
      <c r="M731">
        <v>1</v>
      </c>
      <c r="N731">
        <v>154.03</v>
      </c>
      <c r="O731">
        <v>154.03</v>
      </c>
      <c r="P731">
        <v>0</v>
      </c>
      <c r="Q731">
        <v>0</v>
      </c>
      <c r="R731">
        <v>154.03</v>
      </c>
      <c r="S731">
        <v>76.790000000000006</v>
      </c>
      <c r="T731">
        <v>77.239999999999995</v>
      </c>
      <c r="U731" t="s">
        <v>166</v>
      </c>
      <c r="V731" t="s">
        <v>181</v>
      </c>
      <c r="W731" t="s">
        <v>2097</v>
      </c>
      <c r="X731" t="s">
        <v>2094</v>
      </c>
      <c r="Y731">
        <v>61</v>
      </c>
      <c r="Z731">
        <v>263.14999999999998</v>
      </c>
      <c r="AA731">
        <v>95.34</v>
      </c>
      <c r="AB731" t="s">
        <v>14</v>
      </c>
      <c r="AC731" t="s">
        <v>20</v>
      </c>
      <c r="AD731" t="s">
        <v>2106</v>
      </c>
      <c r="AE731" t="s">
        <v>2109</v>
      </c>
    </row>
    <row r="732" spans="1:31">
      <c r="A732" t="s">
        <v>1893</v>
      </c>
      <c r="B732" s="1">
        <v>45031</v>
      </c>
      <c r="C732" t="s">
        <v>172</v>
      </c>
      <c r="D732">
        <v>2023</v>
      </c>
      <c r="E732" t="s">
        <v>154</v>
      </c>
      <c r="F732" t="s">
        <v>1894</v>
      </c>
      <c r="G732" t="s">
        <v>64</v>
      </c>
      <c r="H732" t="s">
        <v>65</v>
      </c>
      <c r="I732" t="s">
        <v>66</v>
      </c>
      <c r="J732" t="s">
        <v>67</v>
      </c>
      <c r="K732" t="s">
        <v>164</v>
      </c>
      <c r="L732" t="s">
        <v>194</v>
      </c>
      <c r="M732">
        <v>1</v>
      </c>
      <c r="N732">
        <v>24.9</v>
      </c>
      <c r="O732">
        <v>24.9</v>
      </c>
      <c r="P732">
        <v>15</v>
      </c>
      <c r="Q732">
        <v>3.73</v>
      </c>
      <c r="R732">
        <v>21.17</v>
      </c>
      <c r="S732">
        <v>21.52</v>
      </c>
      <c r="T732">
        <v>-0.35</v>
      </c>
      <c r="U732" t="s">
        <v>195</v>
      </c>
      <c r="V732" t="s">
        <v>159</v>
      </c>
      <c r="W732" t="s">
        <v>2093</v>
      </c>
      <c r="X732" t="s">
        <v>2108</v>
      </c>
      <c r="Y732">
        <v>84</v>
      </c>
      <c r="Z732">
        <v>72.19</v>
      </c>
      <c r="AA732">
        <v>31.06</v>
      </c>
      <c r="AB732" t="s">
        <v>14</v>
      </c>
      <c r="AC732" t="s">
        <v>16</v>
      </c>
      <c r="AD732" t="s">
        <v>2106</v>
      </c>
      <c r="AE732" t="s">
        <v>2107</v>
      </c>
    </row>
    <row r="733" spans="1:31">
      <c r="A733" t="s">
        <v>1241</v>
      </c>
      <c r="B733" s="1">
        <v>45030</v>
      </c>
      <c r="C733" t="s">
        <v>172</v>
      </c>
      <c r="D733">
        <v>2023</v>
      </c>
      <c r="E733" t="s">
        <v>154</v>
      </c>
      <c r="F733" t="s">
        <v>1242</v>
      </c>
      <c r="G733" t="s">
        <v>35</v>
      </c>
      <c r="H733" t="s">
        <v>36</v>
      </c>
      <c r="I733" t="s">
        <v>14</v>
      </c>
      <c r="J733" t="s">
        <v>19</v>
      </c>
      <c r="K733" t="s">
        <v>164</v>
      </c>
      <c r="L733" t="s">
        <v>179</v>
      </c>
      <c r="M733">
        <v>1</v>
      </c>
      <c r="N733">
        <v>81.599999999999994</v>
      </c>
      <c r="O733">
        <v>81.599999999999994</v>
      </c>
      <c r="P733">
        <v>0</v>
      </c>
      <c r="Q733">
        <v>0</v>
      </c>
      <c r="R733">
        <v>81.599999999999994</v>
      </c>
      <c r="S733">
        <v>29.32</v>
      </c>
      <c r="T733">
        <v>52.28</v>
      </c>
      <c r="U733" t="s">
        <v>190</v>
      </c>
      <c r="V733" t="s">
        <v>181</v>
      </c>
      <c r="W733" t="s">
        <v>2113</v>
      </c>
      <c r="X733" t="s">
        <v>2111</v>
      </c>
      <c r="Y733">
        <v>12</v>
      </c>
      <c r="Z733">
        <v>164.41</v>
      </c>
      <c r="AA733">
        <v>73.86</v>
      </c>
      <c r="AB733" t="s">
        <v>14</v>
      </c>
      <c r="AC733" t="s">
        <v>16</v>
      </c>
      <c r="AD733" t="s">
        <v>2087</v>
      </c>
      <c r="AE733" t="s">
        <v>2107</v>
      </c>
    </row>
    <row r="734" spans="1:31">
      <c r="A734" t="s">
        <v>1005</v>
      </c>
      <c r="B734" s="1">
        <v>45029</v>
      </c>
      <c r="C734" t="s">
        <v>172</v>
      </c>
      <c r="D734">
        <v>2023</v>
      </c>
      <c r="E734" t="s">
        <v>154</v>
      </c>
      <c r="F734" t="s">
        <v>1006</v>
      </c>
      <c r="G734" t="s">
        <v>17</v>
      </c>
      <c r="H734" t="s">
        <v>18</v>
      </c>
      <c r="I734" t="s">
        <v>14</v>
      </c>
      <c r="J734" t="s">
        <v>19</v>
      </c>
      <c r="K734" t="s">
        <v>209</v>
      </c>
      <c r="L734" t="s">
        <v>157</v>
      </c>
      <c r="M734">
        <v>2</v>
      </c>
      <c r="N734">
        <v>53.26</v>
      </c>
      <c r="O734">
        <v>106.52</v>
      </c>
      <c r="P734">
        <v>0</v>
      </c>
      <c r="Q734">
        <v>0</v>
      </c>
      <c r="R734">
        <v>106.52</v>
      </c>
      <c r="S734">
        <v>73.28</v>
      </c>
      <c r="T734">
        <v>33.24</v>
      </c>
      <c r="U734" t="s">
        <v>158</v>
      </c>
      <c r="V734" t="s">
        <v>186</v>
      </c>
      <c r="W734" t="s">
        <v>2099</v>
      </c>
      <c r="X734" t="s">
        <v>2100</v>
      </c>
      <c r="Y734">
        <v>253</v>
      </c>
      <c r="Z734">
        <v>128.9</v>
      </c>
      <c r="AA734">
        <v>96.06</v>
      </c>
      <c r="AB734" t="s">
        <v>41</v>
      </c>
      <c r="AC734" t="s">
        <v>16</v>
      </c>
      <c r="AD734" t="s">
        <v>2087</v>
      </c>
      <c r="AE734" t="s">
        <v>2121</v>
      </c>
    </row>
    <row r="735" spans="1:31">
      <c r="A735" t="s">
        <v>1655</v>
      </c>
      <c r="B735" s="1">
        <v>45029</v>
      </c>
      <c r="C735" t="s">
        <v>172</v>
      </c>
      <c r="D735">
        <v>2023</v>
      </c>
      <c r="E735" t="s">
        <v>154</v>
      </c>
      <c r="F735" t="s">
        <v>802</v>
      </c>
      <c r="G735" t="s">
        <v>84</v>
      </c>
      <c r="H735" t="s">
        <v>85</v>
      </c>
      <c r="I735" t="s">
        <v>66</v>
      </c>
      <c r="J735" t="s">
        <v>67</v>
      </c>
      <c r="K735" t="s">
        <v>164</v>
      </c>
      <c r="L735" t="s">
        <v>157</v>
      </c>
      <c r="M735">
        <v>1</v>
      </c>
      <c r="N735">
        <v>174.23</v>
      </c>
      <c r="O735">
        <v>174.23</v>
      </c>
      <c r="P735">
        <v>5</v>
      </c>
      <c r="Q735">
        <v>8.7100000000000009</v>
      </c>
      <c r="R735">
        <v>165.52</v>
      </c>
      <c r="S735">
        <v>73.95</v>
      </c>
      <c r="T735">
        <v>91.57</v>
      </c>
      <c r="U735" t="s">
        <v>180</v>
      </c>
      <c r="V735" t="s">
        <v>159</v>
      </c>
      <c r="W735" t="s">
        <v>2085</v>
      </c>
      <c r="X735" t="s">
        <v>2100</v>
      </c>
      <c r="Y735">
        <v>40</v>
      </c>
      <c r="Z735">
        <v>2272.04</v>
      </c>
      <c r="AA735">
        <v>147.24</v>
      </c>
      <c r="AB735" t="s">
        <v>115</v>
      </c>
      <c r="AC735" t="s">
        <v>16</v>
      </c>
      <c r="AD735" t="s">
        <v>2106</v>
      </c>
      <c r="AE735" t="s">
        <v>2088</v>
      </c>
    </row>
    <row r="736" spans="1:31">
      <c r="A736" t="s">
        <v>429</v>
      </c>
      <c r="B736" s="1">
        <v>45028</v>
      </c>
      <c r="C736" t="s">
        <v>172</v>
      </c>
      <c r="D736">
        <v>2023</v>
      </c>
      <c r="E736" t="s">
        <v>154</v>
      </c>
      <c r="F736" t="s">
        <v>430</v>
      </c>
      <c r="G736" t="s">
        <v>30</v>
      </c>
      <c r="H736" t="s">
        <v>31</v>
      </c>
      <c r="I736" t="s">
        <v>14</v>
      </c>
      <c r="J736" t="s">
        <v>32</v>
      </c>
      <c r="K736" t="s">
        <v>156</v>
      </c>
      <c r="L736" t="s">
        <v>179</v>
      </c>
      <c r="M736">
        <v>2</v>
      </c>
      <c r="N736">
        <v>113.18</v>
      </c>
      <c r="O736">
        <v>226.36</v>
      </c>
      <c r="P736">
        <v>0</v>
      </c>
      <c r="Q736">
        <v>0</v>
      </c>
      <c r="R736">
        <v>226.36</v>
      </c>
      <c r="S736">
        <v>78.02</v>
      </c>
      <c r="T736">
        <v>148.34</v>
      </c>
      <c r="U736" t="s">
        <v>158</v>
      </c>
      <c r="V736" t="s">
        <v>159</v>
      </c>
      <c r="W736" t="s">
        <v>2097</v>
      </c>
      <c r="X736" t="s">
        <v>2111</v>
      </c>
      <c r="Y736">
        <v>253</v>
      </c>
      <c r="Z736">
        <v>210.57</v>
      </c>
      <c r="AA736">
        <v>88.39</v>
      </c>
      <c r="AB736" t="s">
        <v>14</v>
      </c>
      <c r="AC736" t="s">
        <v>16</v>
      </c>
      <c r="AD736" t="s">
        <v>2095</v>
      </c>
      <c r="AE736" t="s">
        <v>2109</v>
      </c>
    </row>
    <row r="737" spans="1:31">
      <c r="A737" t="s">
        <v>1709</v>
      </c>
      <c r="B737" s="1">
        <v>45028</v>
      </c>
      <c r="C737" t="s">
        <v>172</v>
      </c>
      <c r="D737">
        <v>2023</v>
      </c>
      <c r="E737" t="s">
        <v>154</v>
      </c>
      <c r="F737" t="s">
        <v>1710</v>
      </c>
      <c r="G737" t="s">
        <v>107</v>
      </c>
      <c r="H737" t="s">
        <v>108</v>
      </c>
      <c r="I737" t="s">
        <v>90</v>
      </c>
      <c r="J737" t="s">
        <v>100</v>
      </c>
      <c r="K737" t="s">
        <v>178</v>
      </c>
      <c r="L737" t="s">
        <v>157</v>
      </c>
      <c r="M737">
        <v>3</v>
      </c>
      <c r="N737">
        <v>26.61</v>
      </c>
      <c r="O737">
        <v>79.83</v>
      </c>
      <c r="P737">
        <v>5</v>
      </c>
      <c r="Q737">
        <v>3.99</v>
      </c>
      <c r="R737">
        <v>75.84</v>
      </c>
      <c r="S737">
        <v>31.92</v>
      </c>
      <c r="T737">
        <v>43.92</v>
      </c>
      <c r="U737" t="s">
        <v>158</v>
      </c>
      <c r="V737" t="s">
        <v>159</v>
      </c>
      <c r="W737" t="s">
        <v>2090</v>
      </c>
      <c r="X737" t="s">
        <v>2100</v>
      </c>
      <c r="Y737">
        <v>307</v>
      </c>
      <c r="Z737">
        <v>353.11</v>
      </c>
      <c r="AA737">
        <v>115.99</v>
      </c>
      <c r="AB737" t="s">
        <v>14</v>
      </c>
      <c r="AC737" t="s">
        <v>20</v>
      </c>
      <c r="AD737" t="s">
        <v>2087</v>
      </c>
      <c r="AE737" t="s">
        <v>2121</v>
      </c>
    </row>
    <row r="738" spans="1:31">
      <c r="A738" t="s">
        <v>1007</v>
      </c>
      <c r="B738" s="1">
        <v>45028</v>
      </c>
      <c r="C738" t="s">
        <v>172</v>
      </c>
      <c r="D738">
        <v>2023</v>
      </c>
      <c r="E738" t="s">
        <v>154</v>
      </c>
      <c r="F738" t="s">
        <v>1008</v>
      </c>
      <c r="G738" t="s">
        <v>23</v>
      </c>
      <c r="H738" t="s">
        <v>24</v>
      </c>
      <c r="I738" t="s">
        <v>14</v>
      </c>
      <c r="J738" t="s">
        <v>19</v>
      </c>
      <c r="K738" t="s">
        <v>178</v>
      </c>
      <c r="L738" t="s">
        <v>179</v>
      </c>
      <c r="M738">
        <v>3</v>
      </c>
      <c r="N738">
        <v>154.03</v>
      </c>
      <c r="O738">
        <v>462.09000000000003</v>
      </c>
      <c r="P738">
        <v>15</v>
      </c>
      <c r="Q738">
        <v>69.31</v>
      </c>
      <c r="R738">
        <v>392.78</v>
      </c>
      <c r="S738">
        <v>230.37</v>
      </c>
      <c r="T738">
        <v>162.41</v>
      </c>
      <c r="U738" t="s">
        <v>180</v>
      </c>
      <c r="V738" t="s">
        <v>181</v>
      </c>
      <c r="W738" t="s">
        <v>2099</v>
      </c>
      <c r="X738" t="s">
        <v>2100</v>
      </c>
      <c r="Y738">
        <v>143</v>
      </c>
      <c r="Z738">
        <v>71.430000000000007</v>
      </c>
      <c r="AA738">
        <v>44.73</v>
      </c>
      <c r="AB738" t="s">
        <v>90</v>
      </c>
      <c r="AC738" t="s">
        <v>16</v>
      </c>
      <c r="AD738" t="s">
        <v>2106</v>
      </c>
      <c r="AE738" t="s">
        <v>2109</v>
      </c>
    </row>
    <row r="739" spans="1:31">
      <c r="A739" t="s">
        <v>223</v>
      </c>
      <c r="B739" s="1">
        <v>45028</v>
      </c>
      <c r="C739" t="s">
        <v>172</v>
      </c>
      <c r="D739">
        <v>2023</v>
      </c>
      <c r="E739" t="s">
        <v>154</v>
      </c>
      <c r="F739" t="s">
        <v>224</v>
      </c>
      <c r="G739" t="s">
        <v>62</v>
      </c>
      <c r="H739" t="s">
        <v>63</v>
      </c>
      <c r="I739" t="s">
        <v>41</v>
      </c>
      <c r="J739" t="s">
        <v>45</v>
      </c>
      <c r="K739" t="s">
        <v>156</v>
      </c>
      <c r="L739" t="s">
        <v>174</v>
      </c>
      <c r="M739">
        <v>4</v>
      </c>
      <c r="N739">
        <v>160.35</v>
      </c>
      <c r="O739">
        <v>641.4</v>
      </c>
      <c r="P739">
        <v>5</v>
      </c>
      <c r="Q739">
        <v>32.07</v>
      </c>
      <c r="R739">
        <v>609.33000000000004</v>
      </c>
      <c r="S739">
        <v>289.88</v>
      </c>
      <c r="T739">
        <v>319.45</v>
      </c>
      <c r="U739" t="s">
        <v>195</v>
      </c>
      <c r="V739" t="s">
        <v>181</v>
      </c>
      <c r="W739" t="s">
        <v>2085</v>
      </c>
      <c r="X739" t="s">
        <v>2094</v>
      </c>
      <c r="Y739">
        <v>217</v>
      </c>
      <c r="Z739">
        <v>1989.18</v>
      </c>
      <c r="AA739">
        <v>104.51</v>
      </c>
      <c r="AB739" t="s">
        <v>90</v>
      </c>
      <c r="AC739" t="s">
        <v>20</v>
      </c>
      <c r="AD739" t="s">
        <v>2087</v>
      </c>
      <c r="AE739" t="s">
        <v>2107</v>
      </c>
    </row>
    <row r="740" spans="1:31">
      <c r="A740" t="s">
        <v>1802</v>
      </c>
      <c r="B740" s="1">
        <v>45026</v>
      </c>
      <c r="C740" t="s">
        <v>172</v>
      </c>
      <c r="D740">
        <v>2023</v>
      </c>
      <c r="E740" t="s">
        <v>154</v>
      </c>
      <c r="F740" t="s">
        <v>1803</v>
      </c>
      <c r="G740" t="s">
        <v>98</v>
      </c>
      <c r="H740" t="s">
        <v>99</v>
      </c>
      <c r="I740" t="s">
        <v>90</v>
      </c>
      <c r="J740" t="s">
        <v>100</v>
      </c>
      <c r="K740" t="s">
        <v>156</v>
      </c>
      <c r="L740" t="s">
        <v>179</v>
      </c>
      <c r="M740">
        <v>1</v>
      </c>
      <c r="N740">
        <v>194.87</v>
      </c>
      <c r="O740">
        <v>194.87</v>
      </c>
      <c r="P740">
        <v>10</v>
      </c>
      <c r="Q740">
        <v>19.489999999999998</v>
      </c>
      <c r="R740">
        <v>175.38</v>
      </c>
      <c r="S740">
        <v>78.790000000000006</v>
      </c>
      <c r="T740">
        <v>96.59</v>
      </c>
      <c r="U740" t="s">
        <v>158</v>
      </c>
      <c r="V740" t="s">
        <v>181</v>
      </c>
      <c r="W740" t="s">
        <v>2085</v>
      </c>
      <c r="X740" t="s">
        <v>2091</v>
      </c>
      <c r="Y740">
        <v>163</v>
      </c>
      <c r="Z740">
        <v>1771.03</v>
      </c>
      <c r="AA740">
        <v>218.7</v>
      </c>
      <c r="AB740" t="s">
        <v>41</v>
      </c>
      <c r="AC740" t="s">
        <v>20</v>
      </c>
      <c r="AD740" t="s">
        <v>2087</v>
      </c>
      <c r="AE740" t="s">
        <v>2088</v>
      </c>
    </row>
    <row r="741" spans="1:31">
      <c r="A741" t="s">
        <v>253</v>
      </c>
      <c r="B741" s="1">
        <v>45026</v>
      </c>
      <c r="C741" t="s">
        <v>172</v>
      </c>
      <c r="D741">
        <v>2023</v>
      </c>
      <c r="E741" t="s">
        <v>154</v>
      </c>
      <c r="F741" t="s">
        <v>254</v>
      </c>
      <c r="G741" t="s">
        <v>109</v>
      </c>
      <c r="H741" t="s">
        <v>110</v>
      </c>
      <c r="I741" t="s">
        <v>90</v>
      </c>
      <c r="J741" t="s">
        <v>100</v>
      </c>
      <c r="K741" t="s">
        <v>156</v>
      </c>
      <c r="L741" t="s">
        <v>194</v>
      </c>
      <c r="M741">
        <v>3</v>
      </c>
      <c r="N741">
        <v>77.67</v>
      </c>
      <c r="O741">
        <v>233.01</v>
      </c>
      <c r="P741">
        <v>0</v>
      </c>
      <c r="Q741">
        <v>0</v>
      </c>
      <c r="R741">
        <v>233.01</v>
      </c>
      <c r="S741">
        <v>84.36</v>
      </c>
      <c r="T741">
        <v>148.65</v>
      </c>
      <c r="U741" t="s">
        <v>190</v>
      </c>
      <c r="V741" t="s">
        <v>159</v>
      </c>
      <c r="W741" t="s">
        <v>2097</v>
      </c>
      <c r="X741" t="s">
        <v>2111</v>
      </c>
      <c r="Y741">
        <v>337</v>
      </c>
      <c r="Z741">
        <v>258.05</v>
      </c>
      <c r="AA741">
        <v>132.88999999999999</v>
      </c>
      <c r="AB741" t="s">
        <v>41</v>
      </c>
      <c r="AC741" t="s">
        <v>16</v>
      </c>
      <c r="AD741" t="s">
        <v>2095</v>
      </c>
      <c r="AE741" t="s">
        <v>2096</v>
      </c>
    </row>
    <row r="742" spans="1:31">
      <c r="A742" t="s">
        <v>1040</v>
      </c>
      <c r="B742" s="1">
        <v>45026</v>
      </c>
      <c r="C742" t="s">
        <v>172</v>
      </c>
      <c r="D742">
        <v>2023</v>
      </c>
      <c r="E742" t="s">
        <v>154</v>
      </c>
      <c r="F742" t="s">
        <v>1041</v>
      </c>
      <c r="G742" t="s">
        <v>111</v>
      </c>
      <c r="H742" t="s">
        <v>112</v>
      </c>
      <c r="I742" t="s">
        <v>90</v>
      </c>
      <c r="J742" t="s">
        <v>97</v>
      </c>
      <c r="K742" t="s">
        <v>209</v>
      </c>
      <c r="L742" t="s">
        <v>179</v>
      </c>
      <c r="M742">
        <v>1</v>
      </c>
      <c r="N742">
        <v>189.99</v>
      </c>
      <c r="O742">
        <v>189.99</v>
      </c>
      <c r="P742">
        <v>5</v>
      </c>
      <c r="Q742">
        <v>9.5</v>
      </c>
      <c r="R742">
        <v>180.49</v>
      </c>
      <c r="S742">
        <v>63.51</v>
      </c>
      <c r="T742">
        <v>116.98</v>
      </c>
      <c r="U742" t="s">
        <v>180</v>
      </c>
      <c r="V742" t="s">
        <v>181</v>
      </c>
      <c r="W742" t="s">
        <v>2097</v>
      </c>
      <c r="X742" t="s">
        <v>2086</v>
      </c>
      <c r="Y742">
        <v>325</v>
      </c>
      <c r="Z742">
        <v>765.1</v>
      </c>
      <c r="AA742">
        <v>89.33</v>
      </c>
      <c r="AB742" t="s">
        <v>115</v>
      </c>
      <c r="AC742" t="s">
        <v>16</v>
      </c>
      <c r="AD742" t="s">
        <v>2087</v>
      </c>
      <c r="AE742" t="s">
        <v>2096</v>
      </c>
    </row>
    <row r="743" spans="1:31">
      <c r="A743" t="s">
        <v>1144</v>
      </c>
      <c r="B743" s="1">
        <v>45026</v>
      </c>
      <c r="C743" t="s">
        <v>172</v>
      </c>
      <c r="D743">
        <v>2023</v>
      </c>
      <c r="E743" t="s">
        <v>154</v>
      </c>
      <c r="F743" t="s">
        <v>1145</v>
      </c>
      <c r="G743" t="s">
        <v>133</v>
      </c>
      <c r="H743" t="s">
        <v>134</v>
      </c>
      <c r="I743" t="s">
        <v>115</v>
      </c>
      <c r="J743" t="s">
        <v>119</v>
      </c>
      <c r="K743" t="s">
        <v>164</v>
      </c>
      <c r="L743" t="s">
        <v>157</v>
      </c>
      <c r="M743">
        <v>2</v>
      </c>
      <c r="N743">
        <v>78.84</v>
      </c>
      <c r="O743">
        <v>157.68</v>
      </c>
      <c r="P743">
        <v>20</v>
      </c>
      <c r="Q743">
        <v>31.54</v>
      </c>
      <c r="R743">
        <v>126.14</v>
      </c>
      <c r="S743">
        <v>95.36</v>
      </c>
      <c r="T743">
        <v>30.78</v>
      </c>
      <c r="U743" t="s">
        <v>158</v>
      </c>
      <c r="V743" t="s">
        <v>159</v>
      </c>
      <c r="W743" t="s">
        <v>2093</v>
      </c>
      <c r="X743" t="s">
        <v>2086</v>
      </c>
      <c r="Y743">
        <v>313</v>
      </c>
      <c r="Z743">
        <v>152.43</v>
      </c>
      <c r="AA743">
        <v>65.59</v>
      </c>
      <c r="AB743" t="s">
        <v>115</v>
      </c>
      <c r="AC743" t="s">
        <v>16</v>
      </c>
      <c r="AD743" t="s">
        <v>2106</v>
      </c>
      <c r="AE743" t="s">
        <v>2121</v>
      </c>
    </row>
    <row r="744" spans="1:31">
      <c r="A744" t="s">
        <v>1480</v>
      </c>
      <c r="B744" s="1">
        <v>45025</v>
      </c>
      <c r="C744" t="s">
        <v>172</v>
      </c>
      <c r="D744">
        <v>2023</v>
      </c>
      <c r="E744" t="s">
        <v>154</v>
      </c>
      <c r="F744" t="s">
        <v>1481</v>
      </c>
      <c r="G744" t="s">
        <v>88</v>
      </c>
      <c r="H744" t="s">
        <v>89</v>
      </c>
      <c r="I744" t="s">
        <v>90</v>
      </c>
      <c r="J744" t="s">
        <v>91</v>
      </c>
      <c r="K744" t="s">
        <v>209</v>
      </c>
      <c r="L744" t="s">
        <v>204</v>
      </c>
      <c r="M744">
        <v>2</v>
      </c>
      <c r="N744">
        <v>54.64</v>
      </c>
      <c r="O744">
        <v>109.28</v>
      </c>
      <c r="P744">
        <v>0</v>
      </c>
      <c r="Q744">
        <v>0</v>
      </c>
      <c r="R744">
        <v>109.28</v>
      </c>
      <c r="S744">
        <v>40.64</v>
      </c>
      <c r="T744">
        <v>68.64</v>
      </c>
      <c r="U744" t="s">
        <v>158</v>
      </c>
      <c r="V744" t="s">
        <v>159</v>
      </c>
      <c r="W744" t="s">
        <v>2097</v>
      </c>
      <c r="X744" t="s">
        <v>2111</v>
      </c>
      <c r="Y744">
        <v>81</v>
      </c>
      <c r="Z744">
        <v>450.13</v>
      </c>
      <c r="AA744">
        <v>50.27</v>
      </c>
      <c r="AB744" t="s">
        <v>14</v>
      </c>
      <c r="AC744" t="s">
        <v>20</v>
      </c>
      <c r="AD744" t="s">
        <v>2095</v>
      </c>
      <c r="AE744" t="s">
        <v>2096</v>
      </c>
    </row>
    <row r="745" spans="1:31">
      <c r="A745" t="s">
        <v>1363</v>
      </c>
      <c r="B745" s="1">
        <v>45025</v>
      </c>
      <c r="C745" t="s">
        <v>172</v>
      </c>
      <c r="D745">
        <v>2023</v>
      </c>
      <c r="E745" t="s">
        <v>154</v>
      </c>
      <c r="F745" t="s">
        <v>1364</v>
      </c>
      <c r="G745" t="s">
        <v>101</v>
      </c>
      <c r="H745" t="s">
        <v>102</v>
      </c>
      <c r="I745" t="s">
        <v>90</v>
      </c>
      <c r="J745" t="s">
        <v>100</v>
      </c>
      <c r="K745" t="s">
        <v>178</v>
      </c>
      <c r="L745" t="s">
        <v>179</v>
      </c>
      <c r="M745">
        <v>4</v>
      </c>
      <c r="N745">
        <v>196.28</v>
      </c>
      <c r="O745">
        <v>785.12</v>
      </c>
      <c r="P745">
        <v>0</v>
      </c>
      <c r="Q745">
        <v>0</v>
      </c>
      <c r="R745">
        <v>785.12</v>
      </c>
      <c r="S745">
        <v>286.92</v>
      </c>
      <c r="T745">
        <v>498.2</v>
      </c>
      <c r="U745" t="s">
        <v>180</v>
      </c>
      <c r="V745" t="s">
        <v>159</v>
      </c>
      <c r="W745" t="s">
        <v>2085</v>
      </c>
      <c r="X745" t="s">
        <v>2094</v>
      </c>
      <c r="Y745">
        <v>100</v>
      </c>
      <c r="Z745">
        <v>1715.17</v>
      </c>
      <c r="AA745">
        <v>162.47999999999999</v>
      </c>
      <c r="AB745" t="s">
        <v>14</v>
      </c>
      <c r="AC745" t="s">
        <v>16</v>
      </c>
      <c r="AD745" t="s">
        <v>2106</v>
      </c>
      <c r="AE745" t="s">
        <v>2096</v>
      </c>
    </row>
    <row r="746" spans="1:31">
      <c r="A746" t="s">
        <v>673</v>
      </c>
      <c r="B746" s="1">
        <v>45024</v>
      </c>
      <c r="C746" t="s">
        <v>172</v>
      </c>
      <c r="D746">
        <v>2023</v>
      </c>
      <c r="E746" t="s">
        <v>154</v>
      </c>
      <c r="F746" t="s">
        <v>674</v>
      </c>
      <c r="G746" t="s">
        <v>62</v>
      </c>
      <c r="H746" t="s">
        <v>63</v>
      </c>
      <c r="I746" t="s">
        <v>41</v>
      </c>
      <c r="J746" t="s">
        <v>45</v>
      </c>
      <c r="K746" t="s">
        <v>209</v>
      </c>
      <c r="L746" t="s">
        <v>165</v>
      </c>
      <c r="M746">
        <v>1</v>
      </c>
      <c r="N746">
        <v>160.35</v>
      </c>
      <c r="O746">
        <v>160.35</v>
      </c>
      <c r="P746">
        <v>0</v>
      </c>
      <c r="Q746">
        <v>0</v>
      </c>
      <c r="R746">
        <v>160.35</v>
      </c>
      <c r="S746">
        <v>72.47</v>
      </c>
      <c r="T746">
        <v>87.88</v>
      </c>
      <c r="U746" t="s">
        <v>180</v>
      </c>
      <c r="V746" t="s">
        <v>159</v>
      </c>
      <c r="W746" t="s">
        <v>2113</v>
      </c>
      <c r="X746" t="s">
        <v>2091</v>
      </c>
      <c r="Y746">
        <v>18</v>
      </c>
      <c r="Z746">
        <v>276.82</v>
      </c>
      <c r="AA746">
        <v>34.03</v>
      </c>
      <c r="AB746" t="s">
        <v>66</v>
      </c>
      <c r="AC746" t="s">
        <v>16</v>
      </c>
      <c r="AD746" t="s">
        <v>2095</v>
      </c>
      <c r="AE746" t="s">
        <v>2096</v>
      </c>
    </row>
    <row r="747" spans="1:31">
      <c r="A747" t="s">
        <v>669</v>
      </c>
      <c r="B747" s="1">
        <v>45024</v>
      </c>
      <c r="C747" t="s">
        <v>172</v>
      </c>
      <c r="D747">
        <v>2023</v>
      </c>
      <c r="E747" t="s">
        <v>154</v>
      </c>
      <c r="F747" t="s">
        <v>670</v>
      </c>
      <c r="G747" t="s">
        <v>73</v>
      </c>
      <c r="H747" t="s">
        <v>74</v>
      </c>
      <c r="I747" t="s">
        <v>66</v>
      </c>
      <c r="J747" t="s">
        <v>75</v>
      </c>
      <c r="K747" t="s">
        <v>178</v>
      </c>
      <c r="L747" t="s">
        <v>204</v>
      </c>
      <c r="M747">
        <v>1</v>
      </c>
      <c r="N747">
        <v>53.95</v>
      </c>
      <c r="O747">
        <v>53.95</v>
      </c>
      <c r="P747">
        <v>10</v>
      </c>
      <c r="Q747">
        <v>5.39</v>
      </c>
      <c r="R747">
        <v>48.56</v>
      </c>
      <c r="S747">
        <v>35.200000000000003</v>
      </c>
      <c r="T747">
        <v>13.36</v>
      </c>
      <c r="U747" t="s">
        <v>166</v>
      </c>
      <c r="V747" t="s">
        <v>181</v>
      </c>
      <c r="W747" t="s">
        <v>2093</v>
      </c>
      <c r="X747" t="s">
        <v>2094</v>
      </c>
      <c r="Y747">
        <v>298</v>
      </c>
      <c r="Z747">
        <v>188.14</v>
      </c>
      <c r="AA747">
        <v>40.479999999999997</v>
      </c>
      <c r="AB747" t="s">
        <v>66</v>
      </c>
      <c r="AC747" t="s">
        <v>16</v>
      </c>
      <c r="AD747" t="s">
        <v>2106</v>
      </c>
      <c r="AE747" t="s">
        <v>2109</v>
      </c>
    </row>
    <row r="748" spans="1:31">
      <c r="A748" t="s">
        <v>1351</v>
      </c>
      <c r="B748" s="1">
        <v>45023</v>
      </c>
      <c r="C748" t="s">
        <v>172</v>
      </c>
      <c r="D748">
        <v>2023</v>
      </c>
      <c r="E748" t="s">
        <v>154</v>
      </c>
      <c r="F748" t="s">
        <v>1352</v>
      </c>
      <c r="G748" t="s">
        <v>60</v>
      </c>
      <c r="H748" t="s">
        <v>61</v>
      </c>
      <c r="I748" t="s">
        <v>41</v>
      </c>
      <c r="J748" t="s">
        <v>59</v>
      </c>
      <c r="K748" t="s">
        <v>209</v>
      </c>
      <c r="L748" t="s">
        <v>157</v>
      </c>
      <c r="M748">
        <v>3</v>
      </c>
      <c r="N748">
        <v>103.56</v>
      </c>
      <c r="O748">
        <v>310.68</v>
      </c>
      <c r="P748">
        <v>5</v>
      </c>
      <c r="Q748">
        <v>15.53</v>
      </c>
      <c r="R748">
        <v>295.14999999999998</v>
      </c>
      <c r="S748">
        <v>133.74</v>
      </c>
      <c r="T748">
        <v>161.41</v>
      </c>
      <c r="U748" t="s">
        <v>190</v>
      </c>
      <c r="V748" t="s">
        <v>159</v>
      </c>
      <c r="W748" t="s">
        <v>2085</v>
      </c>
      <c r="X748" t="s">
        <v>2100</v>
      </c>
      <c r="Y748">
        <v>313</v>
      </c>
      <c r="Z748">
        <v>825.66</v>
      </c>
      <c r="AA748">
        <v>259.08</v>
      </c>
      <c r="AB748" t="s">
        <v>41</v>
      </c>
      <c r="AC748" t="s">
        <v>20</v>
      </c>
      <c r="AD748" t="s">
        <v>2087</v>
      </c>
      <c r="AE748" t="s">
        <v>2096</v>
      </c>
    </row>
    <row r="749" spans="1:31">
      <c r="A749" t="s">
        <v>2007</v>
      </c>
      <c r="B749" s="1">
        <v>45023</v>
      </c>
      <c r="C749" t="s">
        <v>172</v>
      </c>
      <c r="D749">
        <v>2023</v>
      </c>
      <c r="E749" t="s">
        <v>154</v>
      </c>
      <c r="F749" t="s">
        <v>2008</v>
      </c>
      <c r="G749" t="s">
        <v>33</v>
      </c>
      <c r="H749" t="s">
        <v>34</v>
      </c>
      <c r="I749" t="s">
        <v>14</v>
      </c>
      <c r="J749" t="s">
        <v>27</v>
      </c>
      <c r="K749" t="s">
        <v>209</v>
      </c>
      <c r="L749" t="s">
        <v>157</v>
      </c>
      <c r="M749">
        <v>1</v>
      </c>
      <c r="N749">
        <v>124.26</v>
      </c>
      <c r="O749">
        <v>124.26</v>
      </c>
      <c r="P749">
        <v>15</v>
      </c>
      <c r="Q749">
        <v>18.64</v>
      </c>
      <c r="R749">
        <v>105.62</v>
      </c>
      <c r="S749">
        <v>52.62</v>
      </c>
      <c r="T749">
        <v>53</v>
      </c>
      <c r="U749" t="s">
        <v>180</v>
      </c>
      <c r="V749" t="s">
        <v>159</v>
      </c>
      <c r="W749" t="s">
        <v>2099</v>
      </c>
      <c r="X749" t="s">
        <v>2086</v>
      </c>
      <c r="Y749">
        <v>303</v>
      </c>
      <c r="Z749">
        <v>128.27000000000001</v>
      </c>
      <c r="AA749">
        <v>29.43</v>
      </c>
      <c r="AB749" t="s">
        <v>115</v>
      </c>
      <c r="AC749" t="s">
        <v>16</v>
      </c>
      <c r="AD749" t="s">
        <v>2087</v>
      </c>
      <c r="AE749" t="s">
        <v>2107</v>
      </c>
    </row>
    <row r="750" spans="1:31">
      <c r="A750" t="s">
        <v>1058</v>
      </c>
      <c r="B750" s="1">
        <v>45023</v>
      </c>
      <c r="C750" t="s">
        <v>172</v>
      </c>
      <c r="D750">
        <v>2023</v>
      </c>
      <c r="E750" t="s">
        <v>154</v>
      </c>
      <c r="F750" t="s">
        <v>1059</v>
      </c>
      <c r="G750" t="s">
        <v>92</v>
      </c>
      <c r="H750" t="s">
        <v>93</v>
      </c>
      <c r="I750" t="s">
        <v>90</v>
      </c>
      <c r="J750" t="s">
        <v>94</v>
      </c>
      <c r="K750" t="s">
        <v>164</v>
      </c>
      <c r="L750" t="s">
        <v>174</v>
      </c>
      <c r="M750">
        <v>3</v>
      </c>
      <c r="N750">
        <v>230.34</v>
      </c>
      <c r="O750">
        <v>691.02</v>
      </c>
      <c r="P750">
        <v>20</v>
      </c>
      <c r="Q750">
        <v>138.19999999999999</v>
      </c>
      <c r="R750">
        <v>552.82000000000005</v>
      </c>
      <c r="S750">
        <v>224.04</v>
      </c>
      <c r="T750">
        <v>328.78</v>
      </c>
      <c r="U750" t="s">
        <v>190</v>
      </c>
      <c r="V750" t="s">
        <v>159</v>
      </c>
      <c r="W750" t="s">
        <v>2090</v>
      </c>
      <c r="X750" t="s">
        <v>2108</v>
      </c>
      <c r="Y750">
        <v>23</v>
      </c>
      <c r="Z750">
        <v>211.69</v>
      </c>
      <c r="AA750">
        <v>61.11</v>
      </c>
      <c r="AB750" t="s">
        <v>41</v>
      </c>
      <c r="AC750" t="s">
        <v>20</v>
      </c>
      <c r="AD750" t="s">
        <v>2095</v>
      </c>
      <c r="AE750" t="s">
        <v>2121</v>
      </c>
    </row>
    <row r="751" spans="1:31">
      <c r="A751" t="s">
        <v>1809</v>
      </c>
      <c r="B751" s="1">
        <v>45023</v>
      </c>
      <c r="C751" t="s">
        <v>172</v>
      </c>
      <c r="D751">
        <v>2023</v>
      </c>
      <c r="E751" t="s">
        <v>154</v>
      </c>
      <c r="F751" t="s">
        <v>1810</v>
      </c>
      <c r="G751" t="s">
        <v>37</v>
      </c>
      <c r="H751" t="s">
        <v>38</v>
      </c>
      <c r="I751" t="s">
        <v>14</v>
      </c>
      <c r="J751" t="s">
        <v>27</v>
      </c>
      <c r="K751" t="s">
        <v>209</v>
      </c>
      <c r="L751" t="s">
        <v>204</v>
      </c>
      <c r="M751">
        <v>2</v>
      </c>
      <c r="N751">
        <v>133.99</v>
      </c>
      <c r="O751">
        <v>267.98</v>
      </c>
      <c r="P751">
        <v>20</v>
      </c>
      <c r="Q751">
        <v>53.6</v>
      </c>
      <c r="R751">
        <v>214.38</v>
      </c>
      <c r="S751">
        <v>146.97999999999999</v>
      </c>
      <c r="T751">
        <v>67.400000000000006</v>
      </c>
      <c r="U751" t="s">
        <v>180</v>
      </c>
      <c r="V751" t="s">
        <v>159</v>
      </c>
      <c r="W751" t="s">
        <v>2085</v>
      </c>
      <c r="X751" t="s">
        <v>2094</v>
      </c>
      <c r="Y751">
        <v>111</v>
      </c>
      <c r="Z751">
        <v>2709.64</v>
      </c>
      <c r="AA751">
        <v>285.94</v>
      </c>
      <c r="AB751" t="s">
        <v>14</v>
      </c>
      <c r="AC751" t="s">
        <v>20</v>
      </c>
      <c r="AD751" t="s">
        <v>2087</v>
      </c>
      <c r="AE751" t="s">
        <v>2109</v>
      </c>
    </row>
    <row r="752" spans="1:31">
      <c r="A752" t="s">
        <v>2000</v>
      </c>
      <c r="B752" s="1">
        <v>45022</v>
      </c>
      <c r="C752" t="s">
        <v>172</v>
      </c>
      <c r="D752">
        <v>2023</v>
      </c>
      <c r="E752" t="s">
        <v>154</v>
      </c>
      <c r="F752" t="s">
        <v>2001</v>
      </c>
      <c r="G752" t="s">
        <v>55</v>
      </c>
      <c r="H752" t="s">
        <v>56</v>
      </c>
      <c r="I752" t="s">
        <v>41</v>
      </c>
      <c r="J752" t="s">
        <v>45</v>
      </c>
      <c r="K752" t="s">
        <v>156</v>
      </c>
      <c r="L752" t="s">
        <v>174</v>
      </c>
      <c r="M752">
        <v>3</v>
      </c>
      <c r="N752">
        <v>205.4</v>
      </c>
      <c r="O752">
        <v>616.20000000000005</v>
      </c>
      <c r="P752">
        <v>20</v>
      </c>
      <c r="Q752">
        <v>123.24</v>
      </c>
      <c r="R752">
        <v>492.96</v>
      </c>
      <c r="S752">
        <v>212.7</v>
      </c>
      <c r="T752">
        <v>280.26</v>
      </c>
      <c r="U752" t="s">
        <v>166</v>
      </c>
      <c r="V752" t="s">
        <v>159</v>
      </c>
      <c r="W752" t="s">
        <v>2097</v>
      </c>
      <c r="X752" t="s">
        <v>2091</v>
      </c>
      <c r="Y752">
        <v>121</v>
      </c>
      <c r="Z752">
        <v>731.88</v>
      </c>
      <c r="AA752">
        <v>90.17</v>
      </c>
      <c r="AB752" t="s">
        <v>115</v>
      </c>
      <c r="AC752" t="s">
        <v>20</v>
      </c>
      <c r="AD752" t="s">
        <v>2095</v>
      </c>
      <c r="AE752" t="s">
        <v>2109</v>
      </c>
    </row>
    <row r="753" spans="1:31">
      <c r="A753" t="s">
        <v>1327</v>
      </c>
      <c r="B753" s="1">
        <v>45021</v>
      </c>
      <c r="C753" t="s">
        <v>172</v>
      </c>
      <c r="D753">
        <v>2023</v>
      </c>
      <c r="E753" t="s">
        <v>154</v>
      </c>
      <c r="F753" t="s">
        <v>1328</v>
      </c>
      <c r="G753" t="s">
        <v>84</v>
      </c>
      <c r="H753" t="s">
        <v>85</v>
      </c>
      <c r="I753" t="s">
        <v>66</v>
      </c>
      <c r="J753" t="s">
        <v>67</v>
      </c>
      <c r="K753" t="s">
        <v>209</v>
      </c>
      <c r="L753" t="s">
        <v>157</v>
      </c>
      <c r="M753">
        <v>4</v>
      </c>
      <c r="N753">
        <v>174.23</v>
      </c>
      <c r="O753">
        <v>696.92</v>
      </c>
      <c r="P753">
        <v>0</v>
      </c>
      <c r="Q753">
        <v>0</v>
      </c>
      <c r="R753">
        <v>696.92</v>
      </c>
      <c r="S753">
        <v>295.8</v>
      </c>
      <c r="T753">
        <v>401.12</v>
      </c>
      <c r="U753" t="s">
        <v>190</v>
      </c>
      <c r="V753" t="s">
        <v>159</v>
      </c>
      <c r="W753" t="s">
        <v>2085</v>
      </c>
      <c r="X753" t="s">
        <v>2091</v>
      </c>
      <c r="Y753">
        <v>355</v>
      </c>
      <c r="Z753">
        <v>1904.41</v>
      </c>
      <c r="AA753">
        <v>252.56</v>
      </c>
      <c r="AB753" t="s">
        <v>41</v>
      </c>
      <c r="AC753" t="s">
        <v>16</v>
      </c>
      <c r="AD753" t="s">
        <v>2095</v>
      </c>
      <c r="AE753" t="s">
        <v>2121</v>
      </c>
    </row>
    <row r="754" spans="1:31">
      <c r="A754" t="s">
        <v>1512</v>
      </c>
      <c r="B754" s="1">
        <v>45021</v>
      </c>
      <c r="C754" t="s">
        <v>172</v>
      </c>
      <c r="D754">
        <v>2023</v>
      </c>
      <c r="E754" t="s">
        <v>154</v>
      </c>
      <c r="F754" t="s">
        <v>1513</v>
      </c>
      <c r="G754" t="s">
        <v>111</v>
      </c>
      <c r="H754" t="s">
        <v>112</v>
      </c>
      <c r="I754" t="s">
        <v>90</v>
      </c>
      <c r="J754" t="s">
        <v>97</v>
      </c>
      <c r="K754" t="s">
        <v>209</v>
      </c>
      <c r="L754" t="s">
        <v>165</v>
      </c>
      <c r="M754">
        <v>2</v>
      </c>
      <c r="N754">
        <v>189.99</v>
      </c>
      <c r="O754">
        <v>379.98</v>
      </c>
      <c r="P754">
        <v>0</v>
      </c>
      <c r="Q754">
        <v>0</v>
      </c>
      <c r="R754">
        <v>379.98</v>
      </c>
      <c r="S754">
        <v>127.02</v>
      </c>
      <c r="T754">
        <v>252.96</v>
      </c>
      <c r="U754" t="s">
        <v>195</v>
      </c>
      <c r="V754" t="s">
        <v>159</v>
      </c>
      <c r="W754" t="s">
        <v>2085</v>
      </c>
      <c r="X754" t="s">
        <v>2091</v>
      </c>
      <c r="Y754">
        <v>217</v>
      </c>
      <c r="Z754">
        <v>2896.49</v>
      </c>
      <c r="AA754">
        <v>241.2</v>
      </c>
      <c r="AB754" t="s">
        <v>41</v>
      </c>
      <c r="AC754" t="s">
        <v>20</v>
      </c>
      <c r="AD754" t="s">
        <v>2087</v>
      </c>
      <c r="AE754" t="s">
        <v>2109</v>
      </c>
    </row>
    <row r="755" spans="1:31">
      <c r="A755" t="s">
        <v>1996</v>
      </c>
      <c r="B755" s="1">
        <v>45020</v>
      </c>
      <c r="C755" t="s">
        <v>172</v>
      </c>
      <c r="D755">
        <v>2023</v>
      </c>
      <c r="E755" t="s">
        <v>154</v>
      </c>
      <c r="F755" t="s">
        <v>1997</v>
      </c>
      <c r="G755" t="s">
        <v>33</v>
      </c>
      <c r="H755" t="s">
        <v>34</v>
      </c>
      <c r="I755" t="s">
        <v>14</v>
      </c>
      <c r="J755" t="s">
        <v>27</v>
      </c>
      <c r="K755" t="s">
        <v>164</v>
      </c>
      <c r="L755" t="s">
        <v>174</v>
      </c>
      <c r="M755">
        <v>4</v>
      </c>
      <c r="N755">
        <v>124.26</v>
      </c>
      <c r="O755">
        <v>497.04</v>
      </c>
      <c r="P755">
        <v>0</v>
      </c>
      <c r="Q755">
        <v>0</v>
      </c>
      <c r="R755">
        <v>497.04</v>
      </c>
      <c r="S755">
        <v>210.48</v>
      </c>
      <c r="T755">
        <v>286.56</v>
      </c>
      <c r="U755" t="s">
        <v>158</v>
      </c>
      <c r="V755" t="s">
        <v>186</v>
      </c>
      <c r="W755" t="s">
        <v>2099</v>
      </c>
      <c r="X755" t="s">
        <v>2091</v>
      </c>
      <c r="Y755">
        <v>18</v>
      </c>
      <c r="Z755">
        <v>27.13</v>
      </c>
      <c r="AA755">
        <v>46.19</v>
      </c>
      <c r="AB755" t="s">
        <v>90</v>
      </c>
      <c r="AC755" t="s">
        <v>20</v>
      </c>
      <c r="AD755" t="s">
        <v>2095</v>
      </c>
      <c r="AE755" t="s">
        <v>2121</v>
      </c>
    </row>
    <row r="756" spans="1:31">
      <c r="A756" t="s">
        <v>1044</v>
      </c>
      <c r="B756" s="1">
        <v>45019</v>
      </c>
      <c r="C756" t="s">
        <v>172</v>
      </c>
      <c r="D756">
        <v>2023</v>
      </c>
      <c r="E756" t="s">
        <v>154</v>
      </c>
      <c r="F756" t="s">
        <v>1045</v>
      </c>
      <c r="G756" t="s">
        <v>86</v>
      </c>
      <c r="H756" t="s">
        <v>87</v>
      </c>
      <c r="I756" t="s">
        <v>66</v>
      </c>
      <c r="J756" t="s">
        <v>67</v>
      </c>
      <c r="K756" t="s">
        <v>209</v>
      </c>
      <c r="L756" t="s">
        <v>204</v>
      </c>
      <c r="M756">
        <v>2</v>
      </c>
      <c r="N756">
        <v>124.77</v>
      </c>
      <c r="O756">
        <v>249.54</v>
      </c>
      <c r="P756">
        <v>0</v>
      </c>
      <c r="Q756">
        <v>0</v>
      </c>
      <c r="R756">
        <v>249.54</v>
      </c>
      <c r="S756">
        <v>139.28</v>
      </c>
      <c r="T756">
        <v>110.26</v>
      </c>
      <c r="U756" t="s">
        <v>195</v>
      </c>
      <c r="V756" t="s">
        <v>159</v>
      </c>
      <c r="W756" t="s">
        <v>2099</v>
      </c>
      <c r="X756" t="s">
        <v>2111</v>
      </c>
      <c r="Y756">
        <v>238</v>
      </c>
      <c r="Z756">
        <v>72.14</v>
      </c>
      <c r="AA756">
        <v>78.3</v>
      </c>
      <c r="AB756" t="s">
        <v>90</v>
      </c>
      <c r="AC756" t="s">
        <v>16</v>
      </c>
      <c r="AD756" t="s">
        <v>2087</v>
      </c>
      <c r="AE756" t="s">
        <v>2096</v>
      </c>
    </row>
    <row r="757" spans="1:31">
      <c r="A757" t="s">
        <v>1695</v>
      </c>
      <c r="B757" s="1">
        <v>45019</v>
      </c>
      <c r="C757" t="s">
        <v>172</v>
      </c>
      <c r="D757">
        <v>2023</v>
      </c>
      <c r="E757" t="s">
        <v>154</v>
      </c>
      <c r="F757" t="s">
        <v>1696</v>
      </c>
      <c r="G757" t="s">
        <v>111</v>
      </c>
      <c r="H757" t="s">
        <v>112</v>
      </c>
      <c r="I757" t="s">
        <v>90</v>
      </c>
      <c r="J757" t="s">
        <v>97</v>
      </c>
      <c r="K757" t="s">
        <v>164</v>
      </c>
      <c r="L757" t="s">
        <v>232</v>
      </c>
      <c r="M757">
        <v>1</v>
      </c>
      <c r="N757">
        <v>189.99</v>
      </c>
      <c r="O757">
        <v>189.99</v>
      </c>
      <c r="P757">
        <v>10</v>
      </c>
      <c r="Q757">
        <v>19</v>
      </c>
      <c r="R757">
        <v>170.99</v>
      </c>
      <c r="S757">
        <v>63.51</v>
      </c>
      <c r="T757">
        <v>107.48</v>
      </c>
      <c r="U757" t="s">
        <v>158</v>
      </c>
      <c r="V757" t="s">
        <v>159</v>
      </c>
      <c r="W757" t="s">
        <v>2097</v>
      </c>
      <c r="X757" t="s">
        <v>2086</v>
      </c>
      <c r="Y757">
        <v>317</v>
      </c>
      <c r="Z757">
        <v>306.42</v>
      </c>
      <c r="AA757">
        <v>107.98</v>
      </c>
      <c r="AB757" t="s">
        <v>66</v>
      </c>
      <c r="AC757" t="s">
        <v>16</v>
      </c>
      <c r="AD757" t="s">
        <v>2087</v>
      </c>
      <c r="AE757" t="s">
        <v>2096</v>
      </c>
    </row>
    <row r="758" spans="1:31">
      <c r="A758" t="s">
        <v>1186</v>
      </c>
      <c r="B758" s="1">
        <v>45019</v>
      </c>
      <c r="C758" t="s">
        <v>172</v>
      </c>
      <c r="D758">
        <v>2023</v>
      </c>
      <c r="E758" t="s">
        <v>154</v>
      </c>
      <c r="F758" t="s">
        <v>1187</v>
      </c>
      <c r="G758" t="s">
        <v>55</v>
      </c>
      <c r="H758" t="s">
        <v>56</v>
      </c>
      <c r="I758" t="s">
        <v>41</v>
      </c>
      <c r="J758" t="s">
        <v>45</v>
      </c>
      <c r="K758" t="s">
        <v>209</v>
      </c>
      <c r="L758" t="s">
        <v>179</v>
      </c>
      <c r="M758">
        <v>2</v>
      </c>
      <c r="N758">
        <v>205.4</v>
      </c>
      <c r="O758">
        <v>410.8</v>
      </c>
      <c r="P758">
        <v>0</v>
      </c>
      <c r="Q758">
        <v>0</v>
      </c>
      <c r="R758">
        <v>410.8</v>
      </c>
      <c r="S758">
        <v>141.80000000000001</v>
      </c>
      <c r="T758">
        <v>269</v>
      </c>
      <c r="U758" t="s">
        <v>166</v>
      </c>
      <c r="V758" t="s">
        <v>186</v>
      </c>
      <c r="W758" t="s">
        <v>2097</v>
      </c>
      <c r="X758" t="s">
        <v>2100</v>
      </c>
      <c r="Y758">
        <v>22</v>
      </c>
      <c r="Z758">
        <v>683.03</v>
      </c>
      <c r="AA758">
        <v>85.37</v>
      </c>
      <c r="AB758" t="s">
        <v>115</v>
      </c>
      <c r="AC758" t="s">
        <v>16</v>
      </c>
      <c r="AD758" t="s">
        <v>2095</v>
      </c>
      <c r="AE758" t="s">
        <v>2109</v>
      </c>
    </row>
    <row r="759" spans="1:31">
      <c r="A759" t="s">
        <v>1407</v>
      </c>
      <c r="B759" s="1">
        <v>45019</v>
      </c>
      <c r="C759" t="s">
        <v>172</v>
      </c>
      <c r="D759">
        <v>2023</v>
      </c>
      <c r="E759" t="s">
        <v>154</v>
      </c>
      <c r="F759" t="s">
        <v>1408</v>
      </c>
      <c r="G759" t="s">
        <v>30</v>
      </c>
      <c r="H759" t="s">
        <v>31</v>
      </c>
      <c r="I759" t="s">
        <v>14</v>
      </c>
      <c r="J759" t="s">
        <v>32</v>
      </c>
      <c r="K759" t="s">
        <v>164</v>
      </c>
      <c r="L759" t="s">
        <v>232</v>
      </c>
      <c r="M759">
        <v>2</v>
      </c>
      <c r="N759">
        <v>113.18</v>
      </c>
      <c r="O759">
        <v>226.36</v>
      </c>
      <c r="P759">
        <v>20</v>
      </c>
      <c r="Q759">
        <v>45.27</v>
      </c>
      <c r="R759">
        <v>181.09</v>
      </c>
      <c r="S759">
        <v>78.02</v>
      </c>
      <c r="T759">
        <v>103.07</v>
      </c>
      <c r="U759" t="s">
        <v>195</v>
      </c>
      <c r="V759" t="s">
        <v>159</v>
      </c>
      <c r="W759" t="s">
        <v>2113</v>
      </c>
      <c r="X759" t="s">
        <v>2091</v>
      </c>
      <c r="Y759">
        <v>223</v>
      </c>
      <c r="Z759">
        <v>391.34</v>
      </c>
      <c r="AA759">
        <v>59.64</v>
      </c>
      <c r="AB759" t="s">
        <v>90</v>
      </c>
      <c r="AC759" t="s">
        <v>16</v>
      </c>
      <c r="AD759" t="s">
        <v>2095</v>
      </c>
      <c r="AE759" t="s">
        <v>2096</v>
      </c>
    </row>
    <row r="760" spans="1:31">
      <c r="A760" t="s">
        <v>1608</v>
      </c>
      <c r="B760" s="1">
        <v>45019</v>
      </c>
      <c r="C760" t="s">
        <v>172</v>
      </c>
      <c r="D760">
        <v>2023</v>
      </c>
      <c r="E760" t="s">
        <v>154</v>
      </c>
      <c r="F760" t="s">
        <v>612</v>
      </c>
      <c r="G760" t="s">
        <v>86</v>
      </c>
      <c r="H760" t="s">
        <v>87</v>
      </c>
      <c r="I760" t="s">
        <v>66</v>
      </c>
      <c r="J760" t="s">
        <v>67</v>
      </c>
      <c r="K760" t="s">
        <v>164</v>
      </c>
      <c r="L760" t="s">
        <v>232</v>
      </c>
      <c r="M760">
        <v>4</v>
      </c>
      <c r="N760">
        <v>124.77</v>
      </c>
      <c r="O760">
        <v>499.08</v>
      </c>
      <c r="P760">
        <v>10</v>
      </c>
      <c r="Q760">
        <v>49.91</v>
      </c>
      <c r="R760">
        <v>449.17</v>
      </c>
      <c r="S760">
        <v>278.56</v>
      </c>
      <c r="T760">
        <v>170.61</v>
      </c>
      <c r="U760" t="s">
        <v>180</v>
      </c>
      <c r="V760" t="s">
        <v>186</v>
      </c>
      <c r="W760" t="s">
        <v>2090</v>
      </c>
      <c r="X760" t="s">
        <v>2100</v>
      </c>
      <c r="Y760">
        <v>277</v>
      </c>
      <c r="Z760">
        <v>358.81</v>
      </c>
      <c r="AA760">
        <v>119.92</v>
      </c>
      <c r="AB760" t="s">
        <v>66</v>
      </c>
      <c r="AC760" t="s">
        <v>20</v>
      </c>
      <c r="AD760" t="s">
        <v>2095</v>
      </c>
      <c r="AE760" t="s">
        <v>2107</v>
      </c>
    </row>
    <row r="761" spans="1:31">
      <c r="A761" t="s">
        <v>1956</v>
      </c>
      <c r="B761" s="1">
        <v>45018</v>
      </c>
      <c r="C761" t="s">
        <v>172</v>
      </c>
      <c r="D761">
        <v>2023</v>
      </c>
      <c r="E761" t="s">
        <v>154</v>
      </c>
      <c r="F761" t="s">
        <v>1957</v>
      </c>
      <c r="G761" t="s">
        <v>35</v>
      </c>
      <c r="H761" t="s">
        <v>36</v>
      </c>
      <c r="I761" t="s">
        <v>14</v>
      </c>
      <c r="J761" t="s">
        <v>19</v>
      </c>
      <c r="K761" t="s">
        <v>156</v>
      </c>
      <c r="L761" t="s">
        <v>232</v>
      </c>
      <c r="M761">
        <v>1</v>
      </c>
      <c r="N761">
        <v>81.599999999999994</v>
      </c>
      <c r="O761">
        <v>81.599999999999994</v>
      </c>
      <c r="P761">
        <v>10</v>
      </c>
      <c r="Q761">
        <v>8.16</v>
      </c>
      <c r="R761">
        <v>73.44</v>
      </c>
      <c r="S761">
        <v>29.32</v>
      </c>
      <c r="T761">
        <v>44.12</v>
      </c>
      <c r="U761" t="s">
        <v>180</v>
      </c>
      <c r="V761" t="s">
        <v>159</v>
      </c>
      <c r="W761" t="s">
        <v>2097</v>
      </c>
      <c r="X761" t="s">
        <v>2091</v>
      </c>
      <c r="Y761">
        <v>61</v>
      </c>
      <c r="Z761">
        <v>593.41999999999996</v>
      </c>
      <c r="AA761">
        <v>132.49</v>
      </c>
      <c r="AB761" t="s">
        <v>90</v>
      </c>
      <c r="AC761" t="s">
        <v>16</v>
      </c>
      <c r="AD761" t="s">
        <v>2087</v>
      </c>
      <c r="AE761" t="s">
        <v>2088</v>
      </c>
    </row>
    <row r="762" spans="1:31">
      <c r="A762" t="s">
        <v>645</v>
      </c>
      <c r="B762" s="1">
        <v>45018</v>
      </c>
      <c r="C762" t="s">
        <v>172</v>
      </c>
      <c r="D762">
        <v>2023</v>
      </c>
      <c r="E762" t="s">
        <v>154</v>
      </c>
      <c r="F762" t="s">
        <v>646</v>
      </c>
      <c r="G762" t="s">
        <v>117</v>
      </c>
      <c r="H762" t="s">
        <v>118</v>
      </c>
      <c r="I762" t="s">
        <v>115</v>
      </c>
      <c r="J762" t="s">
        <v>119</v>
      </c>
      <c r="K762" t="s">
        <v>164</v>
      </c>
      <c r="L762" t="s">
        <v>232</v>
      </c>
      <c r="M762">
        <v>3</v>
      </c>
      <c r="N762">
        <v>93.41</v>
      </c>
      <c r="O762">
        <v>280.23</v>
      </c>
      <c r="P762">
        <v>0</v>
      </c>
      <c r="Q762">
        <v>0</v>
      </c>
      <c r="R762">
        <v>280.23</v>
      </c>
      <c r="S762">
        <v>192.15</v>
      </c>
      <c r="T762">
        <v>88.08</v>
      </c>
      <c r="U762" t="s">
        <v>190</v>
      </c>
      <c r="V762" t="s">
        <v>159</v>
      </c>
      <c r="W762" t="s">
        <v>2090</v>
      </c>
      <c r="X762" t="s">
        <v>2100</v>
      </c>
      <c r="Y762">
        <v>37</v>
      </c>
      <c r="Z762">
        <v>83.38</v>
      </c>
      <c r="AA762">
        <v>56.1</v>
      </c>
      <c r="AB762" t="s">
        <v>90</v>
      </c>
      <c r="AC762" t="s">
        <v>16</v>
      </c>
      <c r="AD762" t="s">
        <v>2087</v>
      </c>
      <c r="AE762" t="s">
        <v>2121</v>
      </c>
    </row>
    <row r="763" spans="1:31">
      <c r="A763" t="s">
        <v>171</v>
      </c>
      <c r="B763" s="1">
        <v>45017</v>
      </c>
      <c r="C763" t="s">
        <v>172</v>
      </c>
      <c r="D763">
        <v>2023</v>
      </c>
      <c r="E763" t="s">
        <v>154</v>
      </c>
      <c r="F763" t="s">
        <v>173</v>
      </c>
      <c r="G763" t="s">
        <v>135</v>
      </c>
      <c r="H763" t="s">
        <v>136</v>
      </c>
      <c r="I763" t="s">
        <v>115</v>
      </c>
      <c r="J763" t="s">
        <v>119</v>
      </c>
      <c r="K763" t="s">
        <v>164</v>
      </c>
      <c r="L763" t="s">
        <v>174</v>
      </c>
      <c r="M763">
        <v>4</v>
      </c>
      <c r="N763">
        <v>89.62</v>
      </c>
      <c r="O763">
        <v>358.48</v>
      </c>
      <c r="P763">
        <v>0</v>
      </c>
      <c r="Q763">
        <v>0</v>
      </c>
      <c r="R763">
        <v>358.48</v>
      </c>
      <c r="S763">
        <v>152.52000000000001</v>
      </c>
      <c r="T763">
        <v>205.96</v>
      </c>
      <c r="U763" t="s">
        <v>166</v>
      </c>
      <c r="V763" t="s">
        <v>159</v>
      </c>
      <c r="W763" t="s">
        <v>2090</v>
      </c>
      <c r="X763" t="s">
        <v>2086</v>
      </c>
      <c r="Y763">
        <v>278</v>
      </c>
      <c r="Z763">
        <v>165.89</v>
      </c>
      <c r="AA763">
        <v>87.56</v>
      </c>
      <c r="AB763" t="s">
        <v>90</v>
      </c>
      <c r="AC763" t="s">
        <v>16</v>
      </c>
      <c r="AD763" t="s">
        <v>2095</v>
      </c>
      <c r="AE763" t="s">
        <v>2109</v>
      </c>
    </row>
    <row r="764" spans="1:31">
      <c r="A764" t="s">
        <v>1786</v>
      </c>
      <c r="B764" s="1">
        <v>45016</v>
      </c>
      <c r="C764" t="s">
        <v>217</v>
      </c>
      <c r="D764">
        <v>2023</v>
      </c>
      <c r="E764" t="s">
        <v>162</v>
      </c>
      <c r="F764" t="s">
        <v>1787</v>
      </c>
      <c r="G764" t="s">
        <v>113</v>
      </c>
      <c r="H764" t="s">
        <v>114</v>
      </c>
      <c r="I764" t="s">
        <v>115</v>
      </c>
      <c r="J764" t="s">
        <v>116</v>
      </c>
      <c r="K764" t="s">
        <v>164</v>
      </c>
      <c r="L764" t="s">
        <v>165</v>
      </c>
      <c r="M764">
        <v>3</v>
      </c>
      <c r="N764">
        <v>18.7</v>
      </c>
      <c r="O764">
        <v>56.099999999999994</v>
      </c>
      <c r="P764">
        <v>5</v>
      </c>
      <c r="Q764">
        <v>2.81</v>
      </c>
      <c r="R764">
        <v>53.29</v>
      </c>
      <c r="S764">
        <v>20.58</v>
      </c>
      <c r="T764">
        <v>32.71</v>
      </c>
      <c r="U764" t="s">
        <v>166</v>
      </c>
      <c r="V764" t="s">
        <v>159</v>
      </c>
      <c r="W764" t="s">
        <v>2090</v>
      </c>
      <c r="X764" t="s">
        <v>2094</v>
      </c>
      <c r="Y764">
        <v>120</v>
      </c>
      <c r="Z764">
        <v>277.88</v>
      </c>
      <c r="AA764">
        <v>111.03</v>
      </c>
      <c r="AB764" t="s">
        <v>14</v>
      </c>
      <c r="AC764" t="s">
        <v>16</v>
      </c>
      <c r="AD764" t="s">
        <v>2095</v>
      </c>
      <c r="AE764" t="s">
        <v>2107</v>
      </c>
    </row>
    <row r="765" spans="1:31">
      <c r="A765" t="s">
        <v>1538</v>
      </c>
      <c r="B765" s="1">
        <v>45016</v>
      </c>
      <c r="C765" t="s">
        <v>217</v>
      </c>
      <c r="D765">
        <v>2023</v>
      </c>
      <c r="E765" t="s">
        <v>162</v>
      </c>
      <c r="F765" t="s">
        <v>428</v>
      </c>
      <c r="G765" t="s">
        <v>111</v>
      </c>
      <c r="H765" t="s">
        <v>112</v>
      </c>
      <c r="I765" t="s">
        <v>90</v>
      </c>
      <c r="J765" t="s">
        <v>97</v>
      </c>
      <c r="K765" t="s">
        <v>178</v>
      </c>
      <c r="L765" t="s">
        <v>179</v>
      </c>
      <c r="M765">
        <v>1</v>
      </c>
      <c r="N765">
        <v>189.99</v>
      </c>
      <c r="O765">
        <v>189.99</v>
      </c>
      <c r="P765">
        <v>20</v>
      </c>
      <c r="Q765">
        <v>38</v>
      </c>
      <c r="R765">
        <v>151.99</v>
      </c>
      <c r="S765">
        <v>63.51</v>
      </c>
      <c r="T765">
        <v>88.48</v>
      </c>
      <c r="U765" t="s">
        <v>195</v>
      </c>
      <c r="V765" t="s">
        <v>186</v>
      </c>
      <c r="W765" t="s">
        <v>2090</v>
      </c>
      <c r="X765" t="s">
        <v>2086</v>
      </c>
      <c r="Y765">
        <v>322</v>
      </c>
      <c r="Z765">
        <v>172.76</v>
      </c>
      <c r="AA765">
        <v>63.37</v>
      </c>
      <c r="AB765" t="s">
        <v>41</v>
      </c>
      <c r="AC765" t="s">
        <v>20</v>
      </c>
      <c r="AD765" t="s">
        <v>2106</v>
      </c>
      <c r="AE765" t="s">
        <v>2109</v>
      </c>
    </row>
    <row r="766" spans="1:31">
      <c r="A766" t="s">
        <v>372</v>
      </c>
      <c r="B766" s="1">
        <v>45016</v>
      </c>
      <c r="C766" t="s">
        <v>217</v>
      </c>
      <c r="D766">
        <v>2023</v>
      </c>
      <c r="E766" t="s">
        <v>162</v>
      </c>
      <c r="F766" t="s">
        <v>373</v>
      </c>
      <c r="G766" t="s">
        <v>101</v>
      </c>
      <c r="H766" t="s">
        <v>102</v>
      </c>
      <c r="I766" t="s">
        <v>90</v>
      </c>
      <c r="J766" t="s">
        <v>100</v>
      </c>
      <c r="K766" t="s">
        <v>209</v>
      </c>
      <c r="L766" t="s">
        <v>157</v>
      </c>
      <c r="M766">
        <v>3</v>
      </c>
      <c r="N766">
        <v>196.28</v>
      </c>
      <c r="O766">
        <v>588.84</v>
      </c>
      <c r="P766">
        <v>20</v>
      </c>
      <c r="Q766">
        <v>117.77</v>
      </c>
      <c r="R766">
        <v>471.07</v>
      </c>
      <c r="S766">
        <v>215.19</v>
      </c>
      <c r="T766">
        <v>255.88</v>
      </c>
      <c r="U766" t="s">
        <v>158</v>
      </c>
      <c r="V766" t="s">
        <v>159</v>
      </c>
      <c r="W766" t="s">
        <v>2093</v>
      </c>
      <c r="X766" t="s">
        <v>2094</v>
      </c>
      <c r="Y766">
        <v>345</v>
      </c>
      <c r="Z766">
        <v>79.8</v>
      </c>
      <c r="AA766">
        <v>43.9</v>
      </c>
      <c r="AB766" t="s">
        <v>90</v>
      </c>
      <c r="AC766" t="s">
        <v>20</v>
      </c>
      <c r="AD766" t="s">
        <v>2106</v>
      </c>
      <c r="AE766" t="s">
        <v>2109</v>
      </c>
    </row>
    <row r="767" spans="1:31">
      <c r="A767" t="s">
        <v>374</v>
      </c>
      <c r="B767" s="1">
        <v>45016</v>
      </c>
      <c r="C767" t="s">
        <v>217</v>
      </c>
      <c r="D767">
        <v>2023</v>
      </c>
      <c r="E767" t="s">
        <v>162</v>
      </c>
      <c r="F767" t="s">
        <v>375</v>
      </c>
      <c r="G767" t="s">
        <v>53</v>
      </c>
      <c r="H767" t="s">
        <v>54</v>
      </c>
      <c r="I767" t="s">
        <v>41</v>
      </c>
      <c r="J767" t="s">
        <v>45</v>
      </c>
      <c r="K767" t="s">
        <v>209</v>
      </c>
      <c r="L767" t="s">
        <v>157</v>
      </c>
      <c r="M767">
        <v>3</v>
      </c>
      <c r="N767">
        <v>51.98</v>
      </c>
      <c r="O767">
        <v>155.94</v>
      </c>
      <c r="P767">
        <v>0</v>
      </c>
      <c r="Q767">
        <v>0</v>
      </c>
      <c r="R767">
        <v>155.94</v>
      </c>
      <c r="S767">
        <v>99.12</v>
      </c>
      <c r="T767">
        <v>56.82</v>
      </c>
      <c r="U767" t="s">
        <v>180</v>
      </c>
      <c r="V767" t="s">
        <v>181</v>
      </c>
      <c r="W767" t="s">
        <v>2113</v>
      </c>
      <c r="X767" t="s">
        <v>2100</v>
      </c>
      <c r="Y767">
        <v>337</v>
      </c>
      <c r="Z767">
        <v>543.07000000000005</v>
      </c>
      <c r="AA767">
        <v>40.67</v>
      </c>
      <c r="AB767" t="s">
        <v>115</v>
      </c>
      <c r="AC767" t="s">
        <v>16</v>
      </c>
      <c r="AD767" t="s">
        <v>2095</v>
      </c>
      <c r="AE767" t="s">
        <v>2109</v>
      </c>
    </row>
    <row r="768" spans="1:31">
      <c r="A768" t="s">
        <v>1719</v>
      </c>
      <c r="B768" s="1">
        <v>45014</v>
      </c>
      <c r="C768" t="s">
        <v>217</v>
      </c>
      <c r="D768">
        <v>2023</v>
      </c>
      <c r="E768" t="s">
        <v>162</v>
      </c>
      <c r="F768" t="s">
        <v>321</v>
      </c>
      <c r="G768" t="s">
        <v>86</v>
      </c>
      <c r="H768" t="s">
        <v>87</v>
      </c>
      <c r="I768" t="s">
        <v>66</v>
      </c>
      <c r="J768" t="s">
        <v>67</v>
      </c>
      <c r="K768" t="s">
        <v>178</v>
      </c>
      <c r="L768" t="s">
        <v>157</v>
      </c>
      <c r="M768">
        <v>4</v>
      </c>
      <c r="N768">
        <v>124.77</v>
      </c>
      <c r="O768">
        <v>499.08</v>
      </c>
      <c r="P768">
        <v>5</v>
      </c>
      <c r="Q768">
        <v>24.95</v>
      </c>
      <c r="R768">
        <v>474.13</v>
      </c>
      <c r="S768">
        <v>278.56</v>
      </c>
      <c r="T768">
        <v>195.57</v>
      </c>
      <c r="U768" t="s">
        <v>195</v>
      </c>
      <c r="V768" t="s">
        <v>181</v>
      </c>
      <c r="W768" t="s">
        <v>2113</v>
      </c>
      <c r="X768" t="s">
        <v>2108</v>
      </c>
      <c r="Y768">
        <v>263</v>
      </c>
      <c r="Z768">
        <v>347.42</v>
      </c>
      <c r="AA768">
        <v>65.59</v>
      </c>
      <c r="AB768" t="s">
        <v>115</v>
      </c>
      <c r="AC768" t="s">
        <v>16</v>
      </c>
      <c r="AD768" t="s">
        <v>2087</v>
      </c>
      <c r="AE768" t="s">
        <v>2109</v>
      </c>
    </row>
    <row r="769" spans="1:31">
      <c r="A769" t="s">
        <v>1621</v>
      </c>
      <c r="B769" s="1">
        <v>45013</v>
      </c>
      <c r="C769" t="s">
        <v>217</v>
      </c>
      <c r="D769">
        <v>2023</v>
      </c>
      <c r="E769" t="s">
        <v>162</v>
      </c>
      <c r="F769" t="s">
        <v>1622</v>
      </c>
      <c r="G769" t="s">
        <v>23</v>
      </c>
      <c r="H769" t="s">
        <v>24</v>
      </c>
      <c r="I769" t="s">
        <v>14</v>
      </c>
      <c r="J769" t="s">
        <v>19</v>
      </c>
      <c r="K769" t="s">
        <v>209</v>
      </c>
      <c r="L769" t="s">
        <v>165</v>
      </c>
      <c r="M769">
        <v>4</v>
      </c>
      <c r="N769">
        <v>154.03</v>
      </c>
      <c r="O769">
        <v>616.12</v>
      </c>
      <c r="P769">
        <v>10</v>
      </c>
      <c r="Q769">
        <v>61.61</v>
      </c>
      <c r="R769">
        <v>554.51</v>
      </c>
      <c r="S769">
        <v>307.16000000000003</v>
      </c>
      <c r="T769">
        <v>247.35</v>
      </c>
      <c r="U769" t="s">
        <v>195</v>
      </c>
      <c r="V769" t="s">
        <v>181</v>
      </c>
      <c r="W769" t="s">
        <v>2099</v>
      </c>
      <c r="X769" t="s">
        <v>2091</v>
      </c>
      <c r="Y769">
        <v>160</v>
      </c>
      <c r="Z769">
        <v>39.85</v>
      </c>
      <c r="AA769">
        <v>46.02</v>
      </c>
      <c r="AB769" t="s">
        <v>90</v>
      </c>
      <c r="AC769" t="s">
        <v>16</v>
      </c>
      <c r="AD769" t="s">
        <v>2095</v>
      </c>
      <c r="AE769" t="s">
        <v>2109</v>
      </c>
    </row>
    <row r="770" spans="1:31">
      <c r="A770" t="s">
        <v>1871</v>
      </c>
      <c r="B770" s="1">
        <v>45013</v>
      </c>
      <c r="C770" t="s">
        <v>217</v>
      </c>
      <c r="D770">
        <v>2023</v>
      </c>
      <c r="E770" t="s">
        <v>162</v>
      </c>
      <c r="F770" t="s">
        <v>1872</v>
      </c>
      <c r="G770" t="s">
        <v>62</v>
      </c>
      <c r="H770" t="s">
        <v>63</v>
      </c>
      <c r="I770" t="s">
        <v>41</v>
      </c>
      <c r="J770" t="s">
        <v>45</v>
      </c>
      <c r="K770" t="s">
        <v>178</v>
      </c>
      <c r="L770" t="s">
        <v>174</v>
      </c>
      <c r="M770">
        <v>1</v>
      </c>
      <c r="N770">
        <v>160.35</v>
      </c>
      <c r="O770">
        <v>160.35</v>
      </c>
      <c r="P770">
        <v>0</v>
      </c>
      <c r="Q770">
        <v>0</v>
      </c>
      <c r="R770">
        <v>160.35</v>
      </c>
      <c r="S770">
        <v>72.47</v>
      </c>
      <c r="T770">
        <v>87.88</v>
      </c>
      <c r="U770" t="s">
        <v>180</v>
      </c>
      <c r="V770" t="s">
        <v>186</v>
      </c>
      <c r="W770" t="s">
        <v>2099</v>
      </c>
      <c r="X770" t="s">
        <v>2091</v>
      </c>
      <c r="Y770">
        <v>93</v>
      </c>
      <c r="Z770">
        <v>43.13</v>
      </c>
      <c r="AA770">
        <v>77.150000000000006</v>
      </c>
      <c r="AB770" t="s">
        <v>90</v>
      </c>
      <c r="AC770" t="s">
        <v>20</v>
      </c>
      <c r="AD770" t="s">
        <v>2095</v>
      </c>
      <c r="AE770" t="s">
        <v>2088</v>
      </c>
    </row>
    <row r="771" spans="1:31">
      <c r="A771" t="s">
        <v>1329</v>
      </c>
      <c r="B771" s="1">
        <v>45012</v>
      </c>
      <c r="C771" t="s">
        <v>217</v>
      </c>
      <c r="D771">
        <v>2023</v>
      </c>
      <c r="E771" t="s">
        <v>162</v>
      </c>
      <c r="F771" t="s">
        <v>1330</v>
      </c>
      <c r="G771" t="s">
        <v>131</v>
      </c>
      <c r="H771" t="s">
        <v>132</v>
      </c>
      <c r="I771" t="s">
        <v>115</v>
      </c>
      <c r="J771" t="s">
        <v>119</v>
      </c>
      <c r="K771" t="s">
        <v>209</v>
      </c>
      <c r="L771" t="s">
        <v>174</v>
      </c>
      <c r="M771">
        <v>1</v>
      </c>
      <c r="N771">
        <v>75.69</v>
      </c>
      <c r="O771">
        <v>75.69</v>
      </c>
      <c r="P771">
        <v>0</v>
      </c>
      <c r="Q771">
        <v>0</v>
      </c>
      <c r="R771">
        <v>75.69</v>
      </c>
      <c r="S771">
        <v>35.630000000000003</v>
      </c>
      <c r="T771">
        <v>40.06</v>
      </c>
      <c r="U771" t="s">
        <v>158</v>
      </c>
      <c r="V771" t="s">
        <v>186</v>
      </c>
      <c r="W771" t="s">
        <v>2113</v>
      </c>
      <c r="X771" t="s">
        <v>2091</v>
      </c>
      <c r="Y771">
        <v>335</v>
      </c>
      <c r="Z771">
        <v>251.18</v>
      </c>
      <c r="AA771">
        <v>43.06</v>
      </c>
      <c r="AB771" t="s">
        <v>66</v>
      </c>
      <c r="AC771" t="s">
        <v>16</v>
      </c>
      <c r="AD771" t="s">
        <v>2095</v>
      </c>
      <c r="AE771" t="s">
        <v>2109</v>
      </c>
    </row>
    <row r="772" spans="1:31">
      <c r="A772" t="s">
        <v>1113</v>
      </c>
      <c r="B772" s="1">
        <v>45011</v>
      </c>
      <c r="C772" t="s">
        <v>217</v>
      </c>
      <c r="D772">
        <v>2023</v>
      </c>
      <c r="E772" t="s">
        <v>162</v>
      </c>
      <c r="F772" t="s">
        <v>1114</v>
      </c>
      <c r="G772" t="s">
        <v>125</v>
      </c>
      <c r="H772" t="s">
        <v>126</v>
      </c>
      <c r="I772" t="s">
        <v>115</v>
      </c>
      <c r="J772" t="s">
        <v>116</v>
      </c>
      <c r="K772" t="s">
        <v>156</v>
      </c>
      <c r="L772" t="s">
        <v>179</v>
      </c>
      <c r="M772">
        <v>1</v>
      </c>
      <c r="N772">
        <v>144.94999999999999</v>
      </c>
      <c r="O772">
        <v>144.94999999999999</v>
      </c>
      <c r="P772">
        <v>0</v>
      </c>
      <c r="Q772">
        <v>0</v>
      </c>
      <c r="R772">
        <v>144.94999999999999</v>
      </c>
      <c r="S772">
        <v>77.19</v>
      </c>
      <c r="T772">
        <v>67.760000000000005</v>
      </c>
      <c r="U772" t="s">
        <v>180</v>
      </c>
      <c r="V772" t="s">
        <v>159</v>
      </c>
      <c r="W772" t="s">
        <v>2093</v>
      </c>
      <c r="X772" t="s">
        <v>2091</v>
      </c>
      <c r="Y772">
        <v>153</v>
      </c>
      <c r="Z772">
        <v>39.44</v>
      </c>
      <c r="AA772">
        <v>73.28</v>
      </c>
      <c r="AB772" t="s">
        <v>90</v>
      </c>
      <c r="AC772" t="s">
        <v>16</v>
      </c>
      <c r="AD772" t="s">
        <v>2106</v>
      </c>
      <c r="AE772" t="s">
        <v>2096</v>
      </c>
    </row>
    <row r="773" spans="1:31">
      <c r="A773" t="s">
        <v>1688</v>
      </c>
      <c r="B773" s="1">
        <v>45011</v>
      </c>
      <c r="C773" t="s">
        <v>217</v>
      </c>
      <c r="D773">
        <v>2023</v>
      </c>
      <c r="E773" t="s">
        <v>162</v>
      </c>
      <c r="F773" t="s">
        <v>1689</v>
      </c>
      <c r="G773" t="s">
        <v>125</v>
      </c>
      <c r="H773" t="s">
        <v>126</v>
      </c>
      <c r="I773" t="s">
        <v>115</v>
      </c>
      <c r="J773" t="s">
        <v>116</v>
      </c>
      <c r="K773" t="s">
        <v>156</v>
      </c>
      <c r="L773" t="s">
        <v>232</v>
      </c>
      <c r="M773">
        <v>3</v>
      </c>
      <c r="N773">
        <v>144.94999999999999</v>
      </c>
      <c r="O773">
        <v>434.84999999999997</v>
      </c>
      <c r="P773">
        <v>10</v>
      </c>
      <c r="Q773">
        <v>43.48</v>
      </c>
      <c r="R773">
        <v>391.37</v>
      </c>
      <c r="S773">
        <v>231.57</v>
      </c>
      <c r="T773">
        <v>159.80000000000001</v>
      </c>
      <c r="U773" t="s">
        <v>158</v>
      </c>
      <c r="V773" t="s">
        <v>159</v>
      </c>
      <c r="W773" t="s">
        <v>2085</v>
      </c>
      <c r="X773" t="s">
        <v>2086</v>
      </c>
      <c r="Y773">
        <v>245</v>
      </c>
      <c r="Z773">
        <v>1483.11</v>
      </c>
      <c r="AA773">
        <v>129.78</v>
      </c>
      <c r="AB773" t="s">
        <v>115</v>
      </c>
      <c r="AC773" t="s">
        <v>16</v>
      </c>
      <c r="AD773" t="s">
        <v>2087</v>
      </c>
      <c r="AE773" t="s">
        <v>2096</v>
      </c>
    </row>
    <row r="774" spans="1:31">
      <c r="A774" t="s">
        <v>1098</v>
      </c>
      <c r="B774" s="1">
        <v>45011</v>
      </c>
      <c r="C774" t="s">
        <v>217</v>
      </c>
      <c r="D774">
        <v>2023</v>
      </c>
      <c r="E774" t="s">
        <v>162</v>
      </c>
      <c r="F774" t="s">
        <v>892</v>
      </c>
      <c r="G774" t="s">
        <v>88</v>
      </c>
      <c r="H774" t="s">
        <v>89</v>
      </c>
      <c r="I774" t="s">
        <v>90</v>
      </c>
      <c r="J774" t="s">
        <v>91</v>
      </c>
      <c r="K774" t="s">
        <v>164</v>
      </c>
      <c r="L774" t="s">
        <v>194</v>
      </c>
      <c r="M774">
        <v>4</v>
      </c>
      <c r="N774">
        <v>54.64</v>
      </c>
      <c r="O774">
        <v>218.56</v>
      </c>
      <c r="P774">
        <v>20</v>
      </c>
      <c r="Q774">
        <v>43.71</v>
      </c>
      <c r="R774">
        <v>174.85</v>
      </c>
      <c r="S774">
        <v>81.28</v>
      </c>
      <c r="T774">
        <v>93.57</v>
      </c>
      <c r="U774" t="s">
        <v>190</v>
      </c>
      <c r="V774" t="s">
        <v>159</v>
      </c>
      <c r="W774" t="s">
        <v>2085</v>
      </c>
      <c r="X774" t="s">
        <v>2086</v>
      </c>
      <c r="Y774">
        <v>72</v>
      </c>
      <c r="Z774">
        <v>1788.92</v>
      </c>
      <c r="AA774">
        <v>126.64</v>
      </c>
      <c r="AB774" t="s">
        <v>41</v>
      </c>
      <c r="AC774" t="s">
        <v>16</v>
      </c>
      <c r="AD774" t="s">
        <v>2087</v>
      </c>
      <c r="AE774" t="s">
        <v>2121</v>
      </c>
    </row>
    <row r="775" spans="1:31">
      <c r="A775" t="s">
        <v>221</v>
      </c>
      <c r="B775" s="1">
        <v>45010</v>
      </c>
      <c r="C775" t="s">
        <v>217</v>
      </c>
      <c r="D775">
        <v>2023</v>
      </c>
      <c r="E775" t="s">
        <v>162</v>
      </c>
      <c r="F775" t="s">
        <v>222</v>
      </c>
      <c r="G775" t="s">
        <v>131</v>
      </c>
      <c r="H775" t="s">
        <v>132</v>
      </c>
      <c r="I775" t="s">
        <v>115</v>
      </c>
      <c r="J775" t="s">
        <v>119</v>
      </c>
      <c r="K775" t="s">
        <v>178</v>
      </c>
      <c r="L775" t="s">
        <v>174</v>
      </c>
      <c r="M775">
        <v>1</v>
      </c>
      <c r="N775">
        <v>75.69</v>
      </c>
      <c r="O775">
        <v>75.69</v>
      </c>
      <c r="P775">
        <v>20</v>
      </c>
      <c r="Q775">
        <v>15.14</v>
      </c>
      <c r="R775">
        <v>60.55</v>
      </c>
      <c r="S775">
        <v>35.630000000000003</v>
      </c>
      <c r="T775">
        <v>24.92</v>
      </c>
      <c r="U775" t="s">
        <v>166</v>
      </c>
      <c r="V775" t="s">
        <v>159</v>
      </c>
      <c r="W775" t="s">
        <v>2113</v>
      </c>
      <c r="X775" t="s">
        <v>2091</v>
      </c>
      <c r="Y775">
        <v>135</v>
      </c>
      <c r="Z775">
        <v>489.26</v>
      </c>
      <c r="AA775">
        <v>71.599999999999994</v>
      </c>
      <c r="AB775" t="s">
        <v>66</v>
      </c>
      <c r="AC775" t="s">
        <v>16</v>
      </c>
      <c r="AD775" t="s">
        <v>2106</v>
      </c>
      <c r="AE775" t="s">
        <v>2121</v>
      </c>
    </row>
    <row r="776" spans="1:31">
      <c r="A776" t="s">
        <v>470</v>
      </c>
      <c r="B776" s="1">
        <v>45009</v>
      </c>
      <c r="C776" t="s">
        <v>217</v>
      </c>
      <c r="D776">
        <v>2023</v>
      </c>
      <c r="E776" t="s">
        <v>162</v>
      </c>
      <c r="F776" t="s">
        <v>471</v>
      </c>
      <c r="G776" t="s">
        <v>33</v>
      </c>
      <c r="H776" t="s">
        <v>34</v>
      </c>
      <c r="I776" t="s">
        <v>14</v>
      </c>
      <c r="J776" t="s">
        <v>27</v>
      </c>
      <c r="K776" t="s">
        <v>164</v>
      </c>
      <c r="L776" t="s">
        <v>232</v>
      </c>
      <c r="M776">
        <v>3</v>
      </c>
      <c r="N776">
        <v>124.26</v>
      </c>
      <c r="O776">
        <v>372.78000000000003</v>
      </c>
      <c r="P776">
        <v>0</v>
      </c>
      <c r="Q776">
        <v>0</v>
      </c>
      <c r="R776">
        <v>372.78</v>
      </c>
      <c r="S776">
        <v>157.86000000000001</v>
      </c>
      <c r="T776">
        <v>214.92</v>
      </c>
      <c r="U776" t="s">
        <v>190</v>
      </c>
      <c r="V776" t="s">
        <v>186</v>
      </c>
      <c r="W776" t="s">
        <v>2085</v>
      </c>
      <c r="X776" t="s">
        <v>2108</v>
      </c>
      <c r="Y776">
        <v>141</v>
      </c>
      <c r="Z776">
        <v>2124.27</v>
      </c>
      <c r="AA776">
        <v>254.1</v>
      </c>
      <c r="AB776" t="s">
        <v>90</v>
      </c>
      <c r="AC776" t="s">
        <v>20</v>
      </c>
      <c r="AD776" t="s">
        <v>2095</v>
      </c>
      <c r="AE776" t="s">
        <v>2088</v>
      </c>
    </row>
    <row r="777" spans="1:31">
      <c r="A777" t="s">
        <v>537</v>
      </c>
      <c r="B777" s="1">
        <v>45009</v>
      </c>
      <c r="C777" t="s">
        <v>217</v>
      </c>
      <c r="D777">
        <v>2023</v>
      </c>
      <c r="E777" t="s">
        <v>162</v>
      </c>
      <c r="F777" t="s">
        <v>538</v>
      </c>
      <c r="G777" t="s">
        <v>37</v>
      </c>
      <c r="H777" t="s">
        <v>38</v>
      </c>
      <c r="I777" t="s">
        <v>14</v>
      </c>
      <c r="J777" t="s">
        <v>27</v>
      </c>
      <c r="K777" t="s">
        <v>156</v>
      </c>
      <c r="L777" t="s">
        <v>194</v>
      </c>
      <c r="M777">
        <v>3</v>
      </c>
      <c r="N777">
        <v>133.99</v>
      </c>
      <c r="O777">
        <v>401.97</v>
      </c>
      <c r="P777">
        <v>0</v>
      </c>
      <c r="Q777">
        <v>0</v>
      </c>
      <c r="R777">
        <v>401.97</v>
      </c>
      <c r="S777">
        <v>220.47</v>
      </c>
      <c r="T777">
        <v>181.5</v>
      </c>
      <c r="U777" t="s">
        <v>166</v>
      </c>
      <c r="V777" t="s">
        <v>159</v>
      </c>
      <c r="W777" t="s">
        <v>2085</v>
      </c>
      <c r="X777" t="s">
        <v>2091</v>
      </c>
      <c r="Y777">
        <v>94</v>
      </c>
      <c r="Z777">
        <v>2908.05</v>
      </c>
      <c r="AA777">
        <v>168.15</v>
      </c>
      <c r="AB777" t="s">
        <v>14</v>
      </c>
      <c r="AC777" t="s">
        <v>16</v>
      </c>
      <c r="AD777" t="s">
        <v>2087</v>
      </c>
      <c r="AE777" t="s">
        <v>2088</v>
      </c>
    </row>
    <row r="778" spans="1:31">
      <c r="A778" t="s">
        <v>1516</v>
      </c>
      <c r="B778" s="1">
        <v>45009</v>
      </c>
      <c r="C778" t="s">
        <v>217</v>
      </c>
      <c r="D778">
        <v>2023</v>
      </c>
      <c r="E778" t="s">
        <v>162</v>
      </c>
      <c r="F778" t="s">
        <v>1517</v>
      </c>
      <c r="G778" t="s">
        <v>30</v>
      </c>
      <c r="H778" t="s">
        <v>31</v>
      </c>
      <c r="I778" t="s">
        <v>14</v>
      </c>
      <c r="J778" t="s">
        <v>32</v>
      </c>
      <c r="K778" t="s">
        <v>178</v>
      </c>
      <c r="L778" t="s">
        <v>232</v>
      </c>
      <c r="M778">
        <v>4</v>
      </c>
      <c r="N778">
        <v>113.18</v>
      </c>
      <c r="O778">
        <v>452.72</v>
      </c>
      <c r="P778">
        <v>0</v>
      </c>
      <c r="Q778">
        <v>0</v>
      </c>
      <c r="R778">
        <v>452.72</v>
      </c>
      <c r="S778">
        <v>156.04</v>
      </c>
      <c r="T778">
        <v>296.68</v>
      </c>
      <c r="U778" t="s">
        <v>166</v>
      </c>
      <c r="V778" t="s">
        <v>181</v>
      </c>
      <c r="W778" t="s">
        <v>2085</v>
      </c>
      <c r="X778" t="s">
        <v>2111</v>
      </c>
      <c r="Y778">
        <v>199</v>
      </c>
      <c r="Z778">
        <v>1151.46</v>
      </c>
      <c r="AA778">
        <v>294.14999999999998</v>
      </c>
      <c r="AB778" t="s">
        <v>66</v>
      </c>
      <c r="AC778" t="s">
        <v>16</v>
      </c>
      <c r="AD778" t="s">
        <v>2087</v>
      </c>
      <c r="AE778" t="s">
        <v>2121</v>
      </c>
    </row>
    <row r="779" spans="1:31">
      <c r="A779" t="s">
        <v>1823</v>
      </c>
      <c r="B779" s="1">
        <v>45009</v>
      </c>
      <c r="C779" t="s">
        <v>217</v>
      </c>
      <c r="D779">
        <v>2023</v>
      </c>
      <c r="E779" t="s">
        <v>162</v>
      </c>
      <c r="F779" t="s">
        <v>1261</v>
      </c>
      <c r="G779" t="s">
        <v>107</v>
      </c>
      <c r="H779" t="s">
        <v>108</v>
      </c>
      <c r="I779" t="s">
        <v>90</v>
      </c>
      <c r="J779" t="s">
        <v>100</v>
      </c>
      <c r="K779" t="s">
        <v>156</v>
      </c>
      <c r="L779" t="s">
        <v>232</v>
      </c>
      <c r="M779">
        <v>3</v>
      </c>
      <c r="N779">
        <v>26.61</v>
      </c>
      <c r="O779">
        <v>79.83</v>
      </c>
      <c r="P779">
        <v>0</v>
      </c>
      <c r="Q779">
        <v>0</v>
      </c>
      <c r="R779">
        <v>79.83</v>
      </c>
      <c r="S779">
        <v>31.92</v>
      </c>
      <c r="T779">
        <v>47.91</v>
      </c>
      <c r="U779" t="s">
        <v>166</v>
      </c>
      <c r="V779" t="s">
        <v>159</v>
      </c>
      <c r="W779" t="s">
        <v>2093</v>
      </c>
      <c r="X779" t="s">
        <v>2086</v>
      </c>
      <c r="Y779">
        <v>40</v>
      </c>
      <c r="Z779">
        <v>88.78</v>
      </c>
      <c r="AA779">
        <v>52.28</v>
      </c>
      <c r="AB779" t="s">
        <v>90</v>
      </c>
      <c r="AC779" t="s">
        <v>16</v>
      </c>
      <c r="AD779" t="s">
        <v>2095</v>
      </c>
      <c r="AE779" t="s">
        <v>2121</v>
      </c>
    </row>
    <row r="780" spans="1:31">
      <c r="A780" t="s">
        <v>768</v>
      </c>
      <c r="B780" s="1">
        <v>45008</v>
      </c>
      <c r="C780" t="s">
        <v>217</v>
      </c>
      <c r="D780">
        <v>2023</v>
      </c>
      <c r="E780" t="s">
        <v>162</v>
      </c>
      <c r="F780" t="s">
        <v>769</v>
      </c>
      <c r="G780" t="s">
        <v>98</v>
      </c>
      <c r="H780" t="s">
        <v>99</v>
      </c>
      <c r="I780" t="s">
        <v>90</v>
      </c>
      <c r="J780" t="s">
        <v>100</v>
      </c>
      <c r="K780" t="s">
        <v>164</v>
      </c>
      <c r="L780" t="s">
        <v>204</v>
      </c>
      <c r="M780">
        <v>2</v>
      </c>
      <c r="N780">
        <v>194.87</v>
      </c>
      <c r="O780">
        <v>389.74</v>
      </c>
      <c r="P780">
        <v>10</v>
      </c>
      <c r="Q780">
        <v>38.97</v>
      </c>
      <c r="R780">
        <v>350.77</v>
      </c>
      <c r="S780">
        <v>157.58000000000001</v>
      </c>
      <c r="T780">
        <v>193.19</v>
      </c>
      <c r="U780" t="s">
        <v>190</v>
      </c>
      <c r="V780" t="s">
        <v>186</v>
      </c>
      <c r="W780" t="s">
        <v>2099</v>
      </c>
      <c r="X780" t="s">
        <v>2100</v>
      </c>
      <c r="Y780">
        <v>329</v>
      </c>
      <c r="Z780">
        <v>27.87</v>
      </c>
      <c r="AA780">
        <v>63.71</v>
      </c>
      <c r="AB780" t="s">
        <v>90</v>
      </c>
      <c r="AC780" t="s">
        <v>16</v>
      </c>
      <c r="AD780" t="s">
        <v>2095</v>
      </c>
      <c r="AE780" t="s">
        <v>2107</v>
      </c>
    </row>
    <row r="781" spans="1:31">
      <c r="A781" t="s">
        <v>1585</v>
      </c>
      <c r="B781" s="1">
        <v>45008</v>
      </c>
      <c r="C781" t="s">
        <v>217</v>
      </c>
      <c r="D781">
        <v>2023</v>
      </c>
      <c r="E781" t="s">
        <v>162</v>
      </c>
      <c r="F781" t="s">
        <v>1586</v>
      </c>
      <c r="G781" t="s">
        <v>53</v>
      </c>
      <c r="H781" t="s">
        <v>54</v>
      </c>
      <c r="I781" t="s">
        <v>41</v>
      </c>
      <c r="J781" t="s">
        <v>45</v>
      </c>
      <c r="K781" t="s">
        <v>164</v>
      </c>
      <c r="L781" t="s">
        <v>204</v>
      </c>
      <c r="M781">
        <v>2</v>
      </c>
      <c r="N781">
        <v>51.98</v>
      </c>
      <c r="O781">
        <v>103.96</v>
      </c>
      <c r="P781">
        <v>10</v>
      </c>
      <c r="Q781">
        <v>10.4</v>
      </c>
      <c r="R781">
        <v>93.56</v>
      </c>
      <c r="S781">
        <v>66.08</v>
      </c>
      <c r="T781">
        <v>27.48</v>
      </c>
      <c r="U781" t="s">
        <v>158</v>
      </c>
      <c r="V781" t="s">
        <v>159</v>
      </c>
      <c r="W781" t="s">
        <v>2099</v>
      </c>
      <c r="X781" t="s">
        <v>2094</v>
      </c>
      <c r="Y781">
        <v>202</v>
      </c>
      <c r="Z781">
        <v>76.040000000000006</v>
      </c>
      <c r="AA781">
        <v>54.35</v>
      </c>
      <c r="AB781" t="s">
        <v>41</v>
      </c>
      <c r="AC781" t="s">
        <v>16</v>
      </c>
      <c r="AD781" t="s">
        <v>2087</v>
      </c>
      <c r="AE781" t="s">
        <v>2109</v>
      </c>
    </row>
    <row r="782" spans="1:31">
      <c r="A782" t="s">
        <v>1690</v>
      </c>
      <c r="B782" s="1">
        <v>45007</v>
      </c>
      <c r="C782" t="s">
        <v>217</v>
      </c>
      <c r="D782">
        <v>2023</v>
      </c>
      <c r="E782" t="s">
        <v>162</v>
      </c>
      <c r="F782" t="s">
        <v>694</v>
      </c>
      <c r="G782" t="s">
        <v>30</v>
      </c>
      <c r="H782" t="s">
        <v>31</v>
      </c>
      <c r="I782" t="s">
        <v>14</v>
      </c>
      <c r="J782" t="s">
        <v>32</v>
      </c>
      <c r="K782" t="s">
        <v>164</v>
      </c>
      <c r="L782" t="s">
        <v>174</v>
      </c>
      <c r="M782">
        <v>4</v>
      </c>
      <c r="N782">
        <v>113.18</v>
      </c>
      <c r="O782">
        <v>452.72</v>
      </c>
      <c r="P782">
        <v>20</v>
      </c>
      <c r="Q782">
        <v>90.54</v>
      </c>
      <c r="R782">
        <v>362.18</v>
      </c>
      <c r="S782">
        <v>156.04</v>
      </c>
      <c r="T782">
        <v>206.14</v>
      </c>
      <c r="U782" t="s">
        <v>158</v>
      </c>
      <c r="V782" t="s">
        <v>159</v>
      </c>
      <c r="W782" t="s">
        <v>2097</v>
      </c>
      <c r="X782" t="s">
        <v>2086</v>
      </c>
      <c r="Y782">
        <v>294</v>
      </c>
      <c r="Z782">
        <v>442.48</v>
      </c>
      <c r="AA782">
        <v>105.84</v>
      </c>
      <c r="AB782" t="s">
        <v>41</v>
      </c>
      <c r="AC782" t="s">
        <v>16</v>
      </c>
      <c r="AD782" t="s">
        <v>2106</v>
      </c>
      <c r="AE782" t="s">
        <v>2121</v>
      </c>
    </row>
    <row r="783" spans="1:31">
      <c r="A783" t="s">
        <v>941</v>
      </c>
      <c r="B783" s="1">
        <v>45007</v>
      </c>
      <c r="C783" t="s">
        <v>217</v>
      </c>
      <c r="D783">
        <v>2023</v>
      </c>
      <c r="E783" t="s">
        <v>162</v>
      </c>
      <c r="F783" t="s">
        <v>942</v>
      </c>
      <c r="G783" t="s">
        <v>62</v>
      </c>
      <c r="H783" t="s">
        <v>63</v>
      </c>
      <c r="I783" t="s">
        <v>41</v>
      </c>
      <c r="J783" t="s">
        <v>45</v>
      </c>
      <c r="K783" t="s">
        <v>164</v>
      </c>
      <c r="L783" t="s">
        <v>179</v>
      </c>
      <c r="M783">
        <v>3</v>
      </c>
      <c r="N783">
        <v>160.35</v>
      </c>
      <c r="O783">
        <v>481.04999999999995</v>
      </c>
      <c r="P783">
        <v>0</v>
      </c>
      <c r="Q783">
        <v>0</v>
      </c>
      <c r="R783">
        <v>481.05</v>
      </c>
      <c r="S783">
        <v>217.41</v>
      </c>
      <c r="T783">
        <v>263.64</v>
      </c>
      <c r="U783" t="s">
        <v>180</v>
      </c>
      <c r="V783" t="s">
        <v>159</v>
      </c>
      <c r="W783" t="s">
        <v>2099</v>
      </c>
      <c r="X783" t="s">
        <v>2111</v>
      </c>
      <c r="Y783">
        <v>141</v>
      </c>
      <c r="Z783">
        <v>65.78</v>
      </c>
      <c r="AA783">
        <v>58.42</v>
      </c>
      <c r="AB783" t="s">
        <v>41</v>
      </c>
      <c r="AC783" t="s">
        <v>16</v>
      </c>
      <c r="AD783" t="s">
        <v>2106</v>
      </c>
      <c r="AE783" t="s">
        <v>2109</v>
      </c>
    </row>
    <row r="784" spans="1:31">
      <c r="A784" t="s">
        <v>649</v>
      </c>
      <c r="B784" s="1">
        <v>45006</v>
      </c>
      <c r="C784" t="s">
        <v>217</v>
      </c>
      <c r="D784">
        <v>2023</v>
      </c>
      <c r="E784" t="s">
        <v>162</v>
      </c>
      <c r="F784" t="s">
        <v>650</v>
      </c>
      <c r="G784" t="s">
        <v>53</v>
      </c>
      <c r="H784" t="s">
        <v>54</v>
      </c>
      <c r="I784" t="s">
        <v>41</v>
      </c>
      <c r="J784" t="s">
        <v>45</v>
      </c>
      <c r="K784" t="s">
        <v>156</v>
      </c>
      <c r="L784" t="s">
        <v>165</v>
      </c>
      <c r="M784">
        <v>4</v>
      </c>
      <c r="N784">
        <v>51.98</v>
      </c>
      <c r="O784">
        <v>207.92</v>
      </c>
      <c r="P784">
        <v>0</v>
      </c>
      <c r="Q784">
        <v>0</v>
      </c>
      <c r="R784">
        <v>207.92</v>
      </c>
      <c r="S784">
        <v>132.16</v>
      </c>
      <c r="T784">
        <v>75.760000000000005</v>
      </c>
      <c r="U784" t="s">
        <v>158</v>
      </c>
      <c r="V784" t="s">
        <v>159</v>
      </c>
      <c r="W784" t="s">
        <v>2113</v>
      </c>
      <c r="X784" t="s">
        <v>2086</v>
      </c>
      <c r="Y784">
        <v>209</v>
      </c>
      <c r="Z784">
        <v>253.7</v>
      </c>
      <c r="AA784">
        <v>42.87</v>
      </c>
      <c r="AB784" t="s">
        <v>14</v>
      </c>
      <c r="AC784" t="s">
        <v>16</v>
      </c>
      <c r="AD784" t="s">
        <v>2106</v>
      </c>
      <c r="AE784" t="s">
        <v>2107</v>
      </c>
    </row>
    <row r="785" spans="1:31">
      <c r="A785" t="s">
        <v>408</v>
      </c>
      <c r="B785" s="1">
        <v>45006</v>
      </c>
      <c r="C785" t="s">
        <v>217</v>
      </c>
      <c r="D785">
        <v>2023</v>
      </c>
      <c r="E785" t="s">
        <v>162</v>
      </c>
      <c r="F785" t="s">
        <v>407</v>
      </c>
      <c r="G785" t="s">
        <v>109</v>
      </c>
      <c r="H785" t="s">
        <v>110</v>
      </c>
      <c r="I785" t="s">
        <v>90</v>
      </c>
      <c r="J785" t="s">
        <v>100</v>
      </c>
      <c r="K785" t="s">
        <v>209</v>
      </c>
      <c r="L785" t="s">
        <v>165</v>
      </c>
      <c r="M785">
        <v>1</v>
      </c>
      <c r="N785">
        <v>77.67</v>
      </c>
      <c r="O785">
        <v>77.67</v>
      </c>
      <c r="P785">
        <v>0</v>
      </c>
      <c r="Q785">
        <v>0</v>
      </c>
      <c r="R785">
        <v>77.67</v>
      </c>
      <c r="S785">
        <v>28.12</v>
      </c>
      <c r="T785">
        <v>49.55</v>
      </c>
      <c r="U785" t="s">
        <v>158</v>
      </c>
      <c r="V785" t="s">
        <v>159</v>
      </c>
      <c r="W785" t="s">
        <v>2090</v>
      </c>
      <c r="X785" t="s">
        <v>2108</v>
      </c>
      <c r="Y785">
        <v>89</v>
      </c>
      <c r="Z785">
        <v>394.47</v>
      </c>
      <c r="AA785">
        <v>51.6</v>
      </c>
      <c r="AB785" t="s">
        <v>41</v>
      </c>
      <c r="AC785" t="s">
        <v>20</v>
      </c>
      <c r="AD785" t="s">
        <v>2095</v>
      </c>
      <c r="AE785" t="s">
        <v>2109</v>
      </c>
    </row>
    <row r="786" spans="1:31">
      <c r="A786" t="s">
        <v>1254</v>
      </c>
      <c r="B786" s="1">
        <v>45006</v>
      </c>
      <c r="C786" t="s">
        <v>217</v>
      </c>
      <c r="D786">
        <v>2023</v>
      </c>
      <c r="E786" t="s">
        <v>162</v>
      </c>
      <c r="F786" t="s">
        <v>1255</v>
      </c>
      <c r="G786" t="s">
        <v>80</v>
      </c>
      <c r="H786" t="s">
        <v>81</v>
      </c>
      <c r="I786" t="s">
        <v>66</v>
      </c>
      <c r="J786" t="s">
        <v>70</v>
      </c>
      <c r="K786" t="s">
        <v>178</v>
      </c>
      <c r="L786" t="s">
        <v>194</v>
      </c>
      <c r="M786">
        <v>3</v>
      </c>
      <c r="N786">
        <v>106.06</v>
      </c>
      <c r="O786">
        <v>318.18</v>
      </c>
      <c r="P786">
        <v>0</v>
      </c>
      <c r="Q786">
        <v>0</v>
      </c>
      <c r="R786">
        <v>318.18</v>
      </c>
      <c r="S786">
        <v>100.26</v>
      </c>
      <c r="T786">
        <v>217.92</v>
      </c>
      <c r="U786" t="s">
        <v>166</v>
      </c>
      <c r="V786" t="s">
        <v>186</v>
      </c>
      <c r="W786" t="s">
        <v>2099</v>
      </c>
      <c r="X786" t="s">
        <v>2111</v>
      </c>
      <c r="Y786">
        <v>102</v>
      </c>
      <c r="Z786">
        <v>76.55</v>
      </c>
      <c r="AA786">
        <v>61.18</v>
      </c>
      <c r="AB786" t="s">
        <v>115</v>
      </c>
      <c r="AC786" t="s">
        <v>20</v>
      </c>
      <c r="AD786" t="s">
        <v>2106</v>
      </c>
      <c r="AE786" t="s">
        <v>2109</v>
      </c>
    </row>
    <row r="787" spans="1:31">
      <c r="A787" t="s">
        <v>216</v>
      </c>
      <c r="B787" s="1">
        <v>45005</v>
      </c>
      <c r="C787" t="s">
        <v>217</v>
      </c>
      <c r="D787">
        <v>2023</v>
      </c>
      <c r="E787" t="s">
        <v>162</v>
      </c>
      <c r="F787" t="s">
        <v>218</v>
      </c>
      <c r="G787" t="s">
        <v>46</v>
      </c>
      <c r="H787" t="s">
        <v>47</v>
      </c>
      <c r="I787" t="s">
        <v>41</v>
      </c>
      <c r="J787" t="s">
        <v>45</v>
      </c>
      <c r="K787" t="s">
        <v>156</v>
      </c>
      <c r="L787" t="s">
        <v>204</v>
      </c>
      <c r="M787">
        <v>1</v>
      </c>
      <c r="N787">
        <v>16.95</v>
      </c>
      <c r="O787">
        <v>16.95</v>
      </c>
      <c r="P787">
        <v>10</v>
      </c>
      <c r="Q787">
        <v>1.7</v>
      </c>
      <c r="R787">
        <v>15.25</v>
      </c>
      <c r="S787">
        <v>9.76</v>
      </c>
      <c r="T787">
        <v>5.49</v>
      </c>
      <c r="U787" t="s">
        <v>158</v>
      </c>
      <c r="V787" t="s">
        <v>181</v>
      </c>
      <c r="W787" t="s">
        <v>2090</v>
      </c>
      <c r="X787" t="s">
        <v>2086</v>
      </c>
      <c r="Y787">
        <v>362</v>
      </c>
      <c r="Z787">
        <v>245.46</v>
      </c>
      <c r="AA787">
        <v>71.06</v>
      </c>
      <c r="AB787" t="s">
        <v>14</v>
      </c>
      <c r="AC787" t="s">
        <v>16</v>
      </c>
      <c r="AD787" t="s">
        <v>2087</v>
      </c>
      <c r="AE787" t="s">
        <v>2109</v>
      </c>
    </row>
    <row r="788" spans="1:31">
      <c r="A788" t="s">
        <v>1042</v>
      </c>
      <c r="B788" s="1">
        <v>45004</v>
      </c>
      <c r="C788" t="s">
        <v>217</v>
      </c>
      <c r="D788">
        <v>2023</v>
      </c>
      <c r="E788" t="s">
        <v>162</v>
      </c>
      <c r="F788" t="s">
        <v>1043</v>
      </c>
      <c r="G788" t="s">
        <v>62</v>
      </c>
      <c r="H788" t="s">
        <v>63</v>
      </c>
      <c r="I788" t="s">
        <v>41</v>
      </c>
      <c r="J788" t="s">
        <v>45</v>
      </c>
      <c r="K788" t="s">
        <v>156</v>
      </c>
      <c r="L788" t="s">
        <v>194</v>
      </c>
      <c r="M788">
        <v>4</v>
      </c>
      <c r="N788">
        <v>160.35</v>
      </c>
      <c r="O788">
        <v>641.4</v>
      </c>
      <c r="P788">
        <v>0</v>
      </c>
      <c r="Q788">
        <v>0</v>
      </c>
      <c r="R788">
        <v>641.4</v>
      </c>
      <c r="S788">
        <v>289.88</v>
      </c>
      <c r="T788">
        <v>351.52</v>
      </c>
      <c r="U788" t="s">
        <v>180</v>
      </c>
      <c r="V788" t="s">
        <v>181</v>
      </c>
      <c r="W788" t="s">
        <v>2085</v>
      </c>
      <c r="X788" t="s">
        <v>2094</v>
      </c>
      <c r="Y788">
        <v>91</v>
      </c>
      <c r="Z788">
        <v>2784.88</v>
      </c>
      <c r="AA788">
        <v>197.71</v>
      </c>
      <c r="AB788" t="s">
        <v>41</v>
      </c>
      <c r="AC788" t="s">
        <v>20</v>
      </c>
      <c r="AD788" t="s">
        <v>2087</v>
      </c>
      <c r="AE788" t="s">
        <v>2109</v>
      </c>
    </row>
    <row r="789" spans="1:31">
      <c r="A789" t="s">
        <v>441</v>
      </c>
      <c r="B789" s="1">
        <v>45004</v>
      </c>
      <c r="C789" t="s">
        <v>217</v>
      </c>
      <c r="D789">
        <v>2023</v>
      </c>
      <c r="E789" t="s">
        <v>162</v>
      </c>
      <c r="F789" t="s">
        <v>442</v>
      </c>
      <c r="G789" t="s">
        <v>64</v>
      </c>
      <c r="H789" t="s">
        <v>65</v>
      </c>
      <c r="I789" t="s">
        <v>66</v>
      </c>
      <c r="J789" t="s">
        <v>67</v>
      </c>
      <c r="K789" t="s">
        <v>209</v>
      </c>
      <c r="L789" t="s">
        <v>204</v>
      </c>
      <c r="M789">
        <v>4</v>
      </c>
      <c r="N789">
        <v>24.9</v>
      </c>
      <c r="O789">
        <v>99.6</v>
      </c>
      <c r="P789">
        <v>10</v>
      </c>
      <c r="Q789">
        <v>9.9600000000000009</v>
      </c>
      <c r="R789">
        <v>89.64</v>
      </c>
      <c r="S789">
        <v>86.08</v>
      </c>
      <c r="T789">
        <v>3.56</v>
      </c>
      <c r="U789" t="s">
        <v>158</v>
      </c>
      <c r="V789" t="s">
        <v>159</v>
      </c>
      <c r="W789" t="s">
        <v>2113</v>
      </c>
      <c r="X789" t="s">
        <v>2086</v>
      </c>
      <c r="Y789">
        <v>139</v>
      </c>
      <c r="Z789">
        <v>184.99</v>
      </c>
      <c r="AA789">
        <v>45.34</v>
      </c>
      <c r="AB789" t="s">
        <v>41</v>
      </c>
      <c r="AC789" t="s">
        <v>16</v>
      </c>
      <c r="AD789" t="s">
        <v>2087</v>
      </c>
      <c r="AE789" t="s">
        <v>2121</v>
      </c>
    </row>
    <row r="790" spans="1:31">
      <c r="A790" t="s">
        <v>1748</v>
      </c>
      <c r="B790" s="1">
        <v>45004</v>
      </c>
      <c r="C790" t="s">
        <v>217</v>
      </c>
      <c r="D790">
        <v>2023</v>
      </c>
      <c r="E790" t="s">
        <v>162</v>
      </c>
      <c r="F790" t="s">
        <v>1181</v>
      </c>
      <c r="G790" t="s">
        <v>33</v>
      </c>
      <c r="H790" t="s">
        <v>34</v>
      </c>
      <c r="I790" t="s">
        <v>14</v>
      </c>
      <c r="J790" t="s">
        <v>27</v>
      </c>
      <c r="K790" t="s">
        <v>156</v>
      </c>
      <c r="L790" t="s">
        <v>232</v>
      </c>
      <c r="M790">
        <v>2</v>
      </c>
      <c r="N790">
        <v>124.26</v>
      </c>
      <c r="O790">
        <v>248.52</v>
      </c>
      <c r="P790">
        <v>5</v>
      </c>
      <c r="Q790">
        <v>12.43</v>
      </c>
      <c r="R790">
        <v>236.09</v>
      </c>
      <c r="S790">
        <v>105.24</v>
      </c>
      <c r="T790">
        <v>130.85</v>
      </c>
      <c r="U790" t="s">
        <v>158</v>
      </c>
      <c r="V790" t="s">
        <v>159</v>
      </c>
      <c r="W790" t="s">
        <v>2099</v>
      </c>
      <c r="X790" t="s">
        <v>2100</v>
      </c>
      <c r="Y790">
        <v>20</v>
      </c>
      <c r="Z790">
        <v>94.29</v>
      </c>
      <c r="AA790">
        <v>96.48</v>
      </c>
      <c r="AB790" t="s">
        <v>90</v>
      </c>
      <c r="AC790" t="s">
        <v>16</v>
      </c>
      <c r="AD790" t="s">
        <v>2087</v>
      </c>
      <c r="AE790" t="s">
        <v>2109</v>
      </c>
    </row>
    <row r="791" spans="1:31">
      <c r="A791" t="s">
        <v>836</v>
      </c>
      <c r="B791" s="1">
        <v>45004</v>
      </c>
      <c r="C791" t="s">
        <v>217</v>
      </c>
      <c r="D791">
        <v>2023</v>
      </c>
      <c r="E791" t="s">
        <v>162</v>
      </c>
      <c r="F791" t="s">
        <v>837</v>
      </c>
      <c r="G791" t="s">
        <v>71</v>
      </c>
      <c r="H791" t="s">
        <v>72</v>
      </c>
      <c r="I791" t="s">
        <v>66</v>
      </c>
      <c r="J791" t="s">
        <v>70</v>
      </c>
      <c r="K791" t="s">
        <v>164</v>
      </c>
      <c r="L791" t="s">
        <v>232</v>
      </c>
      <c r="M791">
        <v>2</v>
      </c>
      <c r="N791">
        <v>26.7</v>
      </c>
      <c r="O791">
        <v>53.4</v>
      </c>
      <c r="P791">
        <v>15</v>
      </c>
      <c r="Q791">
        <v>8.01</v>
      </c>
      <c r="R791">
        <v>45.39</v>
      </c>
      <c r="S791">
        <v>24.54</v>
      </c>
      <c r="T791">
        <v>20.85</v>
      </c>
      <c r="U791" t="s">
        <v>180</v>
      </c>
      <c r="V791" t="s">
        <v>159</v>
      </c>
      <c r="W791" t="s">
        <v>2090</v>
      </c>
      <c r="X791" t="s">
        <v>2091</v>
      </c>
      <c r="Y791">
        <v>179</v>
      </c>
      <c r="Z791">
        <v>288.17</v>
      </c>
      <c r="AA791">
        <v>42.41</v>
      </c>
      <c r="AB791" t="s">
        <v>14</v>
      </c>
      <c r="AC791" t="s">
        <v>20</v>
      </c>
      <c r="AD791" t="s">
        <v>2095</v>
      </c>
      <c r="AE791" t="s">
        <v>2107</v>
      </c>
    </row>
    <row r="792" spans="1:31">
      <c r="A792" t="s">
        <v>1964</v>
      </c>
      <c r="B792" s="1">
        <v>45004</v>
      </c>
      <c r="C792" t="s">
        <v>217</v>
      </c>
      <c r="D792">
        <v>2023</v>
      </c>
      <c r="E792" t="s">
        <v>162</v>
      </c>
      <c r="F792" t="s">
        <v>1787</v>
      </c>
      <c r="G792" t="s">
        <v>131</v>
      </c>
      <c r="H792" t="s">
        <v>132</v>
      </c>
      <c r="I792" t="s">
        <v>115</v>
      </c>
      <c r="J792" t="s">
        <v>119</v>
      </c>
      <c r="K792" t="s">
        <v>164</v>
      </c>
      <c r="L792" t="s">
        <v>174</v>
      </c>
      <c r="M792">
        <v>4</v>
      </c>
      <c r="N792">
        <v>75.69</v>
      </c>
      <c r="O792">
        <v>302.76</v>
      </c>
      <c r="P792">
        <v>20</v>
      </c>
      <c r="Q792">
        <v>60.55</v>
      </c>
      <c r="R792">
        <v>242.21</v>
      </c>
      <c r="S792">
        <v>142.52000000000001</v>
      </c>
      <c r="T792">
        <v>99.69</v>
      </c>
      <c r="U792" t="s">
        <v>190</v>
      </c>
      <c r="V792" t="s">
        <v>159</v>
      </c>
      <c r="W792" t="s">
        <v>2090</v>
      </c>
      <c r="X792" t="s">
        <v>2094</v>
      </c>
      <c r="Y792">
        <v>120</v>
      </c>
      <c r="Z792">
        <v>277.88</v>
      </c>
      <c r="AA792">
        <v>111.03</v>
      </c>
      <c r="AB792" t="s">
        <v>14</v>
      </c>
      <c r="AC792" t="s">
        <v>16</v>
      </c>
      <c r="AD792" t="s">
        <v>2095</v>
      </c>
      <c r="AE792" t="s">
        <v>2107</v>
      </c>
    </row>
    <row r="793" spans="1:31">
      <c r="A793" t="s">
        <v>663</v>
      </c>
      <c r="B793" s="1">
        <v>45003</v>
      </c>
      <c r="C793" t="s">
        <v>217</v>
      </c>
      <c r="D793">
        <v>2023</v>
      </c>
      <c r="E793" t="s">
        <v>162</v>
      </c>
      <c r="F793" t="s">
        <v>664</v>
      </c>
      <c r="G793" t="s">
        <v>64</v>
      </c>
      <c r="H793" t="s">
        <v>65</v>
      </c>
      <c r="I793" t="s">
        <v>66</v>
      </c>
      <c r="J793" t="s">
        <v>67</v>
      </c>
      <c r="K793" t="s">
        <v>164</v>
      </c>
      <c r="L793" t="s">
        <v>157</v>
      </c>
      <c r="M793">
        <v>4</v>
      </c>
      <c r="N793">
        <v>24.9</v>
      </c>
      <c r="O793">
        <v>99.6</v>
      </c>
      <c r="P793">
        <v>5</v>
      </c>
      <c r="Q793">
        <v>4.9800000000000004</v>
      </c>
      <c r="R793">
        <v>94.62</v>
      </c>
      <c r="S793">
        <v>86.08</v>
      </c>
      <c r="T793">
        <v>8.5399999999999991</v>
      </c>
      <c r="U793" t="s">
        <v>166</v>
      </c>
      <c r="V793" t="s">
        <v>186</v>
      </c>
      <c r="W793" t="s">
        <v>2090</v>
      </c>
      <c r="X793" t="s">
        <v>2086</v>
      </c>
      <c r="Y793">
        <v>357</v>
      </c>
      <c r="Z793">
        <v>257.31</v>
      </c>
      <c r="AA793">
        <v>78.38</v>
      </c>
      <c r="AB793" t="s">
        <v>41</v>
      </c>
      <c r="AC793" t="s">
        <v>20</v>
      </c>
      <c r="AD793" t="s">
        <v>2106</v>
      </c>
      <c r="AE793" t="s">
        <v>2096</v>
      </c>
    </row>
    <row r="794" spans="1:31">
      <c r="A794" t="s">
        <v>1225</v>
      </c>
      <c r="B794" s="1">
        <v>45003</v>
      </c>
      <c r="C794" t="s">
        <v>217</v>
      </c>
      <c r="D794">
        <v>2023</v>
      </c>
      <c r="E794" t="s">
        <v>162</v>
      </c>
      <c r="F794" t="s">
        <v>1226</v>
      </c>
      <c r="G794" t="s">
        <v>117</v>
      </c>
      <c r="H794" t="s">
        <v>118</v>
      </c>
      <c r="I794" t="s">
        <v>115</v>
      </c>
      <c r="J794" t="s">
        <v>119</v>
      </c>
      <c r="K794" t="s">
        <v>156</v>
      </c>
      <c r="L794" t="s">
        <v>194</v>
      </c>
      <c r="M794">
        <v>3</v>
      </c>
      <c r="N794">
        <v>93.41</v>
      </c>
      <c r="O794">
        <v>280.23</v>
      </c>
      <c r="P794">
        <v>0</v>
      </c>
      <c r="Q794">
        <v>0</v>
      </c>
      <c r="R794">
        <v>280.23</v>
      </c>
      <c r="S794">
        <v>192.15</v>
      </c>
      <c r="T794">
        <v>88.08</v>
      </c>
      <c r="U794" t="s">
        <v>166</v>
      </c>
      <c r="V794" t="s">
        <v>159</v>
      </c>
      <c r="W794" t="s">
        <v>2093</v>
      </c>
      <c r="X794" t="s">
        <v>2108</v>
      </c>
      <c r="Y794">
        <v>25</v>
      </c>
      <c r="Z794">
        <v>65.150000000000006</v>
      </c>
      <c r="AA794">
        <v>41.19</v>
      </c>
      <c r="AB794" t="s">
        <v>41</v>
      </c>
      <c r="AC794" t="s">
        <v>16</v>
      </c>
      <c r="AD794" t="s">
        <v>2087</v>
      </c>
      <c r="AE794" t="s">
        <v>2096</v>
      </c>
    </row>
    <row r="795" spans="1:31">
      <c r="A795" t="s">
        <v>1701</v>
      </c>
      <c r="B795" s="1">
        <v>45003</v>
      </c>
      <c r="C795" t="s">
        <v>217</v>
      </c>
      <c r="D795">
        <v>2023</v>
      </c>
      <c r="E795" t="s">
        <v>162</v>
      </c>
      <c r="F795" t="s">
        <v>1702</v>
      </c>
      <c r="G795" t="s">
        <v>23</v>
      </c>
      <c r="H795" t="s">
        <v>24</v>
      </c>
      <c r="I795" t="s">
        <v>14</v>
      </c>
      <c r="J795" t="s">
        <v>19</v>
      </c>
      <c r="K795" t="s">
        <v>164</v>
      </c>
      <c r="L795" t="s">
        <v>204</v>
      </c>
      <c r="M795">
        <v>2</v>
      </c>
      <c r="N795">
        <v>154.03</v>
      </c>
      <c r="O795">
        <v>308.06</v>
      </c>
      <c r="P795">
        <v>0</v>
      </c>
      <c r="Q795">
        <v>0</v>
      </c>
      <c r="R795">
        <v>308.06</v>
      </c>
      <c r="S795">
        <v>153.58000000000001</v>
      </c>
      <c r="T795">
        <v>154.47999999999999</v>
      </c>
      <c r="U795" t="s">
        <v>190</v>
      </c>
      <c r="V795" t="s">
        <v>159</v>
      </c>
      <c r="W795" t="s">
        <v>2093</v>
      </c>
      <c r="X795" t="s">
        <v>2108</v>
      </c>
      <c r="Y795">
        <v>235</v>
      </c>
      <c r="Z795">
        <v>45.62</v>
      </c>
      <c r="AA795">
        <v>43.9</v>
      </c>
      <c r="AB795" t="s">
        <v>66</v>
      </c>
      <c r="AC795" t="s">
        <v>16</v>
      </c>
      <c r="AD795" t="s">
        <v>2087</v>
      </c>
      <c r="AE795" t="s">
        <v>2107</v>
      </c>
    </row>
    <row r="796" spans="1:31">
      <c r="A796" t="s">
        <v>1206</v>
      </c>
      <c r="B796" s="1">
        <v>45003</v>
      </c>
      <c r="C796" t="s">
        <v>217</v>
      </c>
      <c r="D796">
        <v>2023</v>
      </c>
      <c r="E796" t="s">
        <v>162</v>
      </c>
      <c r="F796" t="s">
        <v>565</v>
      </c>
      <c r="G796" t="s">
        <v>101</v>
      </c>
      <c r="H796" t="s">
        <v>102</v>
      </c>
      <c r="I796" t="s">
        <v>90</v>
      </c>
      <c r="J796" t="s">
        <v>100</v>
      </c>
      <c r="K796" t="s">
        <v>164</v>
      </c>
      <c r="L796" t="s">
        <v>157</v>
      </c>
      <c r="M796">
        <v>4</v>
      </c>
      <c r="N796">
        <v>196.28</v>
      </c>
      <c r="O796">
        <v>785.12</v>
      </c>
      <c r="P796">
        <v>15</v>
      </c>
      <c r="Q796">
        <v>117.77</v>
      </c>
      <c r="R796">
        <v>667.35</v>
      </c>
      <c r="S796">
        <v>286.92</v>
      </c>
      <c r="T796">
        <v>380.43</v>
      </c>
      <c r="U796" t="s">
        <v>166</v>
      </c>
      <c r="V796" t="s">
        <v>159</v>
      </c>
      <c r="W796" t="s">
        <v>2097</v>
      </c>
      <c r="X796" t="s">
        <v>2108</v>
      </c>
      <c r="Y796">
        <v>257</v>
      </c>
      <c r="Z796">
        <v>598.63</v>
      </c>
      <c r="AA796">
        <v>110.37</v>
      </c>
      <c r="AB796" t="s">
        <v>41</v>
      </c>
      <c r="AC796" t="s">
        <v>16</v>
      </c>
      <c r="AD796" t="s">
        <v>2106</v>
      </c>
      <c r="AE796" t="s">
        <v>2121</v>
      </c>
    </row>
    <row r="797" spans="1:31">
      <c r="A797" t="s">
        <v>382</v>
      </c>
      <c r="B797" s="1">
        <v>45002</v>
      </c>
      <c r="C797" t="s">
        <v>217</v>
      </c>
      <c r="D797">
        <v>2023</v>
      </c>
      <c r="E797" t="s">
        <v>162</v>
      </c>
      <c r="F797" t="s">
        <v>383</v>
      </c>
      <c r="G797" t="s">
        <v>28</v>
      </c>
      <c r="H797" t="s">
        <v>29</v>
      </c>
      <c r="I797" t="s">
        <v>14</v>
      </c>
      <c r="J797" t="s">
        <v>19</v>
      </c>
      <c r="K797" t="s">
        <v>156</v>
      </c>
      <c r="L797" t="s">
        <v>194</v>
      </c>
      <c r="M797">
        <v>3</v>
      </c>
      <c r="N797">
        <v>26.46</v>
      </c>
      <c r="O797">
        <v>79.38</v>
      </c>
      <c r="P797">
        <v>10</v>
      </c>
      <c r="Q797">
        <v>7.94</v>
      </c>
      <c r="R797">
        <v>71.44</v>
      </c>
      <c r="S797">
        <v>58.26</v>
      </c>
      <c r="T797">
        <v>13.18</v>
      </c>
      <c r="U797" t="s">
        <v>166</v>
      </c>
      <c r="V797" t="s">
        <v>181</v>
      </c>
      <c r="W797" t="s">
        <v>2085</v>
      </c>
      <c r="X797" t="s">
        <v>2091</v>
      </c>
      <c r="Y797">
        <v>215</v>
      </c>
      <c r="Z797">
        <v>1641.55</v>
      </c>
      <c r="AA797">
        <v>285.60000000000002</v>
      </c>
      <c r="AB797" t="s">
        <v>90</v>
      </c>
      <c r="AC797" t="s">
        <v>16</v>
      </c>
      <c r="AD797" t="s">
        <v>2106</v>
      </c>
      <c r="AE797" t="s">
        <v>2088</v>
      </c>
    </row>
    <row r="798" spans="1:31">
      <c r="A798" t="s">
        <v>1443</v>
      </c>
      <c r="B798" s="1">
        <v>45001</v>
      </c>
      <c r="C798" t="s">
        <v>217</v>
      </c>
      <c r="D798">
        <v>2023</v>
      </c>
      <c r="E798" t="s">
        <v>162</v>
      </c>
      <c r="F798" t="s">
        <v>1444</v>
      </c>
      <c r="G798" t="s">
        <v>71</v>
      </c>
      <c r="H798" t="s">
        <v>72</v>
      </c>
      <c r="I798" t="s">
        <v>66</v>
      </c>
      <c r="J798" t="s">
        <v>70</v>
      </c>
      <c r="K798" t="s">
        <v>209</v>
      </c>
      <c r="L798" t="s">
        <v>179</v>
      </c>
      <c r="M798">
        <v>4</v>
      </c>
      <c r="N798">
        <v>26.7</v>
      </c>
      <c r="O798">
        <v>106.8</v>
      </c>
      <c r="P798">
        <v>10</v>
      </c>
      <c r="Q798">
        <v>10.68</v>
      </c>
      <c r="R798">
        <v>96.12</v>
      </c>
      <c r="S798">
        <v>49.08</v>
      </c>
      <c r="T798">
        <v>47.04</v>
      </c>
      <c r="U798" t="s">
        <v>190</v>
      </c>
      <c r="V798" t="s">
        <v>159</v>
      </c>
      <c r="W798" t="s">
        <v>2090</v>
      </c>
      <c r="X798" t="s">
        <v>2094</v>
      </c>
      <c r="Y798">
        <v>66</v>
      </c>
      <c r="Z798">
        <v>320.02999999999997</v>
      </c>
      <c r="AA798">
        <v>107.72</v>
      </c>
      <c r="AB798" t="s">
        <v>90</v>
      </c>
      <c r="AC798" t="s">
        <v>16</v>
      </c>
      <c r="AD798" t="s">
        <v>2095</v>
      </c>
      <c r="AE798" t="s">
        <v>2109</v>
      </c>
    </row>
    <row r="799" spans="1:31">
      <c r="A799" t="s">
        <v>1135</v>
      </c>
      <c r="B799" s="1">
        <v>45001</v>
      </c>
      <c r="C799" t="s">
        <v>217</v>
      </c>
      <c r="D799">
        <v>2023</v>
      </c>
      <c r="E799" t="s">
        <v>162</v>
      </c>
      <c r="F799" t="s">
        <v>1136</v>
      </c>
      <c r="G799" t="s">
        <v>30</v>
      </c>
      <c r="H799" t="s">
        <v>31</v>
      </c>
      <c r="I799" t="s">
        <v>14</v>
      </c>
      <c r="J799" t="s">
        <v>32</v>
      </c>
      <c r="K799" t="s">
        <v>209</v>
      </c>
      <c r="L799" t="s">
        <v>157</v>
      </c>
      <c r="M799">
        <v>1</v>
      </c>
      <c r="N799">
        <v>113.18</v>
      </c>
      <c r="O799">
        <v>113.18</v>
      </c>
      <c r="P799">
        <v>5</v>
      </c>
      <c r="Q799">
        <v>5.66</v>
      </c>
      <c r="R799">
        <v>107.52</v>
      </c>
      <c r="S799">
        <v>39.01</v>
      </c>
      <c r="T799">
        <v>68.510000000000005</v>
      </c>
      <c r="U799" t="s">
        <v>195</v>
      </c>
      <c r="V799" t="s">
        <v>159</v>
      </c>
      <c r="W799" t="s">
        <v>2093</v>
      </c>
      <c r="X799" t="s">
        <v>2091</v>
      </c>
      <c r="Y799">
        <v>173</v>
      </c>
      <c r="Z799">
        <v>31.35</v>
      </c>
      <c r="AA799">
        <v>71.180000000000007</v>
      </c>
      <c r="AB799" t="s">
        <v>115</v>
      </c>
      <c r="AC799" t="s">
        <v>16</v>
      </c>
      <c r="AD799" t="s">
        <v>2095</v>
      </c>
      <c r="AE799" t="s">
        <v>2109</v>
      </c>
    </row>
    <row r="800" spans="1:31">
      <c r="A800" t="s">
        <v>1472</v>
      </c>
      <c r="B800" s="1">
        <v>45001</v>
      </c>
      <c r="C800" t="s">
        <v>217</v>
      </c>
      <c r="D800">
        <v>2023</v>
      </c>
      <c r="E800" t="s">
        <v>162</v>
      </c>
      <c r="F800" t="s">
        <v>1268</v>
      </c>
      <c r="G800" t="s">
        <v>125</v>
      </c>
      <c r="H800" t="s">
        <v>126</v>
      </c>
      <c r="I800" t="s">
        <v>115</v>
      </c>
      <c r="J800" t="s">
        <v>116</v>
      </c>
      <c r="K800" t="s">
        <v>156</v>
      </c>
      <c r="L800" t="s">
        <v>194</v>
      </c>
      <c r="M800">
        <v>2</v>
      </c>
      <c r="N800">
        <v>144.94999999999999</v>
      </c>
      <c r="O800">
        <v>289.89999999999998</v>
      </c>
      <c r="P800">
        <v>5</v>
      </c>
      <c r="Q800">
        <v>14.49</v>
      </c>
      <c r="R800">
        <v>275.41000000000003</v>
      </c>
      <c r="S800">
        <v>154.38</v>
      </c>
      <c r="T800">
        <v>121.03</v>
      </c>
      <c r="U800" t="s">
        <v>158</v>
      </c>
      <c r="V800" t="s">
        <v>181</v>
      </c>
      <c r="W800" t="s">
        <v>2099</v>
      </c>
      <c r="X800" t="s">
        <v>2100</v>
      </c>
      <c r="Y800">
        <v>338</v>
      </c>
      <c r="Z800">
        <v>100.68</v>
      </c>
      <c r="AA800">
        <v>96.62</v>
      </c>
      <c r="AB800" t="s">
        <v>90</v>
      </c>
      <c r="AC800" t="s">
        <v>16</v>
      </c>
      <c r="AD800" t="s">
        <v>2106</v>
      </c>
      <c r="AE800" t="s">
        <v>2121</v>
      </c>
    </row>
    <row r="801" spans="1:31">
      <c r="A801" t="s">
        <v>476</v>
      </c>
      <c r="B801" s="1">
        <v>45001</v>
      </c>
      <c r="C801" t="s">
        <v>217</v>
      </c>
      <c r="D801">
        <v>2023</v>
      </c>
      <c r="E801" t="s">
        <v>162</v>
      </c>
      <c r="F801" t="s">
        <v>458</v>
      </c>
      <c r="G801" t="s">
        <v>30</v>
      </c>
      <c r="H801" t="s">
        <v>31</v>
      </c>
      <c r="I801" t="s">
        <v>14</v>
      </c>
      <c r="J801" t="s">
        <v>32</v>
      </c>
      <c r="K801" t="s">
        <v>209</v>
      </c>
      <c r="L801" t="s">
        <v>194</v>
      </c>
      <c r="M801">
        <v>3</v>
      </c>
      <c r="N801">
        <v>113.18</v>
      </c>
      <c r="O801">
        <v>339.54</v>
      </c>
      <c r="P801">
        <v>20</v>
      </c>
      <c r="Q801">
        <v>67.91</v>
      </c>
      <c r="R801">
        <v>271.63</v>
      </c>
      <c r="S801">
        <v>117.03</v>
      </c>
      <c r="T801">
        <v>154.6</v>
      </c>
      <c r="U801" t="s">
        <v>180</v>
      </c>
      <c r="V801" t="s">
        <v>159</v>
      </c>
      <c r="W801" t="s">
        <v>2113</v>
      </c>
      <c r="X801" t="s">
        <v>2100</v>
      </c>
      <c r="Y801">
        <v>304</v>
      </c>
      <c r="Z801">
        <v>242.35</v>
      </c>
      <c r="AA801">
        <v>58.51</v>
      </c>
      <c r="AB801" t="s">
        <v>41</v>
      </c>
      <c r="AC801" t="s">
        <v>16</v>
      </c>
      <c r="AD801" t="s">
        <v>2106</v>
      </c>
      <c r="AE801" t="s">
        <v>2107</v>
      </c>
    </row>
    <row r="802" spans="1:31">
      <c r="A802" t="s">
        <v>300</v>
      </c>
      <c r="B802" s="1">
        <v>45001</v>
      </c>
      <c r="C802" t="s">
        <v>217</v>
      </c>
      <c r="D802">
        <v>2023</v>
      </c>
      <c r="E802" t="s">
        <v>162</v>
      </c>
      <c r="F802" t="s">
        <v>301</v>
      </c>
      <c r="G802" t="s">
        <v>53</v>
      </c>
      <c r="H802" t="s">
        <v>54</v>
      </c>
      <c r="I802" t="s">
        <v>41</v>
      </c>
      <c r="J802" t="s">
        <v>45</v>
      </c>
      <c r="K802" t="s">
        <v>156</v>
      </c>
      <c r="L802" t="s">
        <v>232</v>
      </c>
      <c r="M802">
        <v>4</v>
      </c>
      <c r="N802">
        <v>51.98</v>
      </c>
      <c r="O802">
        <v>207.92</v>
      </c>
      <c r="P802">
        <v>10</v>
      </c>
      <c r="Q802">
        <v>20.79</v>
      </c>
      <c r="R802">
        <v>187.13</v>
      </c>
      <c r="S802">
        <v>132.16</v>
      </c>
      <c r="T802">
        <v>54.97</v>
      </c>
      <c r="U802" t="s">
        <v>166</v>
      </c>
      <c r="V802" t="s">
        <v>159</v>
      </c>
      <c r="W802" t="s">
        <v>2085</v>
      </c>
      <c r="X802" t="s">
        <v>2091</v>
      </c>
      <c r="Y802">
        <v>283</v>
      </c>
      <c r="Z802">
        <v>940.01</v>
      </c>
      <c r="AA802">
        <v>100.59</v>
      </c>
      <c r="AB802" t="s">
        <v>14</v>
      </c>
      <c r="AC802" t="s">
        <v>20</v>
      </c>
      <c r="AD802" t="s">
        <v>2106</v>
      </c>
      <c r="AE802" t="s">
        <v>2088</v>
      </c>
    </row>
    <row r="803" spans="1:31">
      <c r="A803" t="s">
        <v>733</v>
      </c>
      <c r="B803" s="1">
        <v>45001</v>
      </c>
      <c r="C803" t="s">
        <v>217</v>
      </c>
      <c r="D803">
        <v>2023</v>
      </c>
      <c r="E803" t="s">
        <v>162</v>
      </c>
      <c r="F803" t="s">
        <v>734</v>
      </c>
      <c r="G803" t="s">
        <v>62</v>
      </c>
      <c r="H803" t="s">
        <v>63</v>
      </c>
      <c r="I803" t="s">
        <v>41</v>
      </c>
      <c r="J803" t="s">
        <v>45</v>
      </c>
      <c r="K803" t="s">
        <v>156</v>
      </c>
      <c r="L803" t="s">
        <v>204</v>
      </c>
      <c r="M803">
        <v>3</v>
      </c>
      <c r="N803">
        <v>160.35</v>
      </c>
      <c r="O803">
        <v>481.04999999999995</v>
      </c>
      <c r="P803">
        <v>5</v>
      </c>
      <c r="Q803">
        <v>24.05</v>
      </c>
      <c r="R803">
        <v>457</v>
      </c>
      <c r="S803">
        <v>217.41</v>
      </c>
      <c r="T803">
        <v>239.59</v>
      </c>
      <c r="U803" t="s">
        <v>195</v>
      </c>
      <c r="V803" t="s">
        <v>186</v>
      </c>
      <c r="W803" t="s">
        <v>2097</v>
      </c>
      <c r="X803" t="s">
        <v>2086</v>
      </c>
      <c r="Y803">
        <v>177</v>
      </c>
      <c r="Z803">
        <v>207.21</v>
      </c>
      <c r="AA803">
        <v>122.41</v>
      </c>
      <c r="AB803" t="s">
        <v>14</v>
      </c>
      <c r="AC803" t="s">
        <v>20</v>
      </c>
      <c r="AD803" t="s">
        <v>2095</v>
      </c>
      <c r="AE803" t="s">
        <v>2096</v>
      </c>
    </row>
    <row r="804" spans="1:31">
      <c r="A804" t="s">
        <v>1361</v>
      </c>
      <c r="B804" s="1">
        <v>45001</v>
      </c>
      <c r="C804" t="s">
        <v>217</v>
      </c>
      <c r="D804">
        <v>2023</v>
      </c>
      <c r="E804" t="s">
        <v>162</v>
      </c>
      <c r="F804" t="s">
        <v>1362</v>
      </c>
      <c r="G804" t="s">
        <v>68</v>
      </c>
      <c r="H804" t="s">
        <v>69</v>
      </c>
      <c r="I804" t="s">
        <v>66</v>
      </c>
      <c r="J804" t="s">
        <v>70</v>
      </c>
      <c r="K804" t="s">
        <v>178</v>
      </c>
      <c r="L804" t="s">
        <v>179</v>
      </c>
      <c r="M804">
        <v>1</v>
      </c>
      <c r="N804">
        <v>98.51</v>
      </c>
      <c r="O804">
        <v>98.51</v>
      </c>
      <c r="P804">
        <v>20</v>
      </c>
      <c r="Q804">
        <v>19.7</v>
      </c>
      <c r="R804">
        <v>78.81</v>
      </c>
      <c r="S804">
        <v>55.17</v>
      </c>
      <c r="T804">
        <v>23.64</v>
      </c>
      <c r="U804" t="s">
        <v>180</v>
      </c>
      <c r="V804" t="s">
        <v>159</v>
      </c>
      <c r="W804" t="s">
        <v>2099</v>
      </c>
      <c r="X804" t="s">
        <v>2094</v>
      </c>
      <c r="Y804">
        <v>98</v>
      </c>
      <c r="Z804">
        <v>65.72</v>
      </c>
      <c r="AA804">
        <v>86.25</v>
      </c>
      <c r="AB804" t="s">
        <v>14</v>
      </c>
      <c r="AC804" t="s">
        <v>16</v>
      </c>
      <c r="AD804" t="s">
        <v>2087</v>
      </c>
      <c r="AE804" t="s">
        <v>2107</v>
      </c>
    </row>
    <row r="805" spans="1:31">
      <c r="A805" t="s">
        <v>1237</v>
      </c>
      <c r="B805" s="1">
        <v>45000</v>
      </c>
      <c r="C805" t="s">
        <v>217</v>
      </c>
      <c r="D805">
        <v>2023</v>
      </c>
      <c r="E805" t="s">
        <v>162</v>
      </c>
      <c r="F805" t="s">
        <v>1238</v>
      </c>
      <c r="G805" t="s">
        <v>50</v>
      </c>
      <c r="H805" t="s">
        <v>51</v>
      </c>
      <c r="I805" t="s">
        <v>41</v>
      </c>
      <c r="J805" t="s">
        <v>52</v>
      </c>
      <c r="K805" t="s">
        <v>156</v>
      </c>
      <c r="L805" t="s">
        <v>232</v>
      </c>
      <c r="M805">
        <v>4</v>
      </c>
      <c r="N805">
        <v>143.80000000000001</v>
      </c>
      <c r="O805">
        <v>575.20000000000005</v>
      </c>
      <c r="P805">
        <v>10</v>
      </c>
      <c r="Q805">
        <v>57.52</v>
      </c>
      <c r="R805">
        <v>517.67999999999995</v>
      </c>
      <c r="S805">
        <v>248.6</v>
      </c>
      <c r="T805">
        <v>269.08</v>
      </c>
      <c r="U805" t="s">
        <v>166</v>
      </c>
      <c r="V805" t="s">
        <v>159</v>
      </c>
      <c r="W805" t="s">
        <v>2093</v>
      </c>
      <c r="X805" t="s">
        <v>2111</v>
      </c>
      <c r="Y805">
        <v>106</v>
      </c>
      <c r="Z805">
        <v>132.41</v>
      </c>
      <c r="AA805">
        <v>64.31</v>
      </c>
      <c r="AB805" t="s">
        <v>41</v>
      </c>
      <c r="AC805" t="s">
        <v>20</v>
      </c>
      <c r="AD805" t="s">
        <v>2095</v>
      </c>
      <c r="AE805" t="s">
        <v>2107</v>
      </c>
    </row>
    <row r="806" spans="1:31">
      <c r="A806" t="s">
        <v>483</v>
      </c>
      <c r="B806" s="1">
        <v>45000</v>
      </c>
      <c r="C806" t="s">
        <v>217</v>
      </c>
      <c r="D806">
        <v>2023</v>
      </c>
      <c r="E806" t="s">
        <v>162</v>
      </c>
      <c r="F806" t="s">
        <v>484</v>
      </c>
      <c r="G806" t="s">
        <v>113</v>
      </c>
      <c r="H806" t="s">
        <v>114</v>
      </c>
      <c r="I806" t="s">
        <v>115</v>
      </c>
      <c r="J806" t="s">
        <v>116</v>
      </c>
      <c r="K806" t="s">
        <v>164</v>
      </c>
      <c r="L806" t="s">
        <v>174</v>
      </c>
      <c r="M806">
        <v>2</v>
      </c>
      <c r="N806">
        <v>18.7</v>
      </c>
      <c r="O806">
        <v>37.4</v>
      </c>
      <c r="P806">
        <v>15</v>
      </c>
      <c r="Q806">
        <v>5.61</v>
      </c>
      <c r="R806">
        <v>31.79</v>
      </c>
      <c r="S806">
        <v>13.72</v>
      </c>
      <c r="T806">
        <v>18.07</v>
      </c>
      <c r="U806" t="s">
        <v>166</v>
      </c>
      <c r="V806" t="s">
        <v>159</v>
      </c>
      <c r="W806" t="s">
        <v>2099</v>
      </c>
      <c r="X806" t="s">
        <v>2094</v>
      </c>
      <c r="Y806">
        <v>282</v>
      </c>
      <c r="Z806">
        <v>60.05</v>
      </c>
      <c r="AA806">
        <v>60.58</v>
      </c>
      <c r="AB806" t="s">
        <v>66</v>
      </c>
      <c r="AC806" t="s">
        <v>16</v>
      </c>
      <c r="AD806" t="s">
        <v>2106</v>
      </c>
      <c r="AE806" t="s">
        <v>2109</v>
      </c>
    </row>
    <row r="807" spans="1:31">
      <c r="A807" t="s">
        <v>1839</v>
      </c>
      <c r="B807" s="1">
        <v>45000</v>
      </c>
      <c r="C807" t="s">
        <v>217</v>
      </c>
      <c r="D807">
        <v>2023</v>
      </c>
      <c r="E807" t="s">
        <v>162</v>
      </c>
      <c r="F807" t="s">
        <v>1840</v>
      </c>
      <c r="G807" t="s">
        <v>120</v>
      </c>
      <c r="H807" t="s">
        <v>121</v>
      </c>
      <c r="I807" t="s">
        <v>115</v>
      </c>
      <c r="J807" t="s">
        <v>119</v>
      </c>
      <c r="K807" t="s">
        <v>164</v>
      </c>
      <c r="L807" t="s">
        <v>165</v>
      </c>
      <c r="M807">
        <v>1</v>
      </c>
      <c r="N807">
        <v>197.52</v>
      </c>
      <c r="O807">
        <v>197.52</v>
      </c>
      <c r="P807">
        <v>0</v>
      </c>
      <c r="Q807">
        <v>0</v>
      </c>
      <c r="R807">
        <v>197.52</v>
      </c>
      <c r="S807">
        <v>66.540000000000006</v>
      </c>
      <c r="T807">
        <v>130.97999999999999</v>
      </c>
      <c r="U807" t="s">
        <v>166</v>
      </c>
      <c r="V807" t="s">
        <v>159</v>
      </c>
      <c r="W807" t="s">
        <v>2093</v>
      </c>
      <c r="X807" t="s">
        <v>2086</v>
      </c>
      <c r="Y807">
        <v>231</v>
      </c>
      <c r="Z807">
        <v>31.93</v>
      </c>
      <c r="AA807">
        <v>43.72</v>
      </c>
      <c r="AB807" t="s">
        <v>14</v>
      </c>
      <c r="AC807" t="s">
        <v>20</v>
      </c>
      <c r="AD807" t="s">
        <v>2095</v>
      </c>
      <c r="AE807" t="s">
        <v>2109</v>
      </c>
    </row>
    <row r="808" spans="1:31">
      <c r="A808" t="s">
        <v>1566</v>
      </c>
      <c r="B808" s="1">
        <v>44999</v>
      </c>
      <c r="C808" t="s">
        <v>217</v>
      </c>
      <c r="D808">
        <v>2023</v>
      </c>
      <c r="E808" t="s">
        <v>162</v>
      </c>
      <c r="F808" t="s">
        <v>1567</v>
      </c>
      <c r="G808" t="s">
        <v>103</v>
      </c>
      <c r="H808" t="s">
        <v>104</v>
      </c>
      <c r="I808" t="s">
        <v>90</v>
      </c>
      <c r="J808" t="s">
        <v>94</v>
      </c>
      <c r="K808" t="s">
        <v>178</v>
      </c>
      <c r="L808" t="s">
        <v>232</v>
      </c>
      <c r="M808">
        <v>3</v>
      </c>
      <c r="N808">
        <v>98.58</v>
      </c>
      <c r="O808">
        <v>295.74</v>
      </c>
      <c r="P808">
        <v>0</v>
      </c>
      <c r="Q808">
        <v>0</v>
      </c>
      <c r="R808">
        <v>295.74</v>
      </c>
      <c r="S808">
        <v>157.71</v>
      </c>
      <c r="T808">
        <v>138.03</v>
      </c>
      <c r="U808" t="s">
        <v>190</v>
      </c>
      <c r="V808" t="s">
        <v>159</v>
      </c>
      <c r="W808" t="s">
        <v>2099</v>
      </c>
      <c r="X808" t="s">
        <v>2100</v>
      </c>
      <c r="Y808">
        <v>248</v>
      </c>
      <c r="Z808">
        <v>100.09</v>
      </c>
      <c r="AA808">
        <v>61.25</v>
      </c>
      <c r="AB808" t="s">
        <v>115</v>
      </c>
      <c r="AC808" t="s">
        <v>16</v>
      </c>
      <c r="AD808" t="s">
        <v>2095</v>
      </c>
      <c r="AE808" t="s">
        <v>2121</v>
      </c>
    </row>
    <row r="809" spans="1:31">
      <c r="A809" t="s">
        <v>1451</v>
      </c>
      <c r="B809" s="1">
        <v>44999</v>
      </c>
      <c r="C809" t="s">
        <v>217</v>
      </c>
      <c r="D809">
        <v>2023</v>
      </c>
      <c r="E809" t="s">
        <v>162</v>
      </c>
      <c r="F809" t="s">
        <v>1452</v>
      </c>
      <c r="G809" t="s">
        <v>103</v>
      </c>
      <c r="H809" t="s">
        <v>104</v>
      </c>
      <c r="I809" t="s">
        <v>90</v>
      </c>
      <c r="J809" t="s">
        <v>94</v>
      </c>
      <c r="K809" t="s">
        <v>209</v>
      </c>
      <c r="L809" t="s">
        <v>204</v>
      </c>
      <c r="M809">
        <v>4</v>
      </c>
      <c r="N809">
        <v>98.58</v>
      </c>
      <c r="O809">
        <v>394.32</v>
      </c>
      <c r="P809">
        <v>10</v>
      </c>
      <c r="Q809">
        <v>39.43</v>
      </c>
      <c r="R809">
        <v>354.89</v>
      </c>
      <c r="S809">
        <v>210.28</v>
      </c>
      <c r="T809">
        <v>144.61000000000001</v>
      </c>
      <c r="U809" t="s">
        <v>166</v>
      </c>
      <c r="V809" t="s">
        <v>181</v>
      </c>
      <c r="W809" t="s">
        <v>2093</v>
      </c>
      <c r="X809" t="s">
        <v>2100</v>
      </c>
      <c r="Y809">
        <v>252</v>
      </c>
      <c r="Z809">
        <v>137.18</v>
      </c>
      <c r="AA809">
        <v>75.08</v>
      </c>
      <c r="AB809" t="s">
        <v>115</v>
      </c>
      <c r="AC809" t="s">
        <v>20</v>
      </c>
      <c r="AD809" t="s">
        <v>2095</v>
      </c>
      <c r="AE809" t="s">
        <v>2096</v>
      </c>
    </row>
    <row r="810" spans="1:31">
      <c r="A810" t="s">
        <v>275</v>
      </c>
      <c r="B810" s="1">
        <v>44999</v>
      </c>
      <c r="C810" t="s">
        <v>217</v>
      </c>
      <c r="D810">
        <v>2023</v>
      </c>
      <c r="E810" t="s">
        <v>162</v>
      </c>
      <c r="F810" t="s">
        <v>276</v>
      </c>
      <c r="G810" t="s">
        <v>50</v>
      </c>
      <c r="H810" t="s">
        <v>51</v>
      </c>
      <c r="I810" t="s">
        <v>41</v>
      </c>
      <c r="J810" t="s">
        <v>52</v>
      </c>
      <c r="K810" t="s">
        <v>209</v>
      </c>
      <c r="L810" t="s">
        <v>157</v>
      </c>
      <c r="M810">
        <v>2</v>
      </c>
      <c r="N810">
        <v>143.80000000000001</v>
      </c>
      <c r="O810">
        <v>287.60000000000002</v>
      </c>
      <c r="P810">
        <v>0</v>
      </c>
      <c r="Q810">
        <v>0</v>
      </c>
      <c r="R810">
        <v>287.60000000000002</v>
      </c>
      <c r="S810">
        <v>124.3</v>
      </c>
      <c r="T810">
        <v>163.30000000000001</v>
      </c>
      <c r="U810" t="s">
        <v>195</v>
      </c>
      <c r="V810" t="s">
        <v>181</v>
      </c>
      <c r="W810" t="s">
        <v>2113</v>
      </c>
      <c r="X810" t="s">
        <v>2100</v>
      </c>
      <c r="Y810">
        <v>76</v>
      </c>
      <c r="Z810">
        <v>266.74</v>
      </c>
      <c r="AA810">
        <v>34.869999999999997</v>
      </c>
      <c r="AB810" t="s">
        <v>66</v>
      </c>
      <c r="AC810" t="s">
        <v>16</v>
      </c>
      <c r="AD810" t="s">
        <v>2095</v>
      </c>
      <c r="AE810" t="s">
        <v>2088</v>
      </c>
    </row>
    <row r="811" spans="1:31">
      <c r="A811" t="s">
        <v>404</v>
      </c>
      <c r="B811" s="1">
        <v>44999</v>
      </c>
      <c r="C811" t="s">
        <v>217</v>
      </c>
      <c r="D811">
        <v>2023</v>
      </c>
      <c r="E811" t="s">
        <v>162</v>
      </c>
      <c r="F811" t="s">
        <v>405</v>
      </c>
      <c r="G811" t="s">
        <v>37</v>
      </c>
      <c r="H811" t="s">
        <v>38</v>
      </c>
      <c r="I811" t="s">
        <v>14</v>
      </c>
      <c r="J811" t="s">
        <v>27</v>
      </c>
      <c r="K811" t="s">
        <v>209</v>
      </c>
      <c r="L811" t="s">
        <v>174</v>
      </c>
      <c r="M811">
        <v>4</v>
      </c>
      <c r="N811">
        <v>133.99</v>
      </c>
      <c r="O811">
        <v>535.96</v>
      </c>
      <c r="P811">
        <v>0</v>
      </c>
      <c r="Q811">
        <v>0</v>
      </c>
      <c r="R811">
        <v>535.96</v>
      </c>
      <c r="S811">
        <v>293.95999999999998</v>
      </c>
      <c r="T811">
        <v>242</v>
      </c>
      <c r="U811" t="s">
        <v>166</v>
      </c>
      <c r="V811" t="s">
        <v>159</v>
      </c>
      <c r="W811" t="s">
        <v>2099</v>
      </c>
      <c r="X811" t="s">
        <v>2091</v>
      </c>
      <c r="Y811">
        <v>294</v>
      </c>
      <c r="Z811">
        <v>143.74</v>
      </c>
      <c r="AA811">
        <v>54.85</v>
      </c>
      <c r="AB811" t="s">
        <v>90</v>
      </c>
      <c r="AC811" t="s">
        <v>20</v>
      </c>
      <c r="AD811" t="s">
        <v>2095</v>
      </c>
      <c r="AE811" t="s">
        <v>2107</v>
      </c>
    </row>
    <row r="812" spans="1:31">
      <c r="A812" t="s">
        <v>1603</v>
      </c>
      <c r="B812" s="1">
        <v>44998</v>
      </c>
      <c r="C812" t="s">
        <v>217</v>
      </c>
      <c r="D812">
        <v>2023</v>
      </c>
      <c r="E812" t="s">
        <v>162</v>
      </c>
      <c r="F812" t="s">
        <v>1604</v>
      </c>
      <c r="G812" t="s">
        <v>120</v>
      </c>
      <c r="H812" t="s">
        <v>121</v>
      </c>
      <c r="I812" t="s">
        <v>115</v>
      </c>
      <c r="J812" t="s">
        <v>119</v>
      </c>
      <c r="K812" t="s">
        <v>164</v>
      </c>
      <c r="L812" t="s">
        <v>179</v>
      </c>
      <c r="M812">
        <v>2</v>
      </c>
      <c r="N812">
        <v>197.52</v>
      </c>
      <c r="O812">
        <v>395.04</v>
      </c>
      <c r="P812">
        <v>5</v>
      </c>
      <c r="Q812">
        <v>19.75</v>
      </c>
      <c r="R812">
        <v>375.29</v>
      </c>
      <c r="S812">
        <v>133.08000000000001</v>
      </c>
      <c r="T812">
        <v>242.21</v>
      </c>
      <c r="U812" t="s">
        <v>195</v>
      </c>
      <c r="V812" t="s">
        <v>186</v>
      </c>
      <c r="W812" t="s">
        <v>2093</v>
      </c>
      <c r="X812" t="s">
        <v>2108</v>
      </c>
      <c r="Y812">
        <v>207</v>
      </c>
      <c r="Z812">
        <v>76.209999999999994</v>
      </c>
      <c r="AA812">
        <v>59.5</v>
      </c>
      <c r="AB812" t="s">
        <v>90</v>
      </c>
      <c r="AC812" t="s">
        <v>16</v>
      </c>
      <c r="AD812" t="s">
        <v>2095</v>
      </c>
      <c r="AE812" t="s">
        <v>2107</v>
      </c>
    </row>
    <row r="813" spans="1:31">
      <c r="A813" t="s">
        <v>1592</v>
      </c>
      <c r="B813" s="1">
        <v>44998</v>
      </c>
      <c r="C813" t="s">
        <v>217</v>
      </c>
      <c r="D813">
        <v>2023</v>
      </c>
      <c r="E813" t="s">
        <v>162</v>
      </c>
      <c r="F813" t="s">
        <v>1593</v>
      </c>
      <c r="G813" t="s">
        <v>28</v>
      </c>
      <c r="H813" t="s">
        <v>29</v>
      </c>
      <c r="I813" t="s">
        <v>14</v>
      </c>
      <c r="J813" t="s">
        <v>19</v>
      </c>
      <c r="K813" t="s">
        <v>209</v>
      </c>
      <c r="L813" t="s">
        <v>179</v>
      </c>
      <c r="M813">
        <v>2</v>
      </c>
      <c r="N813">
        <v>26.46</v>
      </c>
      <c r="O813">
        <v>52.92</v>
      </c>
      <c r="P813">
        <v>20</v>
      </c>
      <c r="Q813">
        <v>10.58</v>
      </c>
      <c r="R813">
        <v>42.34</v>
      </c>
      <c r="S813">
        <v>38.840000000000003</v>
      </c>
      <c r="T813">
        <v>3.5</v>
      </c>
      <c r="U813" t="s">
        <v>190</v>
      </c>
      <c r="V813" t="s">
        <v>159</v>
      </c>
      <c r="W813" t="s">
        <v>2099</v>
      </c>
      <c r="X813" t="s">
        <v>2091</v>
      </c>
      <c r="Y813">
        <v>49</v>
      </c>
      <c r="Z813">
        <v>83.89</v>
      </c>
      <c r="AA813">
        <v>56.25</v>
      </c>
      <c r="AB813" t="s">
        <v>14</v>
      </c>
      <c r="AC813" t="s">
        <v>16</v>
      </c>
      <c r="AD813" t="s">
        <v>2095</v>
      </c>
      <c r="AE813" t="s">
        <v>2096</v>
      </c>
    </row>
    <row r="814" spans="1:31">
      <c r="A814" t="s">
        <v>356</v>
      </c>
      <c r="B814" s="1">
        <v>44998</v>
      </c>
      <c r="C814" t="s">
        <v>217</v>
      </c>
      <c r="D814">
        <v>2023</v>
      </c>
      <c r="E814" t="s">
        <v>162</v>
      </c>
      <c r="F814" t="s">
        <v>357</v>
      </c>
      <c r="G814" t="s">
        <v>117</v>
      </c>
      <c r="H814" t="s">
        <v>118</v>
      </c>
      <c r="I814" t="s">
        <v>115</v>
      </c>
      <c r="J814" t="s">
        <v>119</v>
      </c>
      <c r="K814" t="s">
        <v>209</v>
      </c>
      <c r="L814" t="s">
        <v>194</v>
      </c>
      <c r="M814">
        <v>4</v>
      </c>
      <c r="N814">
        <v>93.41</v>
      </c>
      <c r="O814">
        <v>373.64</v>
      </c>
      <c r="P814">
        <v>0</v>
      </c>
      <c r="Q814">
        <v>0</v>
      </c>
      <c r="R814">
        <v>373.64</v>
      </c>
      <c r="S814">
        <v>256.2</v>
      </c>
      <c r="T814">
        <v>117.44</v>
      </c>
      <c r="U814" t="s">
        <v>180</v>
      </c>
      <c r="V814" t="s">
        <v>159</v>
      </c>
      <c r="W814" t="s">
        <v>2099</v>
      </c>
      <c r="X814" t="s">
        <v>2086</v>
      </c>
      <c r="Y814">
        <v>359</v>
      </c>
      <c r="Z814">
        <v>33.03</v>
      </c>
      <c r="AA814">
        <v>62.14</v>
      </c>
      <c r="AB814" t="s">
        <v>14</v>
      </c>
      <c r="AC814" t="s">
        <v>16</v>
      </c>
      <c r="AD814" t="s">
        <v>2087</v>
      </c>
      <c r="AE814" t="s">
        <v>2096</v>
      </c>
    </row>
    <row r="815" spans="1:31">
      <c r="A815" t="s">
        <v>1223</v>
      </c>
      <c r="B815" s="1">
        <v>44998</v>
      </c>
      <c r="C815" t="s">
        <v>217</v>
      </c>
      <c r="D815">
        <v>2023</v>
      </c>
      <c r="E815" t="s">
        <v>162</v>
      </c>
      <c r="F815" t="s">
        <v>1224</v>
      </c>
      <c r="G815" t="s">
        <v>88</v>
      </c>
      <c r="H815" t="s">
        <v>89</v>
      </c>
      <c r="I815" t="s">
        <v>90</v>
      </c>
      <c r="J815" t="s">
        <v>91</v>
      </c>
      <c r="K815" t="s">
        <v>156</v>
      </c>
      <c r="L815" t="s">
        <v>157</v>
      </c>
      <c r="M815">
        <v>1</v>
      </c>
      <c r="N815">
        <v>54.64</v>
      </c>
      <c r="O815">
        <v>54.64</v>
      </c>
      <c r="P815">
        <v>10</v>
      </c>
      <c r="Q815">
        <v>5.46</v>
      </c>
      <c r="R815">
        <v>49.18</v>
      </c>
      <c r="S815">
        <v>20.32</v>
      </c>
      <c r="T815">
        <v>28.86</v>
      </c>
      <c r="U815" t="s">
        <v>158</v>
      </c>
      <c r="V815" t="s">
        <v>181</v>
      </c>
      <c r="W815" t="s">
        <v>2090</v>
      </c>
      <c r="X815" t="s">
        <v>2094</v>
      </c>
      <c r="Y815">
        <v>95</v>
      </c>
      <c r="Z815">
        <v>113.34</v>
      </c>
      <c r="AA815">
        <v>57.34</v>
      </c>
      <c r="AB815" t="s">
        <v>14</v>
      </c>
      <c r="AC815" t="s">
        <v>16</v>
      </c>
      <c r="AD815" t="s">
        <v>2106</v>
      </c>
      <c r="AE815" t="s">
        <v>2121</v>
      </c>
    </row>
    <row r="816" spans="1:31">
      <c r="A816" t="s">
        <v>527</v>
      </c>
      <c r="B816" s="1">
        <v>44998</v>
      </c>
      <c r="C816" t="s">
        <v>217</v>
      </c>
      <c r="D816">
        <v>2023</v>
      </c>
      <c r="E816" t="s">
        <v>162</v>
      </c>
      <c r="F816" t="s">
        <v>528</v>
      </c>
      <c r="G816" t="s">
        <v>50</v>
      </c>
      <c r="H816" t="s">
        <v>51</v>
      </c>
      <c r="I816" t="s">
        <v>41</v>
      </c>
      <c r="J816" t="s">
        <v>52</v>
      </c>
      <c r="K816" t="s">
        <v>164</v>
      </c>
      <c r="L816" t="s">
        <v>174</v>
      </c>
      <c r="M816">
        <v>1</v>
      </c>
      <c r="N816">
        <v>143.80000000000001</v>
      </c>
      <c r="O816">
        <v>143.80000000000001</v>
      </c>
      <c r="P816">
        <v>0</v>
      </c>
      <c r="Q816">
        <v>0</v>
      </c>
      <c r="R816">
        <v>143.80000000000001</v>
      </c>
      <c r="S816">
        <v>62.15</v>
      </c>
      <c r="T816">
        <v>81.650000000000006</v>
      </c>
      <c r="U816" t="s">
        <v>195</v>
      </c>
      <c r="V816" t="s">
        <v>181</v>
      </c>
      <c r="W816" t="s">
        <v>2099</v>
      </c>
      <c r="X816" t="s">
        <v>2086</v>
      </c>
      <c r="Y816">
        <v>32</v>
      </c>
      <c r="Z816">
        <v>21</v>
      </c>
      <c r="AA816">
        <v>21.98</v>
      </c>
      <c r="AB816" t="s">
        <v>66</v>
      </c>
      <c r="AC816" t="s">
        <v>16</v>
      </c>
      <c r="AD816" t="s">
        <v>2087</v>
      </c>
      <c r="AE816" t="s">
        <v>2121</v>
      </c>
    </row>
    <row r="817" spans="1:31">
      <c r="A817" t="s">
        <v>1260</v>
      </c>
      <c r="B817" s="1">
        <v>44997</v>
      </c>
      <c r="C817" t="s">
        <v>217</v>
      </c>
      <c r="D817">
        <v>2023</v>
      </c>
      <c r="E817" t="s">
        <v>162</v>
      </c>
      <c r="F817" t="s">
        <v>1261</v>
      </c>
      <c r="G817" t="s">
        <v>71</v>
      </c>
      <c r="H817" t="s">
        <v>72</v>
      </c>
      <c r="I817" t="s">
        <v>66</v>
      </c>
      <c r="J817" t="s">
        <v>70</v>
      </c>
      <c r="K817" t="s">
        <v>209</v>
      </c>
      <c r="L817" t="s">
        <v>165</v>
      </c>
      <c r="M817">
        <v>4</v>
      </c>
      <c r="N817">
        <v>26.7</v>
      </c>
      <c r="O817">
        <v>106.8</v>
      </c>
      <c r="P817">
        <v>15</v>
      </c>
      <c r="Q817">
        <v>16.02</v>
      </c>
      <c r="R817">
        <v>90.78</v>
      </c>
      <c r="S817">
        <v>49.08</v>
      </c>
      <c r="T817">
        <v>41.7</v>
      </c>
      <c r="U817" t="s">
        <v>190</v>
      </c>
      <c r="V817" t="s">
        <v>186</v>
      </c>
      <c r="W817" t="s">
        <v>2093</v>
      </c>
      <c r="X817" t="s">
        <v>2086</v>
      </c>
      <c r="Y817">
        <v>40</v>
      </c>
      <c r="Z817">
        <v>88.78</v>
      </c>
      <c r="AA817">
        <v>52.28</v>
      </c>
      <c r="AB817" t="s">
        <v>90</v>
      </c>
      <c r="AC817" t="s">
        <v>16</v>
      </c>
      <c r="AD817" t="s">
        <v>2095</v>
      </c>
      <c r="AE817" t="s">
        <v>2121</v>
      </c>
    </row>
    <row r="818" spans="1:31">
      <c r="A818" t="s">
        <v>1415</v>
      </c>
      <c r="B818" s="1">
        <v>44996</v>
      </c>
      <c r="C818" t="s">
        <v>217</v>
      </c>
      <c r="D818">
        <v>2023</v>
      </c>
      <c r="E818" t="s">
        <v>162</v>
      </c>
      <c r="F818" t="s">
        <v>1416</v>
      </c>
      <c r="G818" t="s">
        <v>109</v>
      </c>
      <c r="H818" t="s">
        <v>110</v>
      </c>
      <c r="I818" t="s">
        <v>90</v>
      </c>
      <c r="J818" t="s">
        <v>100</v>
      </c>
      <c r="K818" t="s">
        <v>178</v>
      </c>
      <c r="L818" t="s">
        <v>174</v>
      </c>
      <c r="M818">
        <v>1</v>
      </c>
      <c r="N818">
        <v>77.67</v>
      </c>
      <c r="O818">
        <v>77.67</v>
      </c>
      <c r="P818">
        <v>10</v>
      </c>
      <c r="Q818">
        <v>7.77</v>
      </c>
      <c r="R818">
        <v>69.900000000000006</v>
      </c>
      <c r="S818">
        <v>28.12</v>
      </c>
      <c r="T818">
        <v>41.78</v>
      </c>
      <c r="U818" t="s">
        <v>195</v>
      </c>
      <c r="V818" t="s">
        <v>159</v>
      </c>
      <c r="W818" t="s">
        <v>2093</v>
      </c>
      <c r="X818" t="s">
        <v>2100</v>
      </c>
      <c r="Y818">
        <v>128</v>
      </c>
      <c r="Z818">
        <v>40.21</v>
      </c>
      <c r="AA818">
        <v>78.89</v>
      </c>
      <c r="AB818" t="s">
        <v>41</v>
      </c>
      <c r="AC818" t="s">
        <v>16</v>
      </c>
      <c r="AD818" t="s">
        <v>2095</v>
      </c>
      <c r="AE818" t="s">
        <v>2096</v>
      </c>
    </row>
    <row r="819" spans="1:31">
      <c r="A819" t="s">
        <v>358</v>
      </c>
      <c r="B819" s="1">
        <v>44996</v>
      </c>
      <c r="C819" t="s">
        <v>217</v>
      </c>
      <c r="D819">
        <v>2023</v>
      </c>
      <c r="E819" t="s">
        <v>162</v>
      </c>
      <c r="F819" t="s">
        <v>359</v>
      </c>
      <c r="G819" t="s">
        <v>30</v>
      </c>
      <c r="H819" t="s">
        <v>31</v>
      </c>
      <c r="I819" t="s">
        <v>14</v>
      </c>
      <c r="J819" t="s">
        <v>32</v>
      </c>
      <c r="K819" t="s">
        <v>164</v>
      </c>
      <c r="L819" t="s">
        <v>194</v>
      </c>
      <c r="M819">
        <v>2</v>
      </c>
      <c r="N819">
        <v>113.18</v>
      </c>
      <c r="O819">
        <v>226.36</v>
      </c>
      <c r="P819">
        <v>10</v>
      </c>
      <c r="Q819">
        <v>22.64</v>
      </c>
      <c r="R819">
        <v>203.72</v>
      </c>
      <c r="S819">
        <v>78.02</v>
      </c>
      <c r="T819">
        <v>125.7</v>
      </c>
      <c r="U819" t="s">
        <v>166</v>
      </c>
      <c r="V819" t="s">
        <v>186</v>
      </c>
      <c r="W819" t="s">
        <v>2085</v>
      </c>
      <c r="X819" t="s">
        <v>2100</v>
      </c>
      <c r="Y819">
        <v>202</v>
      </c>
      <c r="Z819">
        <v>2153.31</v>
      </c>
      <c r="AA819">
        <v>181.08</v>
      </c>
      <c r="AB819" t="s">
        <v>66</v>
      </c>
      <c r="AC819" t="s">
        <v>16</v>
      </c>
      <c r="AD819" t="s">
        <v>2087</v>
      </c>
      <c r="AE819" t="s">
        <v>2096</v>
      </c>
    </row>
    <row r="820" spans="1:31">
      <c r="A820" t="s">
        <v>493</v>
      </c>
      <c r="B820" s="1">
        <v>44996</v>
      </c>
      <c r="C820" t="s">
        <v>217</v>
      </c>
      <c r="D820">
        <v>2023</v>
      </c>
      <c r="E820" t="s">
        <v>162</v>
      </c>
      <c r="F820" t="s">
        <v>494</v>
      </c>
      <c r="G820" t="s">
        <v>113</v>
      </c>
      <c r="H820" t="s">
        <v>114</v>
      </c>
      <c r="I820" t="s">
        <v>115</v>
      </c>
      <c r="J820" t="s">
        <v>116</v>
      </c>
      <c r="K820" t="s">
        <v>164</v>
      </c>
      <c r="L820" t="s">
        <v>174</v>
      </c>
      <c r="M820">
        <v>2</v>
      </c>
      <c r="N820">
        <v>18.7</v>
      </c>
      <c r="O820">
        <v>37.4</v>
      </c>
      <c r="P820">
        <v>20</v>
      </c>
      <c r="Q820">
        <v>7.48</v>
      </c>
      <c r="R820">
        <v>29.92</v>
      </c>
      <c r="S820">
        <v>13.72</v>
      </c>
      <c r="T820">
        <v>16.2</v>
      </c>
      <c r="U820" t="s">
        <v>195</v>
      </c>
      <c r="V820" t="s">
        <v>159</v>
      </c>
      <c r="W820" t="s">
        <v>2099</v>
      </c>
      <c r="X820" t="s">
        <v>2091</v>
      </c>
      <c r="Y820">
        <v>351</v>
      </c>
      <c r="Z820">
        <v>129.6</v>
      </c>
      <c r="AA820">
        <v>95.02</v>
      </c>
      <c r="AB820" t="s">
        <v>14</v>
      </c>
      <c r="AC820" t="s">
        <v>16</v>
      </c>
      <c r="AD820" t="s">
        <v>2095</v>
      </c>
      <c r="AE820" t="s">
        <v>2109</v>
      </c>
    </row>
    <row r="821" spans="1:31">
      <c r="A821" t="s">
        <v>1539</v>
      </c>
      <c r="B821" s="1">
        <v>44996</v>
      </c>
      <c r="C821" t="s">
        <v>217</v>
      </c>
      <c r="D821">
        <v>2023</v>
      </c>
      <c r="E821" t="s">
        <v>162</v>
      </c>
      <c r="F821" t="s">
        <v>1540</v>
      </c>
      <c r="G821" t="s">
        <v>88</v>
      </c>
      <c r="H821" t="s">
        <v>89</v>
      </c>
      <c r="I821" t="s">
        <v>90</v>
      </c>
      <c r="J821" t="s">
        <v>91</v>
      </c>
      <c r="K821" t="s">
        <v>156</v>
      </c>
      <c r="L821" t="s">
        <v>165</v>
      </c>
      <c r="M821">
        <v>1</v>
      </c>
      <c r="N821">
        <v>54.64</v>
      </c>
      <c r="O821">
        <v>54.64</v>
      </c>
      <c r="P821">
        <v>15</v>
      </c>
      <c r="Q821">
        <v>8.1999999999999993</v>
      </c>
      <c r="R821">
        <v>46.44</v>
      </c>
      <c r="S821">
        <v>20.32</v>
      </c>
      <c r="T821">
        <v>26.12</v>
      </c>
      <c r="U821" t="s">
        <v>180</v>
      </c>
      <c r="V821" t="s">
        <v>181</v>
      </c>
      <c r="W821" t="s">
        <v>2099</v>
      </c>
      <c r="X821" t="s">
        <v>2111</v>
      </c>
      <c r="Y821">
        <v>72</v>
      </c>
      <c r="Z821">
        <v>80.930000000000007</v>
      </c>
      <c r="AA821">
        <v>58.63</v>
      </c>
      <c r="AB821" t="s">
        <v>90</v>
      </c>
      <c r="AC821" t="s">
        <v>20</v>
      </c>
      <c r="AD821" t="s">
        <v>2106</v>
      </c>
      <c r="AE821" t="s">
        <v>2096</v>
      </c>
    </row>
    <row r="822" spans="1:31">
      <c r="A822" t="s">
        <v>626</v>
      </c>
      <c r="B822" s="1">
        <v>44995</v>
      </c>
      <c r="C822" t="s">
        <v>217</v>
      </c>
      <c r="D822">
        <v>2023</v>
      </c>
      <c r="E822" t="s">
        <v>162</v>
      </c>
      <c r="F822" t="s">
        <v>627</v>
      </c>
      <c r="G822" t="s">
        <v>73</v>
      </c>
      <c r="H822" t="s">
        <v>74</v>
      </c>
      <c r="I822" t="s">
        <v>66</v>
      </c>
      <c r="J822" t="s">
        <v>75</v>
      </c>
      <c r="K822" t="s">
        <v>156</v>
      </c>
      <c r="L822" t="s">
        <v>204</v>
      </c>
      <c r="M822">
        <v>2</v>
      </c>
      <c r="N822">
        <v>53.95</v>
      </c>
      <c r="O822">
        <v>107.9</v>
      </c>
      <c r="P822">
        <v>0</v>
      </c>
      <c r="Q822">
        <v>0</v>
      </c>
      <c r="R822">
        <v>107.9</v>
      </c>
      <c r="S822">
        <v>70.400000000000006</v>
      </c>
      <c r="T822">
        <v>37.5</v>
      </c>
      <c r="U822" t="s">
        <v>166</v>
      </c>
      <c r="V822" t="s">
        <v>159</v>
      </c>
      <c r="W822" t="s">
        <v>2099</v>
      </c>
      <c r="X822" t="s">
        <v>2108</v>
      </c>
      <c r="Y822">
        <v>183</v>
      </c>
      <c r="Z822">
        <v>149.97999999999999</v>
      </c>
      <c r="AA822">
        <v>49.44</v>
      </c>
      <c r="AB822" t="s">
        <v>115</v>
      </c>
      <c r="AC822" t="s">
        <v>20</v>
      </c>
      <c r="AD822" t="s">
        <v>2087</v>
      </c>
      <c r="AE822" t="s">
        <v>2096</v>
      </c>
    </row>
    <row r="823" spans="1:31">
      <c r="A823" t="s">
        <v>1931</v>
      </c>
      <c r="B823" s="1">
        <v>44995</v>
      </c>
      <c r="C823" t="s">
        <v>217</v>
      </c>
      <c r="D823">
        <v>2023</v>
      </c>
      <c r="E823" t="s">
        <v>162</v>
      </c>
      <c r="F823" t="s">
        <v>1932</v>
      </c>
      <c r="G823" t="s">
        <v>64</v>
      </c>
      <c r="H823" t="s">
        <v>65</v>
      </c>
      <c r="I823" t="s">
        <v>66</v>
      </c>
      <c r="J823" t="s">
        <v>67</v>
      </c>
      <c r="K823" t="s">
        <v>156</v>
      </c>
      <c r="L823" t="s">
        <v>165</v>
      </c>
      <c r="M823">
        <v>4</v>
      </c>
      <c r="N823">
        <v>24.9</v>
      </c>
      <c r="O823">
        <v>99.6</v>
      </c>
      <c r="P823">
        <v>5</v>
      </c>
      <c r="Q823">
        <v>4.9800000000000004</v>
      </c>
      <c r="R823">
        <v>94.62</v>
      </c>
      <c r="S823">
        <v>86.08</v>
      </c>
      <c r="T823">
        <v>8.5399999999999991</v>
      </c>
      <c r="U823" t="s">
        <v>166</v>
      </c>
      <c r="V823" t="s">
        <v>159</v>
      </c>
      <c r="W823" t="s">
        <v>2085</v>
      </c>
      <c r="X823" t="s">
        <v>2111</v>
      </c>
      <c r="Y823">
        <v>15</v>
      </c>
      <c r="Z823">
        <v>1981.99</v>
      </c>
      <c r="AA823">
        <v>126.4</v>
      </c>
      <c r="AB823" t="s">
        <v>41</v>
      </c>
      <c r="AC823" t="s">
        <v>20</v>
      </c>
      <c r="AD823" t="s">
        <v>2095</v>
      </c>
      <c r="AE823" t="s">
        <v>2096</v>
      </c>
    </row>
    <row r="824" spans="1:31">
      <c r="A824" t="s">
        <v>1379</v>
      </c>
      <c r="B824" s="1">
        <v>44995</v>
      </c>
      <c r="C824" t="s">
        <v>217</v>
      </c>
      <c r="D824">
        <v>2023</v>
      </c>
      <c r="E824" t="s">
        <v>162</v>
      </c>
      <c r="F824" t="s">
        <v>1380</v>
      </c>
      <c r="G824" t="s">
        <v>17</v>
      </c>
      <c r="H824" t="s">
        <v>18</v>
      </c>
      <c r="I824" t="s">
        <v>14</v>
      </c>
      <c r="J824" t="s">
        <v>19</v>
      </c>
      <c r="K824" t="s">
        <v>209</v>
      </c>
      <c r="L824" t="s">
        <v>204</v>
      </c>
      <c r="M824">
        <v>4</v>
      </c>
      <c r="N824">
        <v>53.26</v>
      </c>
      <c r="O824">
        <v>213.04</v>
      </c>
      <c r="P824">
        <v>0</v>
      </c>
      <c r="Q824">
        <v>0</v>
      </c>
      <c r="R824">
        <v>213.04</v>
      </c>
      <c r="S824">
        <v>146.56</v>
      </c>
      <c r="T824">
        <v>66.48</v>
      </c>
      <c r="U824" t="s">
        <v>180</v>
      </c>
      <c r="V824" t="s">
        <v>181</v>
      </c>
      <c r="W824" t="s">
        <v>2097</v>
      </c>
      <c r="X824" t="s">
        <v>2091</v>
      </c>
      <c r="Y824">
        <v>323</v>
      </c>
      <c r="Z824">
        <v>281.42</v>
      </c>
      <c r="AA824">
        <v>81.09</v>
      </c>
      <c r="AB824" t="s">
        <v>14</v>
      </c>
      <c r="AC824" t="s">
        <v>16</v>
      </c>
      <c r="AD824" t="s">
        <v>2087</v>
      </c>
      <c r="AE824" t="s">
        <v>2107</v>
      </c>
    </row>
    <row r="825" spans="1:31">
      <c r="A825" t="s">
        <v>1125</v>
      </c>
      <c r="B825" s="1">
        <v>44995</v>
      </c>
      <c r="C825" t="s">
        <v>217</v>
      </c>
      <c r="D825">
        <v>2023</v>
      </c>
      <c r="E825" t="s">
        <v>162</v>
      </c>
      <c r="F825" t="s">
        <v>1126</v>
      </c>
      <c r="G825" t="s">
        <v>60</v>
      </c>
      <c r="H825" t="s">
        <v>61</v>
      </c>
      <c r="I825" t="s">
        <v>41</v>
      </c>
      <c r="J825" t="s">
        <v>59</v>
      </c>
      <c r="K825" t="s">
        <v>164</v>
      </c>
      <c r="L825" t="s">
        <v>232</v>
      </c>
      <c r="M825">
        <v>4</v>
      </c>
      <c r="N825">
        <v>103.56</v>
      </c>
      <c r="O825">
        <v>414.24</v>
      </c>
      <c r="P825">
        <v>20</v>
      </c>
      <c r="Q825">
        <v>82.85</v>
      </c>
      <c r="R825">
        <v>331.39</v>
      </c>
      <c r="S825">
        <v>178.32</v>
      </c>
      <c r="T825">
        <v>153.07</v>
      </c>
      <c r="U825" t="s">
        <v>166</v>
      </c>
      <c r="V825" t="s">
        <v>159</v>
      </c>
      <c r="W825" t="s">
        <v>2090</v>
      </c>
      <c r="X825" t="s">
        <v>2108</v>
      </c>
      <c r="Y825">
        <v>344</v>
      </c>
      <c r="Z825">
        <v>220.19</v>
      </c>
      <c r="AA825">
        <v>51.42</v>
      </c>
      <c r="AB825" t="s">
        <v>115</v>
      </c>
      <c r="AC825" t="s">
        <v>16</v>
      </c>
      <c r="AD825" t="s">
        <v>2095</v>
      </c>
      <c r="AE825" t="s">
        <v>2088</v>
      </c>
    </row>
    <row r="826" spans="1:31">
      <c r="A826" t="s">
        <v>1574</v>
      </c>
      <c r="B826" s="1">
        <v>44994</v>
      </c>
      <c r="C826" t="s">
        <v>217</v>
      </c>
      <c r="D826">
        <v>2023</v>
      </c>
      <c r="E826" t="s">
        <v>162</v>
      </c>
      <c r="F826" t="s">
        <v>1575</v>
      </c>
      <c r="G826" t="s">
        <v>28</v>
      </c>
      <c r="H826" t="s">
        <v>29</v>
      </c>
      <c r="I826" t="s">
        <v>14</v>
      </c>
      <c r="J826" t="s">
        <v>19</v>
      </c>
      <c r="K826" t="s">
        <v>164</v>
      </c>
      <c r="L826" t="s">
        <v>174</v>
      </c>
      <c r="M826">
        <v>4</v>
      </c>
      <c r="N826">
        <v>26.46</v>
      </c>
      <c r="O826">
        <v>105.84</v>
      </c>
      <c r="P826">
        <v>10</v>
      </c>
      <c r="Q826">
        <v>10.58</v>
      </c>
      <c r="R826">
        <v>95.26</v>
      </c>
      <c r="S826">
        <v>77.680000000000007</v>
      </c>
      <c r="T826">
        <v>17.579999999999998</v>
      </c>
      <c r="U826" t="s">
        <v>180</v>
      </c>
      <c r="V826" t="s">
        <v>159</v>
      </c>
      <c r="W826" t="s">
        <v>2093</v>
      </c>
      <c r="X826" t="s">
        <v>2108</v>
      </c>
      <c r="Y826">
        <v>81</v>
      </c>
      <c r="Z826">
        <v>84.71</v>
      </c>
      <c r="AA826">
        <v>62.53</v>
      </c>
      <c r="AB826" t="s">
        <v>14</v>
      </c>
      <c r="AC826" t="s">
        <v>16</v>
      </c>
      <c r="AD826" t="s">
        <v>2087</v>
      </c>
      <c r="AE826" t="s">
        <v>2107</v>
      </c>
    </row>
    <row r="827" spans="1:31">
      <c r="A827" t="s">
        <v>342</v>
      </c>
      <c r="B827" s="1">
        <v>44994</v>
      </c>
      <c r="C827" t="s">
        <v>217</v>
      </c>
      <c r="D827">
        <v>2023</v>
      </c>
      <c r="E827" t="s">
        <v>162</v>
      </c>
      <c r="F827" t="s">
        <v>343</v>
      </c>
      <c r="G827" t="s">
        <v>107</v>
      </c>
      <c r="H827" t="s">
        <v>108</v>
      </c>
      <c r="I827" t="s">
        <v>90</v>
      </c>
      <c r="J827" t="s">
        <v>100</v>
      </c>
      <c r="K827" t="s">
        <v>178</v>
      </c>
      <c r="L827" t="s">
        <v>194</v>
      </c>
      <c r="M827">
        <v>3</v>
      </c>
      <c r="N827">
        <v>26.61</v>
      </c>
      <c r="O827">
        <v>79.83</v>
      </c>
      <c r="P827">
        <v>15</v>
      </c>
      <c r="Q827">
        <v>11.97</v>
      </c>
      <c r="R827">
        <v>67.86</v>
      </c>
      <c r="S827">
        <v>31.92</v>
      </c>
      <c r="T827">
        <v>35.94</v>
      </c>
      <c r="U827" t="s">
        <v>180</v>
      </c>
      <c r="V827" t="s">
        <v>159</v>
      </c>
      <c r="W827" t="s">
        <v>2097</v>
      </c>
      <c r="X827" t="s">
        <v>2100</v>
      </c>
      <c r="Y827">
        <v>91</v>
      </c>
      <c r="Z827">
        <v>498.06</v>
      </c>
      <c r="AA827">
        <v>148.52000000000001</v>
      </c>
      <c r="AB827" t="s">
        <v>41</v>
      </c>
      <c r="AC827" t="s">
        <v>16</v>
      </c>
      <c r="AD827" t="s">
        <v>2095</v>
      </c>
      <c r="AE827" t="s">
        <v>2109</v>
      </c>
    </row>
    <row r="828" spans="1:31">
      <c r="A828" t="s">
        <v>831</v>
      </c>
      <c r="B828" s="1">
        <v>44994</v>
      </c>
      <c r="C828" t="s">
        <v>217</v>
      </c>
      <c r="D828">
        <v>2023</v>
      </c>
      <c r="E828" t="s">
        <v>162</v>
      </c>
      <c r="F828" t="s">
        <v>832</v>
      </c>
      <c r="G828" t="s">
        <v>33</v>
      </c>
      <c r="H828" t="s">
        <v>34</v>
      </c>
      <c r="I828" t="s">
        <v>14</v>
      </c>
      <c r="J828" t="s">
        <v>27</v>
      </c>
      <c r="K828" t="s">
        <v>209</v>
      </c>
      <c r="L828" t="s">
        <v>157</v>
      </c>
      <c r="M828">
        <v>4</v>
      </c>
      <c r="N828">
        <v>124.26</v>
      </c>
      <c r="O828">
        <v>497.04</v>
      </c>
      <c r="P828">
        <v>15</v>
      </c>
      <c r="Q828">
        <v>74.56</v>
      </c>
      <c r="R828">
        <v>422.48</v>
      </c>
      <c r="S828">
        <v>210.48</v>
      </c>
      <c r="T828">
        <v>212</v>
      </c>
      <c r="U828" t="s">
        <v>180</v>
      </c>
      <c r="V828" t="s">
        <v>159</v>
      </c>
      <c r="W828" t="s">
        <v>2093</v>
      </c>
      <c r="X828" t="s">
        <v>2111</v>
      </c>
      <c r="Y828">
        <v>17</v>
      </c>
      <c r="Z828">
        <v>60.28</v>
      </c>
      <c r="AA828">
        <v>51.74</v>
      </c>
      <c r="AB828" t="s">
        <v>90</v>
      </c>
      <c r="AC828" t="s">
        <v>20</v>
      </c>
      <c r="AD828" t="s">
        <v>2095</v>
      </c>
      <c r="AE828" t="s">
        <v>2121</v>
      </c>
    </row>
    <row r="829" spans="1:31">
      <c r="A829" t="s">
        <v>1087</v>
      </c>
      <c r="B829" s="1">
        <v>44994</v>
      </c>
      <c r="C829" t="s">
        <v>217</v>
      </c>
      <c r="D829">
        <v>2023</v>
      </c>
      <c r="E829" t="s">
        <v>162</v>
      </c>
      <c r="F829" t="s">
        <v>1088</v>
      </c>
      <c r="G829" t="s">
        <v>117</v>
      </c>
      <c r="H829" t="s">
        <v>118</v>
      </c>
      <c r="I829" t="s">
        <v>115</v>
      </c>
      <c r="J829" t="s">
        <v>119</v>
      </c>
      <c r="K829" t="s">
        <v>209</v>
      </c>
      <c r="L829" t="s">
        <v>179</v>
      </c>
      <c r="M829">
        <v>2</v>
      </c>
      <c r="N829">
        <v>93.41</v>
      </c>
      <c r="O829">
        <v>186.82</v>
      </c>
      <c r="P829">
        <v>0</v>
      </c>
      <c r="Q829">
        <v>0</v>
      </c>
      <c r="R829">
        <v>186.82</v>
      </c>
      <c r="S829">
        <v>128.1</v>
      </c>
      <c r="T829">
        <v>58.72</v>
      </c>
      <c r="U829" t="s">
        <v>190</v>
      </c>
      <c r="V829" t="s">
        <v>159</v>
      </c>
      <c r="W829" t="s">
        <v>2113</v>
      </c>
      <c r="X829" t="s">
        <v>2108</v>
      </c>
      <c r="Y829">
        <v>49</v>
      </c>
      <c r="Z829">
        <v>202.71</v>
      </c>
      <c r="AA829">
        <v>71.13</v>
      </c>
      <c r="AB829" t="s">
        <v>41</v>
      </c>
      <c r="AC829" t="s">
        <v>16</v>
      </c>
      <c r="AD829" t="s">
        <v>2106</v>
      </c>
      <c r="AE829" t="s">
        <v>2096</v>
      </c>
    </row>
    <row r="830" spans="1:31">
      <c r="A830" t="s">
        <v>823</v>
      </c>
      <c r="B830" s="1">
        <v>44994</v>
      </c>
      <c r="C830" t="s">
        <v>217</v>
      </c>
      <c r="D830">
        <v>2023</v>
      </c>
      <c r="E830" t="s">
        <v>162</v>
      </c>
      <c r="F830" t="s">
        <v>824</v>
      </c>
      <c r="G830" t="s">
        <v>82</v>
      </c>
      <c r="H830" t="s">
        <v>83</v>
      </c>
      <c r="I830" t="s">
        <v>66</v>
      </c>
      <c r="J830" t="s">
        <v>67</v>
      </c>
      <c r="K830" t="s">
        <v>178</v>
      </c>
      <c r="L830" t="s">
        <v>157</v>
      </c>
      <c r="M830">
        <v>2</v>
      </c>
      <c r="N830">
        <v>34.479999999999997</v>
      </c>
      <c r="O830">
        <v>68.959999999999994</v>
      </c>
      <c r="P830">
        <v>15</v>
      </c>
      <c r="Q830">
        <v>10.34</v>
      </c>
      <c r="R830">
        <v>58.62</v>
      </c>
      <c r="S830">
        <v>38.479999999999997</v>
      </c>
      <c r="T830">
        <v>20.14</v>
      </c>
      <c r="U830" t="s">
        <v>195</v>
      </c>
      <c r="V830" t="s">
        <v>159</v>
      </c>
      <c r="W830" t="s">
        <v>2113</v>
      </c>
      <c r="X830" t="s">
        <v>2108</v>
      </c>
      <c r="Y830">
        <v>357</v>
      </c>
      <c r="Z830">
        <v>546.02</v>
      </c>
      <c r="AA830">
        <v>67.92</v>
      </c>
      <c r="AB830" t="s">
        <v>66</v>
      </c>
      <c r="AC830" t="s">
        <v>16</v>
      </c>
      <c r="AD830" t="s">
        <v>2106</v>
      </c>
      <c r="AE830" t="s">
        <v>2088</v>
      </c>
    </row>
    <row r="831" spans="1:31">
      <c r="A831" t="s">
        <v>535</v>
      </c>
      <c r="B831" s="1">
        <v>44993</v>
      </c>
      <c r="C831" t="s">
        <v>217</v>
      </c>
      <c r="D831">
        <v>2023</v>
      </c>
      <c r="E831" t="s">
        <v>162</v>
      </c>
      <c r="F831" t="s">
        <v>536</v>
      </c>
      <c r="G831" t="s">
        <v>35</v>
      </c>
      <c r="H831" t="s">
        <v>36</v>
      </c>
      <c r="I831" t="s">
        <v>14</v>
      </c>
      <c r="J831" t="s">
        <v>19</v>
      </c>
      <c r="K831" t="s">
        <v>209</v>
      </c>
      <c r="L831" t="s">
        <v>179</v>
      </c>
      <c r="M831">
        <v>2</v>
      </c>
      <c r="N831">
        <v>81.599999999999994</v>
      </c>
      <c r="O831">
        <v>163.19999999999999</v>
      </c>
      <c r="P831">
        <v>20</v>
      </c>
      <c r="Q831">
        <v>32.64</v>
      </c>
      <c r="R831">
        <v>130.56</v>
      </c>
      <c r="S831">
        <v>58.64</v>
      </c>
      <c r="T831">
        <v>71.92</v>
      </c>
      <c r="U831" t="s">
        <v>158</v>
      </c>
      <c r="V831" t="s">
        <v>181</v>
      </c>
      <c r="W831" t="s">
        <v>2085</v>
      </c>
      <c r="X831" t="s">
        <v>2091</v>
      </c>
      <c r="Y831">
        <v>95</v>
      </c>
      <c r="Z831">
        <v>912.45</v>
      </c>
      <c r="AA831">
        <v>172.7</v>
      </c>
      <c r="AB831" t="s">
        <v>115</v>
      </c>
      <c r="AC831" t="s">
        <v>20</v>
      </c>
      <c r="AD831" t="s">
        <v>2106</v>
      </c>
      <c r="AE831" t="s">
        <v>2121</v>
      </c>
    </row>
    <row r="832" spans="1:31">
      <c r="A832" t="s">
        <v>935</v>
      </c>
      <c r="B832" s="1">
        <v>44993</v>
      </c>
      <c r="C832" t="s">
        <v>217</v>
      </c>
      <c r="D832">
        <v>2023</v>
      </c>
      <c r="E832" t="s">
        <v>162</v>
      </c>
      <c r="F832" t="s">
        <v>936</v>
      </c>
      <c r="G832" t="s">
        <v>68</v>
      </c>
      <c r="H832" t="s">
        <v>69</v>
      </c>
      <c r="I832" t="s">
        <v>66</v>
      </c>
      <c r="J832" t="s">
        <v>70</v>
      </c>
      <c r="K832" t="s">
        <v>156</v>
      </c>
      <c r="L832" t="s">
        <v>179</v>
      </c>
      <c r="M832">
        <v>2</v>
      </c>
      <c r="N832">
        <v>98.51</v>
      </c>
      <c r="O832">
        <v>197.02</v>
      </c>
      <c r="P832">
        <v>20</v>
      </c>
      <c r="Q832">
        <v>39.4</v>
      </c>
      <c r="R832">
        <v>157.62</v>
      </c>
      <c r="S832">
        <v>110.34</v>
      </c>
      <c r="T832">
        <v>47.28</v>
      </c>
      <c r="U832" t="s">
        <v>195</v>
      </c>
      <c r="V832" t="s">
        <v>159</v>
      </c>
      <c r="W832" t="s">
        <v>2093</v>
      </c>
      <c r="X832" t="s">
        <v>2091</v>
      </c>
      <c r="Y832">
        <v>212</v>
      </c>
      <c r="Z832">
        <v>74.03</v>
      </c>
      <c r="AA832">
        <v>62.75</v>
      </c>
      <c r="AB832" t="s">
        <v>41</v>
      </c>
      <c r="AC832" t="s">
        <v>20</v>
      </c>
      <c r="AD832" t="s">
        <v>2095</v>
      </c>
      <c r="AE832" t="s">
        <v>2121</v>
      </c>
    </row>
    <row r="833" spans="1:31">
      <c r="A833" t="s">
        <v>1190</v>
      </c>
      <c r="B833" s="1">
        <v>44992</v>
      </c>
      <c r="C833" t="s">
        <v>217</v>
      </c>
      <c r="D833">
        <v>2023</v>
      </c>
      <c r="E833" t="s">
        <v>162</v>
      </c>
      <c r="F833" t="s">
        <v>1191</v>
      </c>
      <c r="G833" t="s">
        <v>92</v>
      </c>
      <c r="H833" t="s">
        <v>93</v>
      </c>
      <c r="I833" t="s">
        <v>90</v>
      </c>
      <c r="J833" t="s">
        <v>94</v>
      </c>
      <c r="K833" t="s">
        <v>156</v>
      </c>
      <c r="L833" t="s">
        <v>174</v>
      </c>
      <c r="M833">
        <v>3</v>
      </c>
      <c r="N833">
        <v>230.34</v>
      </c>
      <c r="O833">
        <v>691.02</v>
      </c>
      <c r="P833">
        <v>0</v>
      </c>
      <c r="Q833">
        <v>0</v>
      </c>
      <c r="R833">
        <v>691.02</v>
      </c>
      <c r="S833">
        <v>224.04</v>
      </c>
      <c r="T833">
        <v>466.98</v>
      </c>
      <c r="U833" t="s">
        <v>195</v>
      </c>
      <c r="V833" t="s">
        <v>181</v>
      </c>
      <c r="W833" t="s">
        <v>2093</v>
      </c>
      <c r="X833" t="s">
        <v>2094</v>
      </c>
      <c r="Y833">
        <v>261</v>
      </c>
      <c r="Z833">
        <v>86.59</v>
      </c>
      <c r="AA833">
        <v>47.93</v>
      </c>
      <c r="AB833" t="s">
        <v>14</v>
      </c>
      <c r="AC833" t="s">
        <v>20</v>
      </c>
      <c r="AD833" t="s">
        <v>2087</v>
      </c>
      <c r="AE833" t="s">
        <v>2109</v>
      </c>
    </row>
    <row r="834" spans="1:31">
      <c r="A834" t="s">
        <v>910</v>
      </c>
      <c r="B834" s="1">
        <v>44992</v>
      </c>
      <c r="C834" t="s">
        <v>217</v>
      </c>
      <c r="D834">
        <v>2023</v>
      </c>
      <c r="E834" t="s">
        <v>162</v>
      </c>
      <c r="F834" t="s">
        <v>911</v>
      </c>
      <c r="G834" t="s">
        <v>117</v>
      </c>
      <c r="H834" t="s">
        <v>118</v>
      </c>
      <c r="I834" t="s">
        <v>115</v>
      </c>
      <c r="J834" t="s">
        <v>119</v>
      </c>
      <c r="K834" t="s">
        <v>178</v>
      </c>
      <c r="L834" t="s">
        <v>174</v>
      </c>
      <c r="M834">
        <v>4</v>
      </c>
      <c r="N834">
        <v>93.41</v>
      </c>
      <c r="O834">
        <v>373.64</v>
      </c>
      <c r="P834">
        <v>20</v>
      </c>
      <c r="Q834">
        <v>74.73</v>
      </c>
      <c r="R834">
        <v>298.91000000000003</v>
      </c>
      <c r="S834">
        <v>256.2</v>
      </c>
      <c r="T834">
        <v>42.71</v>
      </c>
      <c r="U834" t="s">
        <v>158</v>
      </c>
      <c r="V834" t="s">
        <v>186</v>
      </c>
      <c r="W834" t="s">
        <v>2093</v>
      </c>
      <c r="X834" t="s">
        <v>2091</v>
      </c>
      <c r="Y834">
        <v>162</v>
      </c>
      <c r="Z834">
        <v>106.89</v>
      </c>
      <c r="AA834">
        <v>54.67</v>
      </c>
      <c r="AB834" t="s">
        <v>90</v>
      </c>
      <c r="AC834" t="s">
        <v>16</v>
      </c>
      <c r="AD834" t="s">
        <v>2087</v>
      </c>
      <c r="AE834" t="s">
        <v>2121</v>
      </c>
    </row>
    <row r="835" spans="1:31">
      <c r="A835" t="s">
        <v>1760</v>
      </c>
      <c r="B835" s="1">
        <v>44991</v>
      </c>
      <c r="C835" t="s">
        <v>217</v>
      </c>
      <c r="D835">
        <v>2023</v>
      </c>
      <c r="E835" t="s">
        <v>162</v>
      </c>
      <c r="F835" t="s">
        <v>1761</v>
      </c>
      <c r="G835" t="s">
        <v>21</v>
      </c>
      <c r="H835" t="s">
        <v>22</v>
      </c>
      <c r="I835" t="s">
        <v>14</v>
      </c>
      <c r="J835" t="s">
        <v>15</v>
      </c>
      <c r="K835" t="s">
        <v>178</v>
      </c>
      <c r="L835" t="s">
        <v>194</v>
      </c>
      <c r="M835">
        <v>3</v>
      </c>
      <c r="N835">
        <v>65.430000000000007</v>
      </c>
      <c r="O835">
        <v>196.29000000000002</v>
      </c>
      <c r="P835">
        <v>10</v>
      </c>
      <c r="Q835">
        <v>19.63</v>
      </c>
      <c r="R835">
        <v>176.66</v>
      </c>
      <c r="S835">
        <v>116.07</v>
      </c>
      <c r="T835">
        <v>60.59</v>
      </c>
      <c r="U835" t="s">
        <v>190</v>
      </c>
      <c r="V835" t="s">
        <v>159</v>
      </c>
      <c r="W835" t="s">
        <v>2099</v>
      </c>
      <c r="X835" t="s">
        <v>2100</v>
      </c>
      <c r="Y835">
        <v>259</v>
      </c>
      <c r="Z835">
        <v>142.19</v>
      </c>
      <c r="AA835">
        <v>49.78</v>
      </c>
      <c r="AB835" t="s">
        <v>14</v>
      </c>
      <c r="AC835" t="s">
        <v>16</v>
      </c>
      <c r="AD835" t="s">
        <v>2106</v>
      </c>
      <c r="AE835" t="s">
        <v>2121</v>
      </c>
    </row>
    <row r="836" spans="1:31">
      <c r="A836" t="s">
        <v>1500</v>
      </c>
      <c r="B836" s="1">
        <v>44990</v>
      </c>
      <c r="C836" t="s">
        <v>217</v>
      </c>
      <c r="D836">
        <v>2023</v>
      </c>
      <c r="E836" t="s">
        <v>162</v>
      </c>
      <c r="F836" t="s">
        <v>828</v>
      </c>
      <c r="G836" t="s">
        <v>64</v>
      </c>
      <c r="H836" t="s">
        <v>65</v>
      </c>
      <c r="I836" t="s">
        <v>66</v>
      </c>
      <c r="J836" t="s">
        <v>67</v>
      </c>
      <c r="K836" t="s">
        <v>209</v>
      </c>
      <c r="L836" t="s">
        <v>165</v>
      </c>
      <c r="M836">
        <v>2</v>
      </c>
      <c r="N836">
        <v>24.9</v>
      </c>
      <c r="O836">
        <v>49.8</v>
      </c>
      <c r="P836">
        <v>15</v>
      </c>
      <c r="Q836">
        <v>7.47</v>
      </c>
      <c r="R836">
        <v>42.33</v>
      </c>
      <c r="S836">
        <v>43.04</v>
      </c>
      <c r="T836">
        <v>-0.71</v>
      </c>
      <c r="U836" t="s">
        <v>180</v>
      </c>
      <c r="V836" t="s">
        <v>159</v>
      </c>
      <c r="W836" t="s">
        <v>2085</v>
      </c>
      <c r="X836" t="s">
        <v>2094</v>
      </c>
      <c r="Y836">
        <v>55</v>
      </c>
      <c r="Z836">
        <v>2094.0300000000002</v>
      </c>
      <c r="AA836">
        <v>178.22</v>
      </c>
      <c r="AB836" t="s">
        <v>66</v>
      </c>
      <c r="AC836" t="s">
        <v>16</v>
      </c>
      <c r="AD836" t="s">
        <v>2106</v>
      </c>
      <c r="AE836" t="s">
        <v>2121</v>
      </c>
    </row>
    <row r="837" spans="1:31">
      <c r="A837" t="s">
        <v>277</v>
      </c>
      <c r="B837" s="1">
        <v>44990</v>
      </c>
      <c r="C837" t="s">
        <v>217</v>
      </c>
      <c r="D837">
        <v>2023</v>
      </c>
      <c r="E837" t="s">
        <v>162</v>
      </c>
      <c r="F837" t="s">
        <v>278</v>
      </c>
      <c r="G837" t="s">
        <v>131</v>
      </c>
      <c r="H837" t="s">
        <v>132</v>
      </c>
      <c r="I837" t="s">
        <v>115</v>
      </c>
      <c r="J837" t="s">
        <v>119</v>
      </c>
      <c r="K837" t="s">
        <v>178</v>
      </c>
      <c r="L837" t="s">
        <v>165</v>
      </c>
      <c r="M837">
        <v>3</v>
      </c>
      <c r="N837">
        <v>75.69</v>
      </c>
      <c r="O837">
        <v>227.07</v>
      </c>
      <c r="P837">
        <v>5</v>
      </c>
      <c r="Q837">
        <v>11.35</v>
      </c>
      <c r="R837">
        <v>215.72</v>
      </c>
      <c r="S837">
        <v>106.89</v>
      </c>
      <c r="T837">
        <v>108.83</v>
      </c>
      <c r="U837" t="s">
        <v>180</v>
      </c>
      <c r="V837" t="s">
        <v>159</v>
      </c>
      <c r="W837" t="s">
        <v>2099</v>
      </c>
      <c r="X837" t="s">
        <v>2091</v>
      </c>
      <c r="Y837">
        <v>27</v>
      </c>
      <c r="Z837">
        <v>128.51</v>
      </c>
      <c r="AA837">
        <v>46.54</v>
      </c>
      <c r="AB837" t="s">
        <v>115</v>
      </c>
      <c r="AC837" t="s">
        <v>16</v>
      </c>
      <c r="AD837" t="s">
        <v>2087</v>
      </c>
      <c r="AE837" t="s">
        <v>2088</v>
      </c>
    </row>
    <row r="838" spans="1:31">
      <c r="A838" t="s">
        <v>821</v>
      </c>
      <c r="B838" s="1">
        <v>44990</v>
      </c>
      <c r="C838" t="s">
        <v>217</v>
      </c>
      <c r="D838">
        <v>2023</v>
      </c>
      <c r="E838" t="s">
        <v>162</v>
      </c>
      <c r="F838" t="s">
        <v>822</v>
      </c>
      <c r="G838" t="s">
        <v>30</v>
      </c>
      <c r="H838" t="s">
        <v>31</v>
      </c>
      <c r="I838" t="s">
        <v>14</v>
      </c>
      <c r="J838" t="s">
        <v>32</v>
      </c>
      <c r="K838" t="s">
        <v>156</v>
      </c>
      <c r="L838" t="s">
        <v>204</v>
      </c>
      <c r="M838">
        <v>4</v>
      </c>
      <c r="N838">
        <v>113.18</v>
      </c>
      <c r="O838">
        <v>452.72</v>
      </c>
      <c r="P838">
        <v>0</v>
      </c>
      <c r="Q838">
        <v>0</v>
      </c>
      <c r="R838">
        <v>452.72</v>
      </c>
      <c r="S838">
        <v>156.04</v>
      </c>
      <c r="T838">
        <v>296.68</v>
      </c>
      <c r="U838" t="s">
        <v>180</v>
      </c>
      <c r="V838" t="s">
        <v>159</v>
      </c>
      <c r="W838" t="s">
        <v>2113</v>
      </c>
      <c r="X838" t="s">
        <v>2111</v>
      </c>
      <c r="Y838">
        <v>100</v>
      </c>
      <c r="Z838">
        <v>399.23</v>
      </c>
      <c r="AA838">
        <v>36.83</v>
      </c>
      <c r="AB838" t="s">
        <v>41</v>
      </c>
      <c r="AC838" t="s">
        <v>16</v>
      </c>
      <c r="AD838" t="s">
        <v>2087</v>
      </c>
      <c r="AE838" t="s">
        <v>2096</v>
      </c>
    </row>
    <row r="839" spans="1:31">
      <c r="A839" t="s">
        <v>838</v>
      </c>
      <c r="B839" s="1">
        <v>44990</v>
      </c>
      <c r="C839" t="s">
        <v>217</v>
      </c>
      <c r="D839">
        <v>2023</v>
      </c>
      <c r="E839" t="s">
        <v>162</v>
      </c>
      <c r="F839" t="s">
        <v>839</v>
      </c>
      <c r="G839" t="s">
        <v>28</v>
      </c>
      <c r="H839" t="s">
        <v>29</v>
      </c>
      <c r="I839" t="s">
        <v>14</v>
      </c>
      <c r="J839" t="s">
        <v>19</v>
      </c>
      <c r="K839" t="s">
        <v>164</v>
      </c>
      <c r="L839" t="s">
        <v>194</v>
      </c>
      <c r="M839">
        <v>1</v>
      </c>
      <c r="N839">
        <v>26.46</v>
      </c>
      <c r="O839">
        <v>26.46</v>
      </c>
      <c r="P839">
        <v>0</v>
      </c>
      <c r="Q839">
        <v>0</v>
      </c>
      <c r="R839">
        <v>26.46</v>
      </c>
      <c r="S839">
        <v>19.420000000000002</v>
      </c>
      <c r="T839">
        <v>7.04</v>
      </c>
      <c r="U839" t="s">
        <v>180</v>
      </c>
      <c r="V839" t="s">
        <v>159</v>
      </c>
      <c r="W839" t="s">
        <v>2097</v>
      </c>
      <c r="X839" t="s">
        <v>2086</v>
      </c>
      <c r="Y839">
        <v>1</v>
      </c>
      <c r="Z839">
        <v>345.99</v>
      </c>
      <c r="AA839">
        <v>109.97</v>
      </c>
      <c r="AB839" t="s">
        <v>66</v>
      </c>
      <c r="AC839" t="s">
        <v>20</v>
      </c>
      <c r="AD839" t="s">
        <v>2106</v>
      </c>
      <c r="AE839" t="s">
        <v>2096</v>
      </c>
    </row>
    <row r="840" spans="1:31">
      <c r="A840" t="s">
        <v>1522</v>
      </c>
      <c r="B840" s="1">
        <v>44989</v>
      </c>
      <c r="C840" t="s">
        <v>217</v>
      </c>
      <c r="D840">
        <v>2023</v>
      </c>
      <c r="E840" t="s">
        <v>162</v>
      </c>
      <c r="F840" t="s">
        <v>1523</v>
      </c>
      <c r="G840" t="s">
        <v>60</v>
      </c>
      <c r="H840" t="s">
        <v>61</v>
      </c>
      <c r="I840" t="s">
        <v>41</v>
      </c>
      <c r="J840" t="s">
        <v>59</v>
      </c>
      <c r="K840" t="s">
        <v>178</v>
      </c>
      <c r="L840" t="s">
        <v>194</v>
      </c>
      <c r="M840">
        <v>4</v>
      </c>
      <c r="N840">
        <v>103.56</v>
      </c>
      <c r="O840">
        <v>414.24</v>
      </c>
      <c r="P840">
        <v>0</v>
      </c>
      <c r="Q840">
        <v>0</v>
      </c>
      <c r="R840">
        <v>414.24</v>
      </c>
      <c r="S840">
        <v>178.32</v>
      </c>
      <c r="T840">
        <v>235.92</v>
      </c>
      <c r="U840" t="s">
        <v>166</v>
      </c>
      <c r="V840" t="s">
        <v>186</v>
      </c>
      <c r="W840" t="s">
        <v>2085</v>
      </c>
      <c r="X840" t="s">
        <v>2111</v>
      </c>
      <c r="Y840">
        <v>169</v>
      </c>
      <c r="Z840">
        <v>2899.79</v>
      </c>
      <c r="AA840">
        <v>113.19</v>
      </c>
      <c r="AB840" t="s">
        <v>41</v>
      </c>
      <c r="AC840" t="s">
        <v>16</v>
      </c>
      <c r="AD840" t="s">
        <v>2106</v>
      </c>
      <c r="AE840" t="s">
        <v>2096</v>
      </c>
    </row>
    <row r="841" spans="1:31">
      <c r="A841" t="s">
        <v>1847</v>
      </c>
      <c r="B841" s="1">
        <v>44989</v>
      </c>
      <c r="C841" t="s">
        <v>217</v>
      </c>
      <c r="D841">
        <v>2023</v>
      </c>
      <c r="E841" t="s">
        <v>162</v>
      </c>
      <c r="F841" t="s">
        <v>1380</v>
      </c>
      <c r="G841" t="s">
        <v>37</v>
      </c>
      <c r="H841" t="s">
        <v>38</v>
      </c>
      <c r="I841" t="s">
        <v>14</v>
      </c>
      <c r="J841" t="s">
        <v>27</v>
      </c>
      <c r="K841" t="s">
        <v>164</v>
      </c>
      <c r="L841" t="s">
        <v>204</v>
      </c>
      <c r="M841">
        <v>4</v>
      </c>
      <c r="N841">
        <v>133.99</v>
      </c>
      <c r="O841">
        <v>535.96</v>
      </c>
      <c r="P841">
        <v>0</v>
      </c>
      <c r="Q841">
        <v>0</v>
      </c>
      <c r="R841">
        <v>535.96</v>
      </c>
      <c r="S841">
        <v>293.95999999999998</v>
      </c>
      <c r="T841">
        <v>242</v>
      </c>
      <c r="U841" t="s">
        <v>190</v>
      </c>
      <c r="V841" t="s">
        <v>159</v>
      </c>
      <c r="W841" t="s">
        <v>2097</v>
      </c>
      <c r="X841" t="s">
        <v>2091</v>
      </c>
      <c r="Y841">
        <v>323</v>
      </c>
      <c r="Z841">
        <v>281.42</v>
      </c>
      <c r="AA841">
        <v>81.09</v>
      </c>
      <c r="AB841" t="s">
        <v>14</v>
      </c>
      <c r="AC841" t="s">
        <v>16</v>
      </c>
      <c r="AD841" t="s">
        <v>2087</v>
      </c>
      <c r="AE841" t="s">
        <v>2107</v>
      </c>
    </row>
    <row r="842" spans="1:31">
      <c r="A842" t="s">
        <v>394</v>
      </c>
      <c r="B842" s="1">
        <v>44989</v>
      </c>
      <c r="C842" t="s">
        <v>217</v>
      </c>
      <c r="D842">
        <v>2023</v>
      </c>
      <c r="E842" t="s">
        <v>162</v>
      </c>
      <c r="F842" t="s">
        <v>395</v>
      </c>
      <c r="G842" t="s">
        <v>23</v>
      </c>
      <c r="H842" t="s">
        <v>24</v>
      </c>
      <c r="I842" t="s">
        <v>14</v>
      </c>
      <c r="J842" t="s">
        <v>19</v>
      </c>
      <c r="K842" t="s">
        <v>178</v>
      </c>
      <c r="L842" t="s">
        <v>179</v>
      </c>
      <c r="M842">
        <v>3</v>
      </c>
      <c r="N842">
        <v>154.03</v>
      </c>
      <c r="O842">
        <v>462.09000000000003</v>
      </c>
      <c r="P842">
        <v>15</v>
      </c>
      <c r="Q842">
        <v>69.31</v>
      </c>
      <c r="R842">
        <v>392.78</v>
      </c>
      <c r="S842">
        <v>230.37</v>
      </c>
      <c r="T842">
        <v>162.41</v>
      </c>
      <c r="U842" t="s">
        <v>180</v>
      </c>
      <c r="V842" t="s">
        <v>159</v>
      </c>
      <c r="W842" t="s">
        <v>2093</v>
      </c>
      <c r="X842" t="s">
        <v>2100</v>
      </c>
      <c r="Y842">
        <v>16</v>
      </c>
      <c r="Z842">
        <v>47.56</v>
      </c>
      <c r="AA842">
        <v>59.55</v>
      </c>
      <c r="AB842" t="s">
        <v>90</v>
      </c>
      <c r="AC842" t="s">
        <v>16</v>
      </c>
      <c r="AD842" t="s">
        <v>2106</v>
      </c>
      <c r="AE842" t="s">
        <v>2107</v>
      </c>
    </row>
    <row r="843" spans="1:31">
      <c r="A843" t="s">
        <v>521</v>
      </c>
      <c r="B843" s="1">
        <v>44989</v>
      </c>
      <c r="C843" t="s">
        <v>217</v>
      </c>
      <c r="D843">
        <v>2023</v>
      </c>
      <c r="E843" t="s">
        <v>162</v>
      </c>
      <c r="F843" t="s">
        <v>522</v>
      </c>
      <c r="G843" t="s">
        <v>125</v>
      </c>
      <c r="H843" t="s">
        <v>126</v>
      </c>
      <c r="I843" t="s">
        <v>115</v>
      </c>
      <c r="J843" t="s">
        <v>116</v>
      </c>
      <c r="K843" t="s">
        <v>209</v>
      </c>
      <c r="L843" t="s">
        <v>204</v>
      </c>
      <c r="M843">
        <v>4</v>
      </c>
      <c r="N843">
        <v>144.94999999999999</v>
      </c>
      <c r="O843">
        <v>579.79999999999995</v>
      </c>
      <c r="P843">
        <v>0</v>
      </c>
      <c r="Q843">
        <v>0</v>
      </c>
      <c r="R843">
        <v>579.79999999999995</v>
      </c>
      <c r="S843">
        <v>308.76</v>
      </c>
      <c r="T843">
        <v>271.04000000000002</v>
      </c>
      <c r="U843" t="s">
        <v>190</v>
      </c>
      <c r="V843" t="s">
        <v>186</v>
      </c>
      <c r="W843" t="s">
        <v>2090</v>
      </c>
      <c r="X843" t="s">
        <v>2108</v>
      </c>
      <c r="Y843">
        <v>205</v>
      </c>
      <c r="Z843">
        <v>368.09</v>
      </c>
      <c r="AA843">
        <v>83.42</v>
      </c>
      <c r="AB843" t="s">
        <v>14</v>
      </c>
      <c r="AC843" t="s">
        <v>20</v>
      </c>
      <c r="AD843" t="s">
        <v>2095</v>
      </c>
      <c r="AE843" t="s">
        <v>2109</v>
      </c>
    </row>
    <row r="844" spans="1:31">
      <c r="A844" t="s">
        <v>595</v>
      </c>
      <c r="B844" s="1">
        <v>44989</v>
      </c>
      <c r="C844" t="s">
        <v>217</v>
      </c>
      <c r="D844">
        <v>2023</v>
      </c>
      <c r="E844" t="s">
        <v>162</v>
      </c>
      <c r="F844" t="s">
        <v>596</v>
      </c>
      <c r="G844" t="s">
        <v>129</v>
      </c>
      <c r="H844" t="s">
        <v>130</v>
      </c>
      <c r="I844" t="s">
        <v>115</v>
      </c>
      <c r="J844" t="s">
        <v>124</v>
      </c>
      <c r="K844" t="s">
        <v>164</v>
      </c>
      <c r="L844" t="s">
        <v>204</v>
      </c>
      <c r="M844">
        <v>3</v>
      </c>
      <c r="N844">
        <v>99.34</v>
      </c>
      <c r="O844">
        <v>298.02</v>
      </c>
      <c r="P844">
        <v>0</v>
      </c>
      <c r="Q844">
        <v>0</v>
      </c>
      <c r="R844">
        <v>298.02</v>
      </c>
      <c r="S844">
        <v>112.05</v>
      </c>
      <c r="T844">
        <v>185.97</v>
      </c>
      <c r="U844" t="s">
        <v>195</v>
      </c>
      <c r="V844" t="s">
        <v>159</v>
      </c>
      <c r="W844" t="s">
        <v>2099</v>
      </c>
      <c r="X844" t="s">
        <v>2111</v>
      </c>
      <c r="Y844">
        <v>264</v>
      </c>
      <c r="Z844">
        <v>76.61</v>
      </c>
      <c r="AA844">
        <v>73</v>
      </c>
      <c r="AB844" t="s">
        <v>90</v>
      </c>
      <c r="AC844" t="s">
        <v>16</v>
      </c>
      <c r="AD844" t="s">
        <v>2106</v>
      </c>
      <c r="AE844" t="s">
        <v>2096</v>
      </c>
    </row>
    <row r="845" spans="1:31">
      <c r="A845" t="s">
        <v>1115</v>
      </c>
      <c r="B845" s="1">
        <v>44988</v>
      </c>
      <c r="C845" t="s">
        <v>217</v>
      </c>
      <c r="D845">
        <v>2023</v>
      </c>
      <c r="E845" t="s">
        <v>162</v>
      </c>
      <c r="F845" t="s">
        <v>1116</v>
      </c>
      <c r="G845" t="s">
        <v>55</v>
      </c>
      <c r="H845" t="s">
        <v>56</v>
      </c>
      <c r="I845" t="s">
        <v>41</v>
      </c>
      <c r="J845" t="s">
        <v>45</v>
      </c>
      <c r="K845" t="s">
        <v>164</v>
      </c>
      <c r="L845" t="s">
        <v>157</v>
      </c>
      <c r="M845">
        <v>2</v>
      </c>
      <c r="N845">
        <v>205.4</v>
      </c>
      <c r="O845">
        <v>410.8</v>
      </c>
      <c r="P845">
        <v>0</v>
      </c>
      <c r="Q845">
        <v>0</v>
      </c>
      <c r="R845">
        <v>410.8</v>
      </c>
      <c r="S845">
        <v>141.80000000000001</v>
      </c>
      <c r="T845">
        <v>269</v>
      </c>
      <c r="U845" t="s">
        <v>180</v>
      </c>
      <c r="V845" t="s">
        <v>159</v>
      </c>
      <c r="W845" t="s">
        <v>2113</v>
      </c>
      <c r="X845" t="s">
        <v>2108</v>
      </c>
      <c r="Y845">
        <v>22</v>
      </c>
      <c r="Z845">
        <v>240.35</v>
      </c>
      <c r="AA845">
        <v>69.2</v>
      </c>
      <c r="AB845" t="s">
        <v>90</v>
      </c>
      <c r="AC845" t="s">
        <v>20</v>
      </c>
      <c r="AD845" t="s">
        <v>2095</v>
      </c>
      <c r="AE845" t="s">
        <v>2107</v>
      </c>
    </row>
    <row r="846" spans="1:31">
      <c r="A846" t="s">
        <v>249</v>
      </c>
      <c r="B846" s="1">
        <v>44988</v>
      </c>
      <c r="C846" t="s">
        <v>217</v>
      </c>
      <c r="D846">
        <v>2023</v>
      </c>
      <c r="E846" t="s">
        <v>162</v>
      </c>
      <c r="F846" t="s">
        <v>250</v>
      </c>
      <c r="G846" t="s">
        <v>62</v>
      </c>
      <c r="H846" t="s">
        <v>63</v>
      </c>
      <c r="I846" t="s">
        <v>41</v>
      </c>
      <c r="J846" t="s">
        <v>45</v>
      </c>
      <c r="K846" t="s">
        <v>156</v>
      </c>
      <c r="L846" t="s">
        <v>194</v>
      </c>
      <c r="M846">
        <v>3</v>
      </c>
      <c r="N846">
        <v>160.35</v>
      </c>
      <c r="O846">
        <v>481.04999999999995</v>
      </c>
      <c r="P846">
        <v>0</v>
      </c>
      <c r="Q846">
        <v>0</v>
      </c>
      <c r="R846">
        <v>481.05</v>
      </c>
      <c r="S846">
        <v>217.41</v>
      </c>
      <c r="T846">
        <v>263.64</v>
      </c>
      <c r="U846" t="s">
        <v>158</v>
      </c>
      <c r="V846" t="s">
        <v>181</v>
      </c>
      <c r="W846" t="s">
        <v>2093</v>
      </c>
      <c r="X846" t="s">
        <v>2091</v>
      </c>
      <c r="Y846">
        <v>73</v>
      </c>
      <c r="Z846">
        <v>55.99</v>
      </c>
      <c r="AA846">
        <v>32.69</v>
      </c>
      <c r="AB846" t="s">
        <v>66</v>
      </c>
      <c r="AC846" t="s">
        <v>16</v>
      </c>
      <c r="AD846" t="s">
        <v>2106</v>
      </c>
      <c r="AE846" t="s">
        <v>2096</v>
      </c>
    </row>
    <row r="847" spans="1:31">
      <c r="A847" t="s">
        <v>1647</v>
      </c>
      <c r="B847" s="1">
        <v>44988</v>
      </c>
      <c r="C847" t="s">
        <v>217</v>
      </c>
      <c r="D847">
        <v>2023</v>
      </c>
      <c r="E847" t="s">
        <v>162</v>
      </c>
      <c r="F847" t="s">
        <v>1648</v>
      </c>
      <c r="G847" t="s">
        <v>113</v>
      </c>
      <c r="H847" t="s">
        <v>114</v>
      </c>
      <c r="I847" t="s">
        <v>115</v>
      </c>
      <c r="J847" t="s">
        <v>116</v>
      </c>
      <c r="K847" t="s">
        <v>156</v>
      </c>
      <c r="L847" t="s">
        <v>204</v>
      </c>
      <c r="M847">
        <v>1</v>
      </c>
      <c r="N847">
        <v>18.7</v>
      </c>
      <c r="O847">
        <v>18.7</v>
      </c>
      <c r="P847">
        <v>15</v>
      </c>
      <c r="Q847">
        <v>2.81</v>
      </c>
      <c r="R847">
        <v>15.89</v>
      </c>
      <c r="S847">
        <v>6.86</v>
      </c>
      <c r="T847">
        <v>9.0299999999999994</v>
      </c>
      <c r="U847" t="s">
        <v>166</v>
      </c>
      <c r="V847" t="s">
        <v>159</v>
      </c>
      <c r="W847" t="s">
        <v>2113</v>
      </c>
      <c r="X847" t="s">
        <v>2094</v>
      </c>
      <c r="Y847">
        <v>218</v>
      </c>
      <c r="Z847">
        <v>149.72999999999999</v>
      </c>
      <c r="AA847">
        <v>44.24</v>
      </c>
      <c r="AB847" t="s">
        <v>90</v>
      </c>
      <c r="AC847" t="s">
        <v>16</v>
      </c>
      <c r="AD847" t="s">
        <v>2095</v>
      </c>
      <c r="AE847" t="s">
        <v>2121</v>
      </c>
    </row>
    <row r="848" spans="1:31">
      <c r="A848" t="s">
        <v>1684</v>
      </c>
      <c r="B848" s="1">
        <v>44988</v>
      </c>
      <c r="C848" t="s">
        <v>217</v>
      </c>
      <c r="D848">
        <v>2023</v>
      </c>
      <c r="E848" t="s">
        <v>162</v>
      </c>
      <c r="F848" t="s">
        <v>1685</v>
      </c>
      <c r="G848" t="s">
        <v>68</v>
      </c>
      <c r="H848" t="s">
        <v>69</v>
      </c>
      <c r="I848" t="s">
        <v>66</v>
      </c>
      <c r="J848" t="s">
        <v>70</v>
      </c>
      <c r="K848" t="s">
        <v>156</v>
      </c>
      <c r="L848" t="s">
        <v>194</v>
      </c>
      <c r="M848">
        <v>4</v>
      </c>
      <c r="N848">
        <v>98.51</v>
      </c>
      <c r="O848">
        <v>394.04</v>
      </c>
      <c r="P848">
        <v>0</v>
      </c>
      <c r="Q848">
        <v>0</v>
      </c>
      <c r="R848">
        <v>394.04</v>
      </c>
      <c r="S848">
        <v>220.68</v>
      </c>
      <c r="T848">
        <v>173.36</v>
      </c>
      <c r="U848" t="s">
        <v>190</v>
      </c>
      <c r="V848" t="s">
        <v>159</v>
      </c>
      <c r="W848" t="s">
        <v>2090</v>
      </c>
      <c r="X848" t="s">
        <v>2086</v>
      </c>
      <c r="Y848">
        <v>334</v>
      </c>
      <c r="Z848">
        <v>108.48</v>
      </c>
      <c r="AA848">
        <v>50.36</v>
      </c>
      <c r="AB848" t="s">
        <v>66</v>
      </c>
      <c r="AC848" t="s">
        <v>16</v>
      </c>
      <c r="AD848" t="s">
        <v>2095</v>
      </c>
      <c r="AE848" t="s">
        <v>2096</v>
      </c>
    </row>
    <row r="849" spans="1:31">
      <c r="A849" t="s">
        <v>1038</v>
      </c>
      <c r="B849" s="1">
        <v>44987</v>
      </c>
      <c r="C849" t="s">
        <v>217</v>
      </c>
      <c r="D849">
        <v>2023</v>
      </c>
      <c r="E849" t="s">
        <v>162</v>
      </c>
      <c r="F849" t="s">
        <v>1039</v>
      </c>
      <c r="G849" t="s">
        <v>60</v>
      </c>
      <c r="H849" t="s">
        <v>61</v>
      </c>
      <c r="I849" t="s">
        <v>41</v>
      </c>
      <c r="J849" t="s">
        <v>59</v>
      </c>
      <c r="K849" t="s">
        <v>209</v>
      </c>
      <c r="L849" t="s">
        <v>179</v>
      </c>
      <c r="M849">
        <v>4</v>
      </c>
      <c r="N849">
        <v>103.56</v>
      </c>
      <c r="O849">
        <v>414.24</v>
      </c>
      <c r="P849">
        <v>20</v>
      </c>
      <c r="Q849">
        <v>82.85</v>
      </c>
      <c r="R849">
        <v>331.39</v>
      </c>
      <c r="S849">
        <v>178.32</v>
      </c>
      <c r="T849">
        <v>153.07</v>
      </c>
      <c r="U849" t="s">
        <v>166</v>
      </c>
      <c r="V849" t="s">
        <v>181</v>
      </c>
      <c r="W849" t="s">
        <v>2113</v>
      </c>
      <c r="X849" t="s">
        <v>2091</v>
      </c>
      <c r="Y849">
        <v>147</v>
      </c>
      <c r="Z849">
        <v>405.69</v>
      </c>
      <c r="AA849">
        <v>52.03</v>
      </c>
      <c r="AB849" t="s">
        <v>14</v>
      </c>
      <c r="AC849" t="s">
        <v>16</v>
      </c>
      <c r="AD849" t="s">
        <v>2106</v>
      </c>
      <c r="AE849" t="s">
        <v>2088</v>
      </c>
    </row>
    <row r="850" spans="1:31">
      <c r="A850" t="s">
        <v>863</v>
      </c>
      <c r="B850" s="1">
        <v>44987</v>
      </c>
      <c r="C850" t="s">
        <v>217</v>
      </c>
      <c r="D850">
        <v>2023</v>
      </c>
      <c r="E850" t="s">
        <v>162</v>
      </c>
      <c r="F850" t="s">
        <v>864</v>
      </c>
      <c r="G850" t="s">
        <v>131</v>
      </c>
      <c r="H850" t="s">
        <v>132</v>
      </c>
      <c r="I850" t="s">
        <v>115</v>
      </c>
      <c r="J850" t="s">
        <v>119</v>
      </c>
      <c r="K850" t="s">
        <v>209</v>
      </c>
      <c r="L850" t="s">
        <v>194</v>
      </c>
      <c r="M850">
        <v>3</v>
      </c>
      <c r="N850">
        <v>75.69</v>
      </c>
      <c r="O850">
        <v>227.07</v>
      </c>
      <c r="P850">
        <v>15</v>
      </c>
      <c r="Q850">
        <v>34.06</v>
      </c>
      <c r="R850">
        <v>193.01</v>
      </c>
      <c r="S850">
        <v>106.89</v>
      </c>
      <c r="T850">
        <v>86.12</v>
      </c>
      <c r="U850" t="s">
        <v>180</v>
      </c>
      <c r="V850" t="s">
        <v>159</v>
      </c>
      <c r="W850" t="s">
        <v>2085</v>
      </c>
      <c r="X850" t="s">
        <v>2086</v>
      </c>
      <c r="Y850">
        <v>316</v>
      </c>
      <c r="Z850">
        <v>1501.58</v>
      </c>
      <c r="AA850">
        <v>294.56</v>
      </c>
      <c r="AB850" t="s">
        <v>14</v>
      </c>
      <c r="AC850" t="s">
        <v>16</v>
      </c>
      <c r="AD850" t="s">
        <v>2087</v>
      </c>
      <c r="AE850" t="s">
        <v>2088</v>
      </c>
    </row>
    <row r="851" spans="1:31">
      <c r="A851" t="s">
        <v>263</v>
      </c>
      <c r="B851" s="1">
        <v>44987</v>
      </c>
      <c r="C851" t="s">
        <v>217</v>
      </c>
      <c r="D851">
        <v>2023</v>
      </c>
      <c r="E851" t="s">
        <v>162</v>
      </c>
      <c r="F851" t="s">
        <v>264</v>
      </c>
      <c r="G851" t="s">
        <v>62</v>
      </c>
      <c r="H851" t="s">
        <v>63</v>
      </c>
      <c r="I851" t="s">
        <v>41</v>
      </c>
      <c r="J851" t="s">
        <v>45</v>
      </c>
      <c r="K851" t="s">
        <v>164</v>
      </c>
      <c r="L851" t="s">
        <v>232</v>
      </c>
      <c r="M851">
        <v>1</v>
      </c>
      <c r="N851">
        <v>160.35</v>
      </c>
      <c r="O851">
        <v>160.35</v>
      </c>
      <c r="P851">
        <v>0</v>
      </c>
      <c r="Q851">
        <v>0</v>
      </c>
      <c r="R851">
        <v>160.35</v>
      </c>
      <c r="S851">
        <v>72.47</v>
      </c>
      <c r="T851">
        <v>87.88</v>
      </c>
      <c r="U851" t="s">
        <v>166</v>
      </c>
      <c r="V851" t="s">
        <v>181</v>
      </c>
      <c r="W851" t="s">
        <v>2093</v>
      </c>
      <c r="X851" t="s">
        <v>2091</v>
      </c>
      <c r="Y851">
        <v>278</v>
      </c>
      <c r="Z851">
        <v>123.85</v>
      </c>
      <c r="AA851">
        <v>57.38</v>
      </c>
      <c r="AB851" t="s">
        <v>90</v>
      </c>
      <c r="AC851" t="s">
        <v>16</v>
      </c>
      <c r="AD851" t="s">
        <v>2106</v>
      </c>
      <c r="AE851" t="s">
        <v>2088</v>
      </c>
    </row>
    <row r="852" spans="1:31">
      <c r="A852" t="s">
        <v>1081</v>
      </c>
      <c r="B852" s="1">
        <v>44986</v>
      </c>
      <c r="C852" t="s">
        <v>217</v>
      </c>
      <c r="D852">
        <v>2023</v>
      </c>
      <c r="E852" t="s">
        <v>162</v>
      </c>
      <c r="F852" t="s">
        <v>1082</v>
      </c>
      <c r="G852" t="s">
        <v>73</v>
      </c>
      <c r="H852" t="s">
        <v>74</v>
      </c>
      <c r="I852" t="s">
        <v>66</v>
      </c>
      <c r="J852" t="s">
        <v>75</v>
      </c>
      <c r="K852" t="s">
        <v>209</v>
      </c>
      <c r="L852" t="s">
        <v>174</v>
      </c>
      <c r="M852">
        <v>3</v>
      </c>
      <c r="N852">
        <v>53.95</v>
      </c>
      <c r="O852">
        <v>161.85000000000002</v>
      </c>
      <c r="P852">
        <v>5</v>
      </c>
      <c r="Q852">
        <v>8.09</v>
      </c>
      <c r="R852">
        <v>153.76</v>
      </c>
      <c r="S852">
        <v>105.6</v>
      </c>
      <c r="T852">
        <v>48.16</v>
      </c>
      <c r="U852" t="s">
        <v>190</v>
      </c>
      <c r="V852" t="s">
        <v>159</v>
      </c>
      <c r="W852" t="s">
        <v>2113</v>
      </c>
      <c r="X852" t="s">
        <v>2100</v>
      </c>
      <c r="Y852">
        <v>23</v>
      </c>
      <c r="Z852">
        <v>583.33000000000004</v>
      </c>
      <c r="AA852">
        <v>66.86</v>
      </c>
      <c r="AB852" t="s">
        <v>41</v>
      </c>
      <c r="AC852" t="s">
        <v>16</v>
      </c>
      <c r="AD852" t="s">
        <v>2095</v>
      </c>
      <c r="AE852" t="s">
        <v>2096</v>
      </c>
    </row>
    <row r="853" spans="1:31">
      <c r="A853" t="s">
        <v>1707</v>
      </c>
      <c r="B853" s="1">
        <v>44986</v>
      </c>
      <c r="C853" t="s">
        <v>217</v>
      </c>
      <c r="D853">
        <v>2023</v>
      </c>
      <c r="E853" t="s">
        <v>162</v>
      </c>
      <c r="F853" t="s">
        <v>1708</v>
      </c>
      <c r="G853" t="s">
        <v>17</v>
      </c>
      <c r="H853" t="s">
        <v>18</v>
      </c>
      <c r="I853" t="s">
        <v>14</v>
      </c>
      <c r="J853" t="s">
        <v>19</v>
      </c>
      <c r="K853" t="s">
        <v>156</v>
      </c>
      <c r="L853" t="s">
        <v>165</v>
      </c>
      <c r="M853">
        <v>4</v>
      </c>
      <c r="N853">
        <v>53.26</v>
      </c>
      <c r="O853">
        <v>213.04</v>
      </c>
      <c r="P853">
        <v>10</v>
      </c>
      <c r="Q853">
        <v>21.3</v>
      </c>
      <c r="R853">
        <v>191.74</v>
      </c>
      <c r="S853">
        <v>146.56</v>
      </c>
      <c r="T853">
        <v>45.18</v>
      </c>
      <c r="U853" t="s">
        <v>180</v>
      </c>
      <c r="V853" t="s">
        <v>181</v>
      </c>
      <c r="W853" t="s">
        <v>2085</v>
      </c>
      <c r="X853" t="s">
        <v>2086</v>
      </c>
      <c r="Y853">
        <v>241</v>
      </c>
      <c r="Z853">
        <v>1109.29</v>
      </c>
      <c r="AA853">
        <v>281.37</v>
      </c>
      <c r="AB853" t="s">
        <v>115</v>
      </c>
      <c r="AC853" t="s">
        <v>16</v>
      </c>
      <c r="AD853" t="s">
        <v>2095</v>
      </c>
      <c r="AE853" t="s">
        <v>2088</v>
      </c>
    </row>
    <row r="854" spans="1:31">
      <c r="A854" t="s">
        <v>1131</v>
      </c>
      <c r="B854" s="1">
        <v>44986</v>
      </c>
      <c r="C854" t="s">
        <v>217</v>
      </c>
      <c r="D854">
        <v>2023</v>
      </c>
      <c r="E854" t="s">
        <v>162</v>
      </c>
      <c r="F854" t="s">
        <v>1132</v>
      </c>
      <c r="G854" t="s">
        <v>101</v>
      </c>
      <c r="H854" t="s">
        <v>102</v>
      </c>
      <c r="I854" t="s">
        <v>90</v>
      </c>
      <c r="J854" t="s">
        <v>100</v>
      </c>
      <c r="K854" t="s">
        <v>178</v>
      </c>
      <c r="L854" t="s">
        <v>232</v>
      </c>
      <c r="M854">
        <v>3</v>
      </c>
      <c r="N854">
        <v>196.28</v>
      </c>
      <c r="O854">
        <v>588.84</v>
      </c>
      <c r="P854">
        <v>15</v>
      </c>
      <c r="Q854">
        <v>88.33</v>
      </c>
      <c r="R854">
        <v>500.51</v>
      </c>
      <c r="S854">
        <v>215.19</v>
      </c>
      <c r="T854">
        <v>285.32</v>
      </c>
      <c r="U854" t="s">
        <v>180</v>
      </c>
      <c r="V854" t="s">
        <v>181</v>
      </c>
      <c r="W854" t="s">
        <v>2097</v>
      </c>
      <c r="X854" t="s">
        <v>2091</v>
      </c>
      <c r="Y854">
        <v>332</v>
      </c>
      <c r="Z854">
        <v>415.68</v>
      </c>
      <c r="AA854">
        <v>91.54</v>
      </c>
      <c r="AB854" t="s">
        <v>115</v>
      </c>
      <c r="AC854" t="s">
        <v>16</v>
      </c>
      <c r="AD854" t="s">
        <v>2087</v>
      </c>
      <c r="AE854" t="s">
        <v>2107</v>
      </c>
    </row>
    <row r="855" spans="1:31">
      <c r="A855" t="s">
        <v>421</v>
      </c>
      <c r="B855" s="1">
        <v>44985</v>
      </c>
      <c r="C855" t="s">
        <v>161</v>
      </c>
      <c r="D855">
        <v>2023</v>
      </c>
      <c r="E855" t="s">
        <v>162</v>
      </c>
      <c r="F855" t="s">
        <v>422</v>
      </c>
      <c r="G855" t="s">
        <v>78</v>
      </c>
      <c r="H855" t="s">
        <v>79</v>
      </c>
      <c r="I855" t="s">
        <v>66</v>
      </c>
      <c r="J855" t="s">
        <v>70</v>
      </c>
      <c r="K855" t="s">
        <v>209</v>
      </c>
      <c r="L855" t="s">
        <v>194</v>
      </c>
      <c r="M855">
        <v>4</v>
      </c>
      <c r="N855">
        <v>218.05</v>
      </c>
      <c r="O855">
        <v>872.2</v>
      </c>
      <c r="P855">
        <v>0</v>
      </c>
      <c r="Q855">
        <v>0</v>
      </c>
      <c r="R855">
        <v>872.2</v>
      </c>
      <c r="S855">
        <v>297.92</v>
      </c>
      <c r="T855">
        <v>574.28</v>
      </c>
      <c r="U855" t="s">
        <v>190</v>
      </c>
      <c r="V855" t="s">
        <v>181</v>
      </c>
      <c r="W855" t="s">
        <v>2090</v>
      </c>
      <c r="X855" t="s">
        <v>2091</v>
      </c>
      <c r="Y855">
        <v>237</v>
      </c>
      <c r="Z855">
        <v>296.10000000000002</v>
      </c>
      <c r="AA855">
        <v>59.23</v>
      </c>
      <c r="AB855" t="s">
        <v>41</v>
      </c>
      <c r="AC855" t="s">
        <v>16</v>
      </c>
      <c r="AD855" t="s">
        <v>2106</v>
      </c>
      <c r="AE855" t="s">
        <v>2096</v>
      </c>
    </row>
    <row r="856" spans="1:31">
      <c r="A856" t="s">
        <v>517</v>
      </c>
      <c r="B856" s="1">
        <v>44985</v>
      </c>
      <c r="C856" t="s">
        <v>161</v>
      </c>
      <c r="D856">
        <v>2023</v>
      </c>
      <c r="E856" t="s">
        <v>162</v>
      </c>
      <c r="F856" t="s">
        <v>518</v>
      </c>
      <c r="G856" t="s">
        <v>64</v>
      </c>
      <c r="H856" t="s">
        <v>65</v>
      </c>
      <c r="I856" t="s">
        <v>66</v>
      </c>
      <c r="J856" t="s">
        <v>67</v>
      </c>
      <c r="K856" t="s">
        <v>156</v>
      </c>
      <c r="L856" t="s">
        <v>204</v>
      </c>
      <c r="M856">
        <v>3</v>
      </c>
      <c r="N856">
        <v>24.9</v>
      </c>
      <c r="O856">
        <v>74.699999999999989</v>
      </c>
      <c r="P856">
        <v>0</v>
      </c>
      <c r="Q856">
        <v>0</v>
      </c>
      <c r="R856">
        <v>74.7</v>
      </c>
      <c r="S856">
        <v>64.56</v>
      </c>
      <c r="T856">
        <v>10.14</v>
      </c>
      <c r="U856" t="s">
        <v>166</v>
      </c>
      <c r="V856" t="s">
        <v>186</v>
      </c>
      <c r="W856" t="s">
        <v>2093</v>
      </c>
      <c r="X856" t="s">
        <v>2108</v>
      </c>
      <c r="Y856">
        <v>270</v>
      </c>
      <c r="Z856">
        <v>154.62</v>
      </c>
      <c r="AA856">
        <v>30.24</v>
      </c>
      <c r="AB856" t="s">
        <v>41</v>
      </c>
      <c r="AC856" t="s">
        <v>16</v>
      </c>
      <c r="AD856" t="s">
        <v>2087</v>
      </c>
      <c r="AE856" t="s">
        <v>2096</v>
      </c>
    </row>
    <row r="857" spans="1:31">
      <c r="A857" t="s">
        <v>778</v>
      </c>
      <c r="B857" s="1">
        <v>44985</v>
      </c>
      <c r="C857" t="s">
        <v>161</v>
      </c>
      <c r="D857">
        <v>2023</v>
      </c>
      <c r="E857" t="s">
        <v>162</v>
      </c>
      <c r="F857" t="s">
        <v>286</v>
      </c>
      <c r="G857" t="s">
        <v>76</v>
      </c>
      <c r="H857" t="s">
        <v>77</v>
      </c>
      <c r="I857" t="s">
        <v>66</v>
      </c>
      <c r="J857" t="s">
        <v>67</v>
      </c>
      <c r="K857" t="s">
        <v>178</v>
      </c>
      <c r="L857" t="s">
        <v>179</v>
      </c>
      <c r="M857">
        <v>4</v>
      </c>
      <c r="N857">
        <v>118.07</v>
      </c>
      <c r="O857">
        <v>472.28</v>
      </c>
      <c r="P857">
        <v>10</v>
      </c>
      <c r="Q857">
        <v>47.23</v>
      </c>
      <c r="R857">
        <v>425.05</v>
      </c>
      <c r="S857">
        <v>158.80000000000001</v>
      </c>
      <c r="T857">
        <v>266.25</v>
      </c>
      <c r="U857" t="s">
        <v>180</v>
      </c>
      <c r="V857" t="s">
        <v>181</v>
      </c>
      <c r="W857" t="s">
        <v>2113</v>
      </c>
      <c r="X857" t="s">
        <v>2108</v>
      </c>
      <c r="Y857">
        <v>68</v>
      </c>
      <c r="Z857">
        <v>151.47999999999999</v>
      </c>
      <c r="AA857">
        <v>62.52</v>
      </c>
      <c r="AB857" t="s">
        <v>41</v>
      </c>
      <c r="AC857" t="s">
        <v>20</v>
      </c>
      <c r="AD857" t="s">
        <v>2106</v>
      </c>
      <c r="AE857" t="s">
        <v>2096</v>
      </c>
    </row>
    <row r="858" spans="1:31">
      <c r="A858" t="s">
        <v>1069</v>
      </c>
      <c r="B858" s="1">
        <v>44985</v>
      </c>
      <c r="C858" t="s">
        <v>161</v>
      </c>
      <c r="D858">
        <v>2023</v>
      </c>
      <c r="E858" t="s">
        <v>162</v>
      </c>
      <c r="F858" t="s">
        <v>1070</v>
      </c>
      <c r="G858" t="s">
        <v>129</v>
      </c>
      <c r="H858" t="s">
        <v>130</v>
      </c>
      <c r="I858" t="s">
        <v>115</v>
      </c>
      <c r="J858" t="s">
        <v>124</v>
      </c>
      <c r="K858" t="s">
        <v>209</v>
      </c>
      <c r="L858" t="s">
        <v>204</v>
      </c>
      <c r="M858">
        <v>1</v>
      </c>
      <c r="N858">
        <v>99.34</v>
      </c>
      <c r="O858">
        <v>99.34</v>
      </c>
      <c r="P858">
        <v>0</v>
      </c>
      <c r="Q858">
        <v>0</v>
      </c>
      <c r="R858">
        <v>99.34</v>
      </c>
      <c r="S858">
        <v>37.35</v>
      </c>
      <c r="T858">
        <v>61.99</v>
      </c>
      <c r="U858" t="s">
        <v>190</v>
      </c>
      <c r="V858" t="s">
        <v>181</v>
      </c>
      <c r="W858" t="s">
        <v>2085</v>
      </c>
      <c r="X858" t="s">
        <v>2111</v>
      </c>
      <c r="Y858">
        <v>30</v>
      </c>
      <c r="Z858">
        <v>2949.56</v>
      </c>
      <c r="AA858">
        <v>299.38</v>
      </c>
      <c r="AB858" t="s">
        <v>90</v>
      </c>
      <c r="AC858" t="s">
        <v>20</v>
      </c>
      <c r="AD858" t="s">
        <v>2095</v>
      </c>
      <c r="AE858" t="s">
        <v>2096</v>
      </c>
    </row>
    <row r="859" spans="1:31">
      <c r="A859" t="s">
        <v>1738</v>
      </c>
      <c r="B859" s="1">
        <v>44985</v>
      </c>
      <c r="C859" t="s">
        <v>161</v>
      </c>
      <c r="D859">
        <v>2023</v>
      </c>
      <c r="E859" t="s">
        <v>162</v>
      </c>
      <c r="F859" t="s">
        <v>1739</v>
      </c>
      <c r="G859" t="s">
        <v>68</v>
      </c>
      <c r="H859" t="s">
        <v>69</v>
      </c>
      <c r="I859" t="s">
        <v>66</v>
      </c>
      <c r="J859" t="s">
        <v>70</v>
      </c>
      <c r="K859" t="s">
        <v>164</v>
      </c>
      <c r="L859" t="s">
        <v>165</v>
      </c>
      <c r="M859">
        <v>2</v>
      </c>
      <c r="N859">
        <v>98.51</v>
      </c>
      <c r="O859">
        <v>197.02</v>
      </c>
      <c r="P859">
        <v>10</v>
      </c>
      <c r="Q859">
        <v>19.7</v>
      </c>
      <c r="R859">
        <v>177.32</v>
      </c>
      <c r="S859">
        <v>110.34</v>
      </c>
      <c r="T859">
        <v>66.98</v>
      </c>
      <c r="U859" t="s">
        <v>166</v>
      </c>
      <c r="V859" t="s">
        <v>159</v>
      </c>
      <c r="W859" t="s">
        <v>2097</v>
      </c>
      <c r="X859" t="s">
        <v>2100</v>
      </c>
      <c r="Y859">
        <v>350</v>
      </c>
      <c r="Z859">
        <v>697.56</v>
      </c>
      <c r="AA859">
        <v>124.32</v>
      </c>
      <c r="AB859" t="s">
        <v>115</v>
      </c>
      <c r="AC859" t="s">
        <v>16</v>
      </c>
      <c r="AD859" t="s">
        <v>2087</v>
      </c>
      <c r="AE859" t="s">
        <v>2096</v>
      </c>
    </row>
    <row r="860" spans="1:31">
      <c r="A860" t="s">
        <v>613</v>
      </c>
      <c r="B860" s="1">
        <v>44984</v>
      </c>
      <c r="C860" t="s">
        <v>161</v>
      </c>
      <c r="D860">
        <v>2023</v>
      </c>
      <c r="E860" t="s">
        <v>162</v>
      </c>
      <c r="F860" t="s">
        <v>248</v>
      </c>
      <c r="G860" t="s">
        <v>57</v>
      </c>
      <c r="H860" t="s">
        <v>58</v>
      </c>
      <c r="I860" t="s">
        <v>41</v>
      </c>
      <c r="J860" t="s">
        <v>59</v>
      </c>
      <c r="K860" t="s">
        <v>156</v>
      </c>
      <c r="L860" t="s">
        <v>165</v>
      </c>
      <c r="M860">
        <v>2</v>
      </c>
      <c r="N860">
        <v>56.33</v>
      </c>
      <c r="O860">
        <v>112.66</v>
      </c>
      <c r="P860">
        <v>20</v>
      </c>
      <c r="Q860">
        <v>22.53</v>
      </c>
      <c r="R860">
        <v>90.13</v>
      </c>
      <c r="S860">
        <v>82.9</v>
      </c>
      <c r="T860">
        <v>7.23</v>
      </c>
      <c r="U860" t="s">
        <v>180</v>
      </c>
      <c r="V860" t="s">
        <v>159</v>
      </c>
      <c r="W860" t="s">
        <v>2097</v>
      </c>
      <c r="X860" t="s">
        <v>2111</v>
      </c>
      <c r="Y860">
        <v>84</v>
      </c>
      <c r="Z860">
        <v>734.02</v>
      </c>
      <c r="AA860">
        <v>124.69</v>
      </c>
      <c r="AB860" t="s">
        <v>14</v>
      </c>
      <c r="AC860" t="s">
        <v>16</v>
      </c>
      <c r="AD860" t="s">
        <v>2095</v>
      </c>
      <c r="AE860" t="s">
        <v>2121</v>
      </c>
    </row>
    <row r="861" spans="1:31">
      <c r="A861" t="s">
        <v>1904</v>
      </c>
      <c r="B861" s="1">
        <v>44984</v>
      </c>
      <c r="C861" t="s">
        <v>161</v>
      </c>
      <c r="D861">
        <v>2023</v>
      </c>
      <c r="E861" t="s">
        <v>162</v>
      </c>
      <c r="F861" t="s">
        <v>1905</v>
      </c>
      <c r="G861" t="s">
        <v>129</v>
      </c>
      <c r="H861" t="s">
        <v>130</v>
      </c>
      <c r="I861" t="s">
        <v>115</v>
      </c>
      <c r="J861" t="s">
        <v>124</v>
      </c>
      <c r="K861" t="s">
        <v>209</v>
      </c>
      <c r="L861" t="s">
        <v>232</v>
      </c>
      <c r="M861">
        <v>2</v>
      </c>
      <c r="N861">
        <v>99.34</v>
      </c>
      <c r="O861">
        <v>198.68</v>
      </c>
      <c r="P861">
        <v>0</v>
      </c>
      <c r="Q861">
        <v>0</v>
      </c>
      <c r="R861">
        <v>198.68</v>
      </c>
      <c r="S861">
        <v>74.7</v>
      </c>
      <c r="T861">
        <v>123.98</v>
      </c>
      <c r="U861" t="s">
        <v>166</v>
      </c>
      <c r="V861" t="s">
        <v>181</v>
      </c>
      <c r="W861" t="s">
        <v>2113</v>
      </c>
      <c r="X861" t="s">
        <v>2091</v>
      </c>
      <c r="Y861">
        <v>12</v>
      </c>
      <c r="Z861">
        <v>522.08000000000004</v>
      </c>
      <c r="AA861">
        <v>47.83</v>
      </c>
      <c r="AB861" t="s">
        <v>14</v>
      </c>
      <c r="AC861" t="s">
        <v>16</v>
      </c>
      <c r="AD861" t="s">
        <v>2087</v>
      </c>
      <c r="AE861" t="s">
        <v>2088</v>
      </c>
    </row>
    <row r="862" spans="1:31">
      <c r="A862" t="s">
        <v>1911</v>
      </c>
      <c r="B862" s="1">
        <v>44984</v>
      </c>
      <c r="C862" t="s">
        <v>161</v>
      </c>
      <c r="D862">
        <v>2023</v>
      </c>
      <c r="E862" t="s">
        <v>162</v>
      </c>
      <c r="F862" t="s">
        <v>1912</v>
      </c>
      <c r="G862" t="s">
        <v>92</v>
      </c>
      <c r="H862" t="s">
        <v>93</v>
      </c>
      <c r="I862" t="s">
        <v>90</v>
      </c>
      <c r="J862" t="s">
        <v>94</v>
      </c>
      <c r="K862" t="s">
        <v>164</v>
      </c>
      <c r="L862" t="s">
        <v>204</v>
      </c>
      <c r="M862">
        <v>3</v>
      </c>
      <c r="N862">
        <v>230.34</v>
      </c>
      <c r="O862">
        <v>691.02</v>
      </c>
      <c r="P862">
        <v>15</v>
      </c>
      <c r="Q862">
        <v>103.65</v>
      </c>
      <c r="R862">
        <v>587.37</v>
      </c>
      <c r="S862">
        <v>224.04</v>
      </c>
      <c r="T862">
        <v>363.33</v>
      </c>
      <c r="U862" t="s">
        <v>190</v>
      </c>
      <c r="V862" t="s">
        <v>159</v>
      </c>
      <c r="W862" t="s">
        <v>2090</v>
      </c>
      <c r="X862" t="s">
        <v>2091</v>
      </c>
      <c r="Y862">
        <v>126</v>
      </c>
      <c r="Z862">
        <v>239</v>
      </c>
      <c r="AA862">
        <v>95.11</v>
      </c>
      <c r="AB862" t="s">
        <v>66</v>
      </c>
      <c r="AC862" t="s">
        <v>20</v>
      </c>
      <c r="AD862" t="s">
        <v>2095</v>
      </c>
      <c r="AE862" t="s">
        <v>2107</v>
      </c>
    </row>
    <row r="863" spans="1:31">
      <c r="A863" t="s">
        <v>1551</v>
      </c>
      <c r="B863" s="1">
        <v>44984</v>
      </c>
      <c r="C863" t="s">
        <v>161</v>
      </c>
      <c r="D863">
        <v>2023</v>
      </c>
      <c r="E863" t="s">
        <v>162</v>
      </c>
      <c r="F863" t="s">
        <v>1552</v>
      </c>
      <c r="G863" t="s">
        <v>48</v>
      </c>
      <c r="H863" t="s">
        <v>49</v>
      </c>
      <c r="I863" t="s">
        <v>41</v>
      </c>
      <c r="J863" t="s">
        <v>42</v>
      </c>
      <c r="K863" t="s">
        <v>209</v>
      </c>
      <c r="L863" t="s">
        <v>179</v>
      </c>
      <c r="M863">
        <v>3</v>
      </c>
      <c r="N863">
        <v>84.95</v>
      </c>
      <c r="O863">
        <v>254.85000000000002</v>
      </c>
      <c r="P863">
        <v>0</v>
      </c>
      <c r="Q863">
        <v>0</v>
      </c>
      <c r="R863">
        <v>254.85</v>
      </c>
      <c r="S863">
        <v>159.21</v>
      </c>
      <c r="T863">
        <v>95.64</v>
      </c>
      <c r="U863" t="s">
        <v>190</v>
      </c>
      <c r="V863" t="s">
        <v>159</v>
      </c>
      <c r="W863" t="s">
        <v>2090</v>
      </c>
      <c r="X863" t="s">
        <v>2086</v>
      </c>
      <c r="Y863">
        <v>122</v>
      </c>
      <c r="Z863">
        <v>218.64</v>
      </c>
      <c r="AA863">
        <v>45.3</v>
      </c>
      <c r="AB863" t="s">
        <v>90</v>
      </c>
      <c r="AC863" t="s">
        <v>20</v>
      </c>
      <c r="AD863" t="s">
        <v>2087</v>
      </c>
      <c r="AE863" t="s">
        <v>2121</v>
      </c>
    </row>
    <row r="864" spans="1:31">
      <c r="A864" t="s">
        <v>411</v>
      </c>
      <c r="B864" s="1">
        <v>44983</v>
      </c>
      <c r="C864" t="s">
        <v>161</v>
      </c>
      <c r="D864">
        <v>2023</v>
      </c>
      <c r="E864" t="s">
        <v>162</v>
      </c>
      <c r="F864" t="s">
        <v>412</v>
      </c>
      <c r="G864" t="s">
        <v>33</v>
      </c>
      <c r="H864" t="s">
        <v>34</v>
      </c>
      <c r="I864" t="s">
        <v>14</v>
      </c>
      <c r="J864" t="s">
        <v>27</v>
      </c>
      <c r="K864" t="s">
        <v>164</v>
      </c>
      <c r="L864" t="s">
        <v>232</v>
      </c>
      <c r="M864">
        <v>3</v>
      </c>
      <c r="N864">
        <v>124.26</v>
      </c>
      <c r="O864">
        <v>372.78000000000003</v>
      </c>
      <c r="P864">
        <v>5</v>
      </c>
      <c r="Q864">
        <v>18.64</v>
      </c>
      <c r="R864">
        <v>354.14</v>
      </c>
      <c r="S864">
        <v>157.86000000000001</v>
      </c>
      <c r="T864">
        <v>196.28</v>
      </c>
      <c r="U864" t="s">
        <v>195</v>
      </c>
      <c r="V864" t="s">
        <v>159</v>
      </c>
      <c r="W864" t="s">
        <v>2085</v>
      </c>
      <c r="X864" t="s">
        <v>2086</v>
      </c>
      <c r="Y864">
        <v>232</v>
      </c>
      <c r="Z864">
        <v>1187.52</v>
      </c>
      <c r="AA864">
        <v>235.83</v>
      </c>
      <c r="AB864" t="s">
        <v>90</v>
      </c>
      <c r="AC864" t="s">
        <v>16</v>
      </c>
      <c r="AD864" t="s">
        <v>2095</v>
      </c>
      <c r="AE864" t="s">
        <v>2088</v>
      </c>
    </row>
    <row r="865" spans="1:31">
      <c r="A865" t="s">
        <v>481</v>
      </c>
      <c r="B865" s="1">
        <v>44983</v>
      </c>
      <c r="C865" t="s">
        <v>161</v>
      </c>
      <c r="D865">
        <v>2023</v>
      </c>
      <c r="E865" t="s">
        <v>162</v>
      </c>
      <c r="F865" t="s">
        <v>482</v>
      </c>
      <c r="G865" t="s">
        <v>80</v>
      </c>
      <c r="H865" t="s">
        <v>81</v>
      </c>
      <c r="I865" t="s">
        <v>66</v>
      </c>
      <c r="J865" t="s">
        <v>70</v>
      </c>
      <c r="K865" t="s">
        <v>164</v>
      </c>
      <c r="L865" t="s">
        <v>232</v>
      </c>
      <c r="M865">
        <v>4</v>
      </c>
      <c r="N865">
        <v>106.06</v>
      </c>
      <c r="O865">
        <v>424.24</v>
      </c>
      <c r="P865">
        <v>0</v>
      </c>
      <c r="Q865">
        <v>0</v>
      </c>
      <c r="R865">
        <v>424.24</v>
      </c>
      <c r="S865">
        <v>133.68</v>
      </c>
      <c r="T865">
        <v>290.56</v>
      </c>
      <c r="U865" t="s">
        <v>166</v>
      </c>
      <c r="V865" t="s">
        <v>159</v>
      </c>
      <c r="W865" t="s">
        <v>2093</v>
      </c>
      <c r="X865" t="s">
        <v>2100</v>
      </c>
      <c r="Y865">
        <v>213</v>
      </c>
      <c r="Z865">
        <v>71.02</v>
      </c>
      <c r="AA865">
        <v>23.27</v>
      </c>
      <c r="AB865" t="s">
        <v>41</v>
      </c>
      <c r="AC865" t="s">
        <v>16</v>
      </c>
      <c r="AD865" t="s">
        <v>2087</v>
      </c>
      <c r="AE865" t="s">
        <v>2096</v>
      </c>
    </row>
    <row r="866" spans="1:31">
      <c r="A866" t="s">
        <v>1735</v>
      </c>
      <c r="B866" s="1">
        <v>44983</v>
      </c>
      <c r="C866" t="s">
        <v>161</v>
      </c>
      <c r="D866">
        <v>2023</v>
      </c>
      <c r="E866" t="s">
        <v>162</v>
      </c>
      <c r="F866" t="s">
        <v>197</v>
      </c>
      <c r="G866" t="s">
        <v>122</v>
      </c>
      <c r="H866" t="s">
        <v>123</v>
      </c>
      <c r="I866" t="s">
        <v>115</v>
      </c>
      <c r="J866" t="s">
        <v>124</v>
      </c>
      <c r="K866" t="s">
        <v>178</v>
      </c>
      <c r="L866" t="s">
        <v>204</v>
      </c>
      <c r="M866">
        <v>3</v>
      </c>
      <c r="N866">
        <v>93.88</v>
      </c>
      <c r="O866">
        <v>281.64</v>
      </c>
      <c r="P866">
        <v>0</v>
      </c>
      <c r="Q866">
        <v>0</v>
      </c>
      <c r="R866">
        <v>281.64</v>
      </c>
      <c r="S866">
        <v>159.33000000000001</v>
      </c>
      <c r="T866">
        <v>122.31</v>
      </c>
      <c r="U866" t="s">
        <v>166</v>
      </c>
      <c r="V866" t="s">
        <v>159</v>
      </c>
      <c r="W866" t="s">
        <v>2097</v>
      </c>
      <c r="X866" t="s">
        <v>2111</v>
      </c>
      <c r="Y866">
        <v>175</v>
      </c>
      <c r="Z866">
        <v>263.77999999999997</v>
      </c>
      <c r="AA866">
        <v>59.05</v>
      </c>
      <c r="AB866" t="s">
        <v>115</v>
      </c>
      <c r="AC866" t="s">
        <v>16</v>
      </c>
      <c r="AD866" t="s">
        <v>2106</v>
      </c>
      <c r="AE866" t="s">
        <v>2107</v>
      </c>
    </row>
    <row r="867" spans="1:31">
      <c r="A867" t="s">
        <v>1023</v>
      </c>
      <c r="B867" s="1">
        <v>44982</v>
      </c>
      <c r="C867" t="s">
        <v>161</v>
      </c>
      <c r="D867">
        <v>2023</v>
      </c>
      <c r="E867" t="s">
        <v>162</v>
      </c>
      <c r="F867" t="s">
        <v>1024</v>
      </c>
      <c r="G867" t="s">
        <v>60</v>
      </c>
      <c r="H867" t="s">
        <v>61</v>
      </c>
      <c r="I867" t="s">
        <v>41</v>
      </c>
      <c r="J867" t="s">
        <v>59</v>
      </c>
      <c r="K867" t="s">
        <v>209</v>
      </c>
      <c r="L867" t="s">
        <v>194</v>
      </c>
      <c r="M867">
        <v>3</v>
      </c>
      <c r="N867">
        <v>103.56</v>
      </c>
      <c r="O867">
        <v>310.68</v>
      </c>
      <c r="P867">
        <v>15</v>
      </c>
      <c r="Q867">
        <v>46.6</v>
      </c>
      <c r="R867">
        <v>264.08</v>
      </c>
      <c r="S867">
        <v>133.74</v>
      </c>
      <c r="T867">
        <v>130.34</v>
      </c>
      <c r="U867" t="s">
        <v>195</v>
      </c>
      <c r="V867" t="s">
        <v>159</v>
      </c>
      <c r="W867" t="s">
        <v>2090</v>
      </c>
      <c r="X867" t="s">
        <v>2094</v>
      </c>
      <c r="Y867">
        <v>56</v>
      </c>
      <c r="Z867">
        <v>328.15</v>
      </c>
      <c r="AA867">
        <v>70.180000000000007</v>
      </c>
      <c r="AB867" t="s">
        <v>14</v>
      </c>
      <c r="AC867" t="s">
        <v>16</v>
      </c>
      <c r="AD867" t="s">
        <v>2087</v>
      </c>
      <c r="AE867" t="s">
        <v>2096</v>
      </c>
    </row>
    <row r="868" spans="1:31">
      <c r="A868" t="s">
        <v>1488</v>
      </c>
      <c r="B868" s="1">
        <v>44982</v>
      </c>
      <c r="C868" t="s">
        <v>161</v>
      </c>
      <c r="D868">
        <v>2023</v>
      </c>
      <c r="E868" t="s">
        <v>162</v>
      </c>
      <c r="F868" t="s">
        <v>1489</v>
      </c>
      <c r="G868" t="s">
        <v>109</v>
      </c>
      <c r="H868" t="s">
        <v>110</v>
      </c>
      <c r="I868" t="s">
        <v>90</v>
      </c>
      <c r="J868" t="s">
        <v>100</v>
      </c>
      <c r="K868" t="s">
        <v>164</v>
      </c>
      <c r="L868" t="s">
        <v>179</v>
      </c>
      <c r="M868">
        <v>1</v>
      </c>
      <c r="N868">
        <v>77.67</v>
      </c>
      <c r="O868">
        <v>77.67</v>
      </c>
      <c r="P868">
        <v>10</v>
      </c>
      <c r="Q868">
        <v>7.77</v>
      </c>
      <c r="R868">
        <v>69.900000000000006</v>
      </c>
      <c r="S868">
        <v>28.12</v>
      </c>
      <c r="T868">
        <v>41.78</v>
      </c>
      <c r="U868" t="s">
        <v>158</v>
      </c>
      <c r="V868" t="s">
        <v>159</v>
      </c>
      <c r="W868" t="s">
        <v>2099</v>
      </c>
      <c r="X868" t="s">
        <v>2094</v>
      </c>
      <c r="Y868">
        <v>70</v>
      </c>
      <c r="Z868">
        <v>46.55</v>
      </c>
      <c r="AA868">
        <v>85.7</v>
      </c>
      <c r="AB868" t="s">
        <v>41</v>
      </c>
      <c r="AC868" t="s">
        <v>20</v>
      </c>
      <c r="AD868" t="s">
        <v>2106</v>
      </c>
      <c r="AE868" t="s">
        <v>2088</v>
      </c>
    </row>
    <row r="869" spans="1:31">
      <c r="A869" t="s">
        <v>737</v>
      </c>
      <c r="B869" s="1">
        <v>44981</v>
      </c>
      <c r="C869" t="s">
        <v>161</v>
      </c>
      <c r="D869">
        <v>2023</v>
      </c>
      <c r="E869" t="s">
        <v>162</v>
      </c>
      <c r="F869" t="s">
        <v>738</v>
      </c>
      <c r="G869" t="s">
        <v>111</v>
      </c>
      <c r="H869" t="s">
        <v>112</v>
      </c>
      <c r="I869" t="s">
        <v>90</v>
      </c>
      <c r="J869" t="s">
        <v>97</v>
      </c>
      <c r="K869" t="s">
        <v>178</v>
      </c>
      <c r="L869" t="s">
        <v>174</v>
      </c>
      <c r="M869">
        <v>2</v>
      </c>
      <c r="N869">
        <v>189.99</v>
      </c>
      <c r="O869">
        <v>379.98</v>
      </c>
      <c r="P869">
        <v>5</v>
      </c>
      <c r="Q869">
        <v>19</v>
      </c>
      <c r="R869">
        <v>360.98</v>
      </c>
      <c r="S869">
        <v>127.02</v>
      </c>
      <c r="T869">
        <v>233.96</v>
      </c>
      <c r="U869" t="s">
        <v>180</v>
      </c>
      <c r="V869" t="s">
        <v>159</v>
      </c>
      <c r="W869" t="s">
        <v>2113</v>
      </c>
      <c r="X869" t="s">
        <v>2108</v>
      </c>
      <c r="Y869">
        <v>15</v>
      </c>
      <c r="Z869">
        <v>596.14</v>
      </c>
      <c r="AA869">
        <v>68.540000000000006</v>
      </c>
      <c r="AB869" t="s">
        <v>14</v>
      </c>
      <c r="AC869" t="s">
        <v>20</v>
      </c>
      <c r="AD869" t="s">
        <v>2095</v>
      </c>
      <c r="AE869" t="s">
        <v>2121</v>
      </c>
    </row>
    <row r="870" spans="1:31">
      <c r="A870" t="s">
        <v>1294</v>
      </c>
      <c r="B870" s="1">
        <v>44981</v>
      </c>
      <c r="C870" t="s">
        <v>161</v>
      </c>
      <c r="D870">
        <v>2023</v>
      </c>
      <c r="E870" t="s">
        <v>162</v>
      </c>
      <c r="F870" t="s">
        <v>416</v>
      </c>
      <c r="G870" t="s">
        <v>71</v>
      </c>
      <c r="H870" t="s">
        <v>72</v>
      </c>
      <c r="I870" t="s">
        <v>66</v>
      </c>
      <c r="J870" t="s">
        <v>70</v>
      </c>
      <c r="K870" t="s">
        <v>209</v>
      </c>
      <c r="L870" t="s">
        <v>165</v>
      </c>
      <c r="M870">
        <v>2</v>
      </c>
      <c r="N870">
        <v>26.7</v>
      </c>
      <c r="O870">
        <v>53.4</v>
      </c>
      <c r="P870">
        <v>20</v>
      </c>
      <c r="Q870">
        <v>10.68</v>
      </c>
      <c r="R870">
        <v>42.72</v>
      </c>
      <c r="S870">
        <v>24.54</v>
      </c>
      <c r="T870">
        <v>18.18</v>
      </c>
      <c r="U870" t="s">
        <v>180</v>
      </c>
      <c r="V870" t="s">
        <v>181</v>
      </c>
      <c r="W870" t="s">
        <v>2093</v>
      </c>
      <c r="X870" t="s">
        <v>2091</v>
      </c>
      <c r="Y870">
        <v>268</v>
      </c>
      <c r="Z870">
        <v>90.93</v>
      </c>
      <c r="AA870">
        <v>79.72</v>
      </c>
      <c r="AB870" t="s">
        <v>14</v>
      </c>
      <c r="AC870" t="s">
        <v>20</v>
      </c>
      <c r="AD870" t="s">
        <v>2087</v>
      </c>
      <c r="AE870" t="s">
        <v>2088</v>
      </c>
    </row>
    <row r="871" spans="1:31">
      <c r="A871" t="s">
        <v>1705</v>
      </c>
      <c r="B871" s="1">
        <v>44980</v>
      </c>
      <c r="C871" t="s">
        <v>161</v>
      </c>
      <c r="D871">
        <v>2023</v>
      </c>
      <c r="E871" t="s">
        <v>162</v>
      </c>
      <c r="F871" t="s">
        <v>1706</v>
      </c>
      <c r="G871" t="s">
        <v>68</v>
      </c>
      <c r="H871" t="s">
        <v>69</v>
      </c>
      <c r="I871" t="s">
        <v>66</v>
      </c>
      <c r="J871" t="s">
        <v>70</v>
      </c>
      <c r="K871" t="s">
        <v>209</v>
      </c>
      <c r="L871" t="s">
        <v>232</v>
      </c>
      <c r="M871">
        <v>4</v>
      </c>
      <c r="N871">
        <v>98.51</v>
      </c>
      <c r="O871">
        <v>394.04</v>
      </c>
      <c r="P871">
        <v>0</v>
      </c>
      <c r="Q871">
        <v>0</v>
      </c>
      <c r="R871">
        <v>394.04</v>
      </c>
      <c r="S871">
        <v>220.68</v>
      </c>
      <c r="T871">
        <v>173.36</v>
      </c>
      <c r="U871" t="s">
        <v>190</v>
      </c>
      <c r="V871" t="s">
        <v>159</v>
      </c>
      <c r="W871" t="s">
        <v>2099</v>
      </c>
      <c r="X871" t="s">
        <v>2108</v>
      </c>
      <c r="Y871">
        <v>359</v>
      </c>
      <c r="Z871">
        <v>61.68</v>
      </c>
      <c r="AA871">
        <v>51.75</v>
      </c>
      <c r="AB871" t="s">
        <v>66</v>
      </c>
      <c r="AC871" t="s">
        <v>20</v>
      </c>
      <c r="AD871" t="s">
        <v>2095</v>
      </c>
      <c r="AE871" t="s">
        <v>2121</v>
      </c>
    </row>
    <row r="872" spans="1:31">
      <c r="A872" t="s">
        <v>396</v>
      </c>
      <c r="B872" s="1">
        <v>44980</v>
      </c>
      <c r="C872" t="s">
        <v>161</v>
      </c>
      <c r="D872">
        <v>2023</v>
      </c>
      <c r="E872" t="s">
        <v>162</v>
      </c>
      <c r="F872" t="s">
        <v>397</v>
      </c>
      <c r="G872" t="s">
        <v>60</v>
      </c>
      <c r="H872" t="s">
        <v>61</v>
      </c>
      <c r="I872" t="s">
        <v>41</v>
      </c>
      <c r="J872" t="s">
        <v>59</v>
      </c>
      <c r="K872" t="s">
        <v>156</v>
      </c>
      <c r="L872" t="s">
        <v>157</v>
      </c>
      <c r="M872">
        <v>3</v>
      </c>
      <c r="N872">
        <v>103.56</v>
      </c>
      <c r="O872">
        <v>310.68</v>
      </c>
      <c r="P872">
        <v>0</v>
      </c>
      <c r="Q872">
        <v>0</v>
      </c>
      <c r="R872">
        <v>310.68</v>
      </c>
      <c r="S872">
        <v>133.74</v>
      </c>
      <c r="T872">
        <v>176.94</v>
      </c>
      <c r="U872" t="s">
        <v>180</v>
      </c>
      <c r="V872" t="s">
        <v>159</v>
      </c>
      <c r="W872" t="s">
        <v>2097</v>
      </c>
      <c r="X872" t="s">
        <v>2100</v>
      </c>
      <c r="Y872">
        <v>27</v>
      </c>
      <c r="Z872">
        <v>235.16</v>
      </c>
      <c r="AA872">
        <v>104.38</v>
      </c>
      <c r="AB872" t="s">
        <v>14</v>
      </c>
      <c r="AC872" t="s">
        <v>16</v>
      </c>
      <c r="AD872" t="s">
        <v>2095</v>
      </c>
      <c r="AE872" t="s">
        <v>2121</v>
      </c>
    </row>
    <row r="873" spans="1:31">
      <c r="A873" t="s">
        <v>774</v>
      </c>
      <c r="B873" s="1">
        <v>44979</v>
      </c>
      <c r="C873" t="s">
        <v>161</v>
      </c>
      <c r="D873">
        <v>2023</v>
      </c>
      <c r="E873" t="s">
        <v>162</v>
      </c>
      <c r="F873" t="s">
        <v>775</v>
      </c>
      <c r="G873" t="s">
        <v>57</v>
      </c>
      <c r="H873" t="s">
        <v>58</v>
      </c>
      <c r="I873" t="s">
        <v>41</v>
      </c>
      <c r="J873" t="s">
        <v>59</v>
      </c>
      <c r="K873" t="s">
        <v>156</v>
      </c>
      <c r="L873" t="s">
        <v>194</v>
      </c>
      <c r="M873">
        <v>1</v>
      </c>
      <c r="N873">
        <v>56.33</v>
      </c>
      <c r="O873">
        <v>56.33</v>
      </c>
      <c r="P873">
        <v>10</v>
      </c>
      <c r="Q873">
        <v>5.63</v>
      </c>
      <c r="R873">
        <v>50.7</v>
      </c>
      <c r="S873">
        <v>41.45</v>
      </c>
      <c r="T873">
        <v>9.25</v>
      </c>
      <c r="U873" t="s">
        <v>195</v>
      </c>
      <c r="V873" t="s">
        <v>159</v>
      </c>
      <c r="W873" t="s">
        <v>2093</v>
      </c>
      <c r="X873" t="s">
        <v>2086</v>
      </c>
      <c r="Y873">
        <v>352</v>
      </c>
      <c r="Z873">
        <v>195.17</v>
      </c>
      <c r="AA873">
        <v>20.190000000000001</v>
      </c>
      <c r="AB873" t="s">
        <v>66</v>
      </c>
      <c r="AC873" t="s">
        <v>16</v>
      </c>
      <c r="AD873" t="s">
        <v>2095</v>
      </c>
      <c r="AE873" t="s">
        <v>2107</v>
      </c>
    </row>
    <row r="874" spans="1:31">
      <c r="A874" t="s">
        <v>797</v>
      </c>
      <c r="B874" s="1">
        <v>44979</v>
      </c>
      <c r="C874" t="s">
        <v>161</v>
      </c>
      <c r="D874">
        <v>2023</v>
      </c>
      <c r="E874" t="s">
        <v>162</v>
      </c>
      <c r="F874" t="s">
        <v>798</v>
      </c>
      <c r="G874" t="s">
        <v>101</v>
      </c>
      <c r="H874" t="s">
        <v>102</v>
      </c>
      <c r="I874" t="s">
        <v>90</v>
      </c>
      <c r="J874" t="s">
        <v>100</v>
      </c>
      <c r="K874" t="s">
        <v>156</v>
      </c>
      <c r="L874" t="s">
        <v>194</v>
      </c>
      <c r="M874">
        <v>2</v>
      </c>
      <c r="N874">
        <v>196.28</v>
      </c>
      <c r="O874">
        <v>392.56</v>
      </c>
      <c r="P874">
        <v>5</v>
      </c>
      <c r="Q874">
        <v>19.63</v>
      </c>
      <c r="R874">
        <v>372.93</v>
      </c>
      <c r="S874">
        <v>143.46</v>
      </c>
      <c r="T874">
        <v>229.47</v>
      </c>
      <c r="U874" t="s">
        <v>158</v>
      </c>
      <c r="V874" t="s">
        <v>186</v>
      </c>
      <c r="W874" t="s">
        <v>2099</v>
      </c>
      <c r="X874" t="s">
        <v>2091</v>
      </c>
      <c r="Y874">
        <v>66</v>
      </c>
      <c r="Z874">
        <v>110.32</v>
      </c>
      <c r="AA874">
        <v>49.06</v>
      </c>
      <c r="AB874" t="s">
        <v>90</v>
      </c>
      <c r="AC874" t="s">
        <v>20</v>
      </c>
      <c r="AD874" t="s">
        <v>2087</v>
      </c>
      <c r="AE874" t="s">
        <v>2107</v>
      </c>
    </row>
    <row r="875" spans="1:31">
      <c r="A875" t="s">
        <v>1021</v>
      </c>
      <c r="B875" s="1">
        <v>44979</v>
      </c>
      <c r="C875" t="s">
        <v>161</v>
      </c>
      <c r="D875">
        <v>2023</v>
      </c>
      <c r="E875" t="s">
        <v>162</v>
      </c>
      <c r="F875" t="s">
        <v>1022</v>
      </c>
      <c r="G875" t="s">
        <v>122</v>
      </c>
      <c r="H875" t="s">
        <v>123</v>
      </c>
      <c r="I875" t="s">
        <v>115</v>
      </c>
      <c r="J875" t="s">
        <v>124</v>
      </c>
      <c r="K875" t="s">
        <v>178</v>
      </c>
      <c r="L875" t="s">
        <v>232</v>
      </c>
      <c r="M875">
        <v>4</v>
      </c>
      <c r="N875">
        <v>93.88</v>
      </c>
      <c r="O875">
        <v>375.52</v>
      </c>
      <c r="P875">
        <v>10</v>
      </c>
      <c r="Q875">
        <v>37.549999999999997</v>
      </c>
      <c r="R875">
        <v>337.97</v>
      </c>
      <c r="S875">
        <v>212.44</v>
      </c>
      <c r="T875">
        <v>125.53</v>
      </c>
      <c r="U875" t="s">
        <v>166</v>
      </c>
      <c r="V875" t="s">
        <v>181</v>
      </c>
      <c r="W875" t="s">
        <v>2085</v>
      </c>
      <c r="X875" t="s">
        <v>2091</v>
      </c>
      <c r="Y875">
        <v>83</v>
      </c>
      <c r="Z875">
        <v>1410.16</v>
      </c>
      <c r="AA875">
        <v>200.07</v>
      </c>
      <c r="AB875" t="s">
        <v>115</v>
      </c>
      <c r="AC875" t="s">
        <v>20</v>
      </c>
      <c r="AD875" t="s">
        <v>2106</v>
      </c>
      <c r="AE875" t="s">
        <v>2107</v>
      </c>
    </row>
    <row r="876" spans="1:31">
      <c r="A876" t="s">
        <v>312</v>
      </c>
      <c r="B876" s="1">
        <v>44978</v>
      </c>
      <c r="C876" t="s">
        <v>161</v>
      </c>
      <c r="D876">
        <v>2023</v>
      </c>
      <c r="E876" t="s">
        <v>162</v>
      </c>
      <c r="F876" t="s">
        <v>313</v>
      </c>
      <c r="G876" t="s">
        <v>95</v>
      </c>
      <c r="H876" t="s">
        <v>96</v>
      </c>
      <c r="I876" t="s">
        <v>90</v>
      </c>
      <c r="J876" t="s">
        <v>97</v>
      </c>
      <c r="K876" t="s">
        <v>164</v>
      </c>
      <c r="L876" t="s">
        <v>174</v>
      </c>
      <c r="M876">
        <v>3</v>
      </c>
      <c r="N876">
        <v>177.41</v>
      </c>
      <c r="O876">
        <v>532.23</v>
      </c>
      <c r="P876">
        <v>20</v>
      </c>
      <c r="Q876">
        <v>106.45</v>
      </c>
      <c r="R876">
        <v>425.78</v>
      </c>
      <c r="S876">
        <v>224.97</v>
      </c>
      <c r="T876">
        <v>200.81</v>
      </c>
      <c r="U876" t="s">
        <v>166</v>
      </c>
      <c r="V876" t="s">
        <v>186</v>
      </c>
      <c r="W876" t="s">
        <v>2093</v>
      </c>
      <c r="X876" t="s">
        <v>2086</v>
      </c>
      <c r="Y876">
        <v>227</v>
      </c>
      <c r="Z876">
        <v>156.37</v>
      </c>
      <c r="AA876">
        <v>63.17</v>
      </c>
      <c r="AB876" t="s">
        <v>90</v>
      </c>
      <c r="AC876" t="s">
        <v>16</v>
      </c>
      <c r="AD876" t="s">
        <v>2095</v>
      </c>
      <c r="AE876" t="s">
        <v>2088</v>
      </c>
    </row>
    <row r="877" spans="1:31">
      <c r="A877" t="s">
        <v>926</v>
      </c>
      <c r="B877" s="1">
        <v>44978</v>
      </c>
      <c r="C877" t="s">
        <v>161</v>
      </c>
      <c r="D877">
        <v>2023</v>
      </c>
      <c r="E877" t="s">
        <v>162</v>
      </c>
      <c r="F877" t="s">
        <v>927</v>
      </c>
      <c r="G877" t="s">
        <v>71</v>
      </c>
      <c r="H877" t="s">
        <v>72</v>
      </c>
      <c r="I877" t="s">
        <v>66</v>
      </c>
      <c r="J877" t="s">
        <v>70</v>
      </c>
      <c r="K877" t="s">
        <v>156</v>
      </c>
      <c r="L877" t="s">
        <v>194</v>
      </c>
      <c r="M877">
        <v>2</v>
      </c>
      <c r="N877">
        <v>26.7</v>
      </c>
      <c r="O877">
        <v>53.4</v>
      </c>
      <c r="P877">
        <v>0</v>
      </c>
      <c r="Q877">
        <v>0</v>
      </c>
      <c r="R877">
        <v>53.4</v>
      </c>
      <c r="S877">
        <v>24.54</v>
      </c>
      <c r="T877">
        <v>28.86</v>
      </c>
      <c r="U877" t="s">
        <v>166</v>
      </c>
      <c r="V877" t="s">
        <v>159</v>
      </c>
      <c r="W877" t="s">
        <v>2093</v>
      </c>
      <c r="X877" t="s">
        <v>2086</v>
      </c>
      <c r="Y877">
        <v>312</v>
      </c>
      <c r="Z877">
        <v>152.57</v>
      </c>
      <c r="AA877">
        <v>41.99</v>
      </c>
      <c r="AB877" t="s">
        <v>66</v>
      </c>
      <c r="AC877" t="s">
        <v>20</v>
      </c>
      <c r="AD877" t="s">
        <v>2087</v>
      </c>
      <c r="AE877" t="s">
        <v>2096</v>
      </c>
    </row>
    <row r="878" spans="1:31">
      <c r="A878" t="s">
        <v>1313</v>
      </c>
      <c r="B878" s="1">
        <v>44977</v>
      </c>
      <c r="C878" t="s">
        <v>161</v>
      </c>
      <c r="D878">
        <v>2023</v>
      </c>
      <c r="E878" t="s">
        <v>162</v>
      </c>
      <c r="F878" t="s">
        <v>1138</v>
      </c>
      <c r="G878" t="s">
        <v>55</v>
      </c>
      <c r="H878" t="s">
        <v>56</v>
      </c>
      <c r="I878" t="s">
        <v>41</v>
      </c>
      <c r="J878" t="s">
        <v>45</v>
      </c>
      <c r="K878" t="s">
        <v>156</v>
      </c>
      <c r="L878" t="s">
        <v>174</v>
      </c>
      <c r="M878">
        <v>1</v>
      </c>
      <c r="N878">
        <v>205.4</v>
      </c>
      <c r="O878">
        <v>205.4</v>
      </c>
      <c r="P878">
        <v>5</v>
      </c>
      <c r="Q878">
        <v>10.27</v>
      </c>
      <c r="R878">
        <v>195.13</v>
      </c>
      <c r="S878">
        <v>70.900000000000006</v>
      </c>
      <c r="T878">
        <v>124.23</v>
      </c>
      <c r="U878" t="s">
        <v>190</v>
      </c>
      <c r="V878" t="s">
        <v>159</v>
      </c>
      <c r="W878" t="s">
        <v>2099</v>
      </c>
      <c r="X878" t="s">
        <v>2091</v>
      </c>
      <c r="Y878">
        <v>65</v>
      </c>
      <c r="Z878">
        <v>113.59</v>
      </c>
      <c r="AA878">
        <v>27.98</v>
      </c>
      <c r="AB878" t="s">
        <v>115</v>
      </c>
      <c r="AC878" t="s">
        <v>16</v>
      </c>
      <c r="AD878" t="s">
        <v>2106</v>
      </c>
      <c r="AE878" t="s">
        <v>2096</v>
      </c>
    </row>
    <row r="879" spans="1:31">
      <c r="A879" t="s">
        <v>320</v>
      </c>
      <c r="B879" s="1">
        <v>44977</v>
      </c>
      <c r="C879" t="s">
        <v>161</v>
      </c>
      <c r="D879">
        <v>2023</v>
      </c>
      <c r="E879" t="s">
        <v>162</v>
      </c>
      <c r="F879" t="s">
        <v>321</v>
      </c>
      <c r="G879" t="s">
        <v>131</v>
      </c>
      <c r="H879" t="s">
        <v>132</v>
      </c>
      <c r="I879" t="s">
        <v>115</v>
      </c>
      <c r="J879" t="s">
        <v>119</v>
      </c>
      <c r="K879" t="s">
        <v>209</v>
      </c>
      <c r="L879" t="s">
        <v>204</v>
      </c>
      <c r="M879">
        <v>1</v>
      </c>
      <c r="N879">
        <v>75.69</v>
      </c>
      <c r="O879">
        <v>75.69</v>
      </c>
      <c r="P879">
        <v>5</v>
      </c>
      <c r="Q879">
        <v>3.78</v>
      </c>
      <c r="R879">
        <v>71.91</v>
      </c>
      <c r="S879">
        <v>35.630000000000003</v>
      </c>
      <c r="T879">
        <v>36.28</v>
      </c>
      <c r="U879" t="s">
        <v>190</v>
      </c>
      <c r="V879" t="s">
        <v>159</v>
      </c>
      <c r="W879" t="s">
        <v>2113</v>
      </c>
      <c r="X879" t="s">
        <v>2108</v>
      </c>
      <c r="Y879">
        <v>263</v>
      </c>
      <c r="Z879">
        <v>347.42</v>
      </c>
      <c r="AA879">
        <v>65.59</v>
      </c>
      <c r="AB879" t="s">
        <v>115</v>
      </c>
      <c r="AC879" t="s">
        <v>16</v>
      </c>
      <c r="AD879" t="s">
        <v>2087</v>
      </c>
      <c r="AE879" t="s">
        <v>2109</v>
      </c>
    </row>
    <row r="880" spans="1:31">
      <c r="A880" t="s">
        <v>715</v>
      </c>
      <c r="B880" s="1">
        <v>44977</v>
      </c>
      <c r="C880" t="s">
        <v>161</v>
      </c>
      <c r="D880">
        <v>2023</v>
      </c>
      <c r="E880" t="s">
        <v>162</v>
      </c>
      <c r="F880" t="s">
        <v>716</v>
      </c>
      <c r="G880" t="s">
        <v>95</v>
      </c>
      <c r="H880" t="s">
        <v>96</v>
      </c>
      <c r="I880" t="s">
        <v>90</v>
      </c>
      <c r="J880" t="s">
        <v>97</v>
      </c>
      <c r="K880" t="s">
        <v>156</v>
      </c>
      <c r="L880" t="s">
        <v>179</v>
      </c>
      <c r="M880">
        <v>3</v>
      </c>
      <c r="N880">
        <v>177.41</v>
      </c>
      <c r="O880">
        <v>532.23</v>
      </c>
      <c r="P880">
        <v>0</v>
      </c>
      <c r="Q880">
        <v>0</v>
      </c>
      <c r="R880">
        <v>532.23</v>
      </c>
      <c r="S880">
        <v>224.97</v>
      </c>
      <c r="T880">
        <v>307.26</v>
      </c>
      <c r="U880" t="s">
        <v>158</v>
      </c>
      <c r="V880" t="s">
        <v>159</v>
      </c>
      <c r="W880" t="s">
        <v>2099</v>
      </c>
      <c r="X880" t="s">
        <v>2108</v>
      </c>
      <c r="Y880">
        <v>61</v>
      </c>
      <c r="Z880">
        <v>77.47</v>
      </c>
      <c r="AA880">
        <v>43.36</v>
      </c>
      <c r="AB880" t="s">
        <v>115</v>
      </c>
      <c r="AC880" t="s">
        <v>20</v>
      </c>
      <c r="AD880" t="s">
        <v>2095</v>
      </c>
      <c r="AE880" t="s">
        <v>2107</v>
      </c>
    </row>
    <row r="881" spans="1:31">
      <c r="A881" t="s">
        <v>1390</v>
      </c>
      <c r="B881" s="1">
        <v>44976</v>
      </c>
      <c r="C881" t="s">
        <v>161</v>
      </c>
      <c r="D881">
        <v>2023</v>
      </c>
      <c r="E881" t="s">
        <v>162</v>
      </c>
      <c r="F881" t="s">
        <v>1391</v>
      </c>
      <c r="G881" t="s">
        <v>80</v>
      </c>
      <c r="H881" t="s">
        <v>81</v>
      </c>
      <c r="I881" t="s">
        <v>66</v>
      </c>
      <c r="J881" t="s">
        <v>70</v>
      </c>
      <c r="K881" t="s">
        <v>209</v>
      </c>
      <c r="L881" t="s">
        <v>174</v>
      </c>
      <c r="M881">
        <v>3</v>
      </c>
      <c r="N881">
        <v>106.06</v>
      </c>
      <c r="O881">
        <v>318.18</v>
      </c>
      <c r="P881">
        <v>0</v>
      </c>
      <c r="Q881">
        <v>0</v>
      </c>
      <c r="R881">
        <v>318.18</v>
      </c>
      <c r="S881">
        <v>100.26</v>
      </c>
      <c r="T881">
        <v>217.92</v>
      </c>
      <c r="U881" t="s">
        <v>190</v>
      </c>
      <c r="V881" t="s">
        <v>159</v>
      </c>
      <c r="W881" t="s">
        <v>2093</v>
      </c>
      <c r="X881" t="s">
        <v>2086</v>
      </c>
      <c r="Y881">
        <v>261</v>
      </c>
      <c r="Z881">
        <v>63.57</v>
      </c>
      <c r="AA881">
        <v>47.41</v>
      </c>
      <c r="AB881" t="s">
        <v>14</v>
      </c>
      <c r="AC881" t="s">
        <v>16</v>
      </c>
      <c r="AD881" t="s">
        <v>2106</v>
      </c>
      <c r="AE881" t="s">
        <v>2088</v>
      </c>
    </row>
    <row r="882" spans="1:31">
      <c r="A882" t="s">
        <v>764</v>
      </c>
      <c r="B882" s="1">
        <v>44976</v>
      </c>
      <c r="C882" t="s">
        <v>161</v>
      </c>
      <c r="D882">
        <v>2023</v>
      </c>
      <c r="E882" t="s">
        <v>162</v>
      </c>
      <c r="F882" t="s">
        <v>765</v>
      </c>
      <c r="G882" t="s">
        <v>88</v>
      </c>
      <c r="H882" t="s">
        <v>89</v>
      </c>
      <c r="I882" t="s">
        <v>90</v>
      </c>
      <c r="J882" t="s">
        <v>91</v>
      </c>
      <c r="K882" t="s">
        <v>164</v>
      </c>
      <c r="L882" t="s">
        <v>194</v>
      </c>
      <c r="M882">
        <v>3</v>
      </c>
      <c r="N882">
        <v>54.64</v>
      </c>
      <c r="O882">
        <v>163.92000000000002</v>
      </c>
      <c r="P882">
        <v>5</v>
      </c>
      <c r="Q882">
        <v>8.1999999999999993</v>
      </c>
      <c r="R882">
        <v>155.72</v>
      </c>
      <c r="S882">
        <v>60.96</v>
      </c>
      <c r="T882">
        <v>94.76</v>
      </c>
      <c r="U882" t="s">
        <v>158</v>
      </c>
      <c r="V882" t="s">
        <v>159</v>
      </c>
      <c r="W882" t="s">
        <v>2093</v>
      </c>
      <c r="X882" t="s">
        <v>2091</v>
      </c>
      <c r="Y882">
        <v>291</v>
      </c>
      <c r="Z882">
        <v>80.59</v>
      </c>
      <c r="AA882">
        <v>24.13</v>
      </c>
      <c r="AB882" t="s">
        <v>90</v>
      </c>
      <c r="AC882" t="s">
        <v>20</v>
      </c>
      <c r="AD882" t="s">
        <v>2106</v>
      </c>
      <c r="AE882" t="s">
        <v>2096</v>
      </c>
    </row>
    <row r="883" spans="1:31">
      <c r="A883" t="s">
        <v>1590</v>
      </c>
      <c r="B883" s="1">
        <v>44976</v>
      </c>
      <c r="C883" t="s">
        <v>161</v>
      </c>
      <c r="D883">
        <v>2023</v>
      </c>
      <c r="E883" t="s">
        <v>162</v>
      </c>
      <c r="F883" t="s">
        <v>1162</v>
      </c>
      <c r="G883" t="s">
        <v>86</v>
      </c>
      <c r="H883" t="s">
        <v>87</v>
      </c>
      <c r="I883" t="s">
        <v>66</v>
      </c>
      <c r="J883" t="s">
        <v>67</v>
      </c>
      <c r="K883" t="s">
        <v>164</v>
      </c>
      <c r="L883" t="s">
        <v>157</v>
      </c>
      <c r="M883">
        <v>3</v>
      </c>
      <c r="N883">
        <v>124.77</v>
      </c>
      <c r="O883">
        <v>374.31</v>
      </c>
      <c r="P883">
        <v>10</v>
      </c>
      <c r="Q883">
        <v>37.43</v>
      </c>
      <c r="R883">
        <v>336.88</v>
      </c>
      <c r="S883">
        <v>208.92</v>
      </c>
      <c r="T883">
        <v>127.96</v>
      </c>
      <c r="U883" t="s">
        <v>195</v>
      </c>
      <c r="V883" t="s">
        <v>186</v>
      </c>
      <c r="W883" t="s">
        <v>2093</v>
      </c>
      <c r="X883" t="s">
        <v>2086</v>
      </c>
      <c r="Y883">
        <v>96</v>
      </c>
      <c r="Z883">
        <v>104.6</v>
      </c>
      <c r="AA883">
        <v>27.6</v>
      </c>
      <c r="AB883" t="s">
        <v>90</v>
      </c>
      <c r="AC883" t="s">
        <v>16</v>
      </c>
      <c r="AD883" t="s">
        <v>2087</v>
      </c>
      <c r="AE883" t="s">
        <v>2121</v>
      </c>
    </row>
    <row r="884" spans="1:31">
      <c r="A884" t="s">
        <v>1868</v>
      </c>
      <c r="B884" s="1">
        <v>44976</v>
      </c>
      <c r="C884" t="s">
        <v>161</v>
      </c>
      <c r="D884">
        <v>2023</v>
      </c>
      <c r="E884" t="s">
        <v>162</v>
      </c>
      <c r="F884" t="s">
        <v>1869</v>
      </c>
      <c r="G884" t="s">
        <v>133</v>
      </c>
      <c r="H884" t="s">
        <v>134</v>
      </c>
      <c r="I884" t="s">
        <v>115</v>
      </c>
      <c r="J884" t="s">
        <v>119</v>
      </c>
      <c r="K884" t="s">
        <v>178</v>
      </c>
      <c r="L884" t="s">
        <v>194</v>
      </c>
      <c r="M884">
        <v>3</v>
      </c>
      <c r="N884">
        <v>78.84</v>
      </c>
      <c r="O884">
        <v>236.52</v>
      </c>
      <c r="P884">
        <v>5</v>
      </c>
      <c r="Q884">
        <v>11.83</v>
      </c>
      <c r="R884">
        <v>224.69</v>
      </c>
      <c r="S884">
        <v>143.04</v>
      </c>
      <c r="T884">
        <v>81.650000000000006</v>
      </c>
      <c r="U884" t="s">
        <v>180</v>
      </c>
      <c r="V884" t="s">
        <v>159</v>
      </c>
      <c r="W884" t="s">
        <v>2113</v>
      </c>
      <c r="X884" t="s">
        <v>2091</v>
      </c>
      <c r="Y884">
        <v>357</v>
      </c>
      <c r="Z884">
        <v>596.21</v>
      </c>
      <c r="AA884">
        <v>61.32</v>
      </c>
      <c r="AB884" t="s">
        <v>115</v>
      </c>
      <c r="AC884" t="s">
        <v>16</v>
      </c>
      <c r="AD884" t="s">
        <v>2095</v>
      </c>
      <c r="AE884" t="s">
        <v>2107</v>
      </c>
    </row>
    <row r="885" spans="1:31">
      <c r="A885" t="s">
        <v>1681</v>
      </c>
      <c r="B885" s="1">
        <v>44976</v>
      </c>
      <c r="C885" t="s">
        <v>161</v>
      </c>
      <c r="D885">
        <v>2023</v>
      </c>
      <c r="E885" t="s">
        <v>162</v>
      </c>
      <c r="F885" t="s">
        <v>1682</v>
      </c>
      <c r="G885" t="s">
        <v>43</v>
      </c>
      <c r="H885" t="s">
        <v>44</v>
      </c>
      <c r="I885" t="s">
        <v>41</v>
      </c>
      <c r="J885" t="s">
        <v>45</v>
      </c>
      <c r="K885" t="s">
        <v>156</v>
      </c>
      <c r="L885" t="s">
        <v>179</v>
      </c>
      <c r="M885">
        <v>1</v>
      </c>
      <c r="N885">
        <v>67.56</v>
      </c>
      <c r="O885">
        <v>67.56</v>
      </c>
      <c r="P885">
        <v>0</v>
      </c>
      <c r="Q885">
        <v>0</v>
      </c>
      <c r="R885">
        <v>67.56</v>
      </c>
      <c r="S885">
        <v>43.21</v>
      </c>
      <c r="T885">
        <v>24.35</v>
      </c>
      <c r="U885" t="s">
        <v>166</v>
      </c>
      <c r="V885" t="s">
        <v>159</v>
      </c>
      <c r="W885" t="s">
        <v>2093</v>
      </c>
      <c r="X885" t="s">
        <v>2094</v>
      </c>
      <c r="Y885">
        <v>137</v>
      </c>
      <c r="Z885">
        <v>106.24</v>
      </c>
      <c r="AA885">
        <v>33.19</v>
      </c>
      <c r="AB885" t="s">
        <v>66</v>
      </c>
      <c r="AC885" t="s">
        <v>16</v>
      </c>
      <c r="AD885" t="s">
        <v>2087</v>
      </c>
      <c r="AE885" t="s">
        <v>2107</v>
      </c>
    </row>
    <row r="886" spans="1:31">
      <c r="A886" t="s">
        <v>1770</v>
      </c>
      <c r="B886" s="1">
        <v>44974</v>
      </c>
      <c r="C886" t="s">
        <v>161</v>
      </c>
      <c r="D886">
        <v>2023</v>
      </c>
      <c r="E886" t="s">
        <v>162</v>
      </c>
      <c r="F886" t="s">
        <v>1771</v>
      </c>
      <c r="G886" t="s">
        <v>50</v>
      </c>
      <c r="H886" t="s">
        <v>51</v>
      </c>
      <c r="I886" t="s">
        <v>41</v>
      </c>
      <c r="J886" t="s">
        <v>52</v>
      </c>
      <c r="K886" t="s">
        <v>209</v>
      </c>
      <c r="L886" t="s">
        <v>232</v>
      </c>
      <c r="M886">
        <v>4</v>
      </c>
      <c r="N886">
        <v>143.80000000000001</v>
      </c>
      <c r="O886">
        <v>575.20000000000005</v>
      </c>
      <c r="P886">
        <v>0</v>
      </c>
      <c r="Q886">
        <v>0</v>
      </c>
      <c r="R886">
        <v>575.20000000000005</v>
      </c>
      <c r="S886">
        <v>248.6</v>
      </c>
      <c r="T886">
        <v>326.60000000000002</v>
      </c>
      <c r="U886" t="s">
        <v>190</v>
      </c>
      <c r="V886" t="s">
        <v>181</v>
      </c>
      <c r="W886" t="s">
        <v>2085</v>
      </c>
      <c r="X886" t="s">
        <v>2091</v>
      </c>
      <c r="Y886">
        <v>315</v>
      </c>
      <c r="Z886">
        <v>1787.89</v>
      </c>
      <c r="AA886">
        <v>198.54</v>
      </c>
      <c r="AB886" t="s">
        <v>41</v>
      </c>
      <c r="AC886" t="s">
        <v>20</v>
      </c>
      <c r="AD886" t="s">
        <v>2087</v>
      </c>
      <c r="AE886" t="s">
        <v>2088</v>
      </c>
    </row>
    <row r="887" spans="1:31">
      <c r="A887" t="s">
        <v>2065</v>
      </c>
      <c r="B887" s="1">
        <v>44974</v>
      </c>
      <c r="C887" t="s">
        <v>161</v>
      </c>
      <c r="D887">
        <v>2023</v>
      </c>
      <c r="E887" t="s">
        <v>162</v>
      </c>
      <c r="F887" t="s">
        <v>2066</v>
      </c>
      <c r="G887" t="s">
        <v>101</v>
      </c>
      <c r="H887" t="s">
        <v>102</v>
      </c>
      <c r="I887" t="s">
        <v>90</v>
      </c>
      <c r="J887" t="s">
        <v>100</v>
      </c>
      <c r="K887" t="s">
        <v>178</v>
      </c>
      <c r="L887" t="s">
        <v>232</v>
      </c>
      <c r="M887">
        <v>3</v>
      </c>
      <c r="N887">
        <v>196.28</v>
      </c>
      <c r="O887">
        <v>588.84</v>
      </c>
      <c r="P887">
        <v>0</v>
      </c>
      <c r="Q887">
        <v>0</v>
      </c>
      <c r="R887">
        <v>588.84</v>
      </c>
      <c r="S887">
        <v>215.19</v>
      </c>
      <c r="T887">
        <v>373.65</v>
      </c>
      <c r="U887" t="s">
        <v>195</v>
      </c>
      <c r="V887" t="s">
        <v>159</v>
      </c>
      <c r="W887" t="s">
        <v>2099</v>
      </c>
      <c r="X887" t="s">
        <v>2111</v>
      </c>
      <c r="Y887">
        <v>81</v>
      </c>
      <c r="Z887">
        <v>50.39</v>
      </c>
      <c r="AA887">
        <v>25.23</v>
      </c>
      <c r="AB887" t="s">
        <v>66</v>
      </c>
      <c r="AC887" t="s">
        <v>16</v>
      </c>
      <c r="AD887" t="s">
        <v>2087</v>
      </c>
      <c r="AE887" t="s">
        <v>2096</v>
      </c>
    </row>
    <row r="888" spans="1:31">
      <c r="A888" t="s">
        <v>1105</v>
      </c>
      <c r="B888" s="1">
        <v>44973</v>
      </c>
      <c r="C888" t="s">
        <v>161</v>
      </c>
      <c r="D888">
        <v>2023</v>
      </c>
      <c r="E888" t="s">
        <v>162</v>
      </c>
      <c r="F888" t="s">
        <v>1106</v>
      </c>
      <c r="G888" t="s">
        <v>103</v>
      </c>
      <c r="H888" t="s">
        <v>104</v>
      </c>
      <c r="I888" t="s">
        <v>90</v>
      </c>
      <c r="J888" t="s">
        <v>94</v>
      </c>
      <c r="K888" t="s">
        <v>178</v>
      </c>
      <c r="L888" t="s">
        <v>232</v>
      </c>
      <c r="M888">
        <v>1</v>
      </c>
      <c r="N888">
        <v>98.58</v>
      </c>
      <c r="O888">
        <v>98.58</v>
      </c>
      <c r="P888">
        <v>20</v>
      </c>
      <c r="Q888">
        <v>19.72</v>
      </c>
      <c r="R888">
        <v>78.86</v>
      </c>
      <c r="S888">
        <v>52.57</v>
      </c>
      <c r="T888">
        <v>26.29</v>
      </c>
      <c r="U888" t="s">
        <v>166</v>
      </c>
      <c r="V888" t="s">
        <v>159</v>
      </c>
      <c r="W888" t="s">
        <v>2093</v>
      </c>
      <c r="X888" t="s">
        <v>2108</v>
      </c>
      <c r="Y888">
        <v>46</v>
      </c>
      <c r="Z888">
        <v>95.38</v>
      </c>
      <c r="AA888">
        <v>74.91</v>
      </c>
      <c r="AB888" t="s">
        <v>14</v>
      </c>
      <c r="AC888" t="s">
        <v>16</v>
      </c>
      <c r="AD888" t="s">
        <v>2095</v>
      </c>
      <c r="AE888" t="s">
        <v>2096</v>
      </c>
    </row>
    <row r="889" spans="1:31">
      <c r="A889" t="s">
        <v>1373</v>
      </c>
      <c r="B889" s="1">
        <v>44972</v>
      </c>
      <c r="C889" t="s">
        <v>161</v>
      </c>
      <c r="D889">
        <v>2023</v>
      </c>
      <c r="E889" t="s">
        <v>162</v>
      </c>
      <c r="F889" t="s">
        <v>1374</v>
      </c>
      <c r="G889" t="s">
        <v>37</v>
      </c>
      <c r="H889" t="s">
        <v>38</v>
      </c>
      <c r="I889" t="s">
        <v>14</v>
      </c>
      <c r="J889" t="s">
        <v>27</v>
      </c>
      <c r="K889" t="s">
        <v>156</v>
      </c>
      <c r="L889" t="s">
        <v>204</v>
      </c>
      <c r="M889">
        <v>3</v>
      </c>
      <c r="N889">
        <v>133.99</v>
      </c>
      <c r="O889">
        <v>401.97</v>
      </c>
      <c r="P889">
        <v>20</v>
      </c>
      <c r="Q889">
        <v>80.39</v>
      </c>
      <c r="R889">
        <v>321.58</v>
      </c>
      <c r="S889">
        <v>220.47</v>
      </c>
      <c r="T889">
        <v>101.11</v>
      </c>
      <c r="U889" t="s">
        <v>158</v>
      </c>
      <c r="V889" t="s">
        <v>181</v>
      </c>
      <c r="W889" t="s">
        <v>2097</v>
      </c>
      <c r="X889" t="s">
        <v>2091</v>
      </c>
      <c r="Y889">
        <v>108</v>
      </c>
      <c r="Z889">
        <v>700.95</v>
      </c>
      <c r="AA889">
        <v>97</v>
      </c>
      <c r="AB889" t="s">
        <v>115</v>
      </c>
      <c r="AC889" t="s">
        <v>20</v>
      </c>
      <c r="AD889" t="s">
        <v>2087</v>
      </c>
      <c r="AE889" t="s">
        <v>2096</v>
      </c>
    </row>
    <row r="890" spans="1:31">
      <c r="A890" t="s">
        <v>1048</v>
      </c>
      <c r="B890" s="1">
        <v>44972</v>
      </c>
      <c r="C890" t="s">
        <v>161</v>
      </c>
      <c r="D890">
        <v>2023</v>
      </c>
      <c r="E890" t="s">
        <v>162</v>
      </c>
      <c r="F890" t="s">
        <v>1049</v>
      </c>
      <c r="G890" t="s">
        <v>133</v>
      </c>
      <c r="H890" t="s">
        <v>134</v>
      </c>
      <c r="I890" t="s">
        <v>115</v>
      </c>
      <c r="J890" t="s">
        <v>119</v>
      </c>
      <c r="K890" t="s">
        <v>164</v>
      </c>
      <c r="L890" t="s">
        <v>165</v>
      </c>
      <c r="M890">
        <v>2</v>
      </c>
      <c r="N890">
        <v>78.84</v>
      </c>
      <c r="O890">
        <v>157.68</v>
      </c>
      <c r="P890">
        <v>5</v>
      </c>
      <c r="Q890">
        <v>7.88</v>
      </c>
      <c r="R890">
        <v>149.80000000000001</v>
      </c>
      <c r="S890">
        <v>95.36</v>
      </c>
      <c r="T890">
        <v>54.44</v>
      </c>
      <c r="U890" t="s">
        <v>180</v>
      </c>
      <c r="V890" t="s">
        <v>186</v>
      </c>
      <c r="W890" t="s">
        <v>2090</v>
      </c>
      <c r="X890" t="s">
        <v>2108</v>
      </c>
      <c r="Y890">
        <v>59</v>
      </c>
      <c r="Z890">
        <v>104.3</v>
      </c>
      <c r="AA890">
        <v>47.47</v>
      </c>
      <c r="AB890" t="s">
        <v>90</v>
      </c>
      <c r="AC890" t="s">
        <v>16</v>
      </c>
      <c r="AD890" t="s">
        <v>2095</v>
      </c>
      <c r="AE890" t="s">
        <v>2121</v>
      </c>
    </row>
    <row r="891" spans="1:31">
      <c r="A891" t="s">
        <v>799</v>
      </c>
      <c r="B891" s="1">
        <v>44971</v>
      </c>
      <c r="C891" t="s">
        <v>161</v>
      </c>
      <c r="D891">
        <v>2023</v>
      </c>
      <c r="E891" t="s">
        <v>162</v>
      </c>
      <c r="F891" t="s">
        <v>800</v>
      </c>
      <c r="G891" t="s">
        <v>55</v>
      </c>
      <c r="H891" t="s">
        <v>56</v>
      </c>
      <c r="I891" t="s">
        <v>41</v>
      </c>
      <c r="J891" t="s">
        <v>45</v>
      </c>
      <c r="K891" t="s">
        <v>209</v>
      </c>
      <c r="L891" t="s">
        <v>179</v>
      </c>
      <c r="M891">
        <v>3</v>
      </c>
      <c r="N891">
        <v>205.4</v>
      </c>
      <c r="O891">
        <v>616.20000000000005</v>
      </c>
      <c r="P891">
        <v>20</v>
      </c>
      <c r="Q891">
        <v>123.24</v>
      </c>
      <c r="R891">
        <v>492.96</v>
      </c>
      <c r="S891">
        <v>212.7</v>
      </c>
      <c r="T891">
        <v>280.26</v>
      </c>
      <c r="U891" t="s">
        <v>190</v>
      </c>
      <c r="V891" t="s">
        <v>159</v>
      </c>
      <c r="W891" t="s">
        <v>2099</v>
      </c>
      <c r="X891" t="s">
        <v>2111</v>
      </c>
      <c r="Y891">
        <v>17</v>
      </c>
      <c r="Z891">
        <v>50.88</v>
      </c>
      <c r="AA891">
        <v>65.23</v>
      </c>
      <c r="AB891" t="s">
        <v>90</v>
      </c>
      <c r="AC891" t="s">
        <v>16</v>
      </c>
      <c r="AD891" t="s">
        <v>2106</v>
      </c>
      <c r="AE891" t="s">
        <v>2096</v>
      </c>
    </row>
    <row r="892" spans="1:31">
      <c r="A892" t="s">
        <v>918</v>
      </c>
      <c r="B892" s="1">
        <v>44971</v>
      </c>
      <c r="C892" t="s">
        <v>161</v>
      </c>
      <c r="D892">
        <v>2023</v>
      </c>
      <c r="E892" t="s">
        <v>162</v>
      </c>
      <c r="F892" t="s">
        <v>919</v>
      </c>
      <c r="G892" t="s">
        <v>80</v>
      </c>
      <c r="H892" t="s">
        <v>81</v>
      </c>
      <c r="I892" t="s">
        <v>66</v>
      </c>
      <c r="J892" t="s">
        <v>70</v>
      </c>
      <c r="K892" t="s">
        <v>164</v>
      </c>
      <c r="L892" t="s">
        <v>157</v>
      </c>
      <c r="M892">
        <v>4</v>
      </c>
      <c r="N892">
        <v>106.06</v>
      </c>
      <c r="O892">
        <v>424.24</v>
      </c>
      <c r="P892">
        <v>0</v>
      </c>
      <c r="Q892">
        <v>0</v>
      </c>
      <c r="R892">
        <v>424.24</v>
      </c>
      <c r="S892">
        <v>133.68</v>
      </c>
      <c r="T892">
        <v>290.56</v>
      </c>
      <c r="U892" t="s">
        <v>180</v>
      </c>
      <c r="V892" t="s">
        <v>159</v>
      </c>
      <c r="W892" t="s">
        <v>2090</v>
      </c>
      <c r="X892" t="s">
        <v>2108</v>
      </c>
      <c r="Y892">
        <v>193</v>
      </c>
      <c r="Z892">
        <v>215.08</v>
      </c>
      <c r="AA892">
        <v>67.069999999999993</v>
      </c>
      <c r="AB892" t="s">
        <v>41</v>
      </c>
      <c r="AC892" t="s">
        <v>16</v>
      </c>
      <c r="AD892" t="s">
        <v>2095</v>
      </c>
      <c r="AE892" t="s">
        <v>2107</v>
      </c>
    </row>
    <row r="893" spans="1:31">
      <c r="A893" t="s">
        <v>1445</v>
      </c>
      <c r="B893" s="1">
        <v>44970</v>
      </c>
      <c r="C893" t="s">
        <v>161</v>
      </c>
      <c r="D893">
        <v>2023</v>
      </c>
      <c r="E893" t="s">
        <v>162</v>
      </c>
      <c r="F893" t="s">
        <v>1446</v>
      </c>
      <c r="G893" t="s">
        <v>122</v>
      </c>
      <c r="H893" t="s">
        <v>123</v>
      </c>
      <c r="I893" t="s">
        <v>115</v>
      </c>
      <c r="J893" t="s">
        <v>124</v>
      </c>
      <c r="K893" t="s">
        <v>209</v>
      </c>
      <c r="L893" t="s">
        <v>157</v>
      </c>
      <c r="M893">
        <v>3</v>
      </c>
      <c r="N893">
        <v>93.88</v>
      </c>
      <c r="O893">
        <v>281.64</v>
      </c>
      <c r="P893">
        <v>0</v>
      </c>
      <c r="Q893">
        <v>0</v>
      </c>
      <c r="R893">
        <v>281.64</v>
      </c>
      <c r="S893">
        <v>159.33000000000001</v>
      </c>
      <c r="T893">
        <v>122.31</v>
      </c>
      <c r="U893" t="s">
        <v>166</v>
      </c>
      <c r="V893" t="s">
        <v>159</v>
      </c>
      <c r="W893" t="s">
        <v>2113</v>
      </c>
      <c r="X893" t="s">
        <v>2111</v>
      </c>
      <c r="Y893">
        <v>106</v>
      </c>
      <c r="Z893">
        <v>299.25</v>
      </c>
      <c r="AA893">
        <v>34.94</v>
      </c>
      <c r="AB893" t="s">
        <v>66</v>
      </c>
      <c r="AC893" t="s">
        <v>20</v>
      </c>
      <c r="AD893" t="s">
        <v>2106</v>
      </c>
      <c r="AE893" t="s">
        <v>2096</v>
      </c>
    </row>
    <row r="894" spans="1:31">
      <c r="A894" t="s">
        <v>1629</v>
      </c>
      <c r="B894" s="1">
        <v>44970</v>
      </c>
      <c r="C894" t="s">
        <v>161</v>
      </c>
      <c r="D894">
        <v>2023</v>
      </c>
      <c r="E894" t="s">
        <v>162</v>
      </c>
      <c r="F894" t="s">
        <v>347</v>
      </c>
      <c r="G894" t="s">
        <v>43</v>
      </c>
      <c r="H894" t="s">
        <v>44</v>
      </c>
      <c r="I894" t="s">
        <v>41</v>
      </c>
      <c r="J894" t="s">
        <v>45</v>
      </c>
      <c r="K894" t="s">
        <v>156</v>
      </c>
      <c r="L894" t="s">
        <v>232</v>
      </c>
      <c r="M894">
        <v>1</v>
      </c>
      <c r="N894">
        <v>67.56</v>
      </c>
      <c r="O894">
        <v>67.56</v>
      </c>
      <c r="P894">
        <v>0</v>
      </c>
      <c r="Q894">
        <v>0</v>
      </c>
      <c r="R894">
        <v>67.56</v>
      </c>
      <c r="S894">
        <v>43.21</v>
      </c>
      <c r="T894">
        <v>24.35</v>
      </c>
      <c r="U894" t="s">
        <v>190</v>
      </c>
      <c r="V894" t="s">
        <v>186</v>
      </c>
      <c r="W894" t="s">
        <v>2113</v>
      </c>
      <c r="X894" t="s">
        <v>2086</v>
      </c>
      <c r="Y894">
        <v>249</v>
      </c>
      <c r="Z894">
        <v>512.01</v>
      </c>
      <c r="AA894">
        <v>54.94</v>
      </c>
      <c r="AB894" t="s">
        <v>41</v>
      </c>
      <c r="AC894" t="s">
        <v>20</v>
      </c>
      <c r="AD894" t="s">
        <v>2095</v>
      </c>
      <c r="AE894" t="s">
        <v>2088</v>
      </c>
    </row>
    <row r="895" spans="1:31">
      <c r="A895" t="s">
        <v>2063</v>
      </c>
      <c r="B895" s="1">
        <v>44970</v>
      </c>
      <c r="C895" t="s">
        <v>161</v>
      </c>
      <c r="D895">
        <v>2023</v>
      </c>
      <c r="E895" t="s">
        <v>162</v>
      </c>
      <c r="F895" t="s">
        <v>2064</v>
      </c>
      <c r="G895" t="s">
        <v>135</v>
      </c>
      <c r="H895" t="s">
        <v>136</v>
      </c>
      <c r="I895" t="s">
        <v>115</v>
      </c>
      <c r="J895" t="s">
        <v>119</v>
      </c>
      <c r="K895" t="s">
        <v>178</v>
      </c>
      <c r="L895" t="s">
        <v>204</v>
      </c>
      <c r="M895">
        <v>2</v>
      </c>
      <c r="N895">
        <v>89.62</v>
      </c>
      <c r="O895">
        <v>179.24</v>
      </c>
      <c r="P895">
        <v>0</v>
      </c>
      <c r="Q895">
        <v>0</v>
      </c>
      <c r="R895">
        <v>179.24</v>
      </c>
      <c r="S895">
        <v>76.260000000000005</v>
      </c>
      <c r="T895">
        <v>102.98</v>
      </c>
      <c r="U895" t="s">
        <v>190</v>
      </c>
      <c r="V895" t="s">
        <v>181</v>
      </c>
      <c r="W895" t="s">
        <v>2093</v>
      </c>
      <c r="X895" t="s">
        <v>2100</v>
      </c>
      <c r="Y895">
        <v>360</v>
      </c>
      <c r="Z895">
        <v>124.21</v>
      </c>
      <c r="AA895">
        <v>49.57</v>
      </c>
      <c r="AB895" t="s">
        <v>115</v>
      </c>
      <c r="AC895" t="s">
        <v>20</v>
      </c>
      <c r="AD895" t="s">
        <v>2095</v>
      </c>
      <c r="AE895" t="s">
        <v>2088</v>
      </c>
    </row>
    <row r="896" spans="1:31">
      <c r="A896" t="s">
        <v>1669</v>
      </c>
      <c r="B896" s="1">
        <v>44970</v>
      </c>
      <c r="C896" t="s">
        <v>161</v>
      </c>
      <c r="D896">
        <v>2023</v>
      </c>
      <c r="E896" t="s">
        <v>162</v>
      </c>
      <c r="F896" t="s">
        <v>1670</v>
      </c>
      <c r="G896" t="s">
        <v>113</v>
      </c>
      <c r="H896" t="s">
        <v>114</v>
      </c>
      <c r="I896" t="s">
        <v>115</v>
      </c>
      <c r="J896" t="s">
        <v>116</v>
      </c>
      <c r="K896" t="s">
        <v>164</v>
      </c>
      <c r="L896" t="s">
        <v>165</v>
      </c>
      <c r="M896">
        <v>3</v>
      </c>
      <c r="N896">
        <v>18.7</v>
      </c>
      <c r="O896">
        <v>56.099999999999994</v>
      </c>
      <c r="P896">
        <v>5</v>
      </c>
      <c r="Q896">
        <v>2.81</v>
      </c>
      <c r="R896">
        <v>53.29</v>
      </c>
      <c r="S896">
        <v>20.58</v>
      </c>
      <c r="T896">
        <v>32.71</v>
      </c>
      <c r="U896" t="s">
        <v>190</v>
      </c>
      <c r="V896" t="s">
        <v>159</v>
      </c>
      <c r="W896" t="s">
        <v>2113</v>
      </c>
      <c r="X896" t="s">
        <v>2111</v>
      </c>
      <c r="Y896">
        <v>280</v>
      </c>
      <c r="Z896">
        <v>340.01</v>
      </c>
      <c r="AA896">
        <v>54.75</v>
      </c>
      <c r="AB896" t="s">
        <v>41</v>
      </c>
      <c r="AC896" t="s">
        <v>16</v>
      </c>
      <c r="AD896" t="s">
        <v>2106</v>
      </c>
      <c r="AE896" t="s">
        <v>2121</v>
      </c>
    </row>
    <row r="897" spans="1:31">
      <c r="A897" t="s">
        <v>1251</v>
      </c>
      <c r="B897" s="1">
        <v>44969</v>
      </c>
      <c r="C897" t="s">
        <v>161</v>
      </c>
      <c r="D897">
        <v>2023</v>
      </c>
      <c r="E897" t="s">
        <v>162</v>
      </c>
      <c r="F897" t="s">
        <v>412</v>
      </c>
      <c r="G897" t="s">
        <v>88</v>
      </c>
      <c r="H897" t="s">
        <v>89</v>
      </c>
      <c r="I897" t="s">
        <v>90</v>
      </c>
      <c r="J897" t="s">
        <v>91</v>
      </c>
      <c r="K897" t="s">
        <v>164</v>
      </c>
      <c r="L897" t="s">
        <v>194</v>
      </c>
      <c r="M897">
        <v>2</v>
      </c>
      <c r="N897">
        <v>54.64</v>
      </c>
      <c r="O897">
        <v>109.28</v>
      </c>
      <c r="P897">
        <v>20</v>
      </c>
      <c r="Q897">
        <v>21.86</v>
      </c>
      <c r="R897">
        <v>87.42</v>
      </c>
      <c r="S897">
        <v>40.64</v>
      </c>
      <c r="T897">
        <v>46.78</v>
      </c>
      <c r="U897" t="s">
        <v>190</v>
      </c>
      <c r="V897" t="s">
        <v>159</v>
      </c>
      <c r="W897" t="s">
        <v>2085</v>
      </c>
      <c r="X897" t="s">
        <v>2086</v>
      </c>
      <c r="Y897">
        <v>232</v>
      </c>
      <c r="Z897">
        <v>1187.52</v>
      </c>
      <c r="AA897">
        <v>235.83</v>
      </c>
      <c r="AB897" t="s">
        <v>90</v>
      </c>
      <c r="AC897" t="s">
        <v>16</v>
      </c>
      <c r="AD897" t="s">
        <v>2095</v>
      </c>
      <c r="AE897" t="s">
        <v>2088</v>
      </c>
    </row>
    <row r="898" spans="1:31">
      <c r="A898" t="s">
        <v>1623</v>
      </c>
      <c r="B898" s="1">
        <v>44969</v>
      </c>
      <c r="C898" t="s">
        <v>161</v>
      </c>
      <c r="D898">
        <v>2023</v>
      </c>
      <c r="E898" t="s">
        <v>162</v>
      </c>
      <c r="F898" t="s">
        <v>1624</v>
      </c>
      <c r="G898" t="s">
        <v>17</v>
      </c>
      <c r="H898" t="s">
        <v>18</v>
      </c>
      <c r="I898" t="s">
        <v>14</v>
      </c>
      <c r="J898" t="s">
        <v>19</v>
      </c>
      <c r="K898" t="s">
        <v>209</v>
      </c>
      <c r="L898" t="s">
        <v>179</v>
      </c>
      <c r="M898">
        <v>3</v>
      </c>
      <c r="N898">
        <v>53.26</v>
      </c>
      <c r="O898">
        <v>159.78</v>
      </c>
      <c r="P898">
        <v>5</v>
      </c>
      <c r="Q898">
        <v>7.99</v>
      </c>
      <c r="R898">
        <v>151.79</v>
      </c>
      <c r="S898">
        <v>109.92</v>
      </c>
      <c r="T898">
        <v>41.87</v>
      </c>
      <c r="U898" t="s">
        <v>195</v>
      </c>
      <c r="V898" t="s">
        <v>159</v>
      </c>
      <c r="W898" t="s">
        <v>2093</v>
      </c>
      <c r="X898" t="s">
        <v>2094</v>
      </c>
      <c r="Y898">
        <v>224</v>
      </c>
      <c r="Z898">
        <v>177.08</v>
      </c>
      <c r="AA898">
        <v>36.81</v>
      </c>
      <c r="AB898" t="s">
        <v>115</v>
      </c>
      <c r="AC898" t="s">
        <v>16</v>
      </c>
      <c r="AD898" t="s">
        <v>2087</v>
      </c>
      <c r="AE898" t="s">
        <v>2121</v>
      </c>
    </row>
    <row r="899" spans="1:31">
      <c r="A899" t="s">
        <v>825</v>
      </c>
      <c r="B899" s="1">
        <v>44969</v>
      </c>
      <c r="C899" t="s">
        <v>161</v>
      </c>
      <c r="D899">
        <v>2023</v>
      </c>
      <c r="E899" t="s">
        <v>162</v>
      </c>
      <c r="F899" t="s">
        <v>826</v>
      </c>
      <c r="G899" t="s">
        <v>117</v>
      </c>
      <c r="H899" t="s">
        <v>118</v>
      </c>
      <c r="I899" t="s">
        <v>115</v>
      </c>
      <c r="J899" t="s">
        <v>119</v>
      </c>
      <c r="K899" t="s">
        <v>156</v>
      </c>
      <c r="L899" t="s">
        <v>174</v>
      </c>
      <c r="M899">
        <v>3</v>
      </c>
      <c r="N899">
        <v>93.41</v>
      </c>
      <c r="O899">
        <v>280.23</v>
      </c>
      <c r="P899">
        <v>0</v>
      </c>
      <c r="Q899">
        <v>0</v>
      </c>
      <c r="R899">
        <v>280.23</v>
      </c>
      <c r="S899">
        <v>192.15</v>
      </c>
      <c r="T899">
        <v>88.08</v>
      </c>
      <c r="U899" t="s">
        <v>180</v>
      </c>
      <c r="V899" t="s">
        <v>159</v>
      </c>
      <c r="W899" t="s">
        <v>2090</v>
      </c>
      <c r="X899" t="s">
        <v>2111</v>
      </c>
      <c r="Y899">
        <v>304</v>
      </c>
      <c r="Z899">
        <v>373.87</v>
      </c>
      <c r="AA899">
        <v>52.33</v>
      </c>
      <c r="AB899" t="s">
        <v>115</v>
      </c>
      <c r="AC899" t="s">
        <v>16</v>
      </c>
      <c r="AD899" t="s">
        <v>2106</v>
      </c>
      <c r="AE899" t="s">
        <v>2096</v>
      </c>
    </row>
    <row r="900" spans="1:31">
      <c r="A900" t="s">
        <v>853</v>
      </c>
      <c r="B900" s="1">
        <v>44969</v>
      </c>
      <c r="C900" t="s">
        <v>161</v>
      </c>
      <c r="D900">
        <v>2023</v>
      </c>
      <c r="E900" t="s">
        <v>162</v>
      </c>
      <c r="F900" t="s">
        <v>854</v>
      </c>
      <c r="G900" t="s">
        <v>113</v>
      </c>
      <c r="H900" t="s">
        <v>114</v>
      </c>
      <c r="I900" t="s">
        <v>115</v>
      </c>
      <c r="J900" t="s">
        <v>116</v>
      </c>
      <c r="K900" t="s">
        <v>209</v>
      </c>
      <c r="L900" t="s">
        <v>232</v>
      </c>
      <c r="M900">
        <v>2</v>
      </c>
      <c r="N900">
        <v>18.7</v>
      </c>
      <c r="O900">
        <v>37.4</v>
      </c>
      <c r="P900">
        <v>0</v>
      </c>
      <c r="Q900">
        <v>0</v>
      </c>
      <c r="R900">
        <v>37.4</v>
      </c>
      <c r="S900">
        <v>13.72</v>
      </c>
      <c r="T900">
        <v>23.68</v>
      </c>
      <c r="U900" t="s">
        <v>190</v>
      </c>
      <c r="V900" t="s">
        <v>159</v>
      </c>
      <c r="W900" t="s">
        <v>2085</v>
      </c>
      <c r="X900" t="s">
        <v>2091</v>
      </c>
      <c r="Y900">
        <v>278</v>
      </c>
      <c r="Z900">
        <v>2455.8000000000002</v>
      </c>
      <c r="AA900">
        <v>106.92</v>
      </c>
      <c r="AB900" t="s">
        <v>14</v>
      </c>
      <c r="AC900" t="s">
        <v>16</v>
      </c>
      <c r="AD900" t="s">
        <v>2095</v>
      </c>
      <c r="AE900" t="s">
        <v>2109</v>
      </c>
    </row>
    <row r="901" spans="1:31">
      <c r="A901" t="s">
        <v>1976</v>
      </c>
      <c r="B901" s="1">
        <v>44968</v>
      </c>
      <c r="C901" t="s">
        <v>161</v>
      </c>
      <c r="D901">
        <v>2023</v>
      </c>
      <c r="E901" t="s">
        <v>162</v>
      </c>
      <c r="F901" t="s">
        <v>1420</v>
      </c>
      <c r="G901" t="s">
        <v>64</v>
      </c>
      <c r="H901" t="s">
        <v>65</v>
      </c>
      <c r="I901" t="s">
        <v>66</v>
      </c>
      <c r="J901" t="s">
        <v>67</v>
      </c>
      <c r="K901" t="s">
        <v>164</v>
      </c>
      <c r="L901" t="s">
        <v>204</v>
      </c>
      <c r="M901">
        <v>2</v>
      </c>
      <c r="N901">
        <v>24.9</v>
      </c>
      <c r="O901">
        <v>49.8</v>
      </c>
      <c r="P901">
        <v>0</v>
      </c>
      <c r="Q901">
        <v>0</v>
      </c>
      <c r="R901">
        <v>49.8</v>
      </c>
      <c r="S901">
        <v>43.04</v>
      </c>
      <c r="T901">
        <v>6.76</v>
      </c>
      <c r="U901" t="s">
        <v>195</v>
      </c>
      <c r="V901" t="s">
        <v>181</v>
      </c>
      <c r="W901" t="s">
        <v>2085</v>
      </c>
      <c r="X901" t="s">
        <v>2094</v>
      </c>
      <c r="Y901">
        <v>349</v>
      </c>
      <c r="Z901">
        <v>2726.48</v>
      </c>
      <c r="AA901">
        <v>206.39</v>
      </c>
      <c r="AB901" t="s">
        <v>90</v>
      </c>
      <c r="AC901" t="s">
        <v>16</v>
      </c>
      <c r="AD901" t="s">
        <v>2087</v>
      </c>
      <c r="AE901" t="s">
        <v>2088</v>
      </c>
    </row>
    <row r="902" spans="1:31">
      <c r="A902" t="s">
        <v>316</v>
      </c>
      <c r="B902" s="1">
        <v>44968</v>
      </c>
      <c r="C902" t="s">
        <v>161</v>
      </c>
      <c r="D902">
        <v>2023</v>
      </c>
      <c r="E902" t="s">
        <v>162</v>
      </c>
      <c r="F902" t="s">
        <v>317</v>
      </c>
      <c r="G902" t="s">
        <v>68</v>
      </c>
      <c r="H902" t="s">
        <v>69</v>
      </c>
      <c r="I902" t="s">
        <v>66</v>
      </c>
      <c r="J902" t="s">
        <v>70</v>
      </c>
      <c r="K902" t="s">
        <v>178</v>
      </c>
      <c r="L902" t="s">
        <v>179</v>
      </c>
      <c r="M902">
        <v>4</v>
      </c>
      <c r="N902">
        <v>98.51</v>
      </c>
      <c r="O902">
        <v>394.04</v>
      </c>
      <c r="P902">
        <v>15</v>
      </c>
      <c r="Q902">
        <v>59.11</v>
      </c>
      <c r="R902">
        <v>334.93</v>
      </c>
      <c r="S902">
        <v>220.68</v>
      </c>
      <c r="T902">
        <v>114.25</v>
      </c>
      <c r="U902" t="s">
        <v>166</v>
      </c>
      <c r="V902" t="s">
        <v>186</v>
      </c>
      <c r="W902" t="s">
        <v>2093</v>
      </c>
      <c r="X902" t="s">
        <v>2091</v>
      </c>
      <c r="Y902">
        <v>112</v>
      </c>
      <c r="Z902">
        <v>168.71</v>
      </c>
      <c r="AA902">
        <v>22.15</v>
      </c>
      <c r="AB902" t="s">
        <v>90</v>
      </c>
      <c r="AC902" t="s">
        <v>16</v>
      </c>
      <c r="AD902" t="s">
        <v>2095</v>
      </c>
      <c r="AE902" t="s">
        <v>2121</v>
      </c>
    </row>
    <row r="903" spans="1:31">
      <c r="A903" t="s">
        <v>279</v>
      </c>
      <c r="B903" s="1">
        <v>44968</v>
      </c>
      <c r="C903" t="s">
        <v>161</v>
      </c>
      <c r="D903">
        <v>2023</v>
      </c>
      <c r="E903" t="s">
        <v>162</v>
      </c>
      <c r="F903" t="s">
        <v>280</v>
      </c>
      <c r="G903" t="s">
        <v>95</v>
      </c>
      <c r="H903" t="s">
        <v>96</v>
      </c>
      <c r="I903" t="s">
        <v>90</v>
      </c>
      <c r="J903" t="s">
        <v>97</v>
      </c>
      <c r="K903" t="s">
        <v>209</v>
      </c>
      <c r="L903" t="s">
        <v>204</v>
      </c>
      <c r="M903">
        <v>4</v>
      </c>
      <c r="N903">
        <v>177.41</v>
      </c>
      <c r="O903">
        <v>709.64</v>
      </c>
      <c r="P903">
        <v>5</v>
      </c>
      <c r="Q903">
        <v>35.479999999999997</v>
      </c>
      <c r="R903">
        <v>674.16</v>
      </c>
      <c r="S903">
        <v>299.95999999999998</v>
      </c>
      <c r="T903">
        <v>374.2</v>
      </c>
      <c r="U903" t="s">
        <v>195</v>
      </c>
      <c r="V903" t="s">
        <v>181</v>
      </c>
      <c r="W903" t="s">
        <v>2097</v>
      </c>
      <c r="X903" t="s">
        <v>2091</v>
      </c>
      <c r="Y903">
        <v>68</v>
      </c>
      <c r="Z903">
        <v>624.11</v>
      </c>
      <c r="AA903">
        <v>87.19</v>
      </c>
      <c r="AB903" t="s">
        <v>41</v>
      </c>
      <c r="AC903" t="s">
        <v>20</v>
      </c>
      <c r="AD903" t="s">
        <v>2106</v>
      </c>
      <c r="AE903" t="s">
        <v>2109</v>
      </c>
    </row>
    <row r="904" spans="1:31">
      <c r="A904" t="s">
        <v>597</v>
      </c>
      <c r="B904" s="1">
        <v>44967</v>
      </c>
      <c r="C904" t="s">
        <v>161</v>
      </c>
      <c r="D904">
        <v>2023</v>
      </c>
      <c r="E904" t="s">
        <v>162</v>
      </c>
      <c r="F904" t="s">
        <v>598</v>
      </c>
      <c r="G904" t="s">
        <v>60</v>
      </c>
      <c r="H904" t="s">
        <v>61</v>
      </c>
      <c r="I904" t="s">
        <v>41</v>
      </c>
      <c r="J904" t="s">
        <v>59</v>
      </c>
      <c r="K904" t="s">
        <v>164</v>
      </c>
      <c r="L904" t="s">
        <v>165</v>
      </c>
      <c r="M904">
        <v>1</v>
      </c>
      <c r="N904">
        <v>103.56</v>
      </c>
      <c r="O904">
        <v>103.56</v>
      </c>
      <c r="P904">
        <v>0</v>
      </c>
      <c r="Q904">
        <v>0</v>
      </c>
      <c r="R904">
        <v>103.56</v>
      </c>
      <c r="S904">
        <v>44.58</v>
      </c>
      <c r="T904">
        <v>58.98</v>
      </c>
      <c r="U904" t="s">
        <v>195</v>
      </c>
      <c r="V904" t="s">
        <v>186</v>
      </c>
      <c r="W904" t="s">
        <v>2090</v>
      </c>
      <c r="X904" t="s">
        <v>2100</v>
      </c>
      <c r="Y904">
        <v>284</v>
      </c>
      <c r="Z904">
        <v>295.33</v>
      </c>
      <c r="AA904">
        <v>85.33</v>
      </c>
      <c r="AB904" t="s">
        <v>14</v>
      </c>
      <c r="AC904" t="s">
        <v>20</v>
      </c>
      <c r="AD904" t="s">
        <v>2095</v>
      </c>
      <c r="AE904" t="s">
        <v>2121</v>
      </c>
    </row>
    <row r="905" spans="1:31">
      <c r="A905" t="s">
        <v>1349</v>
      </c>
      <c r="B905" s="1">
        <v>44967</v>
      </c>
      <c r="C905" t="s">
        <v>161</v>
      </c>
      <c r="D905">
        <v>2023</v>
      </c>
      <c r="E905" t="s">
        <v>162</v>
      </c>
      <c r="F905" t="s">
        <v>1350</v>
      </c>
      <c r="G905" t="s">
        <v>76</v>
      </c>
      <c r="H905" t="s">
        <v>77</v>
      </c>
      <c r="I905" t="s">
        <v>66</v>
      </c>
      <c r="J905" t="s">
        <v>67</v>
      </c>
      <c r="K905" t="s">
        <v>156</v>
      </c>
      <c r="L905" t="s">
        <v>232</v>
      </c>
      <c r="M905">
        <v>2</v>
      </c>
      <c r="N905">
        <v>118.07</v>
      </c>
      <c r="O905">
        <v>236.14</v>
      </c>
      <c r="P905">
        <v>0</v>
      </c>
      <c r="Q905">
        <v>0</v>
      </c>
      <c r="R905">
        <v>236.14</v>
      </c>
      <c r="S905">
        <v>79.400000000000006</v>
      </c>
      <c r="T905">
        <v>156.74</v>
      </c>
      <c r="U905" t="s">
        <v>166</v>
      </c>
      <c r="V905" t="s">
        <v>159</v>
      </c>
      <c r="W905" t="s">
        <v>2085</v>
      </c>
      <c r="X905" t="s">
        <v>2091</v>
      </c>
      <c r="Y905">
        <v>11</v>
      </c>
      <c r="Z905">
        <v>1256.8699999999999</v>
      </c>
      <c r="AA905">
        <v>288.48</v>
      </c>
      <c r="AB905" t="s">
        <v>90</v>
      </c>
      <c r="AC905" t="s">
        <v>16</v>
      </c>
      <c r="AD905" t="s">
        <v>2087</v>
      </c>
      <c r="AE905" t="s">
        <v>2088</v>
      </c>
    </row>
    <row r="906" spans="1:31">
      <c r="A906" t="s">
        <v>419</v>
      </c>
      <c r="B906" s="1">
        <v>44966</v>
      </c>
      <c r="C906" t="s">
        <v>161</v>
      </c>
      <c r="D906">
        <v>2023</v>
      </c>
      <c r="E906" t="s">
        <v>162</v>
      </c>
      <c r="F906" t="s">
        <v>420</v>
      </c>
      <c r="G906" t="s">
        <v>82</v>
      </c>
      <c r="H906" t="s">
        <v>83</v>
      </c>
      <c r="I906" t="s">
        <v>66</v>
      </c>
      <c r="J906" t="s">
        <v>67</v>
      </c>
      <c r="K906" t="s">
        <v>178</v>
      </c>
      <c r="L906" t="s">
        <v>232</v>
      </c>
      <c r="M906">
        <v>1</v>
      </c>
      <c r="N906">
        <v>34.479999999999997</v>
      </c>
      <c r="O906">
        <v>34.479999999999997</v>
      </c>
      <c r="P906">
        <v>5</v>
      </c>
      <c r="Q906">
        <v>1.72</v>
      </c>
      <c r="R906">
        <v>32.76</v>
      </c>
      <c r="S906">
        <v>19.239999999999998</v>
      </c>
      <c r="T906">
        <v>13.52</v>
      </c>
      <c r="U906" t="s">
        <v>180</v>
      </c>
      <c r="V906" t="s">
        <v>181</v>
      </c>
      <c r="W906" t="s">
        <v>2097</v>
      </c>
      <c r="X906" t="s">
        <v>2100</v>
      </c>
      <c r="Y906">
        <v>129</v>
      </c>
      <c r="Z906">
        <v>230.82</v>
      </c>
      <c r="AA906">
        <v>60.87</v>
      </c>
      <c r="AB906" t="s">
        <v>41</v>
      </c>
      <c r="AC906" t="s">
        <v>16</v>
      </c>
      <c r="AD906" t="s">
        <v>2087</v>
      </c>
      <c r="AE906" t="s">
        <v>2109</v>
      </c>
    </row>
    <row r="907" spans="1:31">
      <c r="A907" t="s">
        <v>735</v>
      </c>
      <c r="B907" s="1">
        <v>44966</v>
      </c>
      <c r="C907" t="s">
        <v>161</v>
      </c>
      <c r="D907">
        <v>2023</v>
      </c>
      <c r="E907" t="s">
        <v>162</v>
      </c>
      <c r="F907" t="s">
        <v>736</v>
      </c>
      <c r="G907" t="s">
        <v>62</v>
      </c>
      <c r="H907" t="s">
        <v>63</v>
      </c>
      <c r="I907" t="s">
        <v>41</v>
      </c>
      <c r="J907" t="s">
        <v>45</v>
      </c>
      <c r="K907" t="s">
        <v>178</v>
      </c>
      <c r="L907" t="s">
        <v>157</v>
      </c>
      <c r="M907">
        <v>4</v>
      </c>
      <c r="N907">
        <v>160.35</v>
      </c>
      <c r="O907">
        <v>641.4</v>
      </c>
      <c r="P907">
        <v>20</v>
      </c>
      <c r="Q907">
        <v>128.28</v>
      </c>
      <c r="R907">
        <v>513.12</v>
      </c>
      <c r="S907">
        <v>289.88</v>
      </c>
      <c r="T907">
        <v>223.24</v>
      </c>
      <c r="U907" t="s">
        <v>180</v>
      </c>
      <c r="V907" t="s">
        <v>181</v>
      </c>
      <c r="W907" t="s">
        <v>2090</v>
      </c>
      <c r="X907" t="s">
        <v>2111</v>
      </c>
      <c r="Y907">
        <v>160</v>
      </c>
      <c r="Z907">
        <v>81.900000000000006</v>
      </c>
      <c r="AA907">
        <v>112.55</v>
      </c>
      <c r="AB907" t="s">
        <v>66</v>
      </c>
      <c r="AC907" t="s">
        <v>16</v>
      </c>
      <c r="AD907" t="s">
        <v>2087</v>
      </c>
      <c r="AE907" t="s">
        <v>2109</v>
      </c>
    </row>
    <row r="908" spans="1:31">
      <c r="A908" t="s">
        <v>1423</v>
      </c>
      <c r="B908" s="1">
        <v>44966</v>
      </c>
      <c r="C908" t="s">
        <v>161</v>
      </c>
      <c r="D908">
        <v>2023</v>
      </c>
      <c r="E908" t="s">
        <v>162</v>
      </c>
      <c r="F908" t="s">
        <v>1424</v>
      </c>
      <c r="G908" t="s">
        <v>105</v>
      </c>
      <c r="H908" t="s">
        <v>106</v>
      </c>
      <c r="I908" t="s">
        <v>90</v>
      </c>
      <c r="J908" t="s">
        <v>91</v>
      </c>
      <c r="K908" t="s">
        <v>178</v>
      </c>
      <c r="L908" t="s">
        <v>179</v>
      </c>
      <c r="M908">
        <v>2</v>
      </c>
      <c r="N908">
        <v>36.35</v>
      </c>
      <c r="O908">
        <v>72.7</v>
      </c>
      <c r="P908">
        <v>15</v>
      </c>
      <c r="Q908">
        <v>10.9</v>
      </c>
      <c r="R908">
        <v>61.8</v>
      </c>
      <c r="S908">
        <v>60.04</v>
      </c>
      <c r="T908">
        <v>1.76</v>
      </c>
      <c r="U908" t="s">
        <v>180</v>
      </c>
      <c r="V908" t="s">
        <v>159</v>
      </c>
      <c r="W908" t="s">
        <v>2090</v>
      </c>
      <c r="X908" t="s">
        <v>2100</v>
      </c>
      <c r="Y908">
        <v>247</v>
      </c>
      <c r="Z908">
        <v>174.62</v>
      </c>
      <c r="AA908">
        <v>100.69</v>
      </c>
      <c r="AB908" t="s">
        <v>90</v>
      </c>
      <c r="AC908" t="s">
        <v>16</v>
      </c>
      <c r="AD908" t="s">
        <v>2087</v>
      </c>
      <c r="AE908" t="s">
        <v>2088</v>
      </c>
    </row>
    <row r="909" spans="1:31">
      <c r="A909" t="s">
        <v>1973</v>
      </c>
      <c r="B909" s="1">
        <v>44966</v>
      </c>
      <c r="C909" t="s">
        <v>161</v>
      </c>
      <c r="D909">
        <v>2023</v>
      </c>
      <c r="E909" t="s">
        <v>162</v>
      </c>
      <c r="F909" t="s">
        <v>1974</v>
      </c>
      <c r="G909" t="s">
        <v>135</v>
      </c>
      <c r="H909" t="s">
        <v>136</v>
      </c>
      <c r="I909" t="s">
        <v>115</v>
      </c>
      <c r="J909" t="s">
        <v>119</v>
      </c>
      <c r="K909" t="s">
        <v>164</v>
      </c>
      <c r="L909" t="s">
        <v>165</v>
      </c>
      <c r="M909">
        <v>2</v>
      </c>
      <c r="N909">
        <v>89.62</v>
      </c>
      <c r="O909">
        <v>179.24</v>
      </c>
      <c r="P909">
        <v>5</v>
      </c>
      <c r="Q909">
        <v>8.9600000000000009</v>
      </c>
      <c r="R909">
        <v>170.28</v>
      </c>
      <c r="S909">
        <v>76.260000000000005</v>
      </c>
      <c r="T909">
        <v>94.02</v>
      </c>
      <c r="U909" t="s">
        <v>158</v>
      </c>
      <c r="V909" t="s">
        <v>159</v>
      </c>
      <c r="W909" t="s">
        <v>2085</v>
      </c>
      <c r="X909" t="s">
        <v>2108</v>
      </c>
      <c r="Y909">
        <v>99</v>
      </c>
      <c r="Z909">
        <v>1314.98</v>
      </c>
      <c r="AA909">
        <v>186.69</v>
      </c>
      <c r="AB909" t="s">
        <v>115</v>
      </c>
      <c r="AC909" t="s">
        <v>16</v>
      </c>
      <c r="AD909" t="s">
        <v>2087</v>
      </c>
      <c r="AE909" t="s">
        <v>2109</v>
      </c>
    </row>
    <row r="910" spans="1:31">
      <c r="A910" t="s">
        <v>515</v>
      </c>
      <c r="B910" s="1">
        <v>44966</v>
      </c>
      <c r="C910" t="s">
        <v>161</v>
      </c>
      <c r="D910">
        <v>2023</v>
      </c>
      <c r="E910" t="s">
        <v>162</v>
      </c>
      <c r="F910" t="s">
        <v>516</v>
      </c>
      <c r="G910" t="s">
        <v>73</v>
      </c>
      <c r="H910" t="s">
        <v>74</v>
      </c>
      <c r="I910" t="s">
        <v>66</v>
      </c>
      <c r="J910" t="s">
        <v>75</v>
      </c>
      <c r="K910" t="s">
        <v>156</v>
      </c>
      <c r="L910" t="s">
        <v>232</v>
      </c>
      <c r="M910">
        <v>3</v>
      </c>
      <c r="N910">
        <v>53.95</v>
      </c>
      <c r="O910">
        <v>161.85000000000002</v>
      </c>
      <c r="P910">
        <v>5</v>
      </c>
      <c r="Q910">
        <v>8.09</v>
      </c>
      <c r="R910">
        <v>153.76</v>
      </c>
      <c r="S910">
        <v>105.6</v>
      </c>
      <c r="T910">
        <v>48.16</v>
      </c>
      <c r="U910" t="s">
        <v>195</v>
      </c>
      <c r="V910" t="s">
        <v>186</v>
      </c>
      <c r="W910" t="s">
        <v>2093</v>
      </c>
      <c r="X910" t="s">
        <v>2091</v>
      </c>
      <c r="Y910">
        <v>129</v>
      </c>
      <c r="Z910">
        <v>89.66</v>
      </c>
      <c r="AA910">
        <v>43.43</v>
      </c>
      <c r="AB910" t="s">
        <v>41</v>
      </c>
      <c r="AC910" t="s">
        <v>16</v>
      </c>
      <c r="AD910" t="s">
        <v>2106</v>
      </c>
      <c r="AE910" t="s">
        <v>2088</v>
      </c>
    </row>
    <row r="911" spans="1:31">
      <c r="A911" t="s">
        <v>269</v>
      </c>
      <c r="B911" s="1">
        <v>44965</v>
      </c>
      <c r="C911" t="s">
        <v>161</v>
      </c>
      <c r="D911">
        <v>2023</v>
      </c>
      <c r="E911" t="s">
        <v>162</v>
      </c>
      <c r="F911" t="s">
        <v>270</v>
      </c>
      <c r="G911" t="s">
        <v>53</v>
      </c>
      <c r="H911" t="s">
        <v>54</v>
      </c>
      <c r="I911" t="s">
        <v>41</v>
      </c>
      <c r="J911" t="s">
        <v>45</v>
      </c>
      <c r="K911" t="s">
        <v>209</v>
      </c>
      <c r="L911" t="s">
        <v>204</v>
      </c>
      <c r="M911">
        <v>2</v>
      </c>
      <c r="N911">
        <v>51.98</v>
      </c>
      <c r="O911">
        <v>103.96</v>
      </c>
      <c r="P911">
        <v>10</v>
      </c>
      <c r="Q911">
        <v>10.4</v>
      </c>
      <c r="R911">
        <v>93.56</v>
      </c>
      <c r="S911">
        <v>66.08</v>
      </c>
      <c r="T911">
        <v>27.48</v>
      </c>
      <c r="U911" t="s">
        <v>180</v>
      </c>
      <c r="V911" t="s">
        <v>181</v>
      </c>
      <c r="W911" t="s">
        <v>2090</v>
      </c>
      <c r="X911" t="s">
        <v>2086</v>
      </c>
      <c r="Y911">
        <v>83</v>
      </c>
      <c r="Z911">
        <v>199.45</v>
      </c>
      <c r="AA911">
        <v>112.15</v>
      </c>
      <c r="AB911" t="s">
        <v>41</v>
      </c>
      <c r="AC911" t="s">
        <v>16</v>
      </c>
      <c r="AD911" t="s">
        <v>2106</v>
      </c>
      <c r="AE911" t="s">
        <v>2109</v>
      </c>
    </row>
    <row r="912" spans="1:31">
      <c r="A912" t="s">
        <v>895</v>
      </c>
      <c r="B912" s="1">
        <v>44965</v>
      </c>
      <c r="C912" t="s">
        <v>161</v>
      </c>
      <c r="D912">
        <v>2023</v>
      </c>
      <c r="E912" t="s">
        <v>162</v>
      </c>
      <c r="F912" t="s">
        <v>896</v>
      </c>
      <c r="G912" t="s">
        <v>84</v>
      </c>
      <c r="H912" t="s">
        <v>85</v>
      </c>
      <c r="I912" t="s">
        <v>66</v>
      </c>
      <c r="J912" t="s">
        <v>67</v>
      </c>
      <c r="K912" t="s">
        <v>156</v>
      </c>
      <c r="L912" t="s">
        <v>157</v>
      </c>
      <c r="M912">
        <v>3</v>
      </c>
      <c r="N912">
        <v>174.23</v>
      </c>
      <c r="O912">
        <v>522.68999999999994</v>
      </c>
      <c r="P912">
        <v>0</v>
      </c>
      <c r="Q912">
        <v>0</v>
      </c>
      <c r="R912">
        <v>522.69000000000005</v>
      </c>
      <c r="S912">
        <v>221.85</v>
      </c>
      <c r="T912">
        <v>300.83999999999997</v>
      </c>
      <c r="U912" t="s">
        <v>166</v>
      </c>
      <c r="V912" t="s">
        <v>159</v>
      </c>
      <c r="W912" t="s">
        <v>2093</v>
      </c>
      <c r="X912" t="s">
        <v>2111</v>
      </c>
      <c r="Y912">
        <v>306</v>
      </c>
      <c r="Z912">
        <v>152.29</v>
      </c>
      <c r="AA912">
        <v>73.87</v>
      </c>
      <c r="AB912" t="s">
        <v>90</v>
      </c>
      <c r="AC912" t="s">
        <v>16</v>
      </c>
      <c r="AD912" t="s">
        <v>2095</v>
      </c>
      <c r="AE912" t="s">
        <v>2109</v>
      </c>
    </row>
    <row r="913" spans="1:31">
      <c r="A913" t="s">
        <v>1279</v>
      </c>
      <c r="B913" s="1">
        <v>44964</v>
      </c>
      <c r="C913" t="s">
        <v>161</v>
      </c>
      <c r="D913">
        <v>2023</v>
      </c>
      <c r="E913" t="s">
        <v>162</v>
      </c>
      <c r="F913" t="s">
        <v>1280</v>
      </c>
      <c r="G913" t="s">
        <v>95</v>
      </c>
      <c r="H913" t="s">
        <v>96</v>
      </c>
      <c r="I913" t="s">
        <v>90</v>
      </c>
      <c r="J913" t="s">
        <v>97</v>
      </c>
      <c r="K913" t="s">
        <v>178</v>
      </c>
      <c r="L913" t="s">
        <v>194</v>
      </c>
      <c r="M913">
        <v>1</v>
      </c>
      <c r="N913">
        <v>177.41</v>
      </c>
      <c r="O913">
        <v>177.41</v>
      </c>
      <c r="P913">
        <v>10</v>
      </c>
      <c r="Q913">
        <v>17.739999999999998</v>
      </c>
      <c r="R913">
        <v>159.66999999999999</v>
      </c>
      <c r="S913">
        <v>74.989999999999995</v>
      </c>
      <c r="T913">
        <v>84.68</v>
      </c>
      <c r="U913" t="s">
        <v>158</v>
      </c>
      <c r="V913" t="s">
        <v>181</v>
      </c>
      <c r="W913" t="s">
        <v>2093</v>
      </c>
      <c r="X913" t="s">
        <v>2086</v>
      </c>
      <c r="Y913">
        <v>80</v>
      </c>
      <c r="Z913">
        <v>94.91</v>
      </c>
      <c r="AA913">
        <v>79.599999999999994</v>
      </c>
      <c r="AB913" t="s">
        <v>41</v>
      </c>
      <c r="AC913" t="s">
        <v>16</v>
      </c>
      <c r="AD913" t="s">
        <v>2087</v>
      </c>
      <c r="AE913" t="s">
        <v>2096</v>
      </c>
    </row>
    <row r="914" spans="1:31">
      <c r="A914" t="s">
        <v>160</v>
      </c>
      <c r="B914" s="1">
        <v>44964</v>
      </c>
      <c r="C914" t="s">
        <v>161</v>
      </c>
      <c r="D914">
        <v>2023</v>
      </c>
      <c r="E914" t="s">
        <v>162</v>
      </c>
      <c r="F914" t="s">
        <v>163</v>
      </c>
      <c r="G914" t="s">
        <v>53</v>
      </c>
      <c r="H914" t="s">
        <v>54</v>
      </c>
      <c r="I914" t="s">
        <v>41</v>
      </c>
      <c r="J914" t="s">
        <v>45</v>
      </c>
      <c r="K914" t="s">
        <v>164</v>
      </c>
      <c r="L914" t="s">
        <v>165</v>
      </c>
      <c r="M914">
        <v>4</v>
      </c>
      <c r="N914">
        <v>51.98</v>
      </c>
      <c r="O914">
        <v>207.92</v>
      </c>
      <c r="P914">
        <v>10</v>
      </c>
      <c r="Q914">
        <v>20.79</v>
      </c>
      <c r="R914">
        <v>187.13</v>
      </c>
      <c r="S914">
        <v>132.16</v>
      </c>
      <c r="T914">
        <v>54.97</v>
      </c>
      <c r="U914" t="s">
        <v>166</v>
      </c>
      <c r="V914" t="s">
        <v>159</v>
      </c>
      <c r="W914" t="s">
        <v>2090</v>
      </c>
      <c r="X914" t="s">
        <v>2094</v>
      </c>
      <c r="Y914">
        <v>167</v>
      </c>
      <c r="Z914">
        <v>322.88</v>
      </c>
      <c r="AA914">
        <v>43.9</v>
      </c>
      <c r="AB914" t="s">
        <v>90</v>
      </c>
      <c r="AC914" t="s">
        <v>16</v>
      </c>
      <c r="AD914" t="s">
        <v>2095</v>
      </c>
      <c r="AE914" t="s">
        <v>2109</v>
      </c>
    </row>
    <row r="915" spans="1:31">
      <c r="A915" t="s">
        <v>533</v>
      </c>
      <c r="B915" s="1">
        <v>44964</v>
      </c>
      <c r="C915" t="s">
        <v>161</v>
      </c>
      <c r="D915">
        <v>2023</v>
      </c>
      <c r="E915" t="s">
        <v>162</v>
      </c>
      <c r="F915" t="s">
        <v>534</v>
      </c>
      <c r="G915" t="s">
        <v>35</v>
      </c>
      <c r="H915" t="s">
        <v>36</v>
      </c>
      <c r="I915" t="s">
        <v>14</v>
      </c>
      <c r="J915" t="s">
        <v>19</v>
      </c>
      <c r="K915" t="s">
        <v>164</v>
      </c>
      <c r="L915" t="s">
        <v>165</v>
      </c>
      <c r="M915">
        <v>3</v>
      </c>
      <c r="N915">
        <v>81.599999999999994</v>
      </c>
      <c r="O915">
        <v>244.79999999999998</v>
      </c>
      <c r="P915">
        <v>15</v>
      </c>
      <c r="Q915">
        <v>36.72</v>
      </c>
      <c r="R915">
        <v>208.08</v>
      </c>
      <c r="S915">
        <v>87.96</v>
      </c>
      <c r="T915">
        <v>120.12</v>
      </c>
      <c r="U915" t="s">
        <v>166</v>
      </c>
      <c r="V915" t="s">
        <v>159</v>
      </c>
      <c r="W915" t="s">
        <v>2097</v>
      </c>
      <c r="X915" t="s">
        <v>2100</v>
      </c>
      <c r="Y915">
        <v>26</v>
      </c>
      <c r="Z915">
        <v>398.45</v>
      </c>
      <c r="AA915">
        <v>88.16</v>
      </c>
      <c r="AB915" t="s">
        <v>115</v>
      </c>
      <c r="AC915" t="s">
        <v>16</v>
      </c>
      <c r="AD915" t="s">
        <v>2095</v>
      </c>
      <c r="AE915" t="s">
        <v>2107</v>
      </c>
    </row>
    <row r="916" spans="1:31">
      <c r="A916" t="s">
        <v>1167</v>
      </c>
      <c r="B916" s="1">
        <v>44963</v>
      </c>
      <c r="C916" t="s">
        <v>161</v>
      </c>
      <c r="D916">
        <v>2023</v>
      </c>
      <c r="E916" t="s">
        <v>162</v>
      </c>
      <c r="F916" t="s">
        <v>1168</v>
      </c>
      <c r="G916" t="s">
        <v>48</v>
      </c>
      <c r="H916" t="s">
        <v>49</v>
      </c>
      <c r="I916" t="s">
        <v>41</v>
      </c>
      <c r="J916" t="s">
        <v>42</v>
      </c>
      <c r="K916" t="s">
        <v>156</v>
      </c>
      <c r="L916" t="s">
        <v>174</v>
      </c>
      <c r="M916">
        <v>4</v>
      </c>
      <c r="N916">
        <v>84.95</v>
      </c>
      <c r="O916">
        <v>339.8</v>
      </c>
      <c r="P916">
        <v>15</v>
      </c>
      <c r="Q916">
        <v>50.97</v>
      </c>
      <c r="R916">
        <v>288.83</v>
      </c>
      <c r="S916">
        <v>212.28</v>
      </c>
      <c r="T916">
        <v>76.55</v>
      </c>
      <c r="U916" t="s">
        <v>180</v>
      </c>
      <c r="V916" t="s">
        <v>159</v>
      </c>
      <c r="W916" t="s">
        <v>2099</v>
      </c>
      <c r="X916" t="s">
        <v>2100</v>
      </c>
      <c r="Y916">
        <v>164</v>
      </c>
      <c r="Z916">
        <v>133.94999999999999</v>
      </c>
      <c r="AA916">
        <v>77.66</v>
      </c>
      <c r="AB916" t="s">
        <v>66</v>
      </c>
      <c r="AC916" t="s">
        <v>20</v>
      </c>
      <c r="AD916" t="s">
        <v>2106</v>
      </c>
      <c r="AE916" t="s">
        <v>2121</v>
      </c>
    </row>
    <row r="917" spans="1:31">
      <c r="A917" t="s">
        <v>1883</v>
      </c>
      <c r="B917" s="1">
        <v>44961</v>
      </c>
      <c r="C917" t="s">
        <v>161</v>
      </c>
      <c r="D917">
        <v>2023</v>
      </c>
      <c r="E917" t="s">
        <v>162</v>
      </c>
      <c r="F917" t="s">
        <v>1884</v>
      </c>
      <c r="G917" t="s">
        <v>107</v>
      </c>
      <c r="H917" t="s">
        <v>108</v>
      </c>
      <c r="I917" t="s">
        <v>90</v>
      </c>
      <c r="J917" t="s">
        <v>100</v>
      </c>
      <c r="K917" t="s">
        <v>164</v>
      </c>
      <c r="L917" t="s">
        <v>204</v>
      </c>
      <c r="M917">
        <v>3</v>
      </c>
      <c r="N917">
        <v>26.61</v>
      </c>
      <c r="O917">
        <v>79.83</v>
      </c>
      <c r="P917">
        <v>0</v>
      </c>
      <c r="Q917">
        <v>0</v>
      </c>
      <c r="R917">
        <v>79.83</v>
      </c>
      <c r="S917">
        <v>31.92</v>
      </c>
      <c r="T917">
        <v>47.91</v>
      </c>
      <c r="U917" t="s">
        <v>190</v>
      </c>
      <c r="V917" t="s">
        <v>159</v>
      </c>
      <c r="W917" t="s">
        <v>2099</v>
      </c>
      <c r="X917" t="s">
        <v>2086</v>
      </c>
      <c r="Y917">
        <v>23</v>
      </c>
      <c r="Z917">
        <v>73.28</v>
      </c>
      <c r="AA917">
        <v>52.2</v>
      </c>
      <c r="AB917" t="s">
        <v>41</v>
      </c>
      <c r="AC917" t="s">
        <v>16</v>
      </c>
      <c r="AD917" t="s">
        <v>2106</v>
      </c>
      <c r="AE917" t="s">
        <v>2096</v>
      </c>
    </row>
    <row r="918" spans="1:31">
      <c r="A918" t="s">
        <v>1520</v>
      </c>
      <c r="B918" s="1">
        <v>44961</v>
      </c>
      <c r="C918" t="s">
        <v>161</v>
      </c>
      <c r="D918">
        <v>2023</v>
      </c>
      <c r="E918" t="s">
        <v>162</v>
      </c>
      <c r="F918" t="s">
        <v>1521</v>
      </c>
      <c r="G918" t="s">
        <v>73</v>
      </c>
      <c r="H918" t="s">
        <v>74</v>
      </c>
      <c r="I918" t="s">
        <v>66</v>
      </c>
      <c r="J918" t="s">
        <v>75</v>
      </c>
      <c r="K918" t="s">
        <v>164</v>
      </c>
      <c r="L918" t="s">
        <v>179</v>
      </c>
      <c r="M918">
        <v>4</v>
      </c>
      <c r="N918">
        <v>53.95</v>
      </c>
      <c r="O918">
        <v>215.8</v>
      </c>
      <c r="P918">
        <v>20</v>
      </c>
      <c r="Q918">
        <v>43.16</v>
      </c>
      <c r="R918">
        <v>172.64</v>
      </c>
      <c r="S918">
        <v>140.80000000000001</v>
      </c>
      <c r="T918">
        <v>31.84</v>
      </c>
      <c r="U918" t="s">
        <v>166</v>
      </c>
      <c r="V918" t="s">
        <v>159</v>
      </c>
      <c r="W918" t="s">
        <v>2093</v>
      </c>
      <c r="X918" t="s">
        <v>2086</v>
      </c>
      <c r="Y918">
        <v>115</v>
      </c>
      <c r="Z918">
        <v>131.05000000000001</v>
      </c>
      <c r="AA918">
        <v>74.97</v>
      </c>
      <c r="AB918" t="s">
        <v>90</v>
      </c>
      <c r="AC918" t="s">
        <v>20</v>
      </c>
      <c r="AD918" t="s">
        <v>2087</v>
      </c>
      <c r="AE918" t="s">
        <v>2088</v>
      </c>
    </row>
    <row r="919" spans="1:31">
      <c r="A919" t="s">
        <v>985</v>
      </c>
      <c r="B919" s="1">
        <v>44961</v>
      </c>
      <c r="C919" t="s">
        <v>161</v>
      </c>
      <c r="D919">
        <v>2023</v>
      </c>
      <c r="E919" t="s">
        <v>162</v>
      </c>
      <c r="F919" t="s">
        <v>986</v>
      </c>
      <c r="G919" t="s">
        <v>55</v>
      </c>
      <c r="H919" t="s">
        <v>56</v>
      </c>
      <c r="I919" t="s">
        <v>41</v>
      </c>
      <c r="J919" t="s">
        <v>45</v>
      </c>
      <c r="K919" t="s">
        <v>164</v>
      </c>
      <c r="L919" t="s">
        <v>232</v>
      </c>
      <c r="M919">
        <v>3</v>
      </c>
      <c r="N919">
        <v>205.4</v>
      </c>
      <c r="O919">
        <v>616.20000000000005</v>
      </c>
      <c r="P919">
        <v>15</v>
      </c>
      <c r="Q919">
        <v>92.43</v>
      </c>
      <c r="R919">
        <v>523.77</v>
      </c>
      <c r="S919">
        <v>212.7</v>
      </c>
      <c r="T919">
        <v>311.07</v>
      </c>
      <c r="U919" t="s">
        <v>180</v>
      </c>
      <c r="V919" t="s">
        <v>181</v>
      </c>
      <c r="W919" t="s">
        <v>2090</v>
      </c>
      <c r="X919" t="s">
        <v>2111</v>
      </c>
      <c r="Y919">
        <v>4</v>
      </c>
      <c r="Z919">
        <v>345.93</v>
      </c>
      <c r="AA919">
        <v>63.6</v>
      </c>
      <c r="AB919" t="s">
        <v>90</v>
      </c>
      <c r="AC919" t="s">
        <v>16</v>
      </c>
      <c r="AD919" t="s">
        <v>2087</v>
      </c>
      <c r="AE919" t="s">
        <v>2107</v>
      </c>
    </row>
    <row r="920" spans="1:31">
      <c r="A920" t="s">
        <v>1924</v>
      </c>
      <c r="B920" s="1">
        <v>44960</v>
      </c>
      <c r="C920" t="s">
        <v>161</v>
      </c>
      <c r="D920">
        <v>2023</v>
      </c>
      <c r="E920" t="s">
        <v>162</v>
      </c>
      <c r="F920" t="s">
        <v>1925</v>
      </c>
      <c r="G920" t="s">
        <v>125</v>
      </c>
      <c r="H920" t="s">
        <v>126</v>
      </c>
      <c r="I920" t="s">
        <v>115</v>
      </c>
      <c r="J920" t="s">
        <v>116</v>
      </c>
      <c r="K920" t="s">
        <v>164</v>
      </c>
      <c r="L920" t="s">
        <v>232</v>
      </c>
      <c r="M920">
        <v>3</v>
      </c>
      <c r="N920">
        <v>144.94999999999999</v>
      </c>
      <c r="O920">
        <v>434.84999999999997</v>
      </c>
      <c r="P920">
        <v>10</v>
      </c>
      <c r="Q920">
        <v>43.48</v>
      </c>
      <c r="R920">
        <v>391.37</v>
      </c>
      <c r="S920">
        <v>231.57</v>
      </c>
      <c r="T920">
        <v>159.80000000000001</v>
      </c>
      <c r="U920" t="s">
        <v>166</v>
      </c>
      <c r="V920" t="s">
        <v>159</v>
      </c>
      <c r="W920" t="s">
        <v>2113</v>
      </c>
      <c r="X920" t="s">
        <v>2086</v>
      </c>
      <c r="Y920">
        <v>155</v>
      </c>
      <c r="Z920">
        <v>402.42</v>
      </c>
      <c r="AA920">
        <v>49.35</v>
      </c>
      <c r="AB920" t="s">
        <v>115</v>
      </c>
      <c r="AC920" t="s">
        <v>16</v>
      </c>
      <c r="AD920" t="s">
        <v>2095</v>
      </c>
      <c r="AE920" t="s">
        <v>2109</v>
      </c>
    </row>
    <row r="921" spans="1:31">
      <c r="A921" t="s">
        <v>1165</v>
      </c>
      <c r="B921" s="1">
        <v>44960</v>
      </c>
      <c r="C921" t="s">
        <v>161</v>
      </c>
      <c r="D921">
        <v>2023</v>
      </c>
      <c r="E921" t="s">
        <v>162</v>
      </c>
      <c r="F921" t="s">
        <v>1166</v>
      </c>
      <c r="G921" t="s">
        <v>39</v>
      </c>
      <c r="H921" t="s">
        <v>40</v>
      </c>
      <c r="I921" t="s">
        <v>41</v>
      </c>
      <c r="J921" t="s">
        <v>42</v>
      </c>
      <c r="K921" t="s">
        <v>156</v>
      </c>
      <c r="L921" t="s">
        <v>179</v>
      </c>
      <c r="M921">
        <v>1</v>
      </c>
      <c r="N921">
        <v>35.11</v>
      </c>
      <c r="O921">
        <v>35.11</v>
      </c>
      <c r="P921">
        <v>15</v>
      </c>
      <c r="Q921">
        <v>5.27</v>
      </c>
      <c r="R921">
        <v>29.84</v>
      </c>
      <c r="S921">
        <v>24.87</v>
      </c>
      <c r="T921">
        <v>4.97</v>
      </c>
      <c r="U921" t="s">
        <v>180</v>
      </c>
      <c r="V921" t="s">
        <v>159</v>
      </c>
      <c r="W921" t="s">
        <v>2093</v>
      </c>
      <c r="X921" t="s">
        <v>2100</v>
      </c>
      <c r="Y921">
        <v>106</v>
      </c>
      <c r="Z921">
        <v>78.209999999999994</v>
      </c>
      <c r="AA921">
        <v>47.11</v>
      </c>
      <c r="AB921" t="s">
        <v>14</v>
      </c>
      <c r="AC921" t="s">
        <v>20</v>
      </c>
      <c r="AD921" t="s">
        <v>2106</v>
      </c>
      <c r="AE921" t="s">
        <v>2121</v>
      </c>
    </row>
    <row r="922" spans="1:31">
      <c r="A922" t="s">
        <v>1686</v>
      </c>
      <c r="B922" s="1">
        <v>44959</v>
      </c>
      <c r="C922" t="s">
        <v>161</v>
      </c>
      <c r="D922">
        <v>2023</v>
      </c>
      <c r="E922" t="s">
        <v>162</v>
      </c>
      <c r="F922" t="s">
        <v>1687</v>
      </c>
      <c r="G922" t="s">
        <v>107</v>
      </c>
      <c r="H922" t="s">
        <v>108</v>
      </c>
      <c r="I922" t="s">
        <v>90</v>
      </c>
      <c r="J922" t="s">
        <v>100</v>
      </c>
      <c r="K922" t="s">
        <v>178</v>
      </c>
      <c r="L922" t="s">
        <v>157</v>
      </c>
      <c r="M922">
        <v>2</v>
      </c>
      <c r="N922">
        <v>26.61</v>
      </c>
      <c r="O922">
        <v>53.22</v>
      </c>
      <c r="P922">
        <v>0</v>
      </c>
      <c r="Q922">
        <v>0</v>
      </c>
      <c r="R922">
        <v>53.22</v>
      </c>
      <c r="S922">
        <v>21.28</v>
      </c>
      <c r="T922">
        <v>31.94</v>
      </c>
      <c r="U922" t="s">
        <v>180</v>
      </c>
      <c r="V922" t="s">
        <v>159</v>
      </c>
      <c r="W922" t="s">
        <v>2097</v>
      </c>
      <c r="X922" t="s">
        <v>2108</v>
      </c>
      <c r="Y922">
        <v>294</v>
      </c>
      <c r="Z922">
        <v>516.98</v>
      </c>
      <c r="AA922">
        <v>62.79</v>
      </c>
      <c r="AB922" t="s">
        <v>90</v>
      </c>
      <c r="AC922" t="s">
        <v>16</v>
      </c>
      <c r="AD922" t="s">
        <v>2095</v>
      </c>
      <c r="AE922" t="s">
        <v>2107</v>
      </c>
    </row>
    <row r="923" spans="1:31">
      <c r="A923" t="s">
        <v>1902</v>
      </c>
      <c r="B923" s="1">
        <v>44959</v>
      </c>
      <c r="C923" t="s">
        <v>161</v>
      </c>
      <c r="D923">
        <v>2023</v>
      </c>
      <c r="E923" t="s">
        <v>162</v>
      </c>
      <c r="F923" t="s">
        <v>1903</v>
      </c>
      <c r="G923" t="s">
        <v>109</v>
      </c>
      <c r="H923" t="s">
        <v>110</v>
      </c>
      <c r="I923" t="s">
        <v>90</v>
      </c>
      <c r="J923" t="s">
        <v>100</v>
      </c>
      <c r="K923" t="s">
        <v>164</v>
      </c>
      <c r="L923" t="s">
        <v>194</v>
      </c>
      <c r="M923">
        <v>3</v>
      </c>
      <c r="N923">
        <v>77.67</v>
      </c>
      <c r="O923">
        <v>233.01</v>
      </c>
      <c r="P923">
        <v>20</v>
      </c>
      <c r="Q923">
        <v>46.6</v>
      </c>
      <c r="R923">
        <v>186.41</v>
      </c>
      <c r="S923">
        <v>84.36</v>
      </c>
      <c r="T923">
        <v>102.05</v>
      </c>
      <c r="U923" t="s">
        <v>158</v>
      </c>
      <c r="V923" t="s">
        <v>186</v>
      </c>
      <c r="W923" t="s">
        <v>2097</v>
      </c>
      <c r="X923" t="s">
        <v>2108</v>
      </c>
      <c r="Y923">
        <v>255</v>
      </c>
      <c r="Z923">
        <v>572.15</v>
      </c>
      <c r="AA923">
        <v>76.25</v>
      </c>
      <c r="AB923" t="s">
        <v>115</v>
      </c>
      <c r="AC923" t="s">
        <v>20</v>
      </c>
      <c r="AD923" t="s">
        <v>2095</v>
      </c>
      <c r="AE923" t="s">
        <v>2088</v>
      </c>
    </row>
    <row r="924" spans="1:31">
      <c r="A924" t="s">
        <v>1265</v>
      </c>
      <c r="B924" s="1">
        <v>44959</v>
      </c>
      <c r="C924" t="s">
        <v>161</v>
      </c>
      <c r="D924">
        <v>2023</v>
      </c>
      <c r="E924" t="s">
        <v>162</v>
      </c>
      <c r="F924" t="s">
        <v>1266</v>
      </c>
      <c r="G924" t="s">
        <v>88</v>
      </c>
      <c r="H924" t="s">
        <v>89</v>
      </c>
      <c r="I924" t="s">
        <v>90</v>
      </c>
      <c r="J924" t="s">
        <v>91</v>
      </c>
      <c r="K924" t="s">
        <v>156</v>
      </c>
      <c r="L924" t="s">
        <v>194</v>
      </c>
      <c r="M924">
        <v>4</v>
      </c>
      <c r="N924">
        <v>54.64</v>
      </c>
      <c r="O924">
        <v>218.56</v>
      </c>
      <c r="P924">
        <v>0</v>
      </c>
      <c r="Q924">
        <v>0</v>
      </c>
      <c r="R924">
        <v>218.56</v>
      </c>
      <c r="S924">
        <v>81.28</v>
      </c>
      <c r="T924">
        <v>137.28</v>
      </c>
      <c r="U924" t="s">
        <v>158</v>
      </c>
      <c r="V924" t="s">
        <v>181</v>
      </c>
      <c r="W924" t="s">
        <v>2097</v>
      </c>
      <c r="X924" t="s">
        <v>2100</v>
      </c>
      <c r="Y924">
        <v>221</v>
      </c>
      <c r="Z924">
        <v>370.24</v>
      </c>
      <c r="AA924">
        <v>73.94</v>
      </c>
      <c r="AB924" t="s">
        <v>41</v>
      </c>
      <c r="AC924" t="s">
        <v>16</v>
      </c>
      <c r="AD924" t="s">
        <v>2106</v>
      </c>
      <c r="AE924" t="s">
        <v>2088</v>
      </c>
    </row>
    <row r="925" spans="1:31">
      <c r="A925" t="s">
        <v>1092</v>
      </c>
      <c r="B925" s="1">
        <v>44959</v>
      </c>
      <c r="C925" t="s">
        <v>161</v>
      </c>
      <c r="D925">
        <v>2023</v>
      </c>
      <c r="E925" t="s">
        <v>162</v>
      </c>
      <c r="F925" t="s">
        <v>1093</v>
      </c>
      <c r="G925" t="s">
        <v>80</v>
      </c>
      <c r="H925" t="s">
        <v>81</v>
      </c>
      <c r="I925" t="s">
        <v>66</v>
      </c>
      <c r="J925" t="s">
        <v>70</v>
      </c>
      <c r="K925" t="s">
        <v>178</v>
      </c>
      <c r="L925" t="s">
        <v>174</v>
      </c>
      <c r="M925">
        <v>4</v>
      </c>
      <c r="N925">
        <v>106.06</v>
      </c>
      <c r="O925">
        <v>424.24</v>
      </c>
      <c r="P925">
        <v>0</v>
      </c>
      <c r="Q925">
        <v>0</v>
      </c>
      <c r="R925">
        <v>424.24</v>
      </c>
      <c r="S925">
        <v>133.68</v>
      </c>
      <c r="T925">
        <v>290.56</v>
      </c>
      <c r="U925" t="s">
        <v>166</v>
      </c>
      <c r="V925" t="s">
        <v>181</v>
      </c>
      <c r="W925" t="s">
        <v>2097</v>
      </c>
      <c r="X925" t="s">
        <v>2111</v>
      </c>
      <c r="Y925">
        <v>180</v>
      </c>
      <c r="Z925">
        <v>520.71</v>
      </c>
      <c r="AA925">
        <v>130.41999999999999</v>
      </c>
      <c r="AB925" t="s">
        <v>66</v>
      </c>
      <c r="AC925" t="s">
        <v>20</v>
      </c>
      <c r="AD925" t="s">
        <v>2087</v>
      </c>
      <c r="AE925" t="s">
        <v>2096</v>
      </c>
    </row>
    <row r="926" spans="1:31">
      <c r="A926" t="s">
        <v>977</v>
      </c>
      <c r="B926" s="1">
        <v>44958</v>
      </c>
      <c r="C926" t="s">
        <v>161</v>
      </c>
      <c r="D926">
        <v>2023</v>
      </c>
      <c r="E926" t="s">
        <v>162</v>
      </c>
      <c r="F926" t="s">
        <v>978</v>
      </c>
      <c r="G926" t="s">
        <v>80</v>
      </c>
      <c r="H926" t="s">
        <v>81</v>
      </c>
      <c r="I926" t="s">
        <v>66</v>
      </c>
      <c r="J926" t="s">
        <v>70</v>
      </c>
      <c r="K926" t="s">
        <v>164</v>
      </c>
      <c r="L926" t="s">
        <v>179</v>
      </c>
      <c r="M926">
        <v>2</v>
      </c>
      <c r="N926">
        <v>106.06</v>
      </c>
      <c r="O926">
        <v>212.12</v>
      </c>
      <c r="P926">
        <v>10</v>
      </c>
      <c r="Q926">
        <v>21.21</v>
      </c>
      <c r="R926">
        <v>190.91</v>
      </c>
      <c r="S926">
        <v>66.84</v>
      </c>
      <c r="T926">
        <v>124.07</v>
      </c>
      <c r="U926" t="s">
        <v>166</v>
      </c>
      <c r="V926" t="s">
        <v>186</v>
      </c>
      <c r="W926" t="s">
        <v>2090</v>
      </c>
      <c r="X926" t="s">
        <v>2086</v>
      </c>
      <c r="Y926">
        <v>112</v>
      </c>
      <c r="Z926">
        <v>151.28</v>
      </c>
      <c r="AA926">
        <v>60.4</v>
      </c>
      <c r="AB926" t="s">
        <v>115</v>
      </c>
      <c r="AC926" t="s">
        <v>16</v>
      </c>
      <c r="AD926" t="s">
        <v>2106</v>
      </c>
      <c r="AE926" t="s">
        <v>2088</v>
      </c>
    </row>
    <row r="927" spans="1:31">
      <c r="A927" t="s">
        <v>2018</v>
      </c>
      <c r="B927" s="1">
        <v>44958</v>
      </c>
      <c r="C927" t="s">
        <v>161</v>
      </c>
      <c r="D927">
        <v>2023</v>
      </c>
      <c r="E927" t="s">
        <v>162</v>
      </c>
      <c r="F927" t="s">
        <v>2019</v>
      </c>
      <c r="G927" t="s">
        <v>122</v>
      </c>
      <c r="H927" t="s">
        <v>123</v>
      </c>
      <c r="I927" t="s">
        <v>115</v>
      </c>
      <c r="J927" t="s">
        <v>124</v>
      </c>
      <c r="K927" t="s">
        <v>209</v>
      </c>
      <c r="L927" t="s">
        <v>204</v>
      </c>
      <c r="M927">
        <v>4</v>
      </c>
      <c r="N927">
        <v>93.88</v>
      </c>
      <c r="O927">
        <v>375.52</v>
      </c>
      <c r="P927">
        <v>0</v>
      </c>
      <c r="Q927">
        <v>0</v>
      </c>
      <c r="R927">
        <v>375.52</v>
      </c>
      <c r="S927">
        <v>212.44</v>
      </c>
      <c r="T927">
        <v>163.08000000000001</v>
      </c>
      <c r="U927" t="s">
        <v>166</v>
      </c>
      <c r="V927" t="s">
        <v>159</v>
      </c>
      <c r="W927" t="s">
        <v>2093</v>
      </c>
      <c r="X927" t="s">
        <v>2091</v>
      </c>
      <c r="Y927">
        <v>253</v>
      </c>
      <c r="Z927">
        <v>148.31</v>
      </c>
      <c r="AA927">
        <v>76.099999999999994</v>
      </c>
      <c r="AB927" t="s">
        <v>115</v>
      </c>
      <c r="AC927" t="s">
        <v>20</v>
      </c>
      <c r="AD927" t="s">
        <v>2087</v>
      </c>
      <c r="AE927" t="s">
        <v>2121</v>
      </c>
    </row>
    <row r="928" spans="1:31">
      <c r="A928" t="s">
        <v>1463</v>
      </c>
      <c r="B928" s="1">
        <v>44958</v>
      </c>
      <c r="C928" t="s">
        <v>161</v>
      </c>
      <c r="D928">
        <v>2023</v>
      </c>
      <c r="E928" t="s">
        <v>162</v>
      </c>
      <c r="F928" t="s">
        <v>1464</v>
      </c>
      <c r="G928" t="s">
        <v>95</v>
      </c>
      <c r="H928" t="s">
        <v>96</v>
      </c>
      <c r="I928" t="s">
        <v>90</v>
      </c>
      <c r="J928" t="s">
        <v>97</v>
      </c>
      <c r="K928" t="s">
        <v>178</v>
      </c>
      <c r="L928" t="s">
        <v>204</v>
      </c>
      <c r="M928">
        <v>3</v>
      </c>
      <c r="N928">
        <v>177.41</v>
      </c>
      <c r="O928">
        <v>532.23</v>
      </c>
      <c r="P928">
        <v>20</v>
      </c>
      <c r="Q928">
        <v>106.45</v>
      </c>
      <c r="R928">
        <v>425.78</v>
      </c>
      <c r="S928">
        <v>224.97</v>
      </c>
      <c r="T928">
        <v>200.81</v>
      </c>
      <c r="U928" t="s">
        <v>158</v>
      </c>
      <c r="V928" t="s">
        <v>181</v>
      </c>
      <c r="W928" t="s">
        <v>2090</v>
      </c>
      <c r="X928" t="s">
        <v>2094</v>
      </c>
      <c r="Y928">
        <v>23</v>
      </c>
      <c r="Z928">
        <v>226.78</v>
      </c>
      <c r="AA928">
        <v>56.31</v>
      </c>
      <c r="AB928" t="s">
        <v>41</v>
      </c>
      <c r="AC928" t="s">
        <v>16</v>
      </c>
      <c r="AD928" t="s">
        <v>2106</v>
      </c>
      <c r="AE928" t="s">
        <v>2121</v>
      </c>
    </row>
    <row r="929" spans="1:31">
      <c r="A929" t="s">
        <v>1137</v>
      </c>
      <c r="B929" s="1">
        <v>44958</v>
      </c>
      <c r="C929" t="s">
        <v>161</v>
      </c>
      <c r="D929">
        <v>2023</v>
      </c>
      <c r="E929" t="s">
        <v>162</v>
      </c>
      <c r="F929" t="s">
        <v>1138</v>
      </c>
      <c r="G929" t="s">
        <v>60</v>
      </c>
      <c r="H929" t="s">
        <v>61</v>
      </c>
      <c r="I929" t="s">
        <v>41</v>
      </c>
      <c r="J929" t="s">
        <v>59</v>
      </c>
      <c r="K929" t="s">
        <v>178</v>
      </c>
      <c r="L929" t="s">
        <v>157</v>
      </c>
      <c r="M929">
        <v>3</v>
      </c>
      <c r="N929">
        <v>103.56</v>
      </c>
      <c r="O929">
        <v>310.68</v>
      </c>
      <c r="P929">
        <v>0</v>
      </c>
      <c r="Q929">
        <v>0</v>
      </c>
      <c r="R929">
        <v>310.68</v>
      </c>
      <c r="S929">
        <v>133.74</v>
      </c>
      <c r="T929">
        <v>176.94</v>
      </c>
      <c r="U929" t="s">
        <v>166</v>
      </c>
      <c r="V929" t="s">
        <v>159</v>
      </c>
      <c r="W929" t="s">
        <v>2099</v>
      </c>
      <c r="X929" t="s">
        <v>2091</v>
      </c>
      <c r="Y929">
        <v>65</v>
      </c>
      <c r="Z929">
        <v>113.59</v>
      </c>
      <c r="AA929">
        <v>27.98</v>
      </c>
      <c r="AB929" t="s">
        <v>115</v>
      </c>
      <c r="AC929" t="s">
        <v>16</v>
      </c>
      <c r="AD929" t="s">
        <v>2106</v>
      </c>
      <c r="AE929" t="s">
        <v>2096</v>
      </c>
    </row>
    <row r="930" spans="1:31">
      <c r="A930" t="s">
        <v>906</v>
      </c>
      <c r="B930" s="1">
        <v>44958</v>
      </c>
      <c r="C930" t="s">
        <v>161</v>
      </c>
      <c r="D930">
        <v>2023</v>
      </c>
      <c r="E930" t="s">
        <v>162</v>
      </c>
      <c r="F930" t="s">
        <v>907</v>
      </c>
      <c r="G930" t="s">
        <v>35</v>
      </c>
      <c r="H930" t="s">
        <v>36</v>
      </c>
      <c r="I930" t="s">
        <v>14</v>
      </c>
      <c r="J930" t="s">
        <v>19</v>
      </c>
      <c r="K930" t="s">
        <v>156</v>
      </c>
      <c r="L930" t="s">
        <v>157</v>
      </c>
      <c r="M930">
        <v>1</v>
      </c>
      <c r="N930">
        <v>81.599999999999994</v>
      </c>
      <c r="O930">
        <v>81.599999999999994</v>
      </c>
      <c r="P930">
        <v>0</v>
      </c>
      <c r="Q930">
        <v>0</v>
      </c>
      <c r="R930">
        <v>81.599999999999994</v>
      </c>
      <c r="S930">
        <v>29.32</v>
      </c>
      <c r="T930">
        <v>52.28</v>
      </c>
      <c r="U930" t="s">
        <v>190</v>
      </c>
      <c r="V930" t="s">
        <v>186</v>
      </c>
      <c r="W930" t="s">
        <v>2090</v>
      </c>
      <c r="X930" t="s">
        <v>2108</v>
      </c>
      <c r="Y930">
        <v>89</v>
      </c>
      <c r="Z930">
        <v>173.59</v>
      </c>
      <c r="AA930">
        <v>65.81</v>
      </c>
      <c r="AB930" t="s">
        <v>66</v>
      </c>
      <c r="AC930" t="s">
        <v>16</v>
      </c>
      <c r="AD930" t="s">
        <v>2106</v>
      </c>
      <c r="AE930" t="s">
        <v>2109</v>
      </c>
    </row>
    <row r="931" spans="1:31">
      <c r="A931" t="s">
        <v>803</v>
      </c>
      <c r="B931" s="1">
        <v>44957</v>
      </c>
      <c r="C931" t="s">
        <v>240</v>
      </c>
      <c r="D931">
        <v>2023</v>
      </c>
      <c r="E931" t="s">
        <v>162</v>
      </c>
      <c r="F931" t="s">
        <v>804</v>
      </c>
      <c r="G931" t="s">
        <v>48</v>
      </c>
      <c r="H931" t="s">
        <v>49</v>
      </c>
      <c r="I931" t="s">
        <v>41</v>
      </c>
      <c r="J931" t="s">
        <v>42</v>
      </c>
      <c r="K931" t="s">
        <v>178</v>
      </c>
      <c r="L931" t="s">
        <v>232</v>
      </c>
      <c r="M931">
        <v>2</v>
      </c>
      <c r="N931">
        <v>84.95</v>
      </c>
      <c r="O931">
        <v>169.9</v>
      </c>
      <c r="P931">
        <v>20</v>
      </c>
      <c r="Q931">
        <v>33.979999999999997</v>
      </c>
      <c r="R931">
        <v>135.91999999999999</v>
      </c>
      <c r="S931">
        <v>106.14</v>
      </c>
      <c r="T931">
        <v>29.78</v>
      </c>
      <c r="U931" t="s">
        <v>195</v>
      </c>
      <c r="V931" t="s">
        <v>181</v>
      </c>
      <c r="W931" t="s">
        <v>2093</v>
      </c>
      <c r="X931" t="s">
        <v>2091</v>
      </c>
      <c r="Y931">
        <v>102</v>
      </c>
      <c r="Z931">
        <v>137.47999999999999</v>
      </c>
      <c r="AA931">
        <v>52.24</v>
      </c>
      <c r="AB931" t="s">
        <v>115</v>
      </c>
      <c r="AC931" t="s">
        <v>16</v>
      </c>
      <c r="AD931" t="s">
        <v>2087</v>
      </c>
      <c r="AE931" t="s">
        <v>2096</v>
      </c>
    </row>
    <row r="932" spans="1:31">
      <c r="A932" t="s">
        <v>1453</v>
      </c>
      <c r="B932" s="1">
        <v>44957</v>
      </c>
      <c r="C932" t="s">
        <v>240</v>
      </c>
      <c r="D932">
        <v>2023</v>
      </c>
      <c r="E932" t="s">
        <v>162</v>
      </c>
      <c r="F932" t="s">
        <v>1454</v>
      </c>
      <c r="G932" t="s">
        <v>21</v>
      </c>
      <c r="H932" t="s">
        <v>22</v>
      </c>
      <c r="I932" t="s">
        <v>14</v>
      </c>
      <c r="J932" t="s">
        <v>15</v>
      </c>
      <c r="K932" t="s">
        <v>156</v>
      </c>
      <c r="L932" t="s">
        <v>179</v>
      </c>
      <c r="M932">
        <v>3</v>
      </c>
      <c r="N932">
        <v>65.430000000000007</v>
      </c>
      <c r="O932">
        <v>196.29000000000002</v>
      </c>
      <c r="P932">
        <v>0</v>
      </c>
      <c r="Q932">
        <v>0</v>
      </c>
      <c r="R932">
        <v>196.29</v>
      </c>
      <c r="S932">
        <v>116.07</v>
      </c>
      <c r="T932">
        <v>80.22</v>
      </c>
      <c r="U932" t="s">
        <v>166</v>
      </c>
      <c r="V932" t="s">
        <v>159</v>
      </c>
      <c r="W932" t="s">
        <v>2085</v>
      </c>
      <c r="X932" t="s">
        <v>2100</v>
      </c>
      <c r="Y932">
        <v>16</v>
      </c>
      <c r="Z932">
        <v>2485.4</v>
      </c>
      <c r="AA932">
        <v>162.63999999999999</v>
      </c>
      <c r="AB932" t="s">
        <v>90</v>
      </c>
      <c r="AC932" t="s">
        <v>16</v>
      </c>
      <c r="AD932" t="s">
        <v>2106</v>
      </c>
      <c r="AE932" t="s">
        <v>2109</v>
      </c>
    </row>
    <row r="933" spans="1:31">
      <c r="A933" t="s">
        <v>1952</v>
      </c>
      <c r="B933" s="1">
        <v>44957</v>
      </c>
      <c r="C933" t="s">
        <v>240</v>
      </c>
      <c r="D933">
        <v>2023</v>
      </c>
      <c r="E933" t="s">
        <v>162</v>
      </c>
      <c r="F933" t="s">
        <v>1953</v>
      </c>
      <c r="G933" t="s">
        <v>25</v>
      </c>
      <c r="H933" t="s">
        <v>26</v>
      </c>
      <c r="I933" t="s">
        <v>14</v>
      </c>
      <c r="J933" t="s">
        <v>27</v>
      </c>
      <c r="K933" t="s">
        <v>178</v>
      </c>
      <c r="L933" t="s">
        <v>157</v>
      </c>
      <c r="M933">
        <v>1</v>
      </c>
      <c r="N933">
        <v>18.39</v>
      </c>
      <c r="O933">
        <v>18.39</v>
      </c>
      <c r="P933">
        <v>10</v>
      </c>
      <c r="Q933">
        <v>1.84</v>
      </c>
      <c r="R933">
        <v>16.55</v>
      </c>
      <c r="S933">
        <v>8.26</v>
      </c>
      <c r="T933">
        <v>8.2899999999999991</v>
      </c>
      <c r="U933" t="s">
        <v>180</v>
      </c>
      <c r="V933" t="s">
        <v>159</v>
      </c>
      <c r="W933" t="s">
        <v>2090</v>
      </c>
      <c r="X933" t="s">
        <v>2111</v>
      </c>
      <c r="Y933">
        <v>110</v>
      </c>
      <c r="Z933">
        <v>390.06</v>
      </c>
      <c r="AA933">
        <v>102.52</v>
      </c>
      <c r="AB933" t="s">
        <v>90</v>
      </c>
      <c r="AC933" t="s">
        <v>16</v>
      </c>
      <c r="AD933" t="s">
        <v>2095</v>
      </c>
      <c r="AE933" t="s">
        <v>2096</v>
      </c>
    </row>
    <row r="934" spans="1:31">
      <c r="A934" t="s">
        <v>2069</v>
      </c>
      <c r="B934" s="1">
        <v>44957</v>
      </c>
      <c r="C934" t="s">
        <v>240</v>
      </c>
      <c r="D934">
        <v>2023</v>
      </c>
      <c r="E934" t="s">
        <v>162</v>
      </c>
      <c r="F934" t="s">
        <v>2070</v>
      </c>
      <c r="G934" t="s">
        <v>95</v>
      </c>
      <c r="H934" t="s">
        <v>96</v>
      </c>
      <c r="I934" t="s">
        <v>90</v>
      </c>
      <c r="J934" t="s">
        <v>97</v>
      </c>
      <c r="K934" t="s">
        <v>178</v>
      </c>
      <c r="L934" t="s">
        <v>194</v>
      </c>
      <c r="M934">
        <v>1</v>
      </c>
      <c r="N934">
        <v>177.41</v>
      </c>
      <c r="O934">
        <v>177.41</v>
      </c>
      <c r="P934">
        <v>15</v>
      </c>
      <c r="Q934">
        <v>26.61</v>
      </c>
      <c r="R934">
        <v>150.80000000000001</v>
      </c>
      <c r="S934">
        <v>74.989999999999995</v>
      </c>
      <c r="T934">
        <v>75.81</v>
      </c>
      <c r="U934" t="s">
        <v>166</v>
      </c>
      <c r="V934" t="s">
        <v>159</v>
      </c>
      <c r="W934" t="s">
        <v>2093</v>
      </c>
      <c r="X934" t="s">
        <v>2094</v>
      </c>
      <c r="Y934">
        <v>360</v>
      </c>
      <c r="Z934">
        <v>124.24</v>
      </c>
      <c r="AA934">
        <v>36.81</v>
      </c>
      <c r="AB934" t="s">
        <v>115</v>
      </c>
      <c r="AC934" t="s">
        <v>20</v>
      </c>
      <c r="AD934" t="s">
        <v>2087</v>
      </c>
      <c r="AE934" t="s">
        <v>2088</v>
      </c>
    </row>
    <row r="935" spans="1:31">
      <c r="A935" t="s">
        <v>413</v>
      </c>
      <c r="B935" s="1">
        <v>44955</v>
      </c>
      <c r="C935" t="s">
        <v>240</v>
      </c>
      <c r="D935">
        <v>2023</v>
      </c>
      <c r="E935" t="s">
        <v>162</v>
      </c>
      <c r="F935" t="s">
        <v>414</v>
      </c>
      <c r="G935" t="s">
        <v>50</v>
      </c>
      <c r="H935" t="s">
        <v>51</v>
      </c>
      <c r="I935" t="s">
        <v>41</v>
      </c>
      <c r="J935" t="s">
        <v>52</v>
      </c>
      <c r="K935" t="s">
        <v>156</v>
      </c>
      <c r="L935" t="s">
        <v>194</v>
      </c>
      <c r="M935">
        <v>4</v>
      </c>
      <c r="N935">
        <v>143.80000000000001</v>
      </c>
      <c r="O935">
        <v>575.20000000000005</v>
      </c>
      <c r="P935">
        <v>10</v>
      </c>
      <c r="Q935">
        <v>57.52</v>
      </c>
      <c r="R935">
        <v>517.67999999999995</v>
      </c>
      <c r="S935">
        <v>248.6</v>
      </c>
      <c r="T935">
        <v>269.08</v>
      </c>
      <c r="U935" t="s">
        <v>190</v>
      </c>
      <c r="V935" t="s">
        <v>159</v>
      </c>
      <c r="W935" t="s">
        <v>2085</v>
      </c>
      <c r="X935" t="s">
        <v>2091</v>
      </c>
      <c r="Y935">
        <v>74</v>
      </c>
      <c r="Z935">
        <v>1082.1400000000001</v>
      </c>
      <c r="AA935">
        <v>113.01</v>
      </c>
      <c r="AB935" t="s">
        <v>115</v>
      </c>
      <c r="AC935" t="s">
        <v>20</v>
      </c>
      <c r="AD935" t="s">
        <v>2087</v>
      </c>
      <c r="AE935" t="s">
        <v>2096</v>
      </c>
    </row>
    <row r="936" spans="1:31">
      <c r="A936" t="s">
        <v>322</v>
      </c>
      <c r="B936" s="1">
        <v>44955</v>
      </c>
      <c r="C936" t="s">
        <v>240</v>
      </c>
      <c r="D936">
        <v>2023</v>
      </c>
      <c r="E936" t="s">
        <v>162</v>
      </c>
      <c r="F936" t="s">
        <v>323</v>
      </c>
      <c r="G936" t="s">
        <v>17</v>
      </c>
      <c r="H936" t="s">
        <v>18</v>
      </c>
      <c r="I936" t="s">
        <v>14</v>
      </c>
      <c r="J936" t="s">
        <v>19</v>
      </c>
      <c r="K936" t="s">
        <v>178</v>
      </c>
      <c r="L936" t="s">
        <v>194</v>
      </c>
      <c r="M936">
        <v>1</v>
      </c>
      <c r="N936">
        <v>53.26</v>
      </c>
      <c r="O936">
        <v>53.26</v>
      </c>
      <c r="P936">
        <v>0</v>
      </c>
      <c r="Q936">
        <v>0</v>
      </c>
      <c r="R936">
        <v>53.26</v>
      </c>
      <c r="S936">
        <v>36.64</v>
      </c>
      <c r="T936">
        <v>16.62</v>
      </c>
      <c r="U936" t="s">
        <v>180</v>
      </c>
      <c r="V936" t="s">
        <v>159</v>
      </c>
      <c r="W936" t="s">
        <v>2097</v>
      </c>
      <c r="X936" t="s">
        <v>2091</v>
      </c>
      <c r="Y936">
        <v>312</v>
      </c>
      <c r="Z936">
        <v>497.52</v>
      </c>
      <c r="AA936">
        <v>75.27</v>
      </c>
      <c r="AB936" t="s">
        <v>14</v>
      </c>
      <c r="AC936" t="s">
        <v>20</v>
      </c>
      <c r="AD936" t="s">
        <v>2106</v>
      </c>
      <c r="AE936" t="s">
        <v>2107</v>
      </c>
    </row>
    <row r="937" spans="1:31">
      <c r="A937" t="s">
        <v>290</v>
      </c>
      <c r="B937" s="1">
        <v>44954</v>
      </c>
      <c r="C937" t="s">
        <v>240</v>
      </c>
      <c r="D937">
        <v>2023</v>
      </c>
      <c r="E937" t="s">
        <v>162</v>
      </c>
      <c r="F937" t="s">
        <v>291</v>
      </c>
      <c r="G937" t="s">
        <v>12</v>
      </c>
      <c r="H937" t="s">
        <v>13</v>
      </c>
      <c r="I937" t="s">
        <v>14</v>
      </c>
      <c r="J937" t="s">
        <v>15</v>
      </c>
      <c r="K937" t="s">
        <v>178</v>
      </c>
      <c r="L937" t="s">
        <v>232</v>
      </c>
      <c r="M937">
        <v>4</v>
      </c>
      <c r="N937">
        <v>76.53</v>
      </c>
      <c r="O937">
        <v>306.12</v>
      </c>
      <c r="P937">
        <v>5</v>
      </c>
      <c r="Q937">
        <v>15.31</v>
      </c>
      <c r="R937">
        <v>290.81</v>
      </c>
      <c r="S937">
        <v>211.84</v>
      </c>
      <c r="T937">
        <v>78.97</v>
      </c>
      <c r="U937" t="s">
        <v>180</v>
      </c>
      <c r="V937" t="s">
        <v>186</v>
      </c>
      <c r="W937" t="s">
        <v>2093</v>
      </c>
      <c r="X937" t="s">
        <v>2100</v>
      </c>
      <c r="Y937">
        <v>121</v>
      </c>
      <c r="Z937">
        <v>106.39</v>
      </c>
      <c r="AA937">
        <v>61.31</v>
      </c>
      <c r="AB937" t="s">
        <v>66</v>
      </c>
      <c r="AC937" t="s">
        <v>16</v>
      </c>
      <c r="AD937" t="s">
        <v>2087</v>
      </c>
      <c r="AE937" t="s">
        <v>2107</v>
      </c>
    </row>
    <row r="938" spans="1:31">
      <c r="A938" t="s">
        <v>1169</v>
      </c>
      <c r="B938" s="1">
        <v>44954</v>
      </c>
      <c r="C938" t="s">
        <v>240</v>
      </c>
      <c r="D938">
        <v>2023</v>
      </c>
      <c r="E938" t="s">
        <v>162</v>
      </c>
      <c r="F938" t="s">
        <v>1170</v>
      </c>
      <c r="G938" t="s">
        <v>21</v>
      </c>
      <c r="H938" t="s">
        <v>22</v>
      </c>
      <c r="I938" t="s">
        <v>14</v>
      </c>
      <c r="J938" t="s">
        <v>15</v>
      </c>
      <c r="K938" t="s">
        <v>178</v>
      </c>
      <c r="L938" t="s">
        <v>232</v>
      </c>
      <c r="M938">
        <v>1</v>
      </c>
      <c r="N938">
        <v>65.430000000000007</v>
      </c>
      <c r="O938">
        <v>65.430000000000007</v>
      </c>
      <c r="P938">
        <v>0</v>
      </c>
      <c r="Q938">
        <v>0</v>
      </c>
      <c r="R938">
        <v>65.430000000000007</v>
      </c>
      <c r="S938">
        <v>38.69</v>
      </c>
      <c r="T938">
        <v>26.74</v>
      </c>
      <c r="U938" t="s">
        <v>158</v>
      </c>
      <c r="V938" t="s">
        <v>181</v>
      </c>
      <c r="W938" t="s">
        <v>2085</v>
      </c>
      <c r="X938" t="s">
        <v>2100</v>
      </c>
      <c r="Y938">
        <v>270</v>
      </c>
      <c r="Z938">
        <v>2650.47</v>
      </c>
      <c r="AA938">
        <v>260.73</v>
      </c>
      <c r="AB938" t="s">
        <v>90</v>
      </c>
      <c r="AC938" t="s">
        <v>20</v>
      </c>
      <c r="AD938" t="s">
        <v>2087</v>
      </c>
      <c r="AE938" t="s">
        <v>2107</v>
      </c>
    </row>
    <row r="939" spans="1:31">
      <c r="A939" t="s">
        <v>1616</v>
      </c>
      <c r="B939" s="1">
        <v>44954</v>
      </c>
      <c r="C939" t="s">
        <v>240</v>
      </c>
      <c r="D939">
        <v>2023</v>
      </c>
      <c r="E939" t="s">
        <v>162</v>
      </c>
      <c r="F939" t="s">
        <v>1495</v>
      </c>
      <c r="G939" t="s">
        <v>107</v>
      </c>
      <c r="H939" t="s">
        <v>108</v>
      </c>
      <c r="I939" t="s">
        <v>90</v>
      </c>
      <c r="J939" t="s">
        <v>100</v>
      </c>
      <c r="K939" t="s">
        <v>178</v>
      </c>
      <c r="L939" t="s">
        <v>232</v>
      </c>
      <c r="M939">
        <v>3</v>
      </c>
      <c r="N939">
        <v>26.61</v>
      </c>
      <c r="O939">
        <v>79.83</v>
      </c>
      <c r="P939">
        <v>10</v>
      </c>
      <c r="Q939">
        <v>7.98</v>
      </c>
      <c r="R939">
        <v>71.849999999999994</v>
      </c>
      <c r="S939">
        <v>31.92</v>
      </c>
      <c r="T939">
        <v>39.93</v>
      </c>
      <c r="U939" t="s">
        <v>158</v>
      </c>
      <c r="V939" t="s">
        <v>186</v>
      </c>
      <c r="W939" t="s">
        <v>2097</v>
      </c>
      <c r="X939" t="s">
        <v>2086</v>
      </c>
      <c r="Y939">
        <v>350</v>
      </c>
      <c r="Z939">
        <v>435.65</v>
      </c>
      <c r="AA939">
        <v>116.94</v>
      </c>
      <c r="AB939" t="s">
        <v>14</v>
      </c>
      <c r="AC939" t="s">
        <v>20</v>
      </c>
      <c r="AD939" t="s">
        <v>2095</v>
      </c>
      <c r="AE939" t="s">
        <v>2109</v>
      </c>
    </row>
    <row r="940" spans="1:31">
      <c r="A940" t="s">
        <v>1848</v>
      </c>
      <c r="B940" s="1">
        <v>44954</v>
      </c>
      <c r="C940" t="s">
        <v>240</v>
      </c>
      <c r="D940">
        <v>2023</v>
      </c>
      <c r="E940" t="s">
        <v>162</v>
      </c>
      <c r="F940" t="s">
        <v>1849</v>
      </c>
      <c r="G940" t="s">
        <v>17</v>
      </c>
      <c r="H940" t="s">
        <v>18</v>
      </c>
      <c r="I940" t="s">
        <v>14</v>
      </c>
      <c r="J940" t="s">
        <v>19</v>
      </c>
      <c r="K940" t="s">
        <v>209</v>
      </c>
      <c r="L940" t="s">
        <v>204</v>
      </c>
      <c r="M940">
        <v>1</v>
      </c>
      <c r="N940">
        <v>53.26</v>
      </c>
      <c r="O940">
        <v>53.26</v>
      </c>
      <c r="P940">
        <v>15</v>
      </c>
      <c r="Q940">
        <v>7.99</v>
      </c>
      <c r="R940">
        <v>45.27</v>
      </c>
      <c r="S940">
        <v>36.64</v>
      </c>
      <c r="T940">
        <v>8.6300000000000008</v>
      </c>
      <c r="U940" t="s">
        <v>158</v>
      </c>
      <c r="V940" t="s">
        <v>159</v>
      </c>
      <c r="W940" t="s">
        <v>2093</v>
      </c>
      <c r="X940" t="s">
        <v>2108</v>
      </c>
      <c r="Y940">
        <v>153</v>
      </c>
      <c r="Z940">
        <v>147.6</v>
      </c>
      <c r="AA940">
        <v>50.85</v>
      </c>
      <c r="AB940" t="s">
        <v>41</v>
      </c>
      <c r="AC940" t="s">
        <v>16</v>
      </c>
      <c r="AD940" t="s">
        <v>2106</v>
      </c>
      <c r="AE940" t="s">
        <v>2121</v>
      </c>
    </row>
    <row r="941" spans="1:31">
      <c r="A941" t="s">
        <v>1926</v>
      </c>
      <c r="B941" s="1">
        <v>44953</v>
      </c>
      <c r="C941" t="s">
        <v>240</v>
      </c>
      <c r="D941">
        <v>2023</v>
      </c>
      <c r="E941" t="s">
        <v>162</v>
      </c>
      <c r="F941" t="s">
        <v>1174</v>
      </c>
      <c r="G941" t="s">
        <v>86</v>
      </c>
      <c r="H941" t="s">
        <v>87</v>
      </c>
      <c r="I941" t="s">
        <v>66</v>
      </c>
      <c r="J941" t="s">
        <v>67</v>
      </c>
      <c r="K941" t="s">
        <v>156</v>
      </c>
      <c r="L941" t="s">
        <v>165</v>
      </c>
      <c r="M941">
        <v>1</v>
      </c>
      <c r="N941">
        <v>124.77</v>
      </c>
      <c r="O941">
        <v>124.77</v>
      </c>
      <c r="P941">
        <v>20</v>
      </c>
      <c r="Q941">
        <v>24.95</v>
      </c>
      <c r="R941">
        <v>99.82</v>
      </c>
      <c r="S941">
        <v>69.64</v>
      </c>
      <c r="T941">
        <v>30.18</v>
      </c>
      <c r="U941" t="s">
        <v>180</v>
      </c>
      <c r="V941" t="s">
        <v>159</v>
      </c>
      <c r="W941" t="s">
        <v>2090</v>
      </c>
      <c r="X941" t="s">
        <v>2111</v>
      </c>
      <c r="Y941">
        <v>237</v>
      </c>
      <c r="Z941">
        <v>223.38</v>
      </c>
      <c r="AA941">
        <v>93.94</v>
      </c>
      <c r="AB941" t="s">
        <v>90</v>
      </c>
      <c r="AC941" t="s">
        <v>16</v>
      </c>
      <c r="AD941" t="s">
        <v>2106</v>
      </c>
      <c r="AE941" t="s">
        <v>2109</v>
      </c>
    </row>
    <row r="942" spans="1:31">
      <c r="A942" t="s">
        <v>1434</v>
      </c>
      <c r="B942" s="1">
        <v>44952</v>
      </c>
      <c r="C942" t="s">
        <v>240</v>
      </c>
      <c r="D942">
        <v>2023</v>
      </c>
      <c r="E942" t="s">
        <v>162</v>
      </c>
      <c r="F942" t="s">
        <v>1435</v>
      </c>
      <c r="G942" t="s">
        <v>28</v>
      </c>
      <c r="H942" t="s">
        <v>29</v>
      </c>
      <c r="I942" t="s">
        <v>14</v>
      </c>
      <c r="J942" t="s">
        <v>19</v>
      </c>
      <c r="K942" t="s">
        <v>164</v>
      </c>
      <c r="L942" t="s">
        <v>194</v>
      </c>
      <c r="M942">
        <v>4</v>
      </c>
      <c r="N942">
        <v>26.46</v>
      </c>
      <c r="O942">
        <v>105.84</v>
      </c>
      <c r="P942">
        <v>10</v>
      </c>
      <c r="Q942">
        <v>10.58</v>
      </c>
      <c r="R942">
        <v>95.26</v>
      </c>
      <c r="S942">
        <v>77.680000000000007</v>
      </c>
      <c r="T942">
        <v>17.579999999999998</v>
      </c>
      <c r="U942" t="s">
        <v>158</v>
      </c>
      <c r="V942" t="s">
        <v>186</v>
      </c>
      <c r="W942" t="s">
        <v>2090</v>
      </c>
      <c r="X942" t="s">
        <v>2100</v>
      </c>
      <c r="Y942">
        <v>301</v>
      </c>
      <c r="Z942">
        <v>305.83</v>
      </c>
      <c r="AA942">
        <v>77.59</v>
      </c>
      <c r="AB942" t="s">
        <v>41</v>
      </c>
      <c r="AC942" t="s">
        <v>20</v>
      </c>
      <c r="AD942" t="s">
        <v>2106</v>
      </c>
      <c r="AE942" t="s">
        <v>2107</v>
      </c>
    </row>
    <row r="943" spans="1:31">
      <c r="A943" t="s">
        <v>1013</v>
      </c>
      <c r="B943" s="1">
        <v>44952</v>
      </c>
      <c r="C943" t="s">
        <v>240</v>
      </c>
      <c r="D943">
        <v>2023</v>
      </c>
      <c r="E943" t="s">
        <v>162</v>
      </c>
      <c r="F943" t="s">
        <v>1014</v>
      </c>
      <c r="G943" t="s">
        <v>60</v>
      </c>
      <c r="H943" t="s">
        <v>61</v>
      </c>
      <c r="I943" t="s">
        <v>41</v>
      </c>
      <c r="J943" t="s">
        <v>59</v>
      </c>
      <c r="K943" t="s">
        <v>156</v>
      </c>
      <c r="L943" t="s">
        <v>179</v>
      </c>
      <c r="M943">
        <v>1</v>
      </c>
      <c r="N943">
        <v>103.56</v>
      </c>
      <c r="O943">
        <v>103.56</v>
      </c>
      <c r="P943">
        <v>5</v>
      </c>
      <c r="Q943">
        <v>5.18</v>
      </c>
      <c r="R943">
        <v>98.38</v>
      </c>
      <c r="S943">
        <v>44.58</v>
      </c>
      <c r="T943">
        <v>53.8</v>
      </c>
      <c r="U943" t="s">
        <v>190</v>
      </c>
      <c r="V943" t="s">
        <v>159</v>
      </c>
      <c r="W943" t="s">
        <v>2097</v>
      </c>
      <c r="X943" t="s">
        <v>2091</v>
      </c>
      <c r="Y943">
        <v>76</v>
      </c>
      <c r="Z943">
        <v>460.5</v>
      </c>
      <c r="AA943">
        <v>148.99</v>
      </c>
      <c r="AB943" t="s">
        <v>41</v>
      </c>
      <c r="AC943" t="s">
        <v>20</v>
      </c>
      <c r="AD943" t="s">
        <v>2087</v>
      </c>
      <c r="AE943" t="s">
        <v>2107</v>
      </c>
    </row>
    <row r="944" spans="1:31">
      <c r="A944" t="s">
        <v>2038</v>
      </c>
      <c r="B944" s="1">
        <v>44952</v>
      </c>
      <c r="C944" t="s">
        <v>240</v>
      </c>
      <c r="D944">
        <v>2023</v>
      </c>
      <c r="E944" t="s">
        <v>162</v>
      </c>
      <c r="F944" t="s">
        <v>2039</v>
      </c>
      <c r="G944" t="s">
        <v>120</v>
      </c>
      <c r="H944" t="s">
        <v>121</v>
      </c>
      <c r="I944" t="s">
        <v>115</v>
      </c>
      <c r="J944" t="s">
        <v>119</v>
      </c>
      <c r="K944" t="s">
        <v>164</v>
      </c>
      <c r="L944" t="s">
        <v>179</v>
      </c>
      <c r="M944">
        <v>1</v>
      </c>
      <c r="N944">
        <v>197.52</v>
      </c>
      <c r="O944">
        <v>197.52</v>
      </c>
      <c r="P944">
        <v>15</v>
      </c>
      <c r="Q944">
        <v>29.63</v>
      </c>
      <c r="R944">
        <v>167.89</v>
      </c>
      <c r="S944">
        <v>66.540000000000006</v>
      </c>
      <c r="T944">
        <v>101.35</v>
      </c>
      <c r="U944" t="s">
        <v>180</v>
      </c>
      <c r="V944" t="s">
        <v>159</v>
      </c>
      <c r="W944" t="s">
        <v>2085</v>
      </c>
      <c r="X944" t="s">
        <v>2091</v>
      </c>
      <c r="Y944">
        <v>260</v>
      </c>
      <c r="Z944">
        <v>1962.99</v>
      </c>
      <c r="AA944">
        <v>145.71</v>
      </c>
      <c r="AB944" t="s">
        <v>115</v>
      </c>
      <c r="AC944" t="s">
        <v>20</v>
      </c>
      <c r="AD944" t="s">
        <v>2106</v>
      </c>
      <c r="AE944" t="s">
        <v>2109</v>
      </c>
    </row>
    <row r="945" spans="1:31">
      <c r="A945" t="s">
        <v>1079</v>
      </c>
      <c r="B945" s="1">
        <v>44952</v>
      </c>
      <c r="C945" t="s">
        <v>240</v>
      </c>
      <c r="D945">
        <v>2023</v>
      </c>
      <c r="E945" t="s">
        <v>162</v>
      </c>
      <c r="F945" t="s">
        <v>1080</v>
      </c>
      <c r="G945" t="s">
        <v>60</v>
      </c>
      <c r="H945" t="s">
        <v>61</v>
      </c>
      <c r="I945" t="s">
        <v>41</v>
      </c>
      <c r="J945" t="s">
        <v>59</v>
      </c>
      <c r="K945" t="s">
        <v>156</v>
      </c>
      <c r="L945" t="s">
        <v>179</v>
      </c>
      <c r="M945">
        <v>3</v>
      </c>
      <c r="N945">
        <v>103.56</v>
      </c>
      <c r="O945">
        <v>310.68</v>
      </c>
      <c r="P945">
        <v>5</v>
      </c>
      <c r="Q945">
        <v>15.53</v>
      </c>
      <c r="R945">
        <v>295.14999999999998</v>
      </c>
      <c r="S945">
        <v>133.74</v>
      </c>
      <c r="T945">
        <v>161.41</v>
      </c>
      <c r="U945" t="s">
        <v>158</v>
      </c>
      <c r="V945" t="s">
        <v>159</v>
      </c>
      <c r="W945" t="s">
        <v>2085</v>
      </c>
      <c r="X945" t="s">
        <v>2111</v>
      </c>
      <c r="Y945">
        <v>232</v>
      </c>
      <c r="Z945">
        <v>2501.5</v>
      </c>
      <c r="AA945">
        <v>151.63999999999999</v>
      </c>
      <c r="AB945" t="s">
        <v>14</v>
      </c>
      <c r="AC945" t="s">
        <v>20</v>
      </c>
      <c r="AD945" t="s">
        <v>2106</v>
      </c>
      <c r="AE945" t="s">
        <v>2109</v>
      </c>
    </row>
    <row r="946" spans="1:31">
      <c r="A946" t="s">
        <v>601</v>
      </c>
      <c r="B946" s="1">
        <v>44952</v>
      </c>
      <c r="C946" t="s">
        <v>240</v>
      </c>
      <c r="D946">
        <v>2023</v>
      </c>
      <c r="E946" t="s">
        <v>162</v>
      </c>
      <c r="F946" t="s">
        <v>602</v>
      </c>
      <c r="G946" t="s">
        <v>131</v>
      </c>
      <c r="H946" t="s">
        <v>132</v>
      </c>
      <c r="I946" t="s">
        <v>115</v>
      </c>
      <c r="J946" t="s">
        <v>119</v>
      </c>
      <c r="K946" t="s">
        <v>156</v>
      </c>
      <c r="L946" t="s">
        <v>165</v>
      </c>
      <c r="M946">
        <v>2</v>
      </c>
      <c r="N946">
        <v>75.69</v>
      </c>
      <c r="O946">
        <v>151.38</v>
      </c>
      <c r="P946">
        <v>0</v>
      </c>
      <c r="Q946">
        <v>0</v>
      </c>
      <c r="R946">
        <v>151.38</v>
      </c>
      <c r="S946">
        <v>71.260000000000005</v>
      </c>
      <c r="T946">
        <v>80.12</v>
      </c>
      <c r="U946" t="s">
        <v>190</v>
      </c>
      <c r="V946" t="s">
        <v>159</v>
      </c>
      <c r="W946" t="s">
        <v>2093</v>
      </c>
      <c r="X946" t="s">
        <v>2108</v>
      </c>
      <c r="Y946">
        <v>162</v>
      </c>
      <c r="Z946">
        <v>108.78</v>
      </c>
      <c r="AA946">
        <v>29.01</v>
      </c>
      <c r="AB946" t="s">
        <v>115</v>
      </c>
      <c r="AC946" t="s">
        <v>16</v>
      </c>
      <c r="AD946" t="s">
        <v>2087</v>
      </c>
      <c r="AE946" t="s">
        <v>2088</v>
      </c>
    </row>
    <row r="947" spans="1:31">
      <c r="A947" t="s">
        <v>255</v>
      </c>
      <c r="B947" s="1">
        <v>44950</v>
      </c>
      <c r="C947" t="s">
        <v>240</v>
      </c>
      <c r="D947">
        <v>2023</v>
      </c>
      <c r="E947" t="s">
        <v>162</v>
      </c>
      <c r="F947" t="s">
        <v>256</v>
      </c>
      <c r="G947" t="s">
        <v>12</v>
      </c>
      <c r="H947" t="s">
        <v>13</v>
      </c>
      <c r="I947" t="s">
        <v>14</v>
      </c>
      <c r="J947" t="s">
        <v>15</v>
      </c>
      <c r="K947" t="s">
        <v>209</v>
      </c>
      <c r="L947" t="s">
        <v>232</v>
      </c>
      <c r="M947">
        <v>2</v>
      </c>
      <c r="N947">
        <v>76.53</v>
      </c>
      <c r="O947">
        <v>153.06</v>
      </c>
      <c r="P947">
        <v>0</v>
      </c>
      <c r="Q947">
        <v>0</v>
      </c>
      <c r="R947">
        <v>153.06</v>
      </c>
      <c r="S947">
        <v>105.92</v>
      </c>
      <c r="T947">
        <v>47.14</v>
      </c>
      <c r="U947" t="s">
        <v>195</v>
      </c>
      <c r="V947" t="s">
        <v>159</v>
      </c>
      <c r="W947" t="s">
        <v>2093</v>
      </c>
      <c r="X947" t="s">
        <v>2094</v>
      </c>
      <c r="Y947">
        <v>7</v>
      </c>
      <c r="Z947">
        <v>95.03</v>
      </c>
      <c r="AA947">
        <v>24.69</v>
      </c>
      <c r="AB947" t="s">
        <v>90</v>
      </c>
      <c r="AC947" t="s">
        <v>16</v>
      </c>
      <c r="AD947" t="s">
        <v>2087</v>
      </c>
      <c r="AE947" t="s">
        <v>2121</v>
      </c>
    </row>
    <row r="948" spans="1:31">
      <c r="A948" t="s">
        <v>1866</v>
      </c>
      <c r="B948" s="1">
        <v>44950</v>
      </c>
      <c r="C948" t="s">
        <v>240</v>
      </c>
      <c r="D948">
        <v>2023</v>
      </c>
      <c r="E948" t="s">
        <v>162</v>
      </c>
      <c r="F948" t="s">
        <v>1867</v>
      </c>
      <c r="G948" t="s">
        <v>23</v>
      </c>
      <c r="H948" t="s">
        <v>24</v>
      </c>
      <c r="I948" t="s">
        <v>14</v>
      </c>
      <c r="J948" t="s">
        <v>19</v>
      </c>
      <c r="K948" t="s">
        <v>178</v>
      </c>
      <c r="L948" t="s">
        <v>194</v>
      </c>
      <c r="M948">
        <v>1</v>
      </c>
      <c r="N948">
        <v>154.03</v>
      </c>
      <c r="O948">
        <v>154.03</v>
      </c>
      <c r="P948">
        <v>10</v>
      </c>
      <c r="Q948">
        <v>15.4</v>
      </c>
      <c r="R948">
        <v>138.63</v>
      </c>
      <c r="S948">
        <v>76.790000000000006</v>
      </c>
      <c r="T948">
        <v>61.84</v>
      </c>
      <c r="U948" t="s">
        <v>166</v>
      </c>
      <c r="V948" t="s">
        <v>159</v>
      </c>
      <c r="W948" t="s">
        <v>2113</v>
      </c>
      <c r="X948" t="s">
        <v>2111</v>
      </c>
      <c r="Y948">
        <v>137</v>
      </c>
      <c r="Z948">
        <v>276.19</v>
      </c>
      <c r="AA948">
        <v>78.28</v>
      </c>
      <c r="AB948" t="s">
        <v>66</v>
      </c>
      <c r="AC948" t="s">
        <v>16</v>
      </c>
      <c r="AD948" t="s">
        <v>2106</v>
      </c>
      <c r="AE948" t="s">
        <v>2107</v>
      </c>
    </row>
    <row r="949" spans="1:31">
      <c r="A949" t="s">
        <v>378</v>
      </c>
      <c r="B949" s="1">
        <v>44949</v>
      </c>
      <c r="C949" t="s">
        <v>240</v>
      </c>
      <c r="D949">
        <v>2023</v>
      </c>
      <c r="E949" t="s">
        <v>162</v>
      </c>
      <c r="F949" t="s">
        <v>379</v>
      </c>
      <c r="G949" t="s">
        <v>84</v>
      </c>
      <c r="H949" t="s">
        <v>85</v>
      </c>
      <c r="I949" t="s">
        <v>66</v>
      </c>
      <c r="J949" t="s">
        <v>67</v>
      </c>
      <c r="K949" t="s">
        <v>178</v>
      </c>
      <c r="L949" t="s">
        <v>204</v>
      </c>
      <c r="M949">
        <v>2</v>
      </c>
      <c r="N949">
        <v>174.23</v>
      </c>
      <c r="O949">
        <v>348.46</v>
      </c>
      <c r="P949">
        <v>10</v>
      </c>
      <c r="Q949">
        <v>34.85</v>
      </c>
      <c r="R949">
        <v>313.61</v>
      </c>
      <c r="S949">
        <v>147.9</v>
      </c>
      <c r="T949">
        <v>165.71</v>
      </c>
      <c r="U949" t="s">
        <v>158</v>
      </c>
      <c r="V949" t="s">
        <v>159</v>
      </c>
      <c r="W949" t="s">
        <v>2090</v>
      </c>
      <c r="X949" t="s">
        <v>2108</v>
      </c>
      <c r="Y949">
        <v>217</v>
      </c>
      <c r="Z949">
        <v>258.83</v>
      </c>
      <c r="AA949">
        <v>77.44</v>
      </c>
      <c r="AB949" t="s">
        <v>14</v>
      </c>
      <c r="AC949" t="s">
        <v>16</v>
      </c>
      <c r="AD949" t="s">
        <v>2095</v>
      </c>
      <c r="AE949" t="s">
        <v>2088</v>
      </c>
    </row>
    <row r="950" spans="1:31">
      <c r="A950" t="s">
        <v>1977</v>
      </c>
      <c r="B950" s="1">
        <v>44949</v>
      </c>
      <c r="C950" t="s">
        <v>240</v>
      </c>
      <c r="D950">
        <v>2023</v>
      </c>
      <c r="E950" t="s">
        <v>162</v>
      </c>
      <c r="F950" t="s">
        <v>1268</v>
      </c>
      <c r="G950" t="s">
        <v>120</v>
      </c>
      <c r="H950" t="s">
        <v>121</v>
      </c>
      <c r="I950" t="s">
        <v>115</v>
      </c>
      <c r="J950" t="s">
        <v>119</v>
      </c>
      <c r="K950" t="s">
        <v>164</v>
      </c>
      <c r="L950" t="s">
        <v>194</v>
      </c>
      <c r="M950">
        <v>1</v>
      </c>
      <c r="N950">
        <v>197.52</v>
      </c>
      <c r="O950">
        <v>197.52</v>
      </c>
      <c r="P950">
        <v>0</v>
      </c>
      <c r="Q950">
        <v>0</v>
      </c>
      <c r="R950">
        <v>197.52</v>
      </c>
      <c r="S950">
        <v>66.540000000000006</v>
      </c>
      <c r="T950">
        <v>130.97999999999999</v>
      </c>
      <c r="U950" t="s">
        <v>166</v>
      </c>
      <c r="V950" t="s">
        <v>159</v>
      </c>
      <c r="W950" t="s">
        <v>2099</v>
      </c>
      <c r="X950" t="s">
        <v>2100</v>
      </c>
      <c r="Y950">
        <v>338</v>
      </c>
      <c r="Z950">
        <v>100.68</v>
      </c>
      <c r="AA950">
        <v>96.62</v>
      </c>
      <c r="AB950" t="s">
        <v>90</v>
      </c>
      <c r="AC950" t="s">
        <v>16</v>
      </c>
      <c r="AD950" t="s">
        <v>2106</v>
      </c>
      <c r="AE950" t="s">
        <v>2121</v>
      </c>
    </row>
    <row r="951" spans="1:31">
      <c r="A951" t="s">
        <v>1675</v>
      </c>
      <c r="B951" s="1">
        <v>44948</v>
      </c>
      <c r="C951" t="s">
        <v>240</v>
      </c>
      <c r="D951">
        <v>2023</v>
      </c>
      <c r="E951" t="s">
        <v>162</v>
      </c>
      <c r="F951" t="s">
        <v>1676</v>
      </c>
      <c r="G951" t="s">
        <v>23</v>
      </c>
      <c r="H951" t="s">
        <v>24</v>
      </c>
      <c r="I951" t="s">
        <v>14</v>
      </c>
      <c r="J951" t="s">
        <v>19</v>
      </c>
      <c r="K951" t="s">
        <v>209</v>
      </c>
      <c r="L951" t="s">
        <v>157</v>
      </c>
      <c r="M951">
        <v>3</v>
      </c>
      <c r="N951">
        <v>154.03</v>
      </c>
      <c r="O951">
        <v>462.09000000000003</v>
      </c>
      <c r="P951">
        <v>20</v>
      </c>
      <c r="Q951">
        <v>92.42</v>
      </c>
      <c r="R951">
        <v>369.67</v>
      </c>
      <c r="S951">
        <v>230.37</v>
      </c>
      <c r="T951">
        <v>139.30000000000001</v>
      </c>
      <c r="U951" t="s">
        <v>166</v>
      </c>
      <c r="V951" t="s">
        <v>186</v>
      </c>
      <c r="W951" t="s">
        <v>2113</v>
      </c>
      <c r="X951" t="s">
        <v>2094</v>
      </c>
      <c r="Y951">
        <v>196</v>
      </c>
      <c r="Z951">
        <v>327.18</v>
      </c>
      <c r="AA951">
        <v>36.299999999999997</v>
      </c>
      <c r="AB951" t="s">
        <v>41</v>
      </c>
      <c r="AC951" t="s">
        <v>16</v>
      </c>
      <c r="AD951" t="s">
        <v>2106</v>
      </c>
      <c r="AE951" t="s">
        <v>2088</v>
      </c>
    </row>
    <row r="952" spans="1:31">
      <c r="A952" t="s">
        <v>1400</v>
      </c>
      <c r="B952" s="1">
        <v>44947</v>
      </c>
      <c r="C952" t="s">
        <v>240</v>
      </c>
      <c r="D952">
        <v>2023</v>
      </c>
      <c r="E952" t="s">
        <v>162</v>
      </c>
      <c r="F952" t="s">
        <v>552</v>
      </c>
      <c r="G952" t="s">
        <v>111</v>
      </c>
      <c r="H952" t="s">
        <v>112</v>
      </c>
      <c r="I952" t="s">
        <v>90</v>
      </c>
      <c r="J952" t="s">
        <v>97</v>
      </c>
      <c r="K952" t="s">
        <v>209</v>
      </c>
      <c r="L952" t="s">
        <v>179</v>
      </c>
      <c r="M952">
        <v>3</v>
      </c>
      <c r="N952">
        <v>189.99</v>
      </c>
      <c r="O952">
        <v>569.97</v>
      </c>
      <c r="P952">
        <v>10</v>
      </c>
      <c r="Q952">
        <v>57</v>
      </c>
      <c r="R952">
        <v>512.97</v>
      </c>
      <c r="S952">
        <v>190.53</v>
      </c>
      <c r="T952">
        <v>322.44</v>
      </c>
      <c r="U952" t="s">
        <v>195</v>
      </c>
      <c r="V952" t="s">
        <v>159</v>
      </c>
      <c r="W952" t="s">
        <v>2097</v>
      </c>
      <c r="X952" t="s">
        <v>2091</v>
      </c>
      <c r="Y952">
        <v>223</v>
      </c>
      <c r="Z952">
        <v>599.54</v>
      </c>
      <c r="AA952">
        <v>91.19</v>
      </c>
      <c r="AB952" t="s">
        <v>66</v>
      </c>
      <c r="AC952" t="s">
        <v>16</v>
      </c>
      <c r="AD952" t="s">
        <v>2106</v>
      </c>
      <c r="AE952" t="s">
        <v>2109</v>
      </c>
    </row>
    <row r="953" spans="1:31">
      <c r="A953" t="s">
        <v>1724</v>
      </c>
      <c r="B953" s="1">
        <v>44947</v>
      </c>
      <c r="C953" t="s">
        <v>240</v>
      </c>
      <c r="D953">
        <v>2023</v>
      </c>
      <c r="E953" t="s">
        <v>162</v>
      </c>
      <c r="F953" t="s">
        <v>1039</v>
      </c>
      <c r="G953" t="s">
        <v>12</v>
      </c>
      <c r="H953" t="s">
        <v>13</v>
      </c>
      <c r="I953" t="s">
        <v>14</v>
      </c>
      <c r="J953" t="s">
        <v>15</v>
      </c>
      <c r="K953" t="s">
        <v>209</v>
      </c>
      <c r="L953" t="s">
        <v>204</v>
      </c>
      <c r="M953">
        <v>4</v>
      </c>
      <c r="N953">
        <v>76.53</v>
      </c>
      <c r="O953">
        <v>306.12</v>
      </c>
      <c r="P953">
        <v>0</v>
      </c>
      <c r="Q953">
        <v>0</v>
      </c>
      <c r="R953">
        <v>306.12</v>
      </c>
      <c r="S953">
        <v>211.84</v>
      </c>
      <c r="T953">
        <v>94.28</v>
      </c>
      <c r="U953" t="s">
        <v>166</v>
      </c>
      <c r="V953" t="s">
        <v>186</v>
      </c>
      <c r="W953" t="s">
        <v>2113</v>
      </c>
      <c r="X953" t="s">
        <v>2091</v>
      </c>
      <c r="Y953">
        <v>147</v>
      </c>
      <c r="Z953">
        <v>405.69</v>
      </c>
      <c r="AA953">
        <v>52.03</v>
      </c>
      <c r="AB953" t="s">
        <v>14</v>
      </c>
      <c r="AC953" t="s">
        <v>16</v>
      </c>
      <c r="AD953" t="s">
        <v>2106</v>
      </c>
      <c r="AE953" t="s">
        <v>2088</v>
      </c>
    </row>
    <row r="954" spans="1:31">
      <c r="A954" t="s">
        <v>1490</v>
      </c>
      <c r="B954" s="1">
        <v>44947</v>
      </c>
      <c r="C954" t="s">
        <v>240</v>
      </c>
      <c r="D954">
        <v>2023</v>
      </c>
      <c r="E954" t="s">
        <v>162</v>
      </c>
      <c r="F954" t="s">
        <v>1491</v>
      </c>
      <c r="G954" t="s">
        <v>98</v>
      </c>
      <c r="H954" t="s">
        <v>99</v>
      </c>
      <c r="I954" t="s">
        <v>90</v>
      </c>
      <c r="J954" t="s">
        <v>100</v>
      </c>
      <c r="K954" t="s">
        <v>164</v>
      </c>
      <c r="L954" t="s">
        <v>232</v>
      </c>
      <c r="M954">
        <v>4</v>
      </c>
      <c r="N954">
        <v>194.87</v>
      </c>
      <c r="O954">
        <v>779.48</v>
      </c>
      <c r="P954">
        <v>15</v>
      </c>
      <c r="Q954">
        <v>116.92</v>
      </c>
      <c r="R954">
        <v>662.56</v>
      </c>
      <c r="S954">
        <v>315.16000000000003</v>
      </c>
      <c r="T954">
        <v>347.4</v>
      </c>
      <c r="U954" t="s">
        <v>158</v>
      </c>
      <c r="V954" t="s">
        <v>159</v>
      </c>
      <c r="W954" t="s">
        <v>2097</v>
      </c>
      <c r="X954" t="s">
        <v>2094</v>
      </c>
      <c r="Y954">
        <v>158</v>
      </c>
      <c r="Z954">
        <v>290.07</v>
      </c>
      <c r="AA954">
        <v>53.06</v>
      </c>
      <c r="AB954" t="s">
        <v>115</v>
      </c>
      <c r="AC954" t="s">
        <v>16</v>
      </c>
      <c r="AD954" t="s">
        <v>2087</v>
      </c>
      <c r="AE954" t="s">
        <v>2088</v>
      </c>
    </row>
    <row r="955" spans="1:31">
      <c r="A955" t="s">
        <v>1146</v>
      </c>
      <c r="B955" s="1">
        <v>44947</v>
      </c>
      <c r="C955" t="s">
        <v>240</v>
      </c>
      <c r="D955">
        <v>2023</v>
      </c>
      <c r="E955" t="s">
        <v>162</v>
      </c>
      <c r="F955" t="s">
        <v>1147</v>
      </c>
      <c r="G955" t="s">
        <v>43</v>
      </c>
      <c r="H955" t="s">
        <v>44</v>
      </c>
      <c r="I955" t="s">
        <v>41</v>
      </c>
      <c r="J955" t="s">
        <v>45</v>
      </c>
      <c r="K955" t="s">
        <v>178</v>
      </c>
      <c r="L955" t="s">
        <v>232</v>
      </c>
      <c r="M955">
        <v>1</v>
      </c>
      <c r="N955">
        <v>67.56</v>
      </c>
      <c r="O955">
        <v>67.56</v>
      </c>
      <c r="P955">
        <v>5</v>
      </c>
      <c r="Q955">
        <v>3.38</v>
      </c>
      <c r="R955">
        <v>64.180000000000007</v>
      </c>
      <c r="S955">
        <v>43.21</v>
      </c>
      <c r="T955">
        <v>20.97</v>
      </c>
      <c r="U955" t="s">
        <v>195</v>
      </c>
      <c r="V955" t="s">
        <v>159</v>
      </c>
      <c r="W955" t="s">
        <v>2099</v>
      </c>
      <c r="X955" t="s">
        <v>2100</v>
      </c>
      <c r="Y955">
        <v>269</v>
      </c>
      <c r="Z955">
        <v>39.4</v>
      </c>
      <c r="AA955">
        <v>34.49</v>
      </c>
      <c r="AB955" t="s">
        <v>115</v>
      </c>
      <c r="AC955" t="s">
        <v>16</v>
      </c>
      <c r="AD955" t="s">
        <v>2095</v>
      </c>
      <c r="AE955" t="s">
        <v>2096</v>
      </c>
    </row>
    <row r="956" spans="1:31">
      <c r="A956" t="s">
        <v>1419</v>
      </c>
      <c r="B956" s="1">
        <v>44946</v>
      </c>
      <c r="C956" t="s">
        <v>240</v>
      </c>
      <c r="D956">
        <v>2023</v>
      </c>
      <c r="E956" t="s">
        <v>162</v>
      </c>
      <c r="F956" t="s">
        <v>1420</v>
      </c>
      <c r="G956" t="s">
        <v>105</v>
      </c>
      <c r="H956" t="s">
        <v>106</v>
      </c>
      <c r="I956" t="s">
        <v>90</v>
      </c>
      <c r="J956" t="s">
        <v>91</v>
      </c>
      <c r="K956" t="s">
        <v>178</v>
      </c>
      <c r="L956" t="s">
        <v>157</v>
      </c>
      <c r="M956">
        <v>2</v>
      </c>
      <c r="N956">
        <v>36.35</v>
      </c>
      <c r="O956">
        <v>72.7</v>
      </c>
      <c r="P956">
        <v>0</v>
      </c>
      <c r="Q956">
        <v>0</v>
      </c>
      <c r="R956">
        <v>72.7</v>
      </c>
      <c r="S956">
        <v>60.04</v>
      </c>
      <c r="T956">
        <v>12.66</v>
      </c>
      <c r="U956" t="s">
        <v>190</v>
      </c>
      <c r="V956" t="s">
        <v>159</v>
      </c>
      <c r="W956" t="s">
        <v>2085</v>
      </c>
      <c r="X956" t="s">
        <v>2094</v>
      </c>
      <c r="Y956">
        <v>349</v>
      </c>
      <c r="Z956">
        <v>2726.48</v>
      </c>
      <c r="AA956">
        <v>206.39</v>
      </c>
      <c r="AB956" t="s">
        <v>90</v>
      </c>
      <c r="AC956" t="s">
        <v>16</v>
      </c>
      <c r="AD956" t="s">
        <v>2087</v>
      </c>
      <c r="AE956" t="s">
        <v>2088</v>
      </c>
    </row>
    <row r="957" spans="1:31">
      <c r="A957" t="s">
        <v>572</v>
      </c>
      <c r="B957" s="1">
        <v>44946</v>
      </c>
      <c r="C957" t="s">
        <v>240</v>
      </c>
      <c r="D957">
        <v>2023</v>
      </c>
      <c r="E957" t="s">
        <v>162</v>
      </c>
      <c r="F957" t="s">
        <v>573</v>
      </c>
      <c r="G957" t="s">
        <v>78</v>
      </c>
      <c r="H957" t="s">
        <v>79</v>
      </c>
      <c r="I957" t="s">
        <v>66</v>
      </c>
      <c r="J957" t="s">
        <v>70</v>
      </c>
      <c r="K957" t="s">
        <v>178</v>
      </c>
      <c r="L957" t="s">
        <v>179</v>
      </c>
      <c r="M957">
        <v>1</v>
      </c>
      <c r="N957">
        <v>218.05</v>
      </c>
      <c r="O957">
        <v>218.05</v>
      </c>
      <c r="P957">
        <v>0</v>
      </c>
      <c r="Q957">
        <v>0</v>
      </c>
      <c r="R957">
        <v>218.05</v>
      </c>
      <c r="S957">
        <v>74.48</v>
      </c>
      <c r="T957">
        <v>143.57</v>
      </c>
      <c r="U957" t="s">
        <v>180</v>
      </c>
      <c r="V957" t="s">
        <v>181</v>
      </c>
      <c r="W957" t="s">
        <v>2099</v>
      </c>
      <c r="X957" t="s">
        <v>2108</v>
      </c>
      <c r="Y957">
        <v>344</v>
      </c>
      <c r="Z957">
        <v>98.02</v>
      </c>
      <c r="AA957">
        <v>70.12</v>
      </c>
      <c r="AB957" t="s">
        <v>90</v>
      </c>
      <c r="AC957" t="s">
        <v>16</v>
      </c>
      <c r="AD957" t="s">
        <v>2106</v>
      </c>
      <c r="AE957" t="s">
        <v>2096</v>
      </c>
    </row>
    <row r="958" spans="1:31">
      <c r="A958" t="s">
        <v>1965</v>
      </c>
      <c r="B958" s="1">
        <v>44945</v>
      </c>
      <c r="C958" t="s">
        <v>240</v>
      </c>
      <c r="D958">
        <v>2023</v>
      </c>
      <c r="E958" t="s">
        <v>162</v>
      </c>
      <c r="F958" t="s">
        <v>1966</v>
      </c>
      <c r="G958" t="s">
        <v>23</v>
      </c>
      <c r="H958" t="s">
        <v>24</v>
      </c>
      <c r="I958" t="s">
        <v>14</v>
      </c>
      <c r="J958" t="s">
        <v>19</v>
      </c>
      <c r="K958" t="s">
        <v>178</v>
      </c>
      <c r="L958" t="s">
        <v>157</v>
      </c>
      <c r="M958">
        <v>2</v>
      </c>
      <c r="N958">
        <v>154.03</v>
      </c>
      <c r="O958">
        <v>308.06</v>
      </c>
      <c r="P958">
        <v>0</v>
      </c>
      <c r="Q958">
        <v>0</v>
      </c>
      <c r="R958">
        <v>308.06</v>
      </c>
      <c r="S958">
        <v>153.58000000000001</v>
      </c>
      <c r="T958">
        <v>154.47999999999999</v>
      </c>
      <c r="U958" t="s">
        <v>180</v>
      </c>
      <c r="V958" t="s">
        <v>186</v>
      </c>
      <c r="W958" t="s">
        <v>2090</v>
      </c>
      <c r="X958" t="s">
        <v>2100</v>
      </c>
      <c r="Y958">
        <v>52</v>
      </c>
      <c r="Z958">
        <v>215.81</v>
      </c>
      <c r="AA958">
        <v>66.77</v>
      </c>
      <c r="AB958" t="s">
        <v>66</v>
      </c>
      <c r="AC958" t="s">
        <v>16</v>
      </c>
      <c r="AD958" t="s">
        <v>2095</v>
      </c>
      <c r="AE958" t="s">
        <v>2109</v>
      </c>
    </row>
    <row r="959" spans="1:31">
      <c r="A959" t="s">
        <v>956</v>
      </c>
      <c r="B959" s="1">
        <v>44944</v>
      </c>
      <c r="C959" t="s">
        <v>240</v>
      </c>
      <c r="D959">
        <v>2023</v>
      </c>
      <c r="E959" t="s">
        <v>162</v>
      </c>
      <c r="F959" t="s">
        <v>957</v>
      </c>
      <c r="G959" t="s">
        <v>39</v>
      </c>
      <c r="H959" t="s">
        <v>40</v>
      </c>
      <c r="I959" t="s">
        <v>41</v>
      </c>
      <c r="J959" t="s">
        <v>42</v>
      </c>
      <c r="K959" t="s">
        <v>209</v>
      </c>
      <c r="L959" t="s">
        <v>194</v>
      </c>
      <c r="M959">
        <v>4</v>
      </c>
      <c r="N959">
        <v>35.11</v>
      </c>
      <c r="O959">
        <v>140.44</v>
      </c>
      <c r="P959">
        <v>0</v>
      </c>
      <c r="Q959">
        <v>0</v>
      </c>
      <c r="R959">
        <v>140.44</v>
      </c>
      <c r="S959">
        <v>99.48</v>
      </c>
      <c r="T959">
        <v>40.96</v>
      </c>
      <c r="U959" t="s">
        <v>195</v>
      </c>
      <c r="V959" t="s">
        <v>159</v>
      </c>
      <c r="W959" t="s">
        <v>2085</v>
      </c>
      <c r="X959" t="s">
        <v>2111</v>
      </c>
      <c r="Y959">
        <v>13</v>
      </c>
      <c r="Z959">
        <v>2188.25</v>
      </c>
      <c r="AA959">
        <v>140.81</v>
      </c>
      <c r="AB959" t="s">
        <v>14</v>
      </c>
      <c r="AC959" t="s">
        <v>16</v>
      </c>
      <c r="AD959" t="s">
        <v>2087</v>
      </c>
      <c r="AE959" t="s">
        <v>2121</v>
      </c>
    </row>
    <row r="960" spans="1:31">
      <c r="A960" t="s">
        <v>1731</v>
      </c>
      <c r="B960" s="1">
        <v>44943</v>
      </c>
      <c r="C960" t="s">
        <v>240</v>
      </c>
      <c r="D960">
        <v>2023</v>
      </c>
      <c r="E960" t="s">
        <v>162</v>
      </c>
      <c r="F960" t="s">
        <v>1732</v>
      </c>
      <c r="G960" t="s">
        <v>76</v>
      </c>
      <c r="H960" t="s">
        <v>77</v>
      </c>
      <c r="I960" t="s">
        <v>66</v>
      </c>
      <c r="J960" t="s">
        <v>67</v>
      </c>
      <c r="K960" t="s">
        <v>164</v>
      </c>
      <c r="L960" t="s">
        <v>179</v>
      </c>
      <c r="M960">
        <v>3</v>
      </c>
      <c r="N960">
        <v>118.07</v>
      </c>
      <c r="O960">
        <v>354.21</v>
      </c>
      <c r="P960">
        <v>10</v>
      </c>
      <c r="Q960">
        <v>35.42</v>
      </c>
      <c r="R960">
        <v>318.79000000000002</v>
      </c>
      <c r="S960">
        <v>119.1</v>
      </c>
      <c r="T960">
        <v>199.69</v>
      </c>
      <c r="U960" t="s">
        <v>195</v>
      </c>
      <c r="V960" t="s">
        <v>181</v>
      </c>
      <c r="W960" t="s">
        <v>2085</v>
      </c>
      <c r="X960" t="s">
        <v>2091</v>
      </c>
      <c r="Y960">
        <v>38</v>
      </c>
      <c r="Z960">
        <v>2514.09</v>
      </c>
      <c r="AA960">
        <v>147.37</v>
      </c>
      <c r="AB960" t="s">
        <v>90</v>
      </c>
      <c r="AC960" t="s">
        <v>16</v>
      </c>
      <c r="AD960" t="s">
        <v>2095</v>
      </c>
      <c r="AE960" t="s">
        <v>2121</v>
      </c>
    </row>
    <row r="961" spans="1:31">
      <c r="A961" t="s">
        <v>1717</v>
      </c>
      <c r="B961" s="1">
        <v>44943</v>
      </c>
      <c r="C961" t="s">
        <v>240</v>
      </c>
      <c r="D961">
        <v>2023</v>
      </c>
      <c r="E961" t="s">
        <v>162</v>
      </c>
      <c r="F961" t="s">
        <v>1718</v>
      </c>
      <c r="G961" t="s">
        <v>46</v>
      </c>
      <c r="H961" t="s">
        <v>47</v>
      </c>
      <c r="I961" t="s">
        <v>41</v>
      </c>
      <c r="J961" t="s">
        <v>45</v>
      </c>
      <c r="K961" t="s">
        <v>209</v>
      </c>
      <c r="L961" t="s">
        <v>194</v>
      </c>
      <c r="M961">
        <v>3</v>
      </c>
      <c r="N961">
        <v>16.95</v>
      </c>
      <c r="O961">
        <v>50.849999999999994</v>
      </c>
      <c r="P961">
        <v>0</v>
      </c>
      <c r="Q961">
        <v>0</v>
      </c>
      <c r="R961">
        <v>50.85</v>
      </c>
      <c r="S961">
        <v>29.28</v>
      </c>
      <c r="T961">
        <v>21.57</v>
      </c>
      <c r="U961" t="s">
        <v>190</v>
      </c>
      <c r="V961" t="s">
        <v>159</v>
      </c>
      <c r="W961" t="s">
        <v>2113</v>
      </c>
      <c r="X961" t="s">
        <v>2086</v>
      </c>
      <c r="Y961">
        <v>236</v>
      </c>
      <c r="Z961">
        <v>548.03</v>
      </c>
      <c r="AA961">
        <v>54.29</v>
      </c>
      <c r="AB961" t="s">
        <v>66</v>
      </c>
      <c r="AC961" t="s">
        <v>20</v>
      </c>
      <c r="AD961" t="s">
        <v>2106</v>
      </c>
      <c r="AE961" t="s">
        <v>2096</v>
      </c>
    </row>
    <row r="962" spans="1:31">
      <c r="A962" t="s">
        <v>1009</v>
      </c>
      <c r="B962" s="1">
        <v>44942</v>
      </c>
      <c r="C962" t="s">
        <v>240</v>
      </c>
      <c r="D962">
        <v>2023</v>
      </c>
      <c r="E962" t="s">
        <v>162</v>
      </c>
      <c r="F962" t="s">
        <v>1010</v>
      </c>
      <c r="G962" t="s">
        <v>78</v>
      </c>
      <c r="H962" t="s">
        <v>79</v>
      </c>
      <c r="I962" t="s">
        <v>66</v>
      </c>
      <c r="J962" t="s">
        <v>70</v>
      </c>
      <c r="K962" t="s">
        <v>178</v>
      </c>
      <c r="L962" t="s">
        <v>204</v>
      </c>
      <c r="M962">
        <v>1</v>
      </c>
      <c r="N962">
        <v>218.05</v>
      </c>
      <c r="O962">
        <v>218.05</v>
      </c>
      <c r="P962">
        <v>15</v>
      </c>
      <c r="Q962">
        <v>32.71</v>
      </c>
      <c r="R962">
        <v>185.34</v>
      </c>
      <c r="S962">
        <v>74.48</v>
      </c>
      <c r="T962">
        <v>110.86</v>
      </c>
      <c r="U962" t="s">
        <v>166</v>
      </c>
      <c r="V962" t="s">
        <v>186</v>
      </c>
      <c r="W962" t="s">
        <v>2113</v>
      </c>
      <c r="X962" t="s">
        <v>2094</v>
      </c>
      <c r="Y962">
        <v>92</v>
      </c>
      <c r="Z962">
        <v>126.74</v>
      </c>
      <c r="AA962">
        <v>56.59</v>
      </c>
      <c r="AB962" t="s">
        <v>14</v>
      </c>
      <c r="AC962" t="s">
        <v>16</v>
      </c>
      <c r="AD962" t="s">
        <v>2106</v>
      </c>
      <c r="AE962" t="s">
        <v>2109</v>
      </c>
    </row>
    <row r="963" spans="1:31">
      <c r="A963" t="s">
        <v>1545</v>
      </c>
      <c r="B963" s="1">
        <v>44942</v>
      </c>
      <c r="C963" t="s">
        <v>240</v>
      </c>
      <c r="D963">
        <v>2023</v>
      </c>
      <c r="E963" t="s">
        <v>162</v>
      </c>
      <c r="F963" t="s">
        <v>1546</v>
      </c>
      <c r="G963" t="s">
        <v>25</v>
      </c>
      <c r="H963" t="s">
        <v>26</v>
      </c>
      <c r="I963" t="s">
        <v>14</v>
      </c>
      <c r="J963" t="s">
        <v>27</v>
      </c>
      <c r="K963" t="s">
        <v>164</v>
      </c>
      <c r="L963" t="s">
        <v>165</v>
      </c>
      <c r="M963">
        <v>2</v>
      </c>
      <c r="N963">
        <v>18.39</v>
      </c>
      <c r="O963">
        <v>36.78</v>
      </c>
      <c r="P963">
        <v>0</v>
      </c>
      <c r="Q963">
        <v>0</v>
      </c>
      <c r="R963">
        <v>36.78</v>
      </c>
      <c r="S963">
        <v>16.52</v>
      </c>
      <c r="T963">
        <v>20.260000000000002</v>
      </c>
      <c r="U963" t="s">
        <v>166</v>
      </c>
      <c r="V963" t="s">
        <v>159</v>
      </c>
      <c r="W963" t="s">
        <v>2099</v>
      </c>
      <c r="X963" t="s">
        <v>2111</v>
      </c>
      <c r="Y963">
        <v>34</v>
      </c>
      <c r="Z963">
        <v>44.06</v>
      </c>
      <c r="AA963">
        <v>58.18</v>
      </c>
      <c r="AB963" t="s">
        <v>14</v>
      </c>
      <c r="AC963" t="s">
        <v>20</v>
      </c>
      <c r="AD963" t="s">
        <v>2095</v>
      </c>
      <c r="AE963" t="s">
        <v>2096</v>
      </c>
    </row>
    <row r="964" spans="1:31">
      <c r="A964" t="s">
        <v>1599</v>
      </c>
      <c r="B964" s="1">
        <v>44942</v>
      </c>
      <c r="C964" t="s">
        <v>240</v>
      </c>
      <c r="D964">
        <v>2023</v>
      </c>
      <c r="E964" t="s">
        <v>162</v>
      </c>
      <c r="F964" t="s">
        <v>1600</v>
      </c>
      <c r="G964" t="s">
        <v>33</v>
      </c>
      <c r="H964" t="s">
        <v>34</v>
      </c>
      <c r="I964" t="s">
        <v>14</v>
      </c>
      <c r="J964" t="s">
        <v>27</v>
      </c>
      <c r="K964" t="s">
        <v>164</v>
      </c>
      <c r="L964" t="s">
        <v>165</v>
      </c>
      <c r="M964">
        <v>3</v>
      </c>
      <c r="N964">
        <v>124.26</v>
      </c>
      <c r="O964">
        <v>372.78000000000003</v>
      </c>
      <c r="P964">
        <v>20</v>
      </c>
      <c r="Q964">
        <v>74.56</v>
      </c>
      <c r="R964">
        <v>298.22000000000003</v>
      </c>
      <c r="S964">
        <v>157.86000000000001</v>
      </c>
      <c r="T964">
        <v>140.36000000000001</v>
      </c>
      <c r="U964" t="s">
        <v>166</v>
      </c>
      <c r="V964" t="s">
        <v>186</v>
      </c>
      <c r="W964" t="s">
        <v>2099</v>
      </c>
      <c r="X964" t="s">
        <v>2094</v>
      </c>
      <c r="Y964">
        <v>250</v>
      </c>
      <c r="Z964">
        <v>73.78</v>
      </c>
      <c r="AA964">
        <v>87.82</v>
      </c>
      <c r="AB964" t="s">
        <v>115</v>
      </c>
      <c r="AC964" t="s">
        <v>16</v>
      </c>
      <c r="AD964" t="s">
        <v>2087</v>
      </c>
      <c r="AE964" t="s">
        <v>2121</v>
      </c>
    </row>
    <row r="965" spans="1:31">
      <c r="A965" t="s">
        <v>960</v>
      </c>
      <c r="B965" s="1">
        <v>44942</v>
      </c>
      <c r="C965" t="s">
        <v>240</v>
      </c>
      <c r="D965">
        <v>2023</v>
      </c>
      <c r="E965" t="s">
        <v>162</v>
      </c>
      <c r="F965" t="s">
        <v>961</v>
      </c>
      <c r="G965" t="s">
        <v>109</v>
      </c>
      <c r="H965" t="s">
        <v>110</v>
      </c>
      <c r="I965" t="s">
        <v>90</v>
      </c>
      <c r="J965" t="s">
        <v>100</v>
      </c>
      <c r="K965" t="s">
        <v>156</v>
      </c>
      <c r="L965" t="s">
        <v>232</v>
      </c>
      <c r="M965">
        <v>4</v>
      </c>
      <c r="N965">
        <v>77.67</v>
      </c>
      <c r="O965">
        <v>310.68</v>
      </c>
      <c r="P965">
        <v>15</v>
      </c>
      <c r="Q965">
        <v>46.6</v>
      </c>
      <c r="R965">
        <v>264.08</v>
      </c>
      <c r="S965">
        <v>112.48</v>
      </c>
      <c r="T965">
        <v>151.6</v>
      </c>
      <c r="U965" t="s">
        <v>180</v>
      </c>
      <c r="V965" t="s">
        <v>159</v>
      </c>
      <c r="W965" t="s">
        <v>2090</v>
      </c>
      <c r="X965" t="s">
        <v>2091</v>
      </c>
      <c r="Y965">
        <v>137</v>
      </c>
      <c r="Z965">
        <v>142.77000000000001</v>
      </c>
      <c r="AA965">
        <v>43.65</v>
      </c>
      <c r="AB965" t="s">
        <v>90</v>
      </c>
      <c r="AC965" t="s">
        <v>16</v>
      </c>
      <c r="AD965" t="s">
        <v>2106</v>
      </c>
      <c r="AE965" t="s">
        <v>2121</v>
      </c>
    </row>
    <row r="966" spans="1:31">
      <c r="A966" t="s">
        <v>791</v>
      </c>
      <c r="B966" s="1">
        <v>44942</v>
      </c>
      <c r="C966" t="s">
        <v>240</v>
      </c>
      <c r="D966">
        <v>2023</v>
      </c>
      <c r="E966" t="s">
        <v>162</v>
      </c>
      <c r="F966" t="s">
        <v>792</v>
      </c>
      <c r="G966" t="s">
        <v>39</v>
      </c>
      <c r="H966" t="s">
        <v>40</v>
      </c>
      <c r="I966" t="s">
        <v>41</v>
      </c>
      <c r="J966" t="s">
        <v>42</v>
      </c>
      <c r="K966" t="s">
        <v>156</v>
      </c>
      <c r="L966" t="s">
        <v>194</v>
      </c>
      <c r="M966">
        <v>1</v>
      </c>
      <c r="N966">
        <v>35.11</v>
      </c>
      <c r="O966">
        <v>35.11</v>
      </c>
      <c r="P966">
        <v>10</v>
      </c>
      <c r="Q966">
        <v>3.51</v>
      </c>
      <c r="R966">
        <v>31.6</v>
      </c>
      <c r="S966">
        <v>24.87</v>
      </c>
      <c r="T966">
        <v>6.73</v>
      </c>
      <c r="U966" t="s">
        <v>158</v>
      </c>
      <c r="V966" t="s">
        <v>159</v>
      </c>
      <c r="W966" t="s">
        <v>2113</v>
      </c>
      <c r="X966" t="s">
        <v>2086</v>
      </c>
      <c r="Y966">
        <v>36</v>
      </c>
      <c r="Z966">
        <v>396.86</v>
      </c>
      <c r="AA966">
        <v>44.14</v>
      </c>
      <c r="AB966" t="s">
        <v>115</v>
      </c>
      <c r="AC966" t="s">
        <v>16</v>
      </c>
      <c r="AD966" t="s">
        <v>2087</v>
      </c>
      <c r="AE966" t="s">
        <v>2096</v>
      </c>
    </row>
    <row r="967" spans="1:31">
      <c r="A967" t="s">
        <v>929</v>
      </c>
      <c r="B967" s="1">
        <v>44941</v>
      </c>
      <c r="C967" t="s">
        <v>240</v>
      </c>
      <c r="D967">
        <v>2023</v>
      </c>
      <c r="E967" t="s">
        <v>162</v>
      </c>
      <c r="F967" t="s">
        <v>930</v>
      </c>
      <c r="G967" t="s">
        <v>64</v>
      </c>
      <c r="H967" t="s">
        <v>65</v>
      </c>
      <c r="I967" t="s">
        <v>66</v>
      </c>
      <c r="J967" t="s">
        <v>67</v>
      </c>
      <c r="K967" t="s">
        <v>178</v>
      </c>
      <c r="L967" t="s">
        <v>232</v>
      </c>
      <c r="M967">
        <v>3</v>
      </c>
      <c r="N967">
        <v>24.9</v>
      </c>
      <c r="O967">
        <v>74.699999999999989</v>
      </c>
      <c r="P967">
        <v>10</v>
      </c>
      <c r="Q967">
        <v>7.47</v>
      </c>
      <c r="R967">
        <v>67.23</v>
      </c>
      <c r="S967">
        <v>64.56</v>
      </c>
      <c r="T967">
        <v>2.67</v>
      </c>
      <c r="U967" t="s">
        <v>166</v>
      </c>
      <c r="V967" t="s">
        <v>159</v>
      </c>
      <c r="W967" t="s">
        <v>2097</v>
      </c>
      <c r="X967" t="s">
        <v>2086</v>
      </c>
      <c r="Y967">
        <v>306</v>
      </c>
      <c r="Z967">
        <v>661.58</v>
      </c>
      <c r="AA967">
        <v>133.91</v>
      </c>
      <c r="AB967" t="s">
        <v>115</v>
      </c>
      <c r="AC967" t="s">
        <v>20</v>
      </c>
      <c r="AD967" t="s">
        <v>2095</v>
      </c>
      <c r="AE967" t="s">
        <v>2088</v>
      </c>
    </row>
    <row r="968" spans="1:31">
      <c r="A968" t="s">
        <v>1898</v>
      </c>
      <c r="B968" s="1">
        <v>44941</v>
      </c>
      <c r="C968" t="s">
        <v>240</v>
      </c>
      <c r="D968">
        <v>2023</v>
      </c>
      <c r="E968" t="s">
        <v>162</v>
      </c>
      <c r="F968" t="s">
        <v>1899</v>
      </c>
      <c r="G968" t="s">
        <v>39</v>
      </c>
      <c r="H968" t="s">
        <v>40</v>
      </c>
      <c r="I968" t="s">
        <v>41</v>
      </c>
      <c r="J968" t="s">
        <v>42</v>
      </c>
      <c r="K968" t="s">
        <v>178</v>
      </c>
      <c r="L968" t="s">
        <v>165</v>
      </c>
      <c r="M968">
        <v>3</v>
      </c>
      <c r="N968">
        <v>35.11</v>
      </c>
      <c r="O968">
        <v>105.33</v>
      </c>
      <c r="P968">
        <v>0</v>
      </c>
      <c r="Q968">
        <v>0</v>
      </c>
      <c r="R968">
        <v>105.33</v>
      </c>
      <c r="S968">
        <v>74.61</v>
      </c>
      <c r="T968">
        <v>30.72</v>
      </c>
      <c r="U968" t="s">
        <v>166</v>
      </c>
      <c r="V968" t="s">
        <v>159</v>
      </c>
      <c r="W968" t="s">
        <v>2099</v>
      </c>
      <c r="X968" t="s">
        <v>2091</v>
      </c>
      <c r="Y968">
        <v>192</v>
      </c>
      <c r="Z968">
        <v>112.15</v>
      </c>
      <c r="AA968">
        <v>80.03</v>
      </c>
      <c r="AB968" t="s">
        <v>90</v>
      </c>
      <c r="AC968" t="s">
        <v>20</v>
      </c>
      <c r="AD968" t="s">
        <v>2106</v>
      </c>
      <c r="AE968" t="s">
        <v>2107</v>
      </c>
    </row>
    <row r="969" spans="1:31">
      <c r="A969" t="s">
        <v>1091</v>
      </c>
      <c r="B969" s="1">
        <v>44941</v>
      </c>
      <c r="C969" t="s">
        <v>240</v>
      </c>
      <c r="D969">
        <v>2023</v>
      </c>
      <c r="E969" t="s">
        <v>162</v>
      </c>
      <c r="F969" t="s">
        <v>777</v>
      </c>
      <c r="G969" t="s">
        <v>135</v>
      </c>
      <c r="H969" t="s">
        <v>136</v>
      </c>
      <c r="I969" t="s">
        <v>115</v>
      </c>
      <c r="J969" t="s">
        <v>119</v>
      </c>
      <c r="K969" t="s">
        <v>156</v>
      </c>
      <c r="L969" t="s">
        <v>204</v>
      </c>
      <c r="M969">
        <v>3</v>
      </c>
      <c r="N969">
        <v>89.62</v>
      </c>
      <c r="O969">
        <v>268.86</v>
      </c>
      <c r="P969">
        <v>10</v>
      </c>
      <c r="Q969">
        <v>26.89</v>
      </c>
      <c r="R969">
        <v>241.97</v>
      </c>
      <c r="S969">
        <v>114.39</v>
      </c>
      <c r="T969">
        <v>127.58</v>
      </c>
      <c r="U969" t="s">
        <v>180</v>
      </c>
      <c r="V969" t="s">
        <v>159</v>
      </c>
      <c r="W969" t="s">
        <v>2113</v>
      </c>
      <c r="X969" t="s">
        <v>2111</v>
      </c>
      <c r="Y969">
        <v>32</v>
      </c>
      <c r="Z969">
        <v>551.36</v>
      </c>
      <c r="AA969">
        <v>79.489999999999995</v>
      </c>
      <c r="AB969" t="s">
        <v>90</v>
      </c>
      <c r="AC969" t="s">
        <v>20</v>
      </c>
      <c r="AD969" t="s">
        <v>2106</v>
      </c>
      <c r="AE969" t="s">
        <v>2107</v>
      </c>
    </row>
    <row r="970" spans="1:31">
      <c r="A970" t="s">
        <v>543</v>
      </c>
      <c r="B970" s="1">
        <v>44941</v>
      </c>
      <c r="C970" t="s">
        <v>240</v>
      </c>
      <c r="D970">
        <v>2023</v>
      </c>
      <c r="E970" t="s">
        <v>162</v>
      </c>
      <c r="F970" t="s">
        <v>544</v>
      </c>
      <c r="G970" t="s">
        <v>68</v>
      </c>
      <c r="H970" t="s">
        <v>69</v>
      </c>
      <c r="I970" t="s">
        <v>66</v>
      </c>
      <c r="J970" t="s">
        <v>70</v>
      </c>
      <c r="K970" t="s">
        <v>209</v>
      </c>
      <c r="L970" t="s">
        <v>165</v>
      </c>
      <c r="M970">
        <v>1</v>
      </c>
      <c r="N970">
        <v>98.51</v>
      </c>
      <c r="O970">
        <v>98.51</v>
      </c>
      <c r="P970">
        <v>20</v>
      </c>
      <c r="Q970">
        <v>19.7</v>
      </c>
      <c r="R970">
        <v>78.81</v>
      </c>
      <c r="S970">
        <v>55.17</v>
      </c>
      <c r="T970">
        <v>23.64</v>
      </c>
      <c r="U970" t="s">
        <v>166</v>
      </c>
      <c r="V970" t="s">
        <v>159</v>
      </c>
      <c r="W970" t="s">
        <v>2097</v>
      </c>
      <c r="X970" t="s">
        <v>2094</v>
      </c>
      <c r="Y970">
        <v>347</v>
      </c>
      <c r="Z970">
        <v>450.77</v>
      </c>
      <c r="AA970">
        <v>93.99</v>
      </c>
      <c r="AB970" t="s">
        <v>90</v>
      </c>
      <c r="AC970" t="s">
        <v>20</v>
      </c>
      <c r="AD970" t="s">
        <v>2106</v>
      </c>
      <c r="AE970" t="s">
        <v>2096</v>
      </c>
    </row>
    <row r="971" spans="1:31">
      <c r="A971" t="s">
        <v>727</v>
      </c>
      <c r="B971" s="1">
        <v>44940</v>
      </c>
      <c r="C971" t="s">
        <v>240</v>
      </c>
      <c r="D971">
        <v>2023</v>
      </c>
      <c r="E971" t="s">
        <v>162</v>
      </c>
      <c r="F971" t="s">
        <v>728</v>
      </c>
      <c r="G971" t="s">
        <v>84</v>
      </c>
      <c r="H971" t="s">
        <v>85</v>
      </c>
      <c r="I971" t="s">
        <v>66</v>
      </c>
      <c r="J971" t="s">
        <v>67</v>
      </c>
      <c r="K971" t="s">
        <v>178</v>
      </c>
      <c r="L971" t="s">
        <v>232</v>
      </c>
      <c r="M971">
        <v>4</v>
      </c>
      <c r="N971">
        <v>174.23</v>
      </c>
      <c r="O971">
        <v>696.92</v>
      </c>
      <c r="P971">
        <v>0</v>
      </c>
      <c r="Q971">
        <v>0</v>
      </c>
      <c r="R971">
        <v>696.92</v>
      </c>
      <c r="S971">
        <v>295.8</v>
      </c>
      <c r="T971">
        <v>401.12</v>
      </c>
      <c r="U971" t="s">
        <v>158</v>
      </c>
      <c r="V971" t="s">
        <v>181</v>
      </c>
      <c r="W971" t="s">
        <v>2099</v>
      </c>
      <c r="X971" t="s">
        <v>2111</v>
      </c>
      <c r="Y971">
        <v>45</v>
      </c>
      <c r="Z971">
        <v>94.43</v>
      </c>
      <c r="AA971">
        <v>33.32</v>
      </c>
      <c r="AB971" t="s">
        <v>115</v>
      </c>
      <c r="AC971" t="s">
        <v>20</v>
      </c>
      <c r="AD971" t="s">
        <v>2087</v>
      </c>
      <c r="AE971" t="s">
        <v>2088</v>
      </c>
    </row>
    <row r="972" spans="1:31">
      <c r="A972" t="s">
        <v>967</v>
      </c>
      <c r="B972" s="1">
        <v>44940</v>
      </c>
      <c r="C972" t="s">
        <v>240</v>
      </c>
      <c r="D972">
        <v>2023</v>
      </c>
      <c r="E972" t="s">
        <v>162</v>
      </c>
      <c r="F972" t="s">
        <v>968</v>
      </c>
      <c r="G972" t="s">
        <v>88</v>
      </c>
      <c r="H972" t="s">
        <v>89</v>
      </c>
      <c r="I972" t="s">
        <v>90</v>
      </c>
      <c r="J972" t="s">
        <v>91</v>
      </c>
      <c r="K972" t="s">
        <v>156</v>
      </c>
      <c r="L972" t="s">
        <v>165</v>
      </c>
      <c r="M972">
        <v>2</v>
      </c>
      <c r="N972">
        <v>54.64</v>
      </c>
      <c r="O972">
        <v>109.28</v>
      </c>
      <c r="P972">
        <v>0</v>
      </c>
      <c r="Q972">
        <v>0</v>
      </c>
      <c r="R972">
        <v>109.28</v>
      </c>
      <c r="S972">
        <v>40.64</v>
      </c>
      <c r="T972">
        <v>68.64</v>
      </c>
      <c r="U972" t="s">
        <v>195</v>
      </c>
      <c r="V972" t="s">
        <v>159</v>
      </c>
      <c r="W972" t="s">
        <v>2099</v>
      </c>
      <c r="X972" t="s">
        <v>2108</v>
      </c>
      <c r="Y972">
        <v>182</v>
      </c>
      <c r="Z972">
        <v>31.59</v>
      </c>
      <c r="AA972">
        <v>30.61</v>
      </c>
      <c r="AB972" t="s">
        <v>41</v>
      </c>
      <c r="AC972" t="s">
        <v>16</v>
      </c>
      <c r="AD972" t="s">
        <v>2087</v>
      </c>
      <c r="AE972" t="s">
        <v>2109</v>
      </c>
    </row>
    <row r="973" spans="1:31">
      <c r="A973" t="s">
        <v>760</v>
      </c>
      <c r="B973" s="1">
        <v>44939</v>
      </c>
      <c r="C973" t="s">
        <v>240</v>
      </c>
      <c r="D973">
        <v>2023</v>
      </c>
      <c r="E973" t="s">
        <v>162</v>
      </c>
      <c r="F973" t="s">
        <v>761</v>
      </c>
      <c r="G973" t="s">
        <v>86</v>
      </c>
      <c r="H973" t="s">
        <v>87</v>
      </c>
      <c r="I973" t="s">
        <v>66</v>
      </c>
      <c r="J973" t="s">
        <v>67</v>
      </c>
      <c r="K973" t="s">
        <v>209</v>
      </c>
      <c r="L973" t="s">
        <v>194</v>
      </c>
      <c r="M973">
        <v>2</v>
      </c>
      <c r="N973">
        <v>124.77</v>
      </c>
      <c r="O973">
        <v>249.54</v>
      </c>
      <c r="P973">
        <v>0</v>
      </c>
      <c r="Q973">
        <v>0</v>
      </c>
      <c r="R973">
        <v>249.54</v>
      </c>
      <c r="S973">
        <v>139.28</v>
      </c>
      <c r="T973">
        <v>110.26</v>
      </c>
      <c r="U973" t="s">
        <v>180</v>
      </c>
      <c r="V973" t="s">
        <v>159</v>
      </c>
      <c r="W973" t="s">
        <v>2113</v>
      </c>
      <c r="X973" t="s">
        <v>2086</v>
      </c>
      <c r="Y973">
        <v>237</v>
      </c>
      <c r="Z973">
        <v>404.61</v>
      </c>
      <c r="AA973">
        <v>31.02</v>
      </c>
      <c r="AB973" t="s">
        <v>14</v>
      </c>
      <c r="AC973" t="s">
        <v>20</v>
      </c>
      <c r="AD973" t="s">
        <v>2106</v>
      </c>
      <c r="AE973" t="s">
        <v>2096</v>
      </c>
    </row>
    <row r="974" spans="1:31">
      <c r="A974" t="s">
        <v>1764</v>
      </c>
      <c r="B974" s="1">
        <v>44939</v>
      </c>
      <c r="C974" t="s">
        <v>240</v>
      </c>
      <c r="D974">
        <v>2023</v>
      </c>
      <c r="E974" t="s">
        <v>162</v>
      </c>
      <c r="F974" t="s">
        <v>1765</v>
      </c>
      <c r="G974" t="s">
        <v>39</v>
      </c>
      <c r="H974" t="s">
        <v>40</v>
      </c>
      <c r="I974" t="s">
        <v>41</v>
      </c>
      <c r="J974" t="s">
        <v>42</v>
      </c>
      <c r="K974" t="s">
        <v>164</v>
      </c>
      <c r="L974" t="s">
        <v>179</v>
      </c>
      <c r="M974">
        <v>3</v>
      </c>
      <c r="N974">
        <v>35.11</v>
      </c>
      <c r="O974">
        <v>105.33</v>
      </c>
      <c r="P974">
        <v>0</v>
      </c>
      <c r="Q974">
        <v>0</v>
      </c>
      <c r="R974">
        <v>105.33</v>
      </c>
      <c r="S974">
        <v>74.61</v>
      </c>
      <c r="T974">
        <v>30.72</v>
      </c>
      <c r="U974" t="s">
        <v>190</v>
      </c>
      <c r="V974" t="s">
        <v>186</v>
      </c>
      <c r="W974" t="s">
        <v>2085</v>
      </c>
      <c r="X974" t="s">
        <v>2091</v>
      </c>
      <c r="Y974">
        <v>182</v>
      </c>
      <c r="Z974">
        <v>2093.04</v>
      </c>
      <c r="AA974">
        <v>210.37</v>
      </c>
      <c r="AB974" t="s">
        <v>14</v>
      </c>
      <c r="AC974" t="s">
        <v>20</v>
      </c>
      <c r="AD974" t="s">
        <v>2087</v>
      </c>
      <c r="AE974" t="s">
        <v>2109</v>
      </c>
    </row>
    <row r="975" spans="1:31">
      <c r="A975" t="s">
        <v>2010</v>
      </c>
      <c r="B975" s="1">
        <v>44938</v>
      </c>
      <c r="C975" t="s">
        <v>240</v>
      </c>
      <c r="D975">
        <v>2023</v>
      </c>
      <c r="E975" t="s">
        <v>162</v>
      </c>
      <c r="F975" t="s">
        <v>2011</v>
      </c>
      <c r="G975" t="s">
        <v>37</v>
      </c>
      <c r="H975" t="s">
        <v>38</v>
      </c>
      <c r="I975" t="s">
        <v>14</v>
      </c>
      <c r="J975" t="s">
        <v>27</v>
      </c>
      <c r="K975" t="s">
        <v>156</v>
      </c>
      <c r="L975" t="s">
        <v>157</v>
      </c>
      <c r="M975">
        <v>4</v>
      </c>
      <c r="N975">
        <v>133.99</v>
      </c>
      <c r="O975">
        <v>535.96</v>
      </c>
      <c r="P975">
        <v>5</v>
      </c>
      <c r="Q975">
        <v>26.8</v>
      </c>
      <c r="R975">
        <v>509.16</v>
      </c>
      <c r="S975">
        <v>293.95999999999998</v>
      </c>
      <c r="T975">
        <v>215.2</v>
      </c>
      <c r="U975" t="s">
        <v>180</v>
      </c>
      <c r="V975" t="s">
        <v>186</v>
      </c>
      <c r="W975" t="s">
        <v>2097</v>
      </c>
      <c r="X975" t="s">
        <v>2091</v>
      </c>
      <c r="Y975">
        <v>288</v>
      </c>
      <c r="Z975">
        <v>360.95</v>
      </c>
      <c r="AA975">
        <v>127.52</v>
      </c>
      <c r="AB975" t="s">
        <v>115</v>
      </c>
      <c r="AC975" t="s">
        <v>16</v>
      </c>
      <c r="AD975" t="s">
        <v>2106</v>
      </c>
      <c r="AE975" t="s">
        <v>2096</v>
      </c>
    </row>
    <row r="976" spans="1:31">
      <c r="A976" t="s">
        <v>1060</v>
      </c>
      <c r="B976" s="1">
        <v>44938</v>
      </c>
      <c r="C976" t="s">
        <v>240</v>
      </c>
      <c r="D976">
        <v>2023</v>
      </c>
      <c r="E976" t="s">
        <v>162</v>
      </c>
      <c r="F976" t="s">
        <v>274</v>
      </c>
      <c r="G976" t="s">
        <v>129</v>
      </c>
      <c r="H976" t="s">
        <v>130</v>
      </c>
      <c r="I976" t="s">
        <v>115</v>
      </c>
      <c r="J976" t="s">
        <v>124</v>
      </c>
      <c r="K976" t="s">
        <v>156</v>
      </c>
      <c r="L976" t="s">
        <v>174</v>
      </c>
      <c r="M976">
        <v>2</v>
      </c>
      <c r="N976">
        <v>99.34</v>
      </c>
      <c r="O976">
        <v>198.68</v>
      </c>
      <c r="P976">
        <v>0</v>
      </c>
      <c r="Q976">
        <v>0</v>
      </c>
      <c r="R976">
        <v>198.68</v>
      </c>
      <c r="S976">
        <v>74.7</v>
      </c>
      <c r="T976">
        <v>123.98</v>
      </c>
      <c r="U976" t="s">
        <v>195</v>
      </c>
      <c r="V976" t="s">
        <v>159</v>
      </c>
      <c r="W976" t="s">
        <v>2093</v>
      </c>
      <c r="X976" t="s">
        <v>2100</v>
      </c>
      <c r="Y976">
        <v>103</v>
      </c>
      <c r="Z976">
        <v>118.99</v>
      </c>
      <c r="AA976">
        <v>25.54</v>
      </c>
      <c r="AB976" t="s">
        <v>14</v>
      </c>
      <c r="AC976" t="s">
        <v>20</v>
      </c>
      <c r="AD976" t="s">
        <v>2095</v>
      </c>
      <c r="AE976" t="s">
        <v>2088</v>
      </c>
    </row>
    <row r="977" spans="1:31">
      <c r="A977" t="s">
        <v>1355</v>
      </c>
      <c r="B977" s="1">
        <v>44938</v>
      </c>
      <c r="C977" t="s">
        <v>240</v>
      </c>
      <c r="D977">
        <v>2023</v>
      </c>
      <c r="E977" t="s">
        <v>162</v>
      </c>
      <c r="F977" t="s">
        <v>1356</v>
      </c>
      <c r="G977" t="s">
        <v>37</v>
      </c>
      <c r="H977" t="s">
        <v>38</v>
      </c>
      <c r="I977" t="s">
        <v>14</v>
      </c>
      <c r="J977" t="s">
        <v>27</v>
      </c>
      <c r="K977" t="s">
        <v>209</v>
      </c>
      <c r="L977" t="s">
        <v>194</v>
      </c>
      <c r="M977">
        <v>1</v>
      </c>
      <c r="N977">
        <v>133.99</v>
      </c>
      <c r="O977">
        <v>133.99</v>
      </c>
      <c r="P977">
        <v>10</v>
      </c>
      <c r="Q977">
        <v>13.4</v>
      </c>
      <c r="R977">
        <v>120.59</v>
      </c>
      <c r="S977">
        <v>73.489999999999995</v>
      </c>
      <c r="T977">
        <v>47.1</v>
      </c>
      <c r="U977" t="s">
        <v>195</v>
      </c>
      <c r="V977" t="s">
        <v>159</v>
      </c>
      <c r="W977" t="s">
        <v>2085</v>
      </c>
      <c r="X977" t="s">
        <v>2086</v>
      </c>
      <c r="Y977">
        <v>300</v>
      </c>
      <c r="Z977">
        <v>2099.62</v>
      </c>
      <c r="AA977">
        <v>249.36</v>
      </c>
      <c r="AB977" t="s">
        <v>41</v>
      </c>
      <c r="AC977" t="s">
        <v>20</v>
      </c>
      <c r="AD977" t="s">
        <v>2106</v>
      </c>
      <c r="AE977" t="s">
        <v>2107</v>
      </c>
    </row>
    <row r="978" spans="1:31">
      <c r="A978" t="s">
        <v>1873</v>
      </c>
      <c r="B978" s="1">
        <v>44937</v>
      </c>
      <c r="C978" t="s">
        <v>240</v>
      </c>
      <c r="D978">
        <v>2023</v>
      </c>
      <c r="E978" t="s">
        <v>162</v>
      </c>
      <c r="F978" t="s">
        <v>1874</v>
      </c>
      <c r="G978" t="s">
        <v>105</v>
      </c>
      <c r="H978" t="s">
        <v>106</v>
      </c>
      <c r="I978" t="s">
        <v>90</v>
      </c>
      <c r="J978" t="s">
        <v>91</v>
      </c>
      <c r="K978" t="s">
        <v>164</v>
      </c>
      <c r="L978" t="s">
        <v>232</v>
      </c>
      <c r="M978">
        <v>4</v>
      </c>
      <c r="N978">
        <v>36.35</v>
      </c>
      <c r="O978">
        <v>145.4</v>
      </c>
      <c r="P978">
        <v>0</v>
      </c>
      <c r="Q978">
        <v>0</v>
      </c>
      <c r="R978">
        <v>145.4</v>
      </c>
      <c r="S978">
        <v>120.08</v>
      </c>
      <c r="T978">
        <v>25.32</v>
      </c>
      <c r="U978" t="s">
        <v>158</v>
      </c>
      <c r="V978" t="s">
        <v>159</v>
      </c>
      <c r="W978" t="s">
        <v>2113</v>
      </c>
      <c r="X978" t="s">
        <v>2111</v>
      </c>
      <c r="Y978">
        <v>309</v>
      </c>
      <c r="Z978">
        <v>201.02</v>
      </c>
      <c r="AA978">
        <v>68.58</v>
      </c>
      <c r="AB978" t="s">
        <v>14</v>
      </c>
      <c r="AC978" t="s">
        <v>16</v>
      </c>
      <c r="AD978" t="s">
        <v>2087</v>
      </c>
      <c r="AE978" t="s">
        <v>2088</v>
      </c>
    </row>
    <row r="979" spans="1:31">
      <c r="A979" t="s">
        <v>1817</v>
      </c>
      <c r="B979" s="1">
        <v>44936</v>
      </c>
      <c r="C979" t="s">
        <v>240</v>
      </c>
      <c r="D979">
        <v>2023</v>
      </c>
      <c r="E979" t="s">
        <v>162</v>
      </c>
      <c r="F979" t="s">
        <v>1818</v>
      </c>
      <c r="G979" t="s">
        <v>82</v>
      </c>
      <c r="H979" t="s">
        <v>83</v>
      </c>
      <c r="I979" t="s">
        <v>66</v>
      </c>
      <c r="J979" t="s">
        <v>67</v>
      </c>
      <c r="K979" t="s">
        <v>164</v>
      </c>
      <c r="L979" t="s">
        <v>179</v>
      </c>
      <c r="M979">
        <v>1</v>
      </c>
      <c r="N979">
        <v>34.479999999999997</v>
      </c>
      <c r="O979">
        <v>34.479999999999997</v>
      </c>
      <c r="P979">
        <v>0</v>
      </c>
      <c r="Q979">
        <v>0</v>
      </c>
      <c r="R979">
        <v>34.479999999999997</v>
      </c>
      <c r="S979">
        <v>19.239999999999998</v>
      </c>
      <c r="T979">
        <v>15.24</v>
      </c>
      <c r="U979" t="s">
        <v>180</v>
      </c>
      <c r="V979" t="s">
        <v>159</v>
      </c>
      <c r="W979" t="s">
        <v>2097</v>
      </c>
      <c r="X979" t="s">
        <v>2094</v>
      </c>
      <c r="Y979">
        <v>198</v>
      </c>
      <c r="Z979">
        <v>523.67999999999995</v>
      </c>
      <c r="AA979">
        <v>117.06</v>
      </c>
      <c r="AB979" t="s">
        <v>14</v>
      </c>
      <c r="AC979" t="s">
        <v>16</v>
      </c>
      <c r="AD979" t="s">
        <v>2087</v>
      </c>
      <c r="AE979" t="s">
        <v>2107</v>
      </c>
    </row>
    <row r="980" spans="1:31">
      <c r="A980" t="s">
        <v>584</v>
      </c>
      <c r="B980" s="1">
        <v>44936</v>
      </c>
      <c r="C980" t="s">
        <v>240</v>
      </c>
      <c r="D980">
        <v>2023</v>
      </c>
      <c r="E980" t="s">
        <v>162</v>
      </c>
      <c r="F980" t="s">
        <v>585</v>
      </c>
      <c r="G980" t="s">
        <v>105</v>
      </c>
      <c r="H980" t="s">
        <v>106</v>
      </c>
      <c r="I980" t="s">
        <v>90</v>
      </c>
      <c r="J980" t="s">
        <v>91</v>
      </c>
      <c r="K980" t="s">
        <v>178</v>
      </c>
      <c r="L980" t="s">
        <v>204</v>
      </c>
      <c r="M980">
        <v>1</v>
      </c>
      <c r="N980">
        <v>36.35</v>
      </c>
      <c r="O980">
        <v>36.35</v>
      </c>
      <c r="P980">
        <v>0</v>
      </c>
      <c r="Q980">
        <v>0</v>
      </c>
      <c r="R980">
        <v>36.35</v>
      </c>
      <c r="S980">
        <v>30.02</v>
      </c>
      <c r="T980">
        <v>6.33</v>
      </c>
      <c r="U980" t="s">
        <v>190</v>
      </c>
      <c r="V980" t="s">
        <v>186</v>
      </c>
      <c r="W980" t="s">
        <v>2085</v>
      </c>
      <c r="X980" t="s">
        <v>2108</v>
      </c>
      <c r="Y980">
        <v>218</v>
      </c>
      <c r="Z980">
        <v>2404.7600000000002</v>
      </c>
      <c r="AA980">
        <v>143.47999999999999</v>
      </c>
      <c r="AB980" t="s">
        <v>90</v>
      </c>
      <c r="AC980" t="s">
        <v>16</v>
      </c>
      <c r="AD980" t="s">
        <v>2087</v>
      </c>
      <c r="AE980" t="s">
        <v>2109</v>
      </c>
    </row>
    <row r="981" spans="1:31">
      <c r="A981" t="s">
        <v>651</v>
      </c>
      <c r="B981" s="1">
        <v>44935</v>
      </c>
      <c r="C981" t="s">
        <v>240</v>
      </c>
      <c r="D981">
        <v>2023</v>
      </c>
      <c r="E981" t="s">
        <v>162</v>
      </c>
      <c r="F981" t="s">
        <v>652</v>
      </c>
      <c r="G981" t="s">
        <v>120</v>
      </c>
      <c r="H981" t="s">
        <v>121</v>
      </c>
      <c r="I981" t="s">
        <v>115</v>
      </c>
      <c r="J981" t="s">
        <v>119</v>
      </c>
      <c r="K981" t="s">
        <v>156</v>
      </c>
      <c r="L981" t="s">
        <v>174</v>
      </c>
      <c r="M981">
        <v>4</v>
      </c>
      <c r="N981">
        <v>197.52</v>
      </c>
      <c r="O981">
        <v>790.08</v>
      </c>
      <c r="P981">
        <v>10</v>
      </c>
      <c r="Q981">
        <v>79.010000000000005</v>
      </c>
      <c r="R981">
        <v>711.07</v>
      </c>
      <c r="S981">
        <v>266.16000000000003</v>
      </c>
      <c r="T981">
        <v>444.91</v>
      </c>
      <c r="U981" t="s">
        <v>158</v>
      </c>
      <c r="V981" t="s">
        <v>181</v>
      </c>
      <c r="W981" t="s">
        <v>2097</v>
      </c>
      <c r="X981" t="s">
        <v>2100</v>
      </c>
      <c r="Y981">
        <v>280</v>
      </c>
      <c r="Z981">
        <v>581.91999999999996</v>
      </c>
      <c r="AA981">
        <v>114.51</v>
      </c>
      <c r="AB981" t="s">
        <v>41</v>
      </c>
      <c r="AC981" t="s">
        <v>16</v>
      </c>
      <c r="AD981" t="s">
        <v>2095</v>
      </c>
      <c r="AE981" t="s">
        <v>2109</v>
      </c>
    </row>
    <row r="982" spans="1:31">
      <c r="A982" t="s">
        <v>859</v>
      </c>
      <c r="B982" s="1">
        <v>44933</v>
      </c>
      <c r="C982" t="s">
        <v>240</v>
      </c>
      <c r="D982">
        <v>2023</v>
      </c>
      <c r="E982" t="s">
        <v>162</v>
      </c>
      <c r="F982" t="s">
        <v>860</v>
      </c>
      <c r="G982" t="s">
        <v>62</v>
      </c>
      <c r="H982" t="s">
        <v>63</v>
      </c>
      <c r="I982" t="s">
        <v>41</v>
      </c>
      <c r="J982" t="s">
        <v>45</v>
      </c>
      <c r="K982" t="s">
        <v>156</v>
      </c>
      <c r="L982" t="s">
        <v>165</v>
      </c>
      <c r="M982">
        <v>2</v>
      </c>
      <c r="N982">
        <v>160.35</v>
      </c>
      <c r="O982">
        <v>320.7</v>
      </c>
      <c r="P982">
        <v>0</v>
      </c>
      <c r="Q982">
        <v>0</v>
      </c>
      <c r="R982">
        <v>320.7</v>
      </c>
      <c r="S982">
        <v>144.94</v>
      </c>
      <c r="T982">
        <v>175.76</v>
      </c>
      <c r="U982" t="s">
        <v>158</v>
      </c>
      <c r="V982" t="s">
        <v>159</v>
      </c>
      <c r="W982" t="s">
        <v>2085</v>
      </c>
      <c r="X982" t="s">
        <v>2108</v>
      </c>
      <c r="Y982">
        <v>41</v>
      </c>
      <c r="Z982">
        <v>1107.68</v>
      </c>
      <c r="AA982">
        <v>280.48</v>
      </c>
      <c r="AB982" t="s">
        <v>41</v>
      </c>
      <c r="AC982" t="s">
        <v>20</v>
      </c>
      <c r="AD982" t="s">
        <v>2106</v>
      </c>
      <c r="AE982" t="s">
        <v>2107</v>
      </c>
    </row>
    <row r="983" spans="1:31">
      <c r="A983" t="s">
        <v>257</v>
      </c>
      <c r="B983" s="1">
        <v>44933</v>
      </c>
      <c r="C983" t="s">
        <v>240</v>
      </c>
      <c r="D983">
        <v>2023</v>
      </c>
      <c r="E983" t="s">
        <v>162</v>
      </c>
      <c r="F983" t="s">
        <v>258</v>
      </c>
      <c r="G983" t="s">
        <v>113</v>
      </c>
      <c r="H983" t="s">
        <v>114</v>
      </c>
      <c r="I983" t="s">
        <v>115</v>
      </c>
      <c r="J983" t="s">
        <v>116</v>
      </c>
      <c r="K983" t="s">
        <v>178</v>
      </c>
      <c r="L983" t="s">
        <v>204</v>
      </c>
      <c r="M983">
        <v>4</v>
      </c>
      <c r="N983">
        <v>18.7</v>
      </c>
      <c r="O983">
        <v>74.8</v>
      </c>
      <c r="P983">
        <v>0</v>
      </c>
      <c r="Q983">
        <v>0</v>
      </c>
      <c r="R983">
        <v>74.8</v>
      </c>
      <c r="S983">
        <v>27.44</v>
      </c>
      <c r="T983">
        <v>47.36</v>
      </c>
      <c r="U983" t="s">
        <v>180</v>
      </c>
      <c r="V983" t="s">
        <v>186</v>
      </c>
      <c r="W983" t="s">
        <v>2099</v>
      </c>
      <c r="X983" t="s">
        <v>2108</v>
      </c>
      <c r="Y983">
        <v>147</v>
      </c>
      <c r="Z983">
        <v>93.36</v>
      </c>
      <c r="AA983">
        <v>67.87</v>
      </c>
      <c r="AB983" t="s">
        <v>90</v>
      </c>
      <c r="AC983" t="s">
        <v>16</v>
      </c>
      <c r="AD983" t="s">
        <v>2095</v>
      </c>
      <c r="AE983" t="s">
        <v>2096</v>
      </c>
    </row>
    <row r="984" spans="1:31">
      <c r="A984" t="s">
        <v>1948</v>
      </c>
      <c r="B984" s="1">
        <v>44932</v>
      </c>
      <c r="C984" t="s">
        <v>240</v>
      </c>
      <c r="D984">
        <v>2023</v>
      </c>
      <c r="E984" t="s">
        <v>162</v>
      </c>
      <c r="F984" t="s">
        <v>1949</v>
      </c>
      <c r="G984" t="s">
        <v>122</v>
      </c>
      <c r="H984" t="s">
        <v>123</v>
      </c>
      <c r="I984" t="s">
        <v>115</v>
      </c>
      <c r="J984" t="s">
        <v>124</v>
      </c>
      <c r="K984" t="s">
        <v>156</v>
      </c>
      <c r="L984" t="s">
        <v>179</v>
      </c>
      <c r="M984">
        <v>4</v>
      </c>
      <c r="N984">
        <v>93.88</v>
      </c>
      <c r="O984">
        <v>375.52</v>
      </c>
      <c r="P984">
        <v>0</v>
      </c>
      <c r="Q984">
        <v>0</v>
      </c>
      <c r="R984">
        <v>375.52</v>
      </c>
      <c r="S984">
        <v>212.44</v>
      </c>
      <c r="T984">
        <v>163.08000000000001</v>
      </c>
      <c r="U984" t="s">
        <v>195</v>
      </c>
      <c r="V984" t="s">
        <v>186</v>
      </c>
      <c r="W984" t="s">
        <v>2093</v>
      </c>
      <c r="X984" t="s">
        <v>2111</v>
      </c>
      <c r="Y984">
        <v>91</v>
      </c>
      <c r="Z984">
        <v>178.35</v>
      </c>
      <c r="AA984">
        <v>29.53</v>
      </c>
      <c r="AB984" t="s">
        <v>14</v>
      </c>
      <c r="AC984" t="s">
        <v>20</v>
      </c>
      <c r="AD984" t="s">
        <v>2095</v>
      </c>
      <c r="AE984" t="s">
        <v>2121</v>
      </c>
    </row>
    <row r="985" spans="1:31">
      <c r="A985" t="s">
        <v>239</v>
      </c>
      <c r="B985" s="1">
        <v>44932</v>
      </c>
      <c r="C985" t="s">
        <v>240</v>
      </c>
      <c r="D985">
        <v>2023</v>
      </c>
      <c r="E985" t="s">
        <v>162</v>
      </c>
      <c r="F985" t="s">
        <v>241</v>
      </c>
      <c r="G985" t="s">
        <v>125</v>
      </c>
      <c r="H985" t="s">
        <v>126</v>
      </c>
      <c r="I985" t="s">
        <v>115</v>
      </c>
      <c r="J985" t="s">
        <v>116</v>
      </c>
      <c r="K985" t="s">
        <v>156</v>
      </c>
      <c r="L985" t="s">
        <v>174</v>
      </c>
      <c r="M985">
        <v>3</v>
      </c>
      <c r="N985">
        <v>144.94999999999999</v>
      </c>
      <c r="O985">
        <v>434.84999999999997</v>
      </c>
      <c r="P985">
        <v>10</v>
      </c>
      <c r="Q985">
        <v>43.48</v>
      </c>
      <c r="R985">
        <v>391.37</v>
      </c>
      <c r="S985">
        <v>231.57</v>
      </c>
      <c r="T985">
        <v>159.80000000000001</v>
      </c>
      <c r="U985" t="s">
        <v>190</v>
      </c>
      <c r="V985" t="s">
        <v>186</v>
      </c>
      <c r="W985" t="s">
        <v>2090</v>
      </c>
      <c r="X985" t="s">
        <v>2086</v>
      </c>
      <c r="Y985">
        <v>72</v>
      </c>
      <c r="Z985">
        <v>176.95</v>
      </c>
      <c r="AA985">
        <v>117.72</v>
      </c>
      <c r="AB985" t="s">
        <v>14</v>
      </c>
      <c r="AC985" t="s">
        <v>20</v>
      </c>
      <c r="AD985" t="s">
        <v>2106</v>
      </c>
      <c r="AE985" t="s">
        <v>2109</v>
      </c>
    </row>
    <row r="986" spans="1:31">
      <c r="A986" t="s">
        <v>336</v>
      </c>
      <c r="B986" s="1">
        <v>44931</v>
      </c>
      <c r="C986" t="s">
        <v>240</v>
      </c>
      <c r="D986">
        <v>2023</v>
      </c>
      <c r="E986" t="s">
        <v>162</v>
      </c>
      <c r="F986" t="s">
        <v>337</v>
      </c>
      <c r="G986" t="s">
        <v>120</v>
      </c>
      <c r="H986" t="s">
        <v>121</v>
      </c>
      <c r="I986" t="s">
        <v>115</v>
      </c>
      <c r="J986" t="s">
        <v>119</v>
      </c>
      <c r="K986" t="s">
        <v>209</v>
      </c>
      <c r="L986" t="s">
        <v>232</v>
      </c>
      <c r="M986">
        <v>4</v>
      </c>
      <c r="N986">
        <v>197.52</v>
      </c>
      <c r="O986">
        <v>790.08</v>
      </c>
      <c r="P986">
        <v>0</v>
      </c>
      <c r="Q986">
        <v>0</v>
      </c>
      <c r="R986">
        <v>790.08</v>
      </c>
      <c r="S986">
        <v>266.16000000000003</v>
      </c>
      <c r="T986">
        <v>523.91999999999996</v>
      </c>
      <c r="U986" t="s">
        <v>180</v>
      </c>
      <c r="V986" t="s">
        <v>159</v>
      </c>
      <c r="W986" t="s">
        <v>2093</v>
      </c>
      <c r="X986" t="s">
        <v>2100</v>
      </c>
      <c r="Y986">
        <v>281</v>
      </c>
      <c r="Z986">
        <v>170.81</v>
      </c>
      <c r="AA986">
        <v>53.04</v>
      </c>
      <c r="AB986" t="s">
        <v>90</v>
      </c>
      <c r="AC986" t="s">
        <v>20</v>
      </c>
      <c r="AD986" t="s">
        <v>2106</v>
      </c>
      <c r="AE986" t="s">
        <v>2109</v>
      </c>
    </row>
    <row r="987" spans="1:31">
      <c r="A987" t="s">
        <v>1344</v>
      </c>
      <c r="B987" s="1">
        <v>44931</v>
      </c>
      <c r="C987" t="s">
        <v>240</v>
      </c>
      <c r="D987">
        <v>2023</v>
      </c>
      <c r="E987" t="s">
        <v>162</v>
      </c>
      <c r="F987" t="s">
        <v>1345</v>
      </c>
      <c r="G987" t="s">
        <v>60</v>
      </c>
      <c r="H987" t="s">
        <v>61</v>
      </c>
      <c r="I987" t="s">
        <v>41</v>
      </c>
      <c r="J987" t="s">
        <v>59</v>
      </c>
      <c r="K987" t="s">
        <v>164</v>
      </c>
      <c r="L987" t="s">
        <v>179</v>
      </c>
      <c r="M987">
        <v>4</v>
      </c>
      <c r="N987">
        <v>103.56</v>
      </c>
      <c r="O987">
        <v>414.24</v>
      </c>
      <c r="P987">
        <v>10</v>
      </c>
      <c r="Q987">
        <v>41.42</v>
      </c>
      <c r="R987">
        <v>372.82</v>
      </c>
      <c r="S987">
        <v>178.32</v>
      </c>
      <c r="T987">
        <v>194.5</v>
      </c>
      <c r="U987" t="s">
        <v>180</v>
      </c>
      <c r="V987" t="s">
        <v>159</v>
      </c>
      <c r="W987" t="s">
        <v>2085</v>
      </c>
      <c r="X987" t="s">
        <v>2108</v>
      </c>
      <c r="Y987">
        <v>307</v>
      </c>
      <c r="Z987">
        <v>1725.58</v>
      </c>
      <c r="AA987">
        <v>248.69</v>
      </c>
      <c r="AB987" t="s">
        <v>14</v>
      </c>
      <c r="AC987" t="s">
        <v>16</v>
      </c>
      <c r="AD987" t="s">
        <v>2106</v>
      </c>
      <c r="AE987" t="s">
        <v>2107</v>
      </c>
    </row>
    <row r="988" spans="1:31">
      <c r="A988" t="s">
        <v>1642</v>
      </c>
      <c r="B988" s="1">
        <v>44931</v>
      </c>
      <c r="C988" t="s">
        <v>240</v>
      </c>
      <c r="D988">
        <v>2023</v>
      </c>
      <c r="E988" t="s">
        <v>162</v>
      </c>
      <c r="F988" t="s">
        <v>1643</v>
      </c>
      <c r="G988" t="s">
        <v>64</v>
      </c>
      <c r="H988" t="s">
        <v>65</v>
      </c>
      <c r="I988" t="s">
        <v>66</v>
      </c>
      <c r="J988" t="s">
        <v>67</v>
      </c>
      <c r="K988" t="s">
        <v>209</v>
      </c>
      <c r="L988" t="s">
        <v>174</v>
      </c>
      <c r="M988">
        <v>1</v>
      </c>
      <c r="N988">
        <v>24.9</v>
      </c>
      <c r="O988">
        <v>24.9</v>
      </c>
      <c r="P988">
        <v>15</v>
      </c>
      <c r="Q988">
        <v>3.73</v>
      </c>
      <c r="R988">
        <v>21.17</v>
      </c>
      <c r="S988">
        <v>21.52</v>
      </c>
      <c r="T988">
        <v>-0.35</v>
      </c>
      <c r="U988" t="s">
        <v>180</v>
      </c>
      <c r="V988" t="s">
        <v>159</v>
      </c>
      <c r="W988" t="s">
        <v>2085</v>
      </c>
      <c r="X988" t="s">
        <v>2111</v>
      </c>
      <c r="Y988">
        <v>114</v>
      </c>
      <c r="Z988">
        <v>1891.27</v>
      </c>
      <c r="AA988">
        <v>205.06</v>
      </c>
      <c r="AB988" t="s">
        <v>90</v>
      </c>
      <c r="AC988" t="s">
        <v>20</v>
      </c>
      <c r="AD988" t="s">
        <v>2106</v>
      </c>
      <c r="AE988" t="s">
        <v>2109</v>
      </c>
    </row>
    <row r="989" spans="1:31">
      <c r="A989" t="s">
        <v>1357</v>
      </c>
      <c r="B989" s="1">
        <v>44931</v>
      </c>
      <c r="C989" t="s">
        <v>240</v>
      </c>
      <c r="D989">
        <v>2023</v>
      </c>
      <c r="E989" t="s">
        <v>162</v>
      </c>
      <c r="F989" t="s">
        <v>1358</v>
      </c>
      <c r="G989" t="s">
        <v>127</v>
      </c>
      <c r="H989" t="s">
        <v>128</v>
      </c>
      <c r="I989" t="s">
        <v>115</v>
      </c>
      <c r="J989" t="s">
        <v>124</v>
      </c>
      <c r="K989" t="s">
        <v>209</v>
      </c>
      <c r="L989" t="s">
        <v>157</v>
      </c>
      <c r="M989">
        <v>4</v>
      </c>
      <c r="N989">
        <v>94.76</v>
      </c>
      <c r="O989">
        <v>379.04</v>
      </c>
      <c r="P989">
        <v>15</v>
      </c>
      <c r="Q989">
        <v>56.86</v>
      </c>
      <c r="R989">
        <v>322.18</v>
      </c>
      <c r="S989">
        <v>315.27999999999997</v>
      </c>
      <c r="T989">
        <v>6.9</v>
      </c>
      <c r="U989" t="s">
        <v>158</v>
      </c>
      <c r="V989" t="s">
        <v>186</v>
      </c>
      <c r="W989" t="s">
        <v>2093</v>
      </c>
      <c r="X989" t="s">
        <v>2086</v>
      </c>
      <c r="Y989">
        <v>134</v>
      </c>
      <c r="Z989">
        <v>189.04</v>
      </c>
      <c r="AA989">
        <v>45.76</v>
      </c>
      <c r="AB989" t="s">
        <v>66</v>
      </c>
      <c r="AC989" t="s">
        <v>16</v>
      </c>
      <c r="AD989" t="s">
        <v>2095</v>
      </c>
      <c r="AE989" t="s">
        <v>2107</v>
      </c>
    </row>
    <row r="990" spans="1:31">
      <c r="A990" t="s">
        <v>1017</v>
      </c>
      <c r="B990" s="1">
        <v>44931</v>
      </c>
      <c r="C990" t="s">
        <v>240</v>
      </c>
      <c r="D990">
        <v>2023</v>
      </c>
      <c r="E990" t="s">
        <v>162</v>
      </c>
      <c r="F990" t="s">
        <v>1018</v>
      </c>
      <c r="G990" t="s">
        <v>35</v>
      </c>
      <c r="H990" t="s">
        <v>36</v>
      </c>
      <c r="I990" t="s">
        <v>14</v>
      </c>
      <c r="J990" t="s">
        <v>19</v>
      </c>
      <c r="K990" t="s">
        <v>178</v>
      </c>
      <c r="L990" t="s">
        <v>232</v>
      </c>
      <c r="M990">
        <v>2</v>
      </c>
      <c r="N990">
        <v>81.599999999999994</v>
      </c>
      <c r="O990">
        <v>163.19999999999999</v>
      </c>
      <c r="P990">
        <v>10</v>
      </c>
      <c r="Q990">
        <v>16.32</v>
      </c>
      <c r="R990">
        <v>146.88</v>
      </c>
      <c r="S990">
        <v>58.64</v>
      </c>
      <c r="T990">
        <v>88.24</v>
      </c>
      <c r="U990" t="s">
        <v>195</v>
      </c>
      <c r="V990" t="s">
        <v>159</v>
      </c>
      <c r="W990" t="s">
        <v>2097</v>
      </c>
      <c r="X990" t="s">
        <v>2100</v>
      </c>
      <c r="Y990">
        <v>16</v>
      </c>
      <c r="Z990">
        <v>208.57</v>
      </c>
      <c r="AA990">
        <v>52.27</v>
      </c>
      <c r="AB990" t="s">
        <v>115</v>
      </c>
      <c r="AC990" t="s">
        <v>16</v>
      </c>
      <c r="AD990" t="s">
        <v>2087</v>
      </c>
      <c r="AE990" t="s">
        <v>2121</v>
      </c>
    </row>
    <row r="991" spans="1:31">
      <c r="A991" t="s">
        <v>2014</v>
      </c>
      <c r="B991" s="1">
        <v>44931</v>
      </c>
      <c r="C991" t="s">
        <v>240</v>
      </c>
      <c r="D991">
        <v>2023</v>
      </c>
      <c r="E991" t="s">
        <v>162</v>
      </c>
      <c r="F991" t="s">
        <v>2015</v>
      </c>
      <c r="G991" t="s">
        <v>78</v>
      </c>
      <c r="H991" t="s">
        <v>79</v>
      </c>
      <c r="I991" t="s">
        <v>66</v>
      </c>
      <c r="J991" t="s">
        <v>70</v>
      </c>
      <c r="K991" t="s">
        <v>164</v>
      </c>
      <c r="L991" t="s">
        <v>204</v>
      </c>
      <c r="M991">
        <v>1</v>
      </c>
      <c r="N991">
        <v>218.05</v>
      </c>
      <c r="O991">
        <v>218.05</v>
      </c>
      <c r="P991">
        <v>0</v>
      </c>
      <c r="Q991">
        <v>0</v>
      </c>
      <c r="R991">
        <v>218.05</v>
      </c>
      <c r="S991">
        <v>74.48</v>
      </c>
      <c r="T991">
        <v>143.57</v>
      </c>
      <c r="U991" t="s">
        <v>180</v>
      </c>
      <c r="V991" t="s">
        <v>181</v>
      </c>
      <c r="W991" t="s">
        <v>2099</v>
      </c>
      <c r="X991" t="s">
        <v>2094</v>
      </c>
      <c r="Y991">
        <v>288</v>
      </c>
      <c r="Z991">
        <v>64.150000000000006</v>
      </c>
      <c r="AA991">
        <v>72.319999999999993</v>
      </c>
      <c r="AB991" t="s">
        <v>66</v>
      </c>
      <c r="AC991" t="s">
        <v>16</v>
      </c>
      <c r="AD991" t="s">
        <v>2106</v>
      </c>
      <c r="AE991" t="s">
        <v>2121</v>
      </c>
    </row>
    <row r="992" spans="1:31">
      <c r="A992" t="s">
        <v>1455</v>
      </c>
      <c r="B992" s="1">
        <v>44931</v>
      </c>
      <c r="C992" t="s">
        <v>240</v>
      </c>
      <c r="D992">
        <v>2023</v>
      </c>
      <c r="E992" t="s">
        <v>162</v>
      </c>
      <c r="F992" t="s">
        <v>1456</v>
      </c>
      <c r="G992" t="s">
        <v>23</v>
      </c>
      <c r="H992" t="s">
        <v>24</v>
      </c>
      <c r="I992" t="s">
        <v>14</v>
      </c>
      <c r="J992" t="s">
        <v>19</v>
      </c>
      <c r="K992" t="s">
        <v>164</v>
      </c>
      <c r="L992" t="s">
        <v>165</v>
      </c>
      <c r="M992">
        <v>4</v>
      </c>
      <c r="N992">
        <v>154.03</v>
      </c>
      <c r="O992">
        <v>616.12</v>
      </c>
      <c r="P992">
        <v>15</v>
      </c>
      <c r="Q992">
        <v>92.42</v>
      </c>
      <c r="R992">
        <v>523.70000000000005</v>
      </c>
      <c r="S992">
        <v>307.16000000000003</v>
      </c>
      <c r="T992">
        <v>216.54</v>
      </c>
      <c r="U992" t="s">
        <v>195</v>
      </c>
      <c r="V992" t="s">
        <v>159</v>
      </c>
      <c r="W992" t="s">
        <v>2099</v>
      </c>
      <c r="X992" t="s">
        <v>2108</v>
      </c>
      <c r="Y992">
        <v>218</v>
      </c>
      <c r="Z992">
        <v>42.23</v>
      </c>
      <c r="AA992">
        <v>36.29</v>
      </c>
      <c r="AB992" t="s">
        <v>115</v>
      </c>
      <c r="AC992" t="s">
        <v>16</v>
      </c>
      <c r="AD992" t="s">
        <v>2106</v>
      </c>
      <c r="AE992" t="s">
        <v>2107</v>
      </c>
    </row>
    <row r="993" spans="1:31">
      <c r="A993" t="s">
        <v>1536</v>
      </c>
      <c r="B993" s="1">
        <v>44930</v>
      </c>
      <c r="C993" t="s">
        <v>240</v>
      </c>
      <c r="D993">
        <v>2023</v>
      </c>
      <c r="E993" t="s">
        <v>162</v>
      </c>
      <c r="F993" t="s">
        <v>1537</v>
      </c>
      <c r="G993" t="s">
        <v>62</v>
      </c>
      <c r="H993" t="s">
        <v>63</v>
      </c>
      <c r="I993" t="s">
        <v>41</v>
      </c>
      <c r="J993" t="s">
        <v>45</v>
      </c>
      <c r="K993" t="s">
        <v>178</v>
      </c>
      <c r="L993" t="s">
        <v>194</v>
      </c>
      <c r="M993">
        <v>3</v>
      </c>
      <c r="N993">
        <v>160.35</v>
      </c>
      <c r="O993">
        <v>481.04999999999995</v>
      </c>
      <c r="P993">
        <v>20</v>
      </c>
      <c r="Q993">
        <v>96.21</v>
      </c>
      <c r="R993">
        <v>384.84</v>
      </c>
      <c r="S993">
        <v>217.41</v>
      </c>
      <c r="T993">
        <v>167.43</v>
      </c>
      <c r="U993" t="s">
        <v>180</v>
      </c>
      <c r="V993" t="s">
        <v>181</v>
      </c>
      <c r="W993" t="s">
        <v>2099</v>
      </c>
      <c r="X993" t="s">
        <v>2094</v>
      </c>
      <c r="Y993">
        <v>35</v>
      </c>
      <c r="Z993">
        <v>62.72</v>
      </c>
      <c r="AA993">
        <v>58.66</v>
      </c>
      <c r="AB993" t="s">
        <v>66</v>
      </c>
      <c r="AC993" t="s">
        <v>20</v>
      </c>
      <c r="AD993" t="s">
        <v>2095</v>
      </c>
      <c r="AE993" t="s">
        <v>2088</v>
      </c>
    </row>
    <row r="994" spans="1:31">
      <c r="A994" t="s">
        <v>883</v>
      </c>
      <c r="B994" s="1">
        <v>44930</v>
      </c>
      <c r="C994" t="s">
        <v>240</v>
      </c>
      <c r="D994">
        <v>2023</v>
      </c>
      <c r="E994" t="s">
        <v>162</v>
      </c>
      <c r="F994" t="s">
        <v>884</v>
      </c>
      <c r="G994" t="s">
        <v>133</v>
      </c>
      <c r="H994" t="s">
        <v>134</v>
      </c>
      <c r="I994" t="s">
        <v>115</v>
      </c>
      <c r="J994" t="s">
        <v>119</v>
      </c>
      <c r="K994" t="s">
        <v>164</v>
      </c>
      <c r="L994" t="s">
        <v>174</v>
      </c>
      <c r="M994">
        <v>2</v>
      </c>
      <c r="N994">
        <v>78.84</v>
      </c>
      <c r="O994">
        <v>157.68</v>
      </c>
      <c r="P994">
        <v>0</v>
      </c>
      <c r="Q994">
        <v>0</v>
      </c>
      <c r="R994">
        <v>157.68</v>
      </c>
      <c r="S994">
        <v>95.36</v>
      </c>
      <c r="T994">
        <v>62.32</v>
      </c>
      <c r="U994" t="s">
        <v>190</v>
      </c>
      <c r="V994" t="s">
        <v>181</v>
      </c>
      <c r="W994" t="s">
        <v>2093</v>
      </c>
      <c r="X994" t="s">
        <v>2100</v>
      </c>
      <c r="Y994">
        <v>308</v>
      </c>
      <c r="Z994">
        <v>83.95</v>
      </c>
      <c r="AA994">
        <v>67.37</v>
      </c>
      <c r="AB994" t="s">
        <v>90</v>
      </c>
      <c r="AC994" t="s">
        <v>16</v>
      </c>
      <c r="AD994" t="s">
        <v>2106</v>
      </c>
      <c r="AE994" t="s">
        <v>2088</v>
      </c>
    </row>
    <row r="995" spans="1:31">
      <c r="A995" t="s">
        <v>1173</v>
      </c>
      <c r="B995" s="1">
        <v>44930</v>
      </c>
      <c r="C995" t="s">
        <v>240</v>
      </c>
      <c r="D995">
        <v>2023</v>
      </c>
      <c r="E995" t="s">
        <v>162</v>
      </c>
      <c r="F995" t="s">
        <v>1174</v>
      </c>
      <c r="G995" t="s">
        <v>76</v>
      </c>
      <c r="H995" t="s">
        <v>77</v>
      </c>
      <c r="I995" t="s">
        <v>66</v>
      </c>
      <c r="J995" t="s">
        <v>67</v>
      </c>
      <c r="K995" t="s">
        <v>209</v>
      </c>
      <c r="L995" t="s">
        <v>179</v>
      </c>
      <c r="M995">
        <v>1</v>
      </c>
      <c r="N995">
        <v>118.07</v>
      </c>
      <c r="O995">
        <v>118.07</v>
      </c>
      <c r="P995">
        <v>10</v>
      </c>
      <c r="Q995">
        <v>11.81</v>
      </c>
      <c r="R995">
        <v>106.26</v>
      </c>
      <c r="S995">
        <v>39.700000000000003</v>
      </c>
      <c r="T995">
        <v>66.56</v>
      </c>
      <c r="U995" t="s">
        <v>166</v>
      </c>
      <c r="V995" t="s">
        <v>159</v>
      </c>
      <c r="W995" t="s">
        <v>2090</v>
      </c>
      <c r="X995" t="s">
        <v>2111</v>
      </c>
      <c r="Y995">
        <v>237</v>
      </c>
      <c r="Z995">
        <v>223.38</v>
      </c>
      <c r="AA995">
        <v>93.94</v>
      </c>
      <c r="AB995" t="s">
        <v>90</v>
      </c>
      <c r="AC995" t="s">
        <v>16</v>
      </c>
      <c r="AD995" t="s">
        <v>2106</v>
      </c>
      <c r="AE995" t="s">
        <v>2109</v>
      </c>
    </row>
    <row r="996" spans="1:31">
      <c r="A996" t="s">
        <v>2046</v>
      </c>
      <c r="B996" s="1">
        <v>44930</v>
      </c>
      <c r="C996" t="s">
        <v>240</v>
      </c>
      <c r="D996">
        <v>2023</v>
      </c>
      <c r="E996" t="s">
        <v>162</v>
      </c>
      <c r="F996" t="s">
        <v>2047</v>
      </c>
      <c r="G996" t="s">
        <v>46</v>
      </c>
      <c r="H996" t="s">
        <v>47</v>
      </c>
      <c r="I996" t="s">
        <v>41</v>
      </c>
      <c r="J996" t="s">
        <v>45</v>
      </c>
      <c r="K996" t="s">
        <v>164</v>
      </c>
      <c r="L996" t="s">
        <v>194</v>
      </c>
      <c r="M996">
        <v>4</v>
      </c>
      <c r="N996">
        <v>16.95</v>
      </c>
      <c r="O996">
        <v>67.8</v>
      </c>
      <c r="P996">
        <v>5</v>
      </c>
      <c r="Q996">
        <v>3.39</v>
      </c>
      <c r="R996">
        <v>64.41</v>
      </c>
      <c r="S996">
        <v>39.04</v>
      </c>
      <c r="T996">
        <v>25.37</v>
      </c>
      <c r="U996" t="s">
        <v>195</v>
      </c>
      <c r="V996" t="s">
        <v>181</v>
      </c>
      <c r="W996" t="s">
        <v>2099</v>
      </c>
      <c r="X996" t="s">
        <v>2111</v>
      </c>
      <c r="Y996">
        <v>228</v>
      </c>
      <c r="Z996">
        <v>146.41999999999999</v>
      </c>
      <c r="AA996">
        <v>73.48</v>
      </c>
      <c r="AB996" t="s">
        <v>14</v>
      </c>
      <c r="AC996" t="s">
        <v>16</v>
      </c>
      <c r="AD996" t="s">
        <v>2106</v>
      </c>
      <c r="AE996" t="s">
        <v>2121</v>
      </c>
    </row>
    <row r="997" spans="1:31">
      <c r="A997" t="s">
        <v>1119</v>
      </c>
      <c r="B997" s="1">
        <v>44929</v>
      </c>
      <c r="C997" t="s">
        <v>240</v>
      </c>
      <c r="D997">
        <v>2023</v>
      </c>
      <c r="E997" t="s">
        <v>162</v>
      </c>
      <c r="F997" t="s">
        <v>1120</v>
      </c>
      <c r="G997" t="s">
        <v>120</v>
      </c>
      <c r="H997" t="s">
        <v>121</v>
      </c>
      <c r="I997" t="s">
        <v>115</v>
      </c>
      <c r="J997" t="s">
        <v>119</v>
      </c>
      <c r="K997" t="s">
        <v>209</v>
      </c>
      <c r="L997" t="s">
        <v>232</v>
      </c>
      <c r="M997">
        <v>2</v>
      </c>
      <c r="N997">
        <v>197.52</v>
      </c>
      <c r="O997">
        <v>395.04</v>
      </c>
      <c r="P997">
        <v>5</v>
      </c>
      <c r="Q997">
        <v>19.75</v>
      </c>
      <c r="R997">
        <v>375.29</v>
      </c>
      <c r="S997">
        <v>133.08000000000001</v>
      </c>
      <c r="T997">
        <v>242.21</v>
      </c>
      <c r="U997" t="s">
        <v>180</v>
      </c>
      <c r="V997" t="s">
        <v>181</v>
      </c>
      <c r="W997" t="s">
        <v>2093</v>
      </c>
      <c r="X997" t="s">
        <v>2111</v>
      </c>
      <c r="Y997">
        <v>167</v>
      </c>
      <c r="Z997">
        <v>167.08</v>
      </c>
      <c r="AA997">
        <v>70.41</v>
      </c>
      <c r="AB997" t="s">
        <v>41</v>
      </c>
      <c r="AC997" t="s">
        <v>16</v>
      </c>
      <c r="AD997" t="s">
        <v>2106</v>
      </c>
      <c r="AE997" t="s">
        <v>2096</v>
      </c>
    </row>
    <row r="998" spans="1:31">
      <c r="A998" t="s">
        <v>1050</v>
      </c>
      <c r="B998" s="1">
        <v>44929</v>
      </c>
      <c r="C998" t="s">
        <v>240</v>
      </c>
      <c r="D998">
        <v>2023</v>
      </c>
      <c r="E998" t="s">
        <v>162</v>
      </c>
      <c r="F998" t="s">
        <v>1051</v>
      </c>
      <c r="G998" t="s">
        <v>82</v>
      </c>
      <c r="H998" t="s">
        <v>83</v>
      </c>
      <c r="I998" t="s">
        <v>66</v>
      </c>
      <c r="J998" t="s">
        <v>67</v>
      </c>
      <c r="K998" t="s">
        <v>156</v>
      </c>
      <c r="L998" t="s">
        <v>165</v>
      </c>
      <c r="M998">
        <v>4</v>
      </c>
      <c r="N998">
        <v>34.479999999999997</v>
      </c>
      <c r="O998">
        <v>137.91999999999999</v>
      </c>
      <c r="P998">
        <v>5</v>
      </c>
      <c r="Q998">
        <v>6.9</v>
      </c>
      <c r="R998">
        <v>131.02000000000001</v>
      </c>
      <c r="S998">
        <v>76.959999999999994</v>
      </c>
      <c r="T998">
        <v>54.06</v>
      </c>
      <c r="U998" t="s">
        <v>195</v>
      </c>
      <c r="V998" t="s">
        <v>159</v>
      </c>
      <c r="W998" t="s">
        <v>2090</v>
      </c>
      <c r="X998" t="s">
        <v>2094</v>
      </c>
      <c r="Y998">
        <v>278</v>
      </c>
      <c r="Z998">
        <v>384.79</v>
      </c>
      <c r="AA998">
        <v>73.819999999999993</v>
      </c>
      <c r="AB998" t="s">
        <v>14</v>
      </c>
      <c r="AC998" t="s">
        <v>16</v>
      </c>
      <c r="AD998" t="s">
        <v>2106</v>
      </c>
      <c r="AE998" t="s">
        <v>2088</v>
      </c>
    </row>
    <row r="999" spans="1:31">
      <c r="A999" t="s">
        <v>885</v>
      </c>
      <c r="B999" s="1">
        <v>44927</v>
      </c>
      <c r="C999" t="s">
        <v>240</v>
      </c>
      <c r="D999">
        <v>2023</v>
      </c>
      <c r="E999" t="s">
        <v>162</v>
      </c>
      <c r="F999" t="s">
        <v>886</v>
      </c>
      <c r="G999" t="s">
        <v>71</v>
      </c>
      <c r="H999" t="s">
        <v>72</v>
      </c>
      <c r="I999" t="s">
        <v>66</v>
      </c>
      <c r="J999" t="s">
        <v>70</v>
      </c>
      <c r="K999" t="s">
        <v>164</v>
      </c>
      <c r="L999" t="s">
        <v>179</v>
      </c>
      <c r="M999">
        <v>1</v>
      </c>
      <c r="N999">
        <v>26.7</v>
      </c>
      <c r="O999">
        <v>26.7</v>
      </c>
      <c r="P999">
        <v>0</v>
      </c>
      <c r="Q999">
        <v>0</v>
      </c>
      <c r="R999">
        <v>26.7</v>
      </c>
      <c r="S999">
        <v>12.27</v>
      </c>
      <c r="T999">
        <v>14.43</v>
      </c>
      <c r="U999" t="s">
        <v>195</v>
      </c>
      <c r="V999" t="s">
        <v>159</v>
      </c>
      <c r="W999" t="s">
        <v>2097</v>
      </c>
      <c r="X999" t="s">
        <v>2100</v>
      </c>
      <c r="Y999">
        <v>168</v>
      </c>
      <c r="Z999">
        <v>621.08000000000004</v>
      </c>
      <c r="AA999">
        <v>136.76</v>
      </c>
      <c r="AB999" t="s">
        <v>14</v>
      </c>
      <c r="AC999" t="s">
        <v>20</v>
      </c>
      <c r="AD999" t="s">
        <v>2087</v>
      </c>
      <c r="AE999" t="s">
        <v>2109</v>
      </c>
    </row>
    <row r="1000" spans="1:31">
      <c r="A1000" t="s">
        <v>945</v>
      </c>
      <c r="B1000" s="1">
        <v>44927</v>
      </c>
      <c r="C1000" t="s">
        <v>240</v>
      </c>
      <c r="D1000">
        <v>2023</v>
      </c>
      <c r="E1000" t="s">
        <v>162</v>
      </c>
      <c r="F1000" t="s">
        <v>946</v>
      </c>
      <c r="G1000" t="s">
        <v>35</v>
      </c>
      <c r="H1000" t="s">
        <v>36</v>
      </c>
      <c r="I1000" t="s">
        <v>14</v>
      </c>
      <c r="J1000" t="s">
        <v>19</v>
      </c>
      <c r="K1000" t="s">
        <v>164</v>
      </c>
      <c r="L1000" t="s">
        <v>179</v>
      </c>
      <c r="M1000">
        <v>2</v>
      </c>
      <c r="N1000">
        <v>81.599999999999994</v>
      </c>
      <c r="O1000">
        <v>163.19999999999999</v>
      </c>
      <c r="P1000">
        <v>15</v>
      </c>
      <c r="Q1000">
        <v>24.48</v>
      </c>
      <c r="R1000">
        <v>138.72</v>
      </c>
      <c r="S1000">
        <v>58.64</v>
      </c>
      <c r="T1000">
        <v>80.08</v>
      </c>
      <c r="U1000" t="s">
        <v>166</v>
      </c>
      <c r="V1000" t="s">
        <v>159</v>
      </c>
      <c r="W1000" t="s">
        <v>2097</v>
      </c>
      <c r="X1000" t="s">
        <v>2100</v>
      </c>
      <c r="Y1000">
        <v>81</v>
      </c>
      <c r="Z1000">
        <v>249.71</v>
      </c>
      <c r="AA1000">
        <v>86.82</v>
      </c>
      <c r="AB1000" t="s">
        <v>115</v>
      </c>
      <c r="AC1000" t="s">
        <v>20</v>
      </c>
      <c r="AD1000" t="s">
        <v>2106</v>
      </c>
      <c r="AE1000" t="s">
        <v>2121</v>
      </c>
    </row>
    <row r="1001" spans="1:31">
      <c r="A1001" t="s">
        <v>1272</v>
      </c>
      <c r="B1001" s="1">
        <v>44927</v>
      </c>
      <c r="C1001" t="s">
        <v>240</v>
      </c>
      <c r="D1001">
        <v>2023</v>
      </c>
      <c r="E1001" t="s">
        <v>162</v>
      </c>
      <c r="F1001" t="s">
        <v>1273</v>
      </c>
      <c r="G1001" t="s">
        <v>73</v>
      </c>
      <c r="H1001" t="s">
        <v>74</v>
      </c>
      <c r="I1001" t="s">
        <v>66</v>
      </c>
      <c r="J1001" t="s">
        <v>75</v>
      </c>
      <c r="K1001" t="s">
        <v>156</v>
      </c>
      <c r="L1001" t="s">
        <v>174</v>
      </c>
      <c r="M1001">
        <v>2</v>
      </c>
      <c r="N1001">
        <v>53.95</v>
      </c>
      <c r="O1001">
        <v>107.9</v>
      </c>
      <c r="P1001">
        <v>15</v>
      </c>
      <c r="Q1001">
        <v>16.18</v>
      </c>
      <c r="R1001">
        <v>91.72</v>
      </c>
      <c r="S1001">
        <v>70.400000000000006</v>
      </c>
      <c r="T1001">
        <v>21.32</v>
      </c>
      <c r="U1001" t="s">
        <v>195</v>
      </c>
      <c r="V1001" t="s">
        <v>186</v>
      </c>
      <c r="W1001" t="s">
        <v>2090</v>
      </c>
      <c r="X1001" t="s">
        <v>2094</v>
      </c>
      <c r="Y1001">
        <v>193</v>
      </c>
      <c r="Z1001">
        <v>229.14</v>
      </c>
      <c r="AA1001">
        <v>107.63</v>
      </c>
      <c r="AB1001" t="s">
        <v>66</v>
      </c>
      <c r="AC1001" t="s">
        <v>16</v>
      </c>
      <c r="AD1001" t="s">
        <v>2087</v>
      </c>
      <c r="AE1001" t="s">
        <v>2096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19C53-F82C-4339-B2F4-DF6395CE656D}">
  <sheetPr codeName="Sheet15">
    <tabColor rgb="FFC00000"/>
  </sheetPr>
  <dimension ref="A1:A2"/>
  <sheetViews>
    <sheetView workbookViewId="0"/>
  </sheetViews>
  <sheetFormatPr defaultRowHeight="15"/>
  <cols>
    <col min="1" max="1" width="84" bestFit="1" customWidth="1"/>
  </cols>
  <sheetData>
    <row r="1" spans="1:1">
      <c r="A1" t="s">
        <v>5404</v>
      </c>
    </row>
    <row r="2" spans="1:1">
      <c r="A2" s="33" t="str" cm="1">
        <f t="array" aca="1" ref="A2" ca="1">LEFT(CELL("filename",A1),SEARCH("[",CELL("filename",A1))-1)</f>
        <v>C:\Users\Shamel\Documents\Projects\pricing_analysis\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Props1.xml><?xml version="1.0" encoding="utf-8"?>
<ds:datastoreItem xmlns:ds="http://schemas.openxmlformats.org/officeDocument/2006/customXml" ds:itemID="{87F7C15B-D843-4773-A296-CF2F7339EE89}">
  <ds:schemaRefs/>
</ds:datastoreItem>
</file>

<file path=customXml/itemProps2.xml><?xml version="1.0" encoding="utf-8"?>
<ds:datastoreItem xmlns:ds="http://schemas.openxmlformats.org/officeDocument/2006/customXml" ds:itemID="{F7626BF3-3063-4C88-A9EF-E462EFA597F7}">
  <ds:schemaRefs/>
</ds:datastoreItem>
</file>

<file path=customXml/itemProps3.xml><?xml version="1.0" encoding="utf-8"?>
<ds:datastoreItem xmlns:ds="http://schemas.openxmlformats.org/officeDocument/2006/customXml" ds:itemID="{7FC378B0-B76D-4BC5-912B-27BEF008D99A}">
  <ds:schemaRefs/>
</ds:datastoreItem>
</file>

<file path=customXml/itemProps4.xml><?xml version="1.0" encoding="utf-8"?>
<ds:datastoreItem xmlns:ds="http://schemas.openxmlformats.org/officeDocument/2006/customXml" ds:itemID="{73DA01AC-89C5-469B-A2CA-1353446D0CB1}">
  <ds:schemaRefs/>
</ds:datastoreItem>
</file>

<file path=customXml/itemProps5.xml><?xml version="1.0" encoding="utf-8"?>
<ds:datastoreItem xmlns:ds="http://schemas.openxmlformats.org/officeDocument/2006/customXml" ds:itemID="{835B2CA5-4426-4F38-8999-FB7050A99299}">
  <ds:schemaRefs/>
</ds:datastoreItem>
</file>

<file path=customXml/itemProps6.xml><?xml version="1.0" encoding="utf-8"?>
<ds:datastoreItem xmlns:ds="http://schemas.openxmlformats.org/officeDocument/2006/customXml" ds:itemID="{BE8B09C0-86A2-47D6-84F1-E01DC2CD408F}">
  <ds:schemaRefs/>
</ds:datastoreItem>
</file>

<file path=customXml/itemProps7.xml><?xml version="1.0" encoding="utf-8"?>
<ds:datastoreItem xmlns:ds="http://schemas.openxmlformats.org/officeDocument/2006/customXml" ds:itemID="{6274FAB2-B48B-43F9-BA2E-93DE623A2E49}">
  <ds:schemaRefs/>
</ds:datastoreItem>
</file>

<file path=customXml/itemProps8.xml><?xml version="1.0" encoding="utf-8"?>
<ds:datastoreItem xmlns:ds="http://schemas.openxmlformats.org/officeDocument/2006/customXml" ds:itemID="{CB32C5B0-5764-4AE3-A96D-250208DF16C6}">
  <ds:schemaRefs/>
</ds:datastoreItem>
</file>

<file path=customXml/itemProps9.xml><?xml version="1.0" encoding="utf-8"?>
<ds:datastoreItem xmlns:ds="http://schemas.openxmlformats.org/officeDocument/2006/customXml" ds:itemID="{919E288F-4037-4D30-8C76-D6B3E95A49AB}">
  <ds:schemaRefs/>
</ds:datastoreItem>
</file>

<file path=customXml/itemProps10.xml><?xml version="1.0" encoding="utf-8"?>
<ds:datastoreItem xmlns:ds="http://schemas.openxmlformats.org/officeDocument/2006/customXml" ds:itemID="{29EA6540-6688-4200-8505-859E8A06E0E3}">
  <ds:schemaRefs/>
</ds:datastoreItem>
</file>

<file path=customXml/itemProps11.xml><?xml version="1.0" encoding="utf-8"?>
<ds:datastoreItem xmlns:ds="http://schemas.openxmlformats.org/officeDocument/2006/customXml" ds:itemID="{44F16DC9-9850-4EDA-AEBB-B0FFED9AC5A0}">
  <ds:schemaRefs/>
</ds:datastoreItem>
</file>

<file path=customXml/itemProps12.xml><?xml version="1.0" encoding="utf-8"?>
<ds:datastoreItem xmlns:ds="http://schemas.openxmlformats.org/officeDocument/2006/customXml" ds:itemID="{448E2FE5-E293-4A0B-AA94-65AE82CEA1F3}">
  <ds:schemaRefs/>
</ds:datastoreItem>
</file>

<file path=customXml/itemProps13.xml><?xml version="1.0" encoding="utf-8"?>
<ds:datastoreItem xmlns:ds="http://schemas.openxmlformats.org/officeDocument/2006/customXml" ds:itemID="{7FC571E1-7318-48D9-BB35-026EEDE0C0C9}">
  <ds:schemaRefs/>
</ds:datastoreItem>
</file>

<file path=customXml/itemProps14.xml><?xml version="1.0" encoding="utf-8"?>
<ds:datastoreItem xmlns:ds="http://schemas.openxmlformats.org/officeDocument/2006/customXml" ds:itemID="{AA5DCED7-8F26-44F6-9BE3-5D91351B805C}">
  <ds:schemaRefs/>
</ds:datastoreItem>
</file>

<file path=customXml/itemProps15.xml><?xml version="1.0" encoding="utf-8"?>
<ds:datastoreItem xmlns:ds="http://schemas.openxmlformats.org/officeDocument/2006/customXml" ds:itemID="{3BC9D0BF-F676-47CB-8E24-BFE5F6B0F26D}">
  <ds:schemaRefs/>
</ds:datastoreItem>
</file>

<file path=customXml/itemProps16.xml><?xml version="1.0" encoding="utf-8"?>
<ds:datastoreItem xmlns:ds="http://schemas.openxmlformats.org/officeDocument/2006/customXml" ds:itemID="{F29143DC-166A-44AA-9611-CA0C7A8819F2}">
  <ds:schemaRefs/>
</ds:datastoreItem>
</file>

<file path=customXml/itemProps17.xml><?xml version="1.0" encoding="utf-8"?>
<ds:datastoreItem xmlns:ds="http://schemas.openxmlformats.org/officeDocument/2006/customXml" ds:itemID="{ACC45000-9760-4C33-BB4E-DA7DD7A77B20}">
  <ds:schemaRefs/>
</ds:datastoreItem>
</file>

<file path=customXml/itemProps18.xml><?xml version="1.0" encoding="utf-8"?>
<ds:datastoreItem xmlns:ds="http://schemas.openxmlformats.org/officeDocument/2006/customXml" ds:itemID="{BADF959F-D4AD-4614-A726-BC50BFC7A571}">
  <ds:schemaRefs/>
</ds:datastoreItem>
</file>

<file path=customXml/itemProps19.xml><?xml version="1.0" encoding="utf-8"?>
<ds:datastoreItem xmlns:ds="http://schemas.openxmlformats.org/officeDocument/2006/customXml" ds:itemID="{CB242027-16C9-4DF3-A7B8-2463C55BB1C2}">
  <ds:schemaRefs/>
</ds:datastoreItem>
</file>

<file path=customXml/itemProps20.xml><?xml version="1.0" encoding="utf-8"?>
<ds:datastoreItem xmlns:ds="http://schemas.openxmlformats.org/officeDocument/2006/customXml" ds:itemID="{EA4A4AD6-D49B-4B07-918C-932A481D0568}">
  <ds:schemaRefs/>
</ds:datastoreItem>
</file>

<file path=customXml/itemProps21.xml><?xml version="1.0" encoding="utf-8"?>
<ds:datastoreItem xmlns:ds="http://schemas.openxmlformats.org/officeDocument/2006/customXml" ds:itemID="{F60F2093-A6E2-497F-A2B2-8336B608A7BF}">
  <ds:schemaRefs/>
</ds:datastoreItem>
</file>

<file path=customXml/itemProps22.xml><?xml version="1.0" encoding="utf-8"?>
<ds:datastoreItem xmlns:ds="http://schemas.openxmlformats.org/officeDocument/2006/customXml" ds:itemID="{E0813A04-898E-46F2-9B71-4B2901BFA7F7}">
  <ds:schemaRefs/>
</ds:datastoreItem>
</file>

<file path=customXml/itemProps23.xml><?xml version="1.0" encoding="utf-8"?>
<ds:datastoreItem xmlns:ds="http://schemas.openxmlformats.org/officeDocument/2006/customXml" ds:itemID="{0ECC9E5E-0B4B-426B-A5A7-35E743911EDC}">
  <ds:schemaRefs/>
</ds:datastoreItem>
</file>

<file path=customXml/itemProps24.xml><?xml version="1.0" encoding="utf-8"?>
<ds:datastoreItem xmlns:ds="http://schemas.openxmlformats.org/officeDocument/2006/customXml" ds:itemID="{F2A472FC-083D-4F37-85AE-2B0FB9B9016E}">
  <ds:schemaRefs/>
</ds:datastoreItem>
</file>

<file path=customXml/itemProps25.xml><?xml version="1.0" encoding="utf-8"?>
<ds:datastoreItem xmlns:ds="http://schemas.openxmlformats.org/officeDocument/2006/customXml" ds:itemID="{5E919E07-A39E-459C-B346-59771F93F5D0}">
  <ds:schemaRefs/>
</ds:datastoreItem>
</file>

<file path=customXml/itemProps26.xml><?xml version="1.0" encoding="utf-8"?>
<ds:datastoreItem xmlns:ds="http://schemas.openxmlformats.org/officeDocument/2006/customXml" ds:itemID="{4F39D1FA-B2F8-48D8-A800-5A768D850389}">
  <ds:schemaRefs/>
</ds:datastoreItem>
</file>

<file path=customXml/itemProps27.xml><?xml version="1.0" encoding="utf-8"?>
<ds:datastoreItem xmlns:ds="http://schemas.openxmlformats.org/officeDocument/2006/customXml" ds:itemID="{A8F86F1D-8EAE-4ACA-BAE8-6245DB9B8641}">
  <ds:schemaRefs/>
</ds:datastoreItem>
</file>

<file path=customXml/itemProps28.xml><?xml version="1.0" encoding="utf-8"?>
<ds:datastoreItem xmlns:ds="http://schemas.openxmlformats.org/officeDocument/2006/customXml" ds:itemID="{4AF73839-8684-473E-9222-E03DC6C230F5}">
  <ds:schemaRefs/>
</ds:datastoreItem>
</file>

<file path=customXml/itemProps29.xml><?xml version="1.0" encoding="utf-8"?>
<ds:datastoreItem xmlns:ds="http://schemas.openxmlformats.org/officeDocument/2006/customXml" ds:itemID="{BEDF1D74-796C-481B-944C-FFD81C710D73}">
  <ds:schemaRefs/>
</ds:datastoreItem>
</file>

<file path=customXml/itemProps30.xml><?xml version="1.0" encoding="utf-8"?>
<ds:datastoreItem xmlns:ds="http://schemas.openxmlformats.org/officeDocument/2006/customXml" ds:itemID="{8E9F2ED8-4533-4D5C-BEFC-0194DFA53C0E}">
  <ds:schemaRefs/>
</ds:datastoreItem>
</file>

<file path=customXml/itemProps31.xml><?xml version="1.0" encoding="utf-8"?>
<ds:datastoreItem xmlns:ds="http://schemas.openxmlformats.org/officeDocument/2006/customXml" ds:itemID="{98AEEB55-0007-47D3-A0CE-B70B8DA27476}">
  <ds:schemaRefs/>
</ds:datastoreItem>
</file>

<file path=customXml/itemProps32.xml><?xml version="1.0" encoding="utf-8"?>
<ds:datastoreItem xmlns:ds="http://schemas.openxmlformats.org/officeDocument/2006/customXml" ds:itemID="{5B6B2B67-5B76-4697-85FB-C4188C121BEA}">
  <ds:schemaRefs/>
</ds:datastoreItem>
</file>

<file path=customXml/itemProps33.xml><?xml version="1.0" encoding="utf-8"?>
<ds:datastoreItem xmlns:ds="http://schemas.openxmlformats.org/officeDocument/2006/customXml" ds:itemID="{81F78586-FEA3-4079-96F5-8A8D1157E20E}">
  <ds:schemaRefs>
    <ds:schemaRef ds:uri="http://schemas.microsoft.com/DataMashup"/>
  </ds:schemaRefs>
</ds:datastoreItem>
</file>

<file path=customXml/itemProps34.xml><?xml version="1.0" encoding="utf-8"?>
<ds:datastoreItem xmlns:ds="http://schemas.openxmlformats.org/officeDocument/2006/customXml" ds:itemID="{62605BBA-08D3-4C06-AB06-FE4AED502233}">
  <ds:schemaRefs/>
</ds:datastoreItem>
</file>

<file path=customXml/itemProps35.xml><?xml version="1.0" encoding="utf-8"?>
<ds:datastoreItem xmlns:ds="http://schemas.openxmlformats.org/officeDocument/2006/customXml" ds:itemID="{0122B957-73F4-43FE-9078-AA130B694F5A}">
  <ds:schemaRefs/>
</ds:datastoreItem>
</file>

<file path=customXml/itemProps36.xml><?xml version="1.0" encoding="utf-8"?>
<ds:datastoreItem xmlns:ds="http://schemas.openxmlformats.org/officeDocument/2006/customXml" ds:itemID="{09EB364C-12A5-42E0-BBD3-7137177235FB}">
  <ds:schemaRefs/>
</ds:datastoreItem>
</file>

<file path=customXml/itemProps37.xml><?xml version="1.0" encoding="utf-8"?>
<ds:datastoreItem xmlns:ds="http://schemas.openxmlformats.org/officeDocument/2006/customXml" ds:itemID="{F5F957F8-387D-4686-8E02-6B77921215A8}">
  <ds:schemaRefs/>
</ds:datastoreItem>
</file>

<file path=customXml/itemProps38.xml><?xml version="1.0" encoding="utf-8"?>
<ds:datastoreItem xmlns:ds="http://schemas.openxmlformats.org/officeDocument/2006/customXml" ds:itemID="{08C2BCE5-AE78-4AE2-AA9E-C05095217456}">
  <ds:schemaRefs/>
</ds:datastoreItem>
</file>

<file path=customXml/itemProps39.xml><?xml version="1.0" encoding="utf-8"?>
<ds:datastoreItem xmlns:ds="http://schemas.openxmlformats.org/officeDocument/2006/customXml" ds:itemID="{B63D1E4B-3647-4959-B8BE-94DF10394D3E}">
  <ds:schemaRefs/>
</ds:datastoreItem>
</file>

<file path=customXml/itemProps40.xml><?xml version="1.0" encoding="utf-8"?>
<ds:datastoreItem xmlns:ds="http://schemas.openxmlformats.org/officeDocument/2006/customXml" ds:itemID="{2B07F616-79AB-46F5-9425-D381EC59F349}">
  <ds:schemaRefs/>
</ds:datastoreItem>
</file>

<file path=customXml/itemProps41.xml><?xml version="1.0" encoding="utf-8"?>
<ds:datastoreItem xmlns:ds="http://schemas.openxmlformats.org/officeDocument/2006/customXml" ds:itemID="{EB04D62C-602A-4F1B-87C6-05486C3C9558}">
  <ds:schemaRefs/>
</ds:datastoreItem>
</file>

<file path=customXml/itemProps42.xml><?xml version="1.0" encoding="utf-8"?>
<ds:datastoreItem xmlns:ds="http://schemas.openxmlformats.org/officeDocument/2006/customXml" ds:itemID="{E993AEBB-51F9-45EE-A127-96E4C04F2E7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Final Candidate Output</vt:lpstr>
      <vt:lpstr>Competitive Analysis (Step 1)</vt:lpstr>
      <vt:lpstr>V1 Pricing Model (Step 2)</vt:lpstr>
      <vt:lpstr>V1-Based Churn Model (Step 3)</vt:lpstr>
      <vt:lpstr>Monte Carlo IO (4)</vt:lpstr>
      <vt:lpstr>Helper Ref</vt:lpstr>
      <vt:lpstr>Price Optimization Best Outcome</vt:lpstr>
      <vt:lpstr>Product Catalog Pricing RAW</vt:lpstr>
      <vt:lpstr>Sales Transactions RAW</vt:lpstr>
      <vt:lpstr>Customer Information RAW</vt:lpstr>
      <vt:lpstr>Competitor Pricing RAW</vt:lpstr>
      <vt:lpstr>Sales&amp;Customer Joined RAW</vt:lpstr>
      <vt:lpstr>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Shamel Bhimani</dc:creator>
  <cp:lastModifiedBy>Shamel Bhimani</cp:lastModifiedBy>
  <dcterms:created xsi:type="dcterms:W3CDTF">2026-03-04T14:07:59Z</dcterms:created>
  <dcterms:modified xsi:type="dcterms:W3CDTF">2026-03-27T15:20:48Z</dcterms:modified>
</cp:coreProperties>
</file>